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625"/>
  <workbookPr defaultThemeVersion="124226"/>
  <mc:AlternateContent xmlns:mc="http://schemas.openxmlformats.org/markup-compatibility/2006">
    <mc:Choice Requires="x15">
      <x15ac:absPath xmlns:x15ac="http://schemas.microsoft.com/office/spreadsheetml/2010/11/ac" url="E:\Relatórios\Em Excel\2016\"/>
    </mc:Choice>
  </mc:AlternateContent>
  <bookViews>
    <workbookView xWindow="390" yWindow="45" windowWidth="18135" windowHeight="6600" tabRatio="948" firstSheet="19" activeTab="29" xr2:uid="{00000000-000D-0000-FFFF-FFFF00000000}"/>
  </bookViews>
  <sheets>
    <sheet name="Capa" sheetId="1" r:id="rId1"/>
    <sheet name="Índice" sheetId="2" r:id="rId2"/>
    <sheet name="Glossário" sheetId="3" r:id="rId3"/>
    <sheet name="Resumo" sheetId="4" r:id="rId4"/>
    <sheet name="CAPA - NV" sheetId="40" r:id="rId5"/>
    <sheet name="transferências NV" sheetId="6" r:id="rId6"/>
    <sheet name="Nota de Débito" sheetId="35" r:id="rId7"/>
    <sheet name="composição ND " sheetId="7" r:id="rId8"/>
    <sheet name="pagtos. NV" sheetId="32" r:id="rId9"/>
    <sheet name="extrato BB 9049-2 NV" sheetId="9" r:id="rId10"/>
    <sheet name="Extrato Siafem SP II  convênio" sheetId="10" r:id="rId11"/>
    <sheet name="Extrato SIAFEM Fundo Convênio" sheetId="11" r:id="rId12"/>
    <sheet name="CAPA - IN" sheetId="42" r:id="rId13"/>
    <sheet name="transferências IN" sheetId="13" r:id="rId14"/>
    <sheet name="recebimentos IN" sheetId="14" r:id="rId15"/>
    <sheet name="pgtos IN" sheetId="38" r:id="rId16"/>
    <sheet name="extrato BB 4-0 IN" sheetId="16" r:id="rId17"/>
    <sheet name="Extrato SIAFEM SP II Exploracao" sheetId="17" r:id="rId18"/>
    <sheet name="Extrato SIAFEM Fundo Exploracao" sheetId="18" r:id="rId19"/>
    <sheet name="CAPA - CD" sheetId="41" r:id="rId20"/>
    <sheet name="transferências CD" sheetId="20" r:id="rId21"/>
    <sheet name="recebimentos CD" sheetId="21" r:id="rId22"/>
    <sheet name="pagtos.CD" sheetId="39" r:id="rId23"/>
    <sheet name="extrato 10-8 CD" sheetId="23" r:id="rId24"/>
    <sheet name="Extrato SIAFEM SP II Condominio" sheetId="36" r:id="rId25"/>
    <sheet name="Extrato SIAFEM Fundo Condominio" sheetId="37" r:id="rId26"/>
    <sheet name="CAPA - GE" sheetId="26" r:id="rId27"/>
    <sheet name="transferências GE" sheetId="27" r:id="rId28"/>
    <sheet name="pagtos. GE" sheetId="28" r:id="rId29"/>
    <sheet name="extrato movimento GE" sheetId="29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\A" localSheetId="19">#REF!</definedName>
    <definedName name="\A" localSheetId="12">#REF!</definedName>
    <definedName name="\A" localSheetId="4">#REF!</definedName>
    <definedName name="\A">#REF!</definedName>
    <definedName name="\d" localSheetId="19">#REF!</definedName>
    <definedName name="\d" localSheetId="12">#REF!</definedName>
    <definedName name="\d" localSheetId="4">#REF!</definedName>
    <definedName name="\d">#REF!</definedName>
    <definedName name="\e" localSheetId="19">#REF!</definedName>
    <definedName name="\e" localSheetId="12">#REF!</definedName>
    <definedName name="\e" localSheetId="4">#REF!</definedName>
    <definedName name="\e">#REF!</definedName>
    <definedName name="\I" localSheetId="19">#REF!</definedName>
    <definedName name="\I" localSheetId="12">#REF!</definedName>
    <definedName name="\I" localSheetId="4">#REF!</definedName>
    <definedName name="\I">#REF!</definedName>
    <definedName name="\n" localSheetId="19">#REF!</definedName>
    <definedName name="\n" localSheetId="12">#REF!</definedName>
    <definedName name="\n" localSheetId="4">#REF!</definedName>
    <definedName name="\n">#REF!</definedName>
    <definedName name="\p" localSheetId="19">#REF!</definedName>
    <definedName name="\p" localSheetId="12">#REF!</definedName>
    <definedName name="\p" localSheetId="4">#REF!</definedName>
    <definedName name="\p">#REF!</definedName>
    <definedName name="\s" localSheetId="19">#REF!</definedName>
    <definedName name="\s" localSheetId="12">#REF!</definedName>
    <definedName name="\s" localSheetId="4">#REF!</definedName>
    <definedName name="\s">#REF!</definedName>
    <definedName name="\U" localSheetId="19">#REF!</definedName>
    <definedName name="\U" localSheetId="12">#REF!</definedName>
    <definedName name="\U" localSheetId="4">#REF!</definedName>
    <definedName name="\U">#REF!</definedName>
    <definedName name="_____alo67" localSheetId="19">#REF!</definedName>
    <definedName name="_____alo67" localSheetId="12">#REF!</definedName>
    <definedName name="_____alo67" localSheetId="4">#REF!</definedName>
    <definedName name="_____alo67">#REF!</definedName>
    <definedName name="_____amk18" localSheetId="19">#REF!</definedName>
    <definedName name="_____amk18" localSheetId="12">#REF!</definedName>
    <definedName name="_____amk18" localSheetId="4">#REF!</definedName>
    <definedName name="_____amk18">#REF!</definedName>
    <definedName name="_____IOB21" localSheetId="19">[1]SFA!#REF!</definedName>
    <definedName name="_____IOB21" localSheetId="12">[1]SFA!#REF!</definedName>
    <definedName name="_____IOB21" localSheetId="4">[1]SFA!#REF!</definedName>
    <definedName name="_____IOB21">[1]SFA!#REF!</definedName>
    <definedName name="_____ob134" localSheetId="19">[2]SND!#REF!</definedName>
    <definedName name="_____ob134" localSheetId="12">[2]SND!#REF!</definedName>
    <definedName name="_____ob134" localSheetId="4">[2]SND!#REF!</definedName>
    <definedName name="_____ob134">[2]SND!#REF!</definedName>
    <definedName name="_____UIB31" localSheetId="19">[2]SND!#REF!</definedName>
    <definedName name="_____UIB31" localSheetId="12">[2]SND!#REF!</definedName>
    <definedName name="_____UIB31" localSheetId="4">[2]SND!#REF!</definedName>
    <definedName name="_____UIB31">[2]SND!#REF!</definedName>
    <definedName name="____alo67" localSheetId="19">'[3]Abertura por Superintendência'!#REF!</definedName>
    <definedName name="____alo67" localSheetId="12">'[3]Abertura por Superintendência'!#REF!</definedName>
    <definedName name="____alo67" localSheetId="4">'[3]Abertura por Superintendência'!#REF!</definedName>
    <definedName name="____alo67">'[3]Abertura por Superintendência'!#REF!</definedName>
    <definedName name="____amk18" localSheetId="19">'[3]Abertura - Por Secretaria'!#REF!</definedName>
    <definedName name="____amk18" localSheetId="12">'[3]Abertura - Por Secretaria'!#REF!</definedName>
    <definedName name="____amk18" localSheetId="4">'[3]Abertura - Por Secretaria'!#REF!</definedName>
    <definedName name="____amk18">'[3]Abertura - Por Secretaria'!#REF!</definedName>
    <definedName name="____IOB21" localSheetId="19">[4]SFA!#REF!</definedName>
    <definedName name="____IOB21" localSheetId="12">[4]SFA!#REF!</definedName>
    <definedName name="____IOB21" localSheetId="4">[4]SFA!#REF!</definedName>
    <definedName name="____IOB21">[4]SFA!#REF!</definedName>
    <definedName name="____ob134" localSheetId="19">[5]SND!#REF!</definedName>
    <definedName name="____ob134" localSheetId="12">[5]SND!#REF!</definedName>
    <definedName name="____ob134" localSheetId="4">[5]SND!#REF!</definedName>
    <definedName name="____ob134">[5]SND!#REF!</definedName>
    <definedName name="____SIT1" localSheetId="19">#REF!</definedName>
    <definedName name="____SIT1" localSheetId="12">#REF!</definedName>
    <definedName name="____SIT1" localSheetId="4">#REF!</definedName>
    <definedName name="____SIT1">#REF!</definedName>
    <definedName name="____SIT2" localSheetId="19">#REF!</definedName>
    <definedName name="____SIT2" localSheetId="12">#REF!</definedName>
    <definedName name="____SIT2" localSheetId="4">#REF!</definedName>
    <definedName name="____SIT2">#REF!</definedName>
    <definedName name="____UIB31" localSheetId="19">[5]SND!#REF!</definedName>
    <definedName name="____UIB31" localSheetId="12">[5]SND!#REF!</definedName>
    <definedName name="____UIB31" localSheetId="4">[5]SND!#REF!</definedName>
    <definedName name="____UIB31">[5]SND!#REF!</definedName>
    <definedName name="___alo67" localSheetId="19">'[3]Abertura por Superintendência'!#REF!</definedName>
    <definedName name="___alo67" localSheetId="12">'[3]Abertura por Superintendência'!#REF!</definedName>
    <definedName name="___alo67" localSheetId="4">'[3]Abertura por Superintendência'!#REF!</definedName>
    <definedName name="___alo67">'[3]Abertura por Superintendência'!#REF!</definedName>
    <definedName name="___amk18" localSheetId="19">'[3]Abertura - Por Secretaria'!#REF!</definedName>
    <definedName name="___amk18" localSheetId="12">'[3]Abertura - Por Secretaria'!#REF!</definedName>
    <definedName name="___amk18" localSheetId="4">'[3]Abertura - Por Secretaria'!#REF!</definedName>
    <definedName name="___amk18">'[3]Abertura - Por Secretaria'!#REF!</definedName>
    <definedName name="___IOB21" localSheetId="19">[6]SFA!#REF!</definedName>
    <definedName name="___IOB21" localSheetId="12">[6]SFA!#REF!</definedName>
    <definedName name="___IOB21" localSheetId="4">[6]SFA!#REF!</definedName>
    <definedName name="___IOB21">[6]SFA!#REF!</definedName>
    <definedName name="___ob134" localSheetId="19">[7]SND!#REF!</definedName>
    <definedName name="___ob134" localSheetId="12">[7]SND!#REF!</definedName>
    <definedName name="___ob134" localSheetId="4">[7]SND!#REF!</definedName>
    <definedName name="___ob134">[7]SND!#REF!</definedName>
    <definedName name="___SIT1" localSheetId="19">#REF!</definedName>
    <definedName name="___SIT1" localSheetId="12">#REF!</definedName>
    <definedName name="___SIT1" localSheetId="4">#REF!</definedName>
    <definedName name="___SIT1">#REF!</definedName>
    <definedName name="___SIT2" localSheetId="19">#REF!</definedName>
    <definedName name="___SIT2" localSheetId="12">#REF!</definedName>
    <definedName name="___SIT2" localSheetId="4">#REF!</definedName>
    <definedName name="___SIT2">#REF!</definedName>
    <definedName name="___UIB31" localSheetId="19">[7]SND!#REF!</definedName>
    <definedName name="___UIB31" localSheetId="12">[7]SND!#REF!</definedName>
    <definedName name="___UIB31" localSheetId="4">[7]SND!#REF!</definedName>
    <definedName name="___UIB31">[7]SND!#REF!</definedName>
    <definedName name="__1___123Graph_ACHART_1" hidden="1">[8]A!$C$6:$O$6</definedName>
    <definedName name="__1__123Graph_ACHART_1" hidden="1">[8]A!$C$6:$O$6</definedName>
    <definedName name="__10__123Graph_CCHART_1" hidden="1">[8]A!$C$8:$O$8</definedName>
    <definedName name="__11__123Graph_DCHART_1" hidden="1">[8]A!$C$9:$O$9</definedName>
    <definedName name="__12__123Graph_ECHART_1" hidden="1">[8]A!$C$10:$O$10</definedName>
    <definedName name="__13__123Graph_FCHART_1" hidden="1">[8]A!$C$11:$O$11</definedName>
    <definedName name="__14__123Graph_XCHART_1" hidden="1">[8]A!$C$5:$O$5</definedName>
    <definedName name="__2___123Graph_BCHART_1" hidden="1">[8]A!$C$7:$O$7</definedName>
    <definedName name="__2__123Graph_BCHART_1" hidden="1">[8]A!$C$7:$O$7</definedName>
    <definedName name="__3___123Graph_CCHART_1" hidden="1">[8]A!$C$8:$O$8</definedName>
    <definedName name="__3__123Graph_CCHART_1" hidden="1">[8]A!$C$8:$O$8</definedName>
    <definedName name="__4___123Graph_DCHART_1" hidden="1">[8]A!$C$9:$O$9</definedName>
    <definedName name="__4__123Graph_DCHART_1" hidden="1">[8]A!$C$9:$O$9</definedName>
    <definedName name="__5___123Graph_ECHART_1" hidden="1">[8]A!$C$10:$O$10</definedName>
    <definedName name="__5__123Graph_ECHART_1" hidden="1">[8]A!$C$10:$O$10</definedName>
    <definedName name="__6___123Graph_FCHART_1" hidden="1">[8]A!$C$11:$O$11</definedName>
    <definedName name="__6__123Graph_FCHART_1" hidden="1">[8]A!$C$11:$O$11</definedName>
    <definedName name="__7___123Graph_XCHART_1" hidden="1">[8]A!$C$5:$O$5</definedName>
    <definedName name="__7__123Graph_XCHART_1" hidden="1">[8]A!$C$5:$O$5</definedName>
    <definedName name="__8__123Graph_ACHART_1" hidden="1">[8]A!$C$6:$O$6</definedName>
    <definedName name="__9__123Graph_BCHART_1" hidden="1">[8]A!$C$7:$O$7</definedName>
    <definedName name="__alo67" localSheetId="19">'[3]Abertura por Superintendência'!#REF!</definedName>
    <definedName name="__alo67" localSheetId="12">'[3]Abertura por Superintendência'!#REF!</definedName>
    <definedName name="__alo67" localSheetId="4">'[3]Abertura por Superintendência'!#REF!</definedName>
    <definedName name="__alo67">'[3]Abertura por Superintendência'!#REF!</definedName>
    <definedName name="__amk18" localSheetId="19">'[3]Abertura - Por Secretaria'!#REF!</definedName>
    <definedName name="__amk18" localSheetId="12">'[3]Abertura - Por Secretaria'!#REF!</definedName>
    <definedName name="__amk18" localSheetId="4">'[3]Abertura - Por Secretaria'!#REF!</definedName>
    <definedName name="__amk18">'[3]Abertura - Por Secretaria'!#REF!</definedName>
    <definedName name="__IOB21" localSheetId="19">[6]SFA!#REF!</definedName>
    <definedName name="__IOB21" localSheetId="12">[6]SFA!#REF!</definedName>
    <definedName name="__IOB21" localSheetId="4">[6]SFA!#REF!</definedName>
    <definedName name="__IOB21">[6]SFA!#REF!</definedName>
    <definedName name="__ob134" localSheetId="19">[7]SND!#REF!</definedName>
    <definedName name="__ob134" localSheetId="12">[7]SND!#REF!</definedName>
    <definedName name="__ob134" localSheetId="4">[7]SND!#REF!</definedName>
    <definedName name="__ob134">[7]SND!#REF!</definedName>
    <definedName name="__SIT1" localSheetId="23">#REF!</definedName>
    <definedName name="__SIT1" localSheetId="16">#REF!</definedName>
    <definedName name="__SIT1" localSheetId="25">#REF!</definedName>
    <definedName name="__SIT1" localSheetId="11">#REF!</definedName>
    <definedName name="__SIT1" localSheetId="18">#REF!</definedName>
    <definedName name="__SIT1" localSheetId="6">#REF!</definedName>
    <definedName name="__SIT2" localSheetId="23">#REF!</definedName>
    <definedName name="__SIT2" localSheetId="16">#REF!</definedName>
    <definedName name="__SIT2" localSheetId="25">#REF!</definedName>
    <definedName name="__SIT2" localSheetId="11">#REF!</definedName>
    <definedName name="__SIT2" localSheetId="18">#REF!</definedName>
    <definedName name="__SIT2" localSheetId="6">#REF!</definedName>
    <definedName name="_10__123Graph_CCHART_1" hidden="1">[8]A!$C$8:$O$8</definedName>
    <definedName name="_11__123Graph_DCHART_1" hidden="1">[8]A!$C$9:$O$9</definedName>
    <definedName name="_12__123Graph_ECHART_1" hidden="1">[8]A!$C$10:$O$10</definedName>
    <definedName name="_13__123Graph_FCHART_1" hidden="1">[8]A!$C$11:$O$11</definedName>
    <definedName name="_14__123Graph_XCHART_1" hidden="1">[8]A!$C$5:$O$5</definedName>
    <definedName name="_2___123Graph_BCHART_1" hidden="1">[8]A!$C$7:$O$7</definedName>
    <definedName name="_2__123Graph_BCHART_1" hidden="1">[8]A!$C$7:$O$7</definedName>
    <definedName name="_3___123Graph_CCHART_1" hidden="1">[8]A!$C$8:$O$8</definedName>
    <definedName name="_3__123Graph_CCHART_1" hidden="1">[8]A!$C$8:$O$8</definedName>
    <definedName name="_4___123Graph_DCHART_1" hidden="1">[8]A!$C$9:$O$9</definedName>
    <definedName name="_4__123Graph_DCHART_1" hidden="1">[8]A!$C$9:$O$9</definedName>
    <definedName name="_5___123Graph_ECHART_1" hidden="1">[8]A!$C$10:$O$10</definedName>
    <definedName name="_5__123Graph_ECHART_1" hidden="1">[8]A!$C$10:$O$10</definedName>
    <definedName name="_6___123Graph_FCHART_1" hidden="1">[8]A!$C$11:$O$11</definedName>
    <definedName name="_6__123Graph_FCHART_1" hidden="1">[8]A!$C$11:$O$11</definedName>
    <definedName name="_7___123Graph_XCHART_1" hidden="1">[8]A!$C$5:$O$5</definedName>
    <definedName name="_7__123Graph_XCHART_1" hidden="1">[8]A!$C$5:$O$5</definedName>
    <definedName name="_8__123Graph_ACHART_1" hidden="1">[8]A!$C$6:$O$6</definedName>
    <definedName name="_9__123Graph_BCHART_1" hidden="1">[8]A!$C$7:$O$7</definedName>
    <definedName name="_alo67" localSheetId="19">#REF!</definedName>
    <definedName name="_alo67" localSheetId="12">#REF!</definedName>
    <definedName name="_alo67" localSheetId="4">#REF!</definedName>
    <definedName name="_alo67">#REF!</definedName>
    <definedName name="_amk18" localSheetId="19">#REF!</definedName>
    <definedName name="_amk18" localSheetId="12">#REF!</definedName>
    <definedName name="_amk18" localSheetId="4">#REF!</definedName>
    <definedName name="_amk18">#REF!</definedName>
    <definedName name="_EDIT_PASTE_SPE" localSheetId="19">#REF!</definedName>
    <definedName name="_EDIT_PASTE_SPE" localSheetId="12">#REF!</definedName>
    <definedName name="_EDIT_PASTE_SPE" localSheetId="4">#REF!</definedName>
    <definedName name="_EDIT_PASTE_SPE">#REF!</definedName>
    <definedName name="_FILE_CLOSE_" localSheetId="19">#REF!</definedName>
    <definedName name="_FILE_CLOSE_" localSheetId="12">#REF!</definedName>
    <definedName name="_FILE_CLOSE_" localSheetId="4">#REF!</definedName>
    <definedName name="_FILE_CLOSE_">#REF!</definedName>
    <definedName name="_FILE_SAVE__C_\" localSheetId="19">#REF!</definedName>
    <definedName name="_FILE_SAVE__C_\" localSheetId="12">#REF!</definedName>
    <definedName name="_FILE_SAVE__C_\" localSheetId="4">#REF!</definedName>
    <definedName name="_FILE_SAVE__C_\">#REF!</definedName>
    <definedName name="_HOME_" localSheetId="19">#REF!</definedName>
    <definedName name="_HOME_" localSheetId="12">#REF!</definedName>
    <definedName name="_HOME_" localSheetId="4">#REF!</definedName>
    <definedName name="_HOME_">#REF!</definedName>
    <definedName name="_IOB21" localSheetId="19">[1]SFA!#REF!</definedName>
    <definedName name="_IOB21" localSheetId="12">[1]SFA!#REF!</definedName>
    <definedName name="_IOB21" localSheetId="4">[1]SFA!#REF!</definedName>
    <definedName name="_IOB21">[1]SFA!#REF!</definedName>
    <definedName name="_ob134" localSheetId="19">[2]SND!#REF!</definedName>
    <definedName name="_ob134" localSheetId="12">[2]SND!#REF!</definedName>
    <definedName name="_ob134" localSheetId="4">[2]SND!#REF!</definedName>
    <definedName name="_ob134">[2]SND!#REF!</definedName>
    <definedName name="_Regression_Int" hidden="1">1</definedName>
    <definedName name="_SELECT_A_G111." localSheetId="19">#REF!</definedName>
    <definedName name="_SELECT_A_G111." localSheetId="12">#REF!</definedName>
    <definedName name="_SELECT_A_G111." localSheetId="4">#REF!</definedName>
    <definedName name="_SELECT_A_G111.">#REF!</definedName>
    <definedName name="_SELECT_A_G130." localSheetId="19">#REF!</definedName>
    <definedName name="_SELECT_A_G130." localSheetId="12">#REF!</definedName>
    <definedName name="_SELECT_A_G130." localSheetId="4">#REF!</definedName>
    <definedName name="_SELECT_A_G130.">#REF!</definedName>
    <definedName name="_SELECT_A_G146." localSheetId="19">#REF!</definedName>
    <definedName name="_SELECT_A_G146." localSheetId="12">#REF!</definedName>
    <definedName name="_SELECT_A_G146." localSheetId="4">#REF!</definedName>
    <definedName name="_SELECT_A_G146.">#REF!</definedName>
    <definedName name="_SELECT_A_G172." localSheetId="19">#REF!</definedName>
    <definedName name="_SELECT_A_G172." localSheetId="12">#REF!</definedName>
    <definedName name="_SELECT_A_G172." localSheetId="4">#REF!</definedName>
    <definedName name="_SELECT_A_G172.">#REF!</definedName>
    <definedName name="_SELECT_A_G191." localSheetId="19">#REF!</definedName>
    <definedName name="_SELECT_A_G191." localSheetId="12">#REF!</definedName>
    <definedName name="_SELECT_A_G191." localSheetId="4">#REF!</definedName>
    <definedName name="_SELECT_A_G191.">#REF!</definedName>
    <definedName name="_SIT1" localSheetId="0">#REF!</definedName>
    <definedName name="_SIT1" localSheetId="23">#REF!</definedName>
    <definedName name="_SIT1" localSheetId="16">#REF!</definedName>
    <definedName name="_SIT1" localSheetId="25">#REF!</definedName>
    <definedName name="_SIT1" localSheetId="11">#REF!</definedName>
    <definedName name="_SIT1" localSheetId="18">#REF!</definedName>
    <definedName name="_SIT2" localSheetId="0">#REF!</definedName>
    <definedName name="_SIT2" localSheetId="23">#REF!</definedName>
    <definedName name="_SIT2" localSheetId="16">#REF!</definedName>
    <definedName name="_SIT2" localSheetId="25">#REF!</definedName>
    <definedName name="_SIT2" localSheetId="11">#REF!</definedName>
    <definedName name="_SIT2" localSheetId="18">#REF!</definedName>
    <definedName name="_xlnm.Print_Area" localSheetId="0">Capa!$A$1:$A$31</definedName>
    <definedName name="_xlnm.Print_Area" localSheetId="19">'CAPA - CD'!$A$1:$F$71</definedName>
    <definedName name="_xlnm.Print_Area" localSheetId="26">'CAPA - GE'!$A$1:$F$34</definedName>
    <definedName name="_xlnm.Print_Area" localSheetId="12">'CAPA - IN'!$A$1:$F$65</definedName>
    <definedName name="_xlnm.Print_Area" localSheetId="4">'CAPA - NV'!$A$1:$F$85</definedName>
    <definedName name="_xlnm.Print_Area" localSheetId="7">'composição ND '!$A$1:$C$93</definedName>
    <definedName name="_xlnm.Print_Area" localSheetId="23">'extrato 10-8 CD'!$A$1:$H$445</definedName>
    <definedName name="_xlnm.Print_Area" localSheetId="16">'extrato BB 4-0 IN'!$A$1:$F$447</definedName>
    <definedName name="_xlnm.Print_Area" localSheetId="9">'extrato BB 9049-2 NV'!$A$1:$H$468</definedName>
    <definedName name="_xlnm.Print_Area" localSheetId="29">'extrato movimento GE'!$A$1:$H$62</definedName>
    <definedName name="_xlnm.Print_Area" localSheetId="25">'Extrato SIAFEM Fundo Condominio'!$A$1:$H$118</definedName>
    <definedName name="_xlnm.Print_Area" localSheetId="11">'Extrato SIAFEM Fundo Convênio'!$A$1:$H$151</definedName>
    <definedName name="_xlnm.Print_Area" localSheetId="18">'Extrato SIAFEM Fundo Exploracao'!$A$1:$H$118</definedName>
    <definedName name="_xlnm.Print_Area" localSheetId="10">'Extrato Siafem SP II  convênio'!$A$1:$H$146</definedName>
    <definedName name="_xlnm.Print_Area" localSheetId="24">'Extrato SIAFEM SP II Condominio'!$A$1:$H$147</definedName>
    <definedName name="_xlnm.Print_Area" localSheetId="17">'Extrato SIAFEM SP II Exploracao'!$A$1:$H$147</definedName>
    <definedName name="_xlnm.Print_Area" localSheetId="1">Índice!$A$1:$B$32</definedName>
    <definedName name="_xlnm.Print_Area" localSheetId="6">'Nota de Débito'!$A$1:$E$77</definedName>
    <definedName name="_xlnm.Print_Area" localSheetId="28">'pagtos. GE'!$C$1:$J$12</definedName>
    <definedName name="_xlnm.Print_Area" localSheetId="8">'pagtos. NV'!$A$1:$J$3684</definedName>
    <definedName name="_xlnm.Print_Area" localSheetId="22">pagtos.CD!$A$1:$J$1097</definedName>
    <definedName name="_xlnm.Print_Area" localSheetId="15">'pgtos IN'!$C$1:$J$248</definedName>
    <definedName name="_xlnm.Print_Area" localSheetId="21">'recebimentos CD'!$A$1:$F$111</definedName>
    <definedName name="_xlnm.Print_Area" localSheetId="14">'recebimentos IN'!$A$1:$E$136</definedName>
    <definedName name="_xlnm.Print_Area" localSheetId="5">'transferências NV'!$A$1:$D$65</definedName>
    <definedName name="_xlnm.Print_Area">#REF!</definedName>
    <definedName name="Área_impressão_IM" localSheetId="19">#REF!</definedName>
    <definedName name="Área_impressão_IM" localSheetId="12">#REF!</definedName>
    <definedName name="Área_impressão_IM" localSheetId="4">#REF!</definedName>
    <definedName name="Área_impressão_IM">#REF!</definedName>
    <definedName name="área0" localSheetId="19">#REF!</definedName>
    <definedName name="área0" localSheetId="12">#REF!</definedName>
    <definedName name="área0" localSheetId="4">#REF!</definedName>
    <definedName name="área0">#REF!</definedName>
    <definedName name="área1" localSheetId="6">#REF!</definedName>
    <definedName name="área2" localSheetId="6">#REF!</definedName>
    <definedName name="bj" localSheetId="19">#REF!</definedName>
    <definedName name="bj" localSheetId="12">#REF!</definedName>
    <definedName name="bj" localSheetId="4">#REF!</definedName>
    <definedName name="bj">#REF!</definedName>
    <definedName name="bl" localSheetId="19">#REF!</definedName>
    <definedName name="bl" localSheetId="12">#REF!</definedName>
    <definedName name="bl" localSheetId="4">#REF!</definedName>
    <definedName name="bl">#REF!</definedName>
    <definedName name="CB" localSheetId="19">#REF!</definedName>
    <definedName name="CB" localSheetId="12">#REF!</definedName>
    <definedName name="CB" localSheetId="4">#REF!</definedName>
    <definedName name="CB">#REF!</definedName>
    <definedName name="CH" localSheetId="19">[2]SND!#REF!</definedName>
    <definedName name="CH" localSheetId="12">[2]SND!#REF!</definedName>
    <definedName name="CH" localSheetId="4">[2]SND!#REF!</definedName>
    <definedName name="CH">[2]SND!#REF!</definedName>
    <definedName name="convenio09" localSheetId="19">#REF!</definedName>
    <definedName name="convenio09" localSheetId="12">#REF!</definedName>
    <definedName name="convenio09" localSheetId="4">#REF!</definedName>
    <definedName name="convenio09">#REF!</definedName>
    <definedName name="cw" localSheetId="19">[9]SSA!#REF!</definedName>
    <definedName name="cw" localSheetId="12">[9]SSA!#REF!</definedName>
    <definedName name="cw" localSheetId="4">[9]SSA!#REF!</definedName>
    <definedName name="cw">[9]SSA!#REF!</definedName>
    <definedName name="cx" localSheetId="19">#REF!</definedName>
    <definedName name="cx" localSheetId="12">#REF!</definedName>
    <definedName name="cx" localSheetId="4">#REF!</definedName>
    <definedName name="cx">#REF!</definedName>
    <definedName name="Desconto_dez_2004" localSheetId="0">#REF!</definedName>
    <definedName name="Desconto_dez_2004" localSheetId="6">#REF!</definedName>
    <definedName name="Desconto_jan_2005" localSheetId="0">#REF!</definedName>
    <definedName name="Desconto_jan_2005" localSheetId="6">#REF!</definedName>
    <definedName name="Exercício_98" localSheetId="6">#REF!</definedName>
    <definedName name="gerencialconsolidado" localSheetId="23">#REF!</definedName>
    <definedName name="gerencialconsolidado" localSheetId="16">#REF!</definedName>
    <definedName name="gerencialconsolidado" localSheetId="25">#REF!</definedName>
    <definedName name="gerencialconsolidado" localSheetId="11">#REF!</definedName>
    <definedName name="gerencialconsolidado" localSheetId="18">#REF!</definedName>
    <definedName name="gerencialconsolidado" localSheetId="6">#REF!</definedName>
    <definedName name="ia" localSheetId="19">[10]SSP!#REF!</definedName>
    <definedName name="ia" localSheetId="12">[10]SSP!#REF!</definedName>
    <definedName name="ia" localSheetId="4">[10]SSP!#REF!</definedName>
    <definedName name="ia">[10]SSP!#REF!</definedName>
    <definedName name="ib" localSheetId="19">[11]SUE!#REF!</definedName>
    <definedName name="ib" localSheetId="12">[11]SUE!#REF!</definedName>
    <definedName name="ib" localSheetId="4">[11]SUE!#REF!</definedName>
    <definedName name="ib">[11]SUE!#REF!</definedName>
    <definedName name="IB4.6" localSheetId="19">[2]SND!#REF!</definedName>
    <definedName name="IB4.6" localSheetId="12">[2]SND!#REF!</definedName>
    <definedName name="IB4.6" localSheetId="4">[2]SND!#REF!</definedName>
    <definedName name="IB4.6">[2]SND!#REF!</definedName>
    <definedName name="out" localSheetId="19">#REF!</definedName>
    <definedName name="out" localSheetId="12">#REF!</definedName>
    <definedName name="out" localSheetId="4">#REF!</definedName>
    <definedName name="out">#REF!</definedName>
    <definedName name="outubro" localSheetId="19">#REF!</definedName>
    <definedName name="outubro" localSheetId="12">#REF!</definedName>
    <definedName name="outubro" localSheetId="4">#REF!</definedName>
    <definedName name="outubro">#REF!</definedName>
    <definedName name="PPT" localSheetId="6">'[12]JAN-05'!$R$6:$W$17</definedName>
    <definedName name="REL_1" localSheetId="6">#REF!</definedName>
    <definedName name="Semestre_97" localSheetId="6">#REF!</definedName>
    <definedName name="Semestre_99" localSheetId="6">#REF!</definedName>
    <definedName name="ss" localSheetId="12">#REF!</definedName>
    <definedName name="ss">#REF!</definedName>
    <definedName name="TABLE" localSheetId="4">'CAPA - NV'!#REF!</definedName>
    <definedName name="TABLE_2" localSheetId="4">'CAPA - NV'!#REF!</definedName>
    <definedName name="TABLE_3" localSheetId="4">'CAPA - NV'!#REF!</definedName>
    <definedName name="TABLE_4" localSheetId="4">'CAPA - NV'!#REF!</definedName>
    <definedName name="_xlnm.Print_Titles" localSheetId="19">'CAPA - CD'!$1:$2</definedName>
    <definedName name="_xlnm.Print_Titles" localSheetId="12">#REF!</definedName>
    <definedName name="_xlnm.Print_Titles" localSheetId="4">'CAPA - NV'!$1:$2</definedName>
    <definedName name="_xlnm.Print_Titles" localSheetId="7">'composição ND '!$1:$6</definedName>
    <definedName name="_xlnm.Print_Titles" localSheetId="23">'extrato 10-8 CD'!$1:$3</definedName>
    <definedName name="_xlnm.Print_Titles" localSheetId="16">'extrato BB 4-0 IN'!$1:$3</definedName>
    <definedName name="_xlnm.Print_Titles" localSheetId="9">'extrato BB 9049-2 NV'!$1:$2</definedName>
    <definedName name="_xlnm.Print_Titles" localSheetId="25">'Extrato SIAFEM Fundo Condominio'!$1:$2</definedName>
    <definedName name="_xlnm.Print_Titles" localSheetId="11">'Extrato SIAFEM Fundo Convênio'!$1:$2</definedName>
    <definedName name="_xlnm.Print_Titles" localSheetId="18">'Extrato SIAFEM Fundo Exploracao'!$1:$2</definedName>
    <definedName name="_xlnm.Print_Titles" localSheetId="10">'Extrato Siafem SP II  convênio'!$1:$2</definedName>
    <definedName name="_xlnm.Print_Titles" localSheetId="24">'Extrato SIAFEM SP II Condominio'!$1:$2</definedName>
    <definedName name="_xlnm.Print_Titles" localSheetId="17">'Extrato SIAFEM SP II Exploracao'!$1:$2</definedName>
    <definedName name="_xlnm.Print_Titles" localSheetId="1">Índice!$1:$5</definedName>
    <definedName name="_xlnm.Print_Titles" localSheetId="28">'pagtos. GE'!$1:$5</definedName>
    <definedName name="_xlnm.Print_Titles" localSheetId="8">'pagtos. NV'!$1:$5</definedName>
    <definedName name="_xlnm.Print_Titles" localSheetId="15">'pgtos IN'!$1:$4</definedName>
    <definedName name="_xlnm.Print_Titles" localSheetId="21">'recebimentos CD'!$1:$5</definedName>
    <definedName name="_xlnm.Print_Titles" localSheetId="14">'recebimentos IN'!$1:$5</definedName>
    <definedName name="_xlnm.Print_Titles" localSheetId="5">'transferências NV'!$1:$4</definedName>
    <definedName name="_xlnm.Print_Titles">#REF!</definedName>
    <definedName name="Títulos_impressão_IM" localSheetId="19">#REF!</definedName>
    <definedName name="Títulos_impressão_IM" localSheetId="12">#REF!</definedName>
    <definedName name="Títulos_impressão_IM" localSheetId="4">#REF!</definedName>
    <definedName name="Títulos_impressão_IM">#REF!</definedName>
    <definedName name="Total_Contrato" localSheetId="6">#REF!</definedName>
  </definedNames>
  <calcPr calcId="171027"/>
</workbook>
</file>

<file path=xl/calcChain.xml><?xml version="1.0" encoding="utf-8"?>
<calcChain xmlns="http://schemas.openxmlformats.org/spreadsheetml/2006/main">
  <c r="J1813" i="32" l="1"/>
  <c r="D216" i="38" l="1"/>
  <c r="D213" i="38"/>
  <c r="D210" i="38"/>
  <c r="D207" i="38"/>
  <c r="D204" i="38"/>
  <c r="D201" i="38"/>
  <c r="D198" i="38"/>
  <c r="D195" i="38"/>
  <c r="D192" i="38"/>
  <c r="D189" i="38"/>
  <c r="D186" i="38"/>
  <c r="D183" i="38"/>
  <c r="D180" i="38"/>
  <c r="D177" i="38"/>
  <c r="D174" i="38"/>
  <c r="D171" i="38"/>
  <c r="D168" i="38"/>
  <c r="D165" i="38"/>
  <c r="D162" i="38"/>
  <c r="D159" i="38"/>
  <c r="D156" i="38"/>
  <c r="D153" i="38"/>
  <c r="D150" i="38"/>
  <c r="D147" i="38"/>
  <c r="D144" i="38"/>
  <c r="D141" i="38"/>
  <c r="D138" i="38"/>
  <c r="D135" i="38"/>
  <c r="D132" i="38"/>
  <c r="D129" i="38"/>
  <c r="D126" i="38"/>
  <c r="D123" i="38"/>
  <c r="D120" i="38"/>
  <c r="D117" i="38"/>
  <c r="D114" i="38"/>
  <c r="D111" i="38"/>
  <c r="D108" i="38"/>
  <c r="D105" i="38"/>
  <c r="D102" i="38"/>
  <c r="D98" i="38"/>
  <c r="D95" i="38"/>
  <c r="D92" i="38"/>
  <c r="D89" i="38"/>
  <c r="D79" i="38"/>
  <c r="D76" i="38"/>
  <c r="D72" i="38"/>
  <c r="D69" i="38"/>
  <c r="D66" i="38"/>
  <c r="D64" i="38"/>
  <c r="D61" i="38"/>
  <c r="D58" i="38"/>
  <c r="D55" i="38"/>
  <c r="D52" i="38"/>
  <c r="D49" i="38"/>
  <c r="D46" i="38"/>
  <c r="D43" i="38"/>
  <c r="D40" i="38"/>
  <c r="D37" i="38"/>
  <c r="D34" i="38"/>
  <c r="D31" i="38"/>
  <c r="D28" i="38"/>
  <c r="D25" i="38"/>
  <c r="D22" i="38"/>
  <c r="D19" i="38"/>
  <c r="D16" i="38"/>
  <c r="D13" i="38"/>
  <c r="D10" i="38"/>
  <c r="D7" i="38"/>
  <c r="D1095" i="39" l="1"/>
  <c r="D1076" i="39"/>
  <c r="D1074" i="39"/>
  <c r="D1072" i="39"/>
  <c r="D1068" i="39"/>
  <c r="D1066" i="39"/>
  <c r="D1064" i="39"/>
  <c r="D1062" i="39"/>
  <c r="D1059" i="39"/>
  <c r="D1057" i="39"/>
  <c r="D1055" i="39"/>
  <c r="D1053" i="39"/>
  <c r="D1051" i="39"/>
  <c r="D1047" i="39"/>
  <c r="D1045" i="39"/>
  <c r="D1042" i="39"/>
  <c r="D1040" i="39"/>
  <c r="D1038" i="39"/>
  <c r="D1036" i="39"/>
  <c r="D1033" i="39"/>
  <c r="D1015" i="39"/>
  <c r="D994" i="39"/>
  <c r="D959" i="39"/>
  <c r="D875" i="39"/>
  <c r="D805" i="39"/>
  <c r="D757" i="39"/>
  <c r="D692" i="39"/>
  <c r="D648" i="39"/>
  <c r="D597" i="39"/>
  <c r="D537" i="39"/>
  <c r="D471" i="39"/>
  <c r="D426" i="39"/>
  <c r="D315" i="39"/>
  <c r="D296" i="39"/>
  <c r="D276" i="39"/>
  <c r="D261" i="39"/>
  <c r="D242" i="39"/>
  <c r="D226" i="39"/>
  <c r="D210" i="39"/>
  <c r="D195" i="39"/>
  <c r="D180" i="39"/>
  <c r="D165" i="39"/>
  <c r="D150" i="39"/>
  <c r="D135" i="39"/>
  <c r="D115" i="39"/>
  <c r="D100" i="39"/>
  <c r="D85" i="39"/>
  <c r="D70" i="39"/>
  <c r="D55" i="39"/>
  <c r="D36" i="39"/>
  <c r="D21" i="39"/>
  <c r="J1095" i="39"/>
  <c r="J1076" i="39"/>
  <c r="J1074" i="39"/>
  <c r="J1072" i="39"/>
  <c r="J1068" i="39"/>
  <c r="J1066" i="39"/>
  <c r="J1064" i="39"/>
  <c r="J1062" i="39"/>
  <c r="J1059" i="39"/>
  <c r="J1057" i="39"/>
  <c r="J1055" i="39"/>
  <c r="J1053" i="39"/>
  <c r="J1051" i="39"/>
  <c r="J1047" i="39"/>
  <c r="J1045" i="39"/>
  <c r="J1042" i="39"/>
  <c r="J1040" i="39"/>
  <c r="J1038" i="39"/>
  <c r="J1036" i="39"/>
  <c r="J1033" i="39"/>
  <c r="J1015" i="39"/>
  <c r="J994" i="39"/>
  <c r="J959" i="39"/>
  <c r="J875" i="39"/>
  <c r="J805" i="39"/>
  <c r="J757" i="39"/>
  <c r="J692" i="39"/>
  <c r="J648" i="39"/>
  <c r="J597" i="39"/>
  <c r="J537" i="39"/>
  <c r="J471" i="39"/>
  <c r="J426" i="39"/>
  <c r="J315" i="39"/>
  <c r="J296" i="39"/>
  <c r="J276" i="39"/>
  <c r="J261" i="39"/>
  <c r="J242" i="39"/>
  <c r="J226" i="39"/>
  <c r="J210" i="39"/>
  <c r="J195" i="39"/>
  <c r="J180" i="39"/>
  <c r="J165" i="39"/>
  <c r="J150" i="39"/>
  <c r="J135" i="39"/>
  <c r="J115" i="39"/>
  <c r="J100" i="39"/>
  <c r="J85" i="39"/>
  <c r="J70" i="39"/>
  <c r="J55" i="39"/>
  <c r="J36" i="39"/>
  <c r="J21" i="39"/>
  <c r="C22" i="4"/>
  <c r="C21" i="4"/>
  <c r="C20" i="4"/>
  <c r="C17" i="4"/>
  <c r="C16" i="4"/>
  <c r="C15" i="4"/>
  <c r="J1097" i="39" l="1"/>
  <c r="C12" i="4"/>
  <c r="C11" i="4"/>
  <c r="C10" i="4"/>
  <c r="B2" i="9"/>
  <c r="J3589" i="32"/>
  <c r="J3663" i="32"/>
  <c r="D6" i="40" l="1"/>
  <c r="D31" i="41" l="1"/>
  <c r="C30" i="6" l="1"/>
  <c r="D26" i="40" l="1"/>
  <c r="D3586" i="32"/>
  <c r="D3539" i="32"/>
  <c r="D3492" i="32"/>
  <c r="D3446" i="32"/>
  <c r="D3400" i="32"/>
  <c r="D3361" i="32"/>
  <c r="D3310" i="32"/>
  <c r="D3257" i="32"/>
  <c r="D3201" i="32"/>
  <c r="D3140" i="32"/>
  <c r="D3094" i="32"/>
  <c r="D3038" i="32"/>
  <c r="D2970" i="32"/>
  <c r="D2914" i="32"/>
  <c r="D2856" i="32"/>
  <c r="D2848" i="32"/>
  <c r="D2750" i="32"/>
  <c r="D2636" i="32"/>
  <c r="D2516" i="32"/>
  <c r="D2417" i="32"/>
  <c r="D2316" i="32"/>
  <c r="D2221" i="32"/>
  <c r="D2129" i="32"/>
  <c r="D2025" i="32"/>
  <c r="D1896" i="32"/>
  <c r="D1813" i="32"/>
  <c r="D1777" i="32"/>
  <c r="D1752" i="32"/>
  <c r="D1727" i="32"/>
  <c r="D1703" i="32"/>
  <c r="D1681" i="32"/>
  <c r="D1660" i="32"/>
  <c r="D1632" i="32"/>
  <c r="D1580" i="32"/>
  <c r="D1550" i="32"/>
  <c r="D1490" i="32"/>
  <c r="D1432" i="32"/>
  <c r="D1410" i="32"/>
  <c r="D1355" i="32"/>
  <c r="D1323" i="32"/>
  <c r="D1315" i="32"/>
  <c r="D1271" i="32"/>
  <c r="D1250" i="32"/>
  <c r="D1227" i="32"/>
  <c r="D1204" i="32"/>
  <c r="D1150" i="32"/>
  <c r="D1129" i="32"/>
  <c r="D1094" i="32"/>
  <c r="D1065" i="32"/>
  <c r="D1033" i="32"/>
  <c r="D1012" i="32"/>
  <c r="D960" i="32"/>
  <c r="D896" i="32"/>
  <c r="D870" i="32"/>
  <c r="D817" i="32"/>
  <c r="D783" i="32"/>
  <c r="D727" i="32"/>
  <c r="D682" i="32"/>
  <c r="D653" i="32"/>
  <c r="D621" i="32"/>
  <c r="D598" i="32"/>
  <c r="D576" i="32"/>
  <c r="D509" i="32"/>
  <c r="D446" i="32"/>
  <c r="D416" i="32"/>
  <c r="D386" i="32"/>
  <c r="D329" i="32"/>
  <c r="D274" i="32"/>
  <c r="D215" i="32"/>
  <c r="D169" i="32"/>
  <c r="D118" i="32"/>
  <c r="D90" i="32"/>
  <c r="D54" i="32"/>
  <c r="J54" i="32"/>
  <c r="J3586" i="32"/>
  <c r="J3539" i="32"/>
  <c r="J3446" i="32"/>
  <c r="J3400" i="32"/>
  <c r="J3361" i="32"/>
  <c r="J3310" i="32"/>
  <c r="J3257" i="32"/>
  <c r="J3201" i="32"/>
  <c r="J3140" i="32"/>
  <c r="J3038" i="32"/>
  <c r="J2914" i="32"/>
  <c r="J2856" i="32"/>
  <c r="J2848" i="32"/>
  <c r="J2750" i="32"/>
  <c r="J2636" i="32"/>
  <c r="J2516" i="32"/>
  <c r="J2417" i="32"/>
  <c r="J2316" i="32"/>
  <c r="J2221" i="32"/>
  <c r="J2129" i="32"/>
  <c r="J2025" i="32"/>
  <c r="J1896" i="32"/>
  <c r="J1777" i="32"/>
  <c r="J1752" i="32"/>
  <c r="J1727" i="32"/>
  <c r="J1703" i="32"/>
  <c r="J1681" i="32"/>
  <c r="J1660" i="32"/>
  <c r="J1632" i="32"/>
  <c r="J1580" i="32"/>
  <c r="J1550" i="32"/>
  <c r="J1490" i="32"/>
  <c r="J1432" i="32"/>
  <c r="J1410" i="32"/>
  <c r="J1355" i="32"/>
  <c r="J1323" i="32"/>
  <c r="J1315" i="32"/>
  <c r="J1271" i="32"/>
  <c r="J1250" i="32"/>
  <c r="J1227" i="32"/>
  <c r="J1204" i="32"/>
  <c r="J1150" i="32"/>
  <c r="J1129" i="32"/>
  <c r="J1094" i="32"/>
  <c r="J1065" i="32"/>
  <c r="J1012" i="32"/>
  <c r="J960" i="32"/>
  <c r="J896" i="32"/>
  <c r="J870" i="32"/>
  <c r="J817" i="32"/>
  <c r="J783" i="32"/>
  <c r="J727" i="32"/>
  <c r="J682" i="32"/>
  <c r="J621" i="32"/>
  <c r="J598" i="32"/>
  <c r="J576" i="32"/>
  <c r="J509" i="32"/>
  <c r="J446" i="32"/>
  <c r="J416" i="32"/>
  <c r="J386" i="32"/>
  <c r="J329" i="32"/>
  <c r="J274" i="32"/>
  <c r="J215" i="32"/>
  <c r="J169" i="32"/>
  <c r="J118" i="32"/>
  <c r="J3681" i="32" l="1"/>
  <c r="E14" i="40"/>
  <c r="D22" i="40" l="1"/>
  <c r="D56" i="40" s="1"/>
  <c r="D10" i="4" s="1"/>
  <c r="C64" i="6"/>
  <c r="C41" i="6"/>
  <c r="J70" i="32"/>
  <c r="J90" i="32" l="1"/>
  <c r="J651" i="32" l="1"/>
  <c r="J2951" i="32"/>
  <c r="J2970" i="32" s="1"/>
  <c r="J3090" i="32"/>
  <c r="J3094" i="32" s="1"/>
  <c r="J653" i="32" l="1"/>
  <c r="G2640" i="32"/>
  <c r="G2524" i="32"/>
  <c r="G2639" i="32"/>
  <c r="G2523" i="32"/>
  <c r="F91" i="21"/>
  <c r="F90" i="21"/>
  <c r="E63" i="42" l="1"/>
  <c r="E17" i="4" s="1"/>
  <c r="D63" i="42"/>
  <c r="D17" i="4" s="1"/>
  <c r="E52" i="42"/>
  <c r="E16" i="4" s="1"/>
  <c r="D52" i="42"/>
  <c r="D16" i="4" s="1"/>
  <c r="E8" i="42"/>
  <c r="D2" i="42"/>
  <c r="E68" i="41"/>
  <c r="E22" i="4" s="1"/>
  <c r="D68" i="41"/>
  <c r="D22" i="4" s="1"/>
  <c r="E57" i="41"/>
  <c r="E21" i="4" s="1"/>
  <c r="D57" i="41"/>
  <c r="D21" i="4" s="1"/>
  <c r="D14" i="41"/>
  <c r="E12" i="41"/>
  <c r="D2" i="41"/>
  <c r="E79" i="40"/>
  <c r="E12" i="4" s="1"/>
  <c r="D79" i="40"/>
  <c r="D12" i="4" s="1"/>
  <c r="E68" i="40"/>
  <c r="E11" i="4" s="1"/>
  <c r="D68" i="40"/>
  <c r="D11" i="4" s="1"/>
  <c r="D17" i="40"/>
  <c r="D2" i="40"/>
  <c r="C10" i="20"/>
  <c r="C49" i="20"/>
  <c r="F63" i="42" l="1"/>
  <c r="F57" i="41"/>
  <c r="F68" i="41"/>
  <c r="F68" i="40"/>
  <c r="F69" i="40" s="1"/>
  <c r="E17" i="40"/>
  <c r="F17" i="40" s="1"/>
  <c r="F52" i="42"/>
  <c r="F79" i="40"/>
  <c r="D81" i="40" l="1"/>
  <c r="F80" i="40"/>
  <c r="J245" i="38" l="1"/>
  <c r="J216" i="38"/>
  <c r="J213" i="38"/>
  <c r="J210" i="38"/>
  <c r="J207" i="38"/>
  <c r="J204" i="38"/>
  <c r="J201" i="38"/>
  <c r="J198" i="38"/>
  <c r="J195" i="38"/>
  <c r="J192" i="38"/>
  <c r="J189" i="38"/>
  <c r="J186" i="38"/>
  <c r="J183" i="38"/>
  <c r="J180" i="38"/>
  <c r="J177" i="38"/>
  <c r="J174" i="38"/>
  <c r="J171" i="38"/>
  <c r="J168" i="38"/>
  <c r="J165" i="38"/>
  <c r="J162" i="38"/>
  <c r="J159" i="38"/>
  <c r="J156" i="38"/>
  <c r="J153" i="38"/>
  <c r="J150" i="38"/>
  <c r="J147" i="38"/>
  <c r="J144" i="38"/>
  <c r="J141" i="38"/>
  <c r="J138" i="38"/>
  <c r="J135" i="38"/>
  <c r="J132" i="38"/>
  <c r="J129" i="38"/>
  <c r="J126" i="38"/>
  <c r="J123" i="38"/>
  <c r="J120" i="38"/>
  <c r="J117" i="38"/>
  <c r="J114" i="38"/>
  <c r="J111" i="38"/>
  <c r="J108" i="38"/>
  <c r="J105" i="38"/>
  <c r="J102" i="38"/>
  <c r="J98" i="38"/>
  <c r="J95" i="38"/>
  <c r="J92" i="38"/>
  <c r="J89" i="38"/>
  <c r="J79" i="38"/>
  <c r="J76" i="38"/>
  <c r="J72" i="38"/>
  <c r="J69" i="38"/>
  <c r="J66" i="38"/>
  <c r="J64" i="38"/>
  <c r="J61" i="38"/>
  <c r="J58" i="38"/>
  <c r="J55" i="38"/>
  <c r="J52" i="38"/>
  <c r="J49" i="38"/>
  <c r="J46" i="38"/>
  <c r="J43" i="38"/>
  <c r="J40" i="38"/>
  <c r="J37" i="38"/>
  <c r="J34" i="38"/>
  <c r="J31" i="38"/>
  <c r="J28" i="38"/>
  <c r="J25" i="38"/>
  <c r="J22" i="38"/>
  <c r="J19" i="38"/>
  <c r="J16" i="38"/>
  <c r="J13" i="38"/>
  <c r="J10" i="38"/>
  <c r="J7" i="38"/>
  <c r="J487" i="38"/>
  <c r="J490" i="38"/>
  <c r="D98" i="14"/>
  <c r="D117" i="14"/>
  <c r="D63" i="14"/>
  <c r="D61" i="14"/>
  <c r="D58" i="14"/>
  <c r="D56" i="14"/>
  <c r="D53" i="14"/>
  <c r="D50" i="14"/>
  <c r="D46" i="14"/>
  <c r="D41" i="14"/>
  <c r="D38" i="14"/>
  <c r="D36" i="14"/>
  <c r="D33" i="14"/>
  <c r="D31" i="14"/>
  <c r="D28" i="14"/>
  <c r="D22" i="14"/>
  <c r="D18" i="14"/>
  <c r="D15" i="14"/>
  <c r="D8" i="14"/>
  <c r="D65" i="14" l="1"/>
  <c r="J247" i="38"/>
  <c r="E39" i="42" s="1"/>
  <c r="E43" i="41"/>
  <c r="F100" i="21"/>
  <c r="F98" i="21"/>
  <c r="F88" i="21"/>
  <c r="F86" i="21"/>
  <c r="F79" i="21"/>
  <c r="F73" i="21"/>
  <c r="F71" i="21"/>
  <c r="F69" i="21"/>
  <c r="F67" i="21"/>
  <c r="F64" i="21"/>
  <c r="F62" i="21"/>
  <c r="F60" i="21"/>
  <c r="F52" i="21"/>
  <c r="F47" i="21"/>
  <c r="F45" i="21"/>
  <c r="F43" i="21"/>
  <c r="F40" i="21"/>
  <c r="F21" i="21"/>
  <c r="F9" i="21"/>
  <c r="F7" i="21"/>
  <c r="F104" i="21"/>
  <c r="F103" i="21"/>
  <c r="F93" i="21"/>
  <c r="F94" i="21" s="1"/>
  <c r="E70" i="41" l="1"/>
  <c r="E20" i="4"/>
  <c r="E15" i="4"/>
  <c r="E65" i="42"/>
  <c r="F101" i="21"/>
  <c r="G3151" i="32" l="1"/>
  <c r="G3150" i="32"/>
  <c r="G3149" i="32"/>
  <c r="G3148" i="32"/>
  <c r="G3147" i="32"/>
  <c r="G2051" i="32"/>
  <c r="G2050" i="32"/>
  <c r="G2049" i="32"/>
  <c r="G2048" i="32"/>
  <c r="G2047" i="32"/>
  <c r="G1499" i="32"/>
  <c r="G1498" i="32"/>
  <c r="G1497" i="32"/>
  <c r="G1496" i="32"/>
  <c r="G1495" i="32"/>
  <c r="G336" i="32"/>
  <c r="G335" i="32"/>
  <c r="G334" i="32"/>
  <c r="G333" i="32"/>
  <c r="G332" i="32"/>
  <c r="G2979" i="32"/>
  <c r="G2978" i="32"/>
  <c r="G2977" i="32"/>
  <c r="G2976" i="32"/>
  <c r="G2975" i="32"/>
  <c r="G280" i="32"/>
  <c r="G279" i="32"/>
  <c r="G278" i="32"/>
  <c r="G277" i="32"/>
  <c r="G276" i="32"/>
  <c r="G968" i="32"/>
  <c r="G967" i="32"/>
  <c r="G966" i="32"/>
  <c r="G965" i="32"/>
  <c r="G964" i="32"/>
  <c r="G909" i="32"/>
  <c r="G908" i="32"/>
  <c r="G907" i="32"/>
  <c r="G906" i="32"/>
  <c r="G905" i="32"/>
  <c r="G1929" i="32"/>
  <c r="G1928" i="32"/>
  <c r="G1927" i="32"/>
  <c r="G1926" i="32"/>
  <c r="G1925" i="32"/>
  <c r="G1924" i="32"/>
  <c r="G1923" i="32"/>
  <c r="G1922" i="32"/>
  <c r="G1921" i="32"/>
  <c r="G1920" i="32"/>
  <c r="G3208" i="32"/>
  <c r="G3207" i="32"/>
  <c r="G3206" i="32"/>
  <c r="G3205" i="32"/>
  <c r="G3204" i="32"/>
  <c r="G737" i="32"/>
  <c r="G736" i="32"/>
  <c r="G735" i="32"/>
  <c r="G734" i="32"/>
  <c r="G733" i="32"/>
  <c r="G2663" i="32"/>
  <c r="G2662" i="32"/>
  <c r="G2661" i="32"/>
  <c r="G2660" i="32"/>
  <c r="G2659" i="32"/>
  <c r="G1159" i="32"/>
  <c r="G1158" i="32"/>
  <c r="G1157" i="32"/>
  <c r="G1156" i="32"/>
  <c r="G1155" i="32"/>
  <c r="G221" i="32"/>
  <c r="G220" i="32"/>
  <c r="G219" i="32"/>
  <c r="G218" i="32"/>
  <c r="G217" i="32"/>
  <c r="G2921" i="32"/>
  <c r="G2920" i="32"/>
  <c r="G2919" i="32"/>
  <c r="G2918" i="32"/>
  <c r="G2917" i="32"/>
  <c r="G1440" i="32"/>
  <c r="G1439" i="32"/>
  <c r="G1438" i="32"/>
  <c r="G1437" i="32"/>
  <c r="G1436" i="32"/>
  <c r="G175" i="32"/>
  <c r="G174" i="32"/>
  <c r="G173" i="32"/>
  <c r="G172" i="32"/>
  <c r="G171" i="32"/>
  <c r="G2535" i="32"/>
  <c r="G2534" i="32"/>
  <c r="G2533" i="32"/>
  <c r="G2532" i="32"/>
  <c r="G2531" i="32"/>
  <c r="G3452" i="32"/>
  <c r="G3451" i="32"/>
  <c r="G3450" i="32"/>
  <c r="G3449" i="32"/>
  <c r="G3448" i="32"/>
  <c r="G10" i="32"/>
  <c r="G9" i="32"/>
  <c r="G8" i="32"/>
  <c r="G7" i="32"/>
  <c r="G6" i="32"/>
  <c r="G3146" i="32"/>
  <c r="G3145" i="32"/>
  <c r="G3144" i="32"/>
  <c r="G3143" i="32"/>
  <c r="G3142" i="32"/>
  <c r="G3263" i="32"/>
  <c r="G3262" i="32"/>
  <c r="G3261" i="32"/>
  <c r="G3260" i="32"/>
  <c r="G3259" i="32"/>
  <c r="G2775" i="32"/>
  <c r="G2774" i="32"/>
  <c r="G2773" i="32"/>
  <c r="G2772" i="32"/>
  <c r="G2771" i="32"/>
  <c r="G3100" i="32"/>
  <c r="G3099" i="32"/>
  <c r="G3098" i="32"/>
  <c r="G3097" i="32"/>
  <c r="G3096" i="32"/>
  <c r="G2144" i="32"/>
  <c r="G2143" i="32"/>
  <c r="G2142" i="32"/>
  <c r="G2141" i="32"/>
  <c r="G2140" i="32"/>
  <c r="G1824" i="32"/>
  <c r="G1823" i="32"/>
  <c r="G1822" i="32"/>
  <c r="G1821" i="32"/>
  <c r="G1820" i="32"/>
  <c r="G2247" i="32"/>
  <c r="G2246" i="32"/>
  <c r="G2245" i="32"/>
  <c r="G2244" i="32"/>
  <c r="G2243" i="32"/>
  <c r="G825" i="32"/>
  <c r="G824" i="32"/>
  <c r="G823" i="32"/>
  <c r="G822" i="32"/>
  <c r="G821" i="32"/>
  <c r="G1589" i="32"/>
  <c r="G1588" i="32"/>
  <c r="G1587" i="32"/>
  <c r="G1586" i="32"/>
  <c r="G1585" i="32"/>
  <c r="G2436" i="32"/>
  <c r="G2435" i="32"/>
  <c r="G2434" i="32"/>
  <c r="G2433" i="32"/>
  <c r="G2432" i="32"/>
  <c r="G2336" i="32"/>
  <c r="G2335" i="32"/>
  <c r="G2334" i="32"/>
  <c r="G2333" i="32"/>
  <c r="G2332" i="32"/>
  <c r="G3546" i="32"/>
  <c r="G3545" i="32"/>
  <c r="G3544" i="32"/>
  <c r="G3543" i="32"/>
  <c r="G3542" i="32"/>
  <c r="G3499" i="32"/>
  <c r="G3498" i="32"/>
  <c r="G3497" i="32"/>
  <c r="G3496" i="32"/>
  <c r="G3495" i="32"/>
  <c r="G520" i="32"/>
  <c r="G519" i="32"/>
  <c r="G518" i="32"/>
  <c r="G517" i="32"/>
  <c r="G516" i="32"/>
  <c r="G3409" i="32"/>
  <c r="G3408" i="32"/>
  <c r="G3407" i="32"/>
  <c r="G3406" i="32"/>
  <c r="G3405" i="32"/>
  <c r="G126" i="32"/>
  <c r="G125" i="32"/>
  <c r="G124" i="32"/>
  <c r="G123" i="32"/>
  <c r="G122" i="32"/>
  <c r="G3367" i="32"/>
  <c r="G3366" i="32"/>
  <c r="G3365" i="32"/>
  <c r="G3364" i="32"/>
  <c r="G3363" i="32"/>
  <c r="G453" i="32"/>
  <c r="G452" i="32"/>
  <c r="G451" i="32"/>
  <c r="G450" i="32"/>
  <c r="G449" i="32"/>
  <c r="G3044" i="32"/>
  <c r="G3043" i="32"/>
  <c r="G3042" i="32"/>
  <c r="G3041" i="32"/>
  <c r="G3040" i="32"/>
  <c r="G1362" i="32"/>
  <c r="G1361" i="32"/>
  <c r="G1360" i="32"/>
  <c r="G1359" i="32"/>
  <c r="G1358" i="32"/>
  <c r="G3320" i="32"/>
  <c r="G3319" i="32"/>
  <c r="G3318" i="32"/>
  <c r="G3317" i="32"/>
  <c r="G3316" i="32"/>
  <c r="G2864" i="32"/>
  <c r="G2863" i="32"/>
  <c r="G2862" i="32"/>
  <c r="G2861" i="32"/>
  <c r="G2860" i="32"/>
  <c r="G2658" i="32"/>
  <c r="G2657" i="32"/>
  <c r="G2656" i="32"/>
  <c r="G2655" i="32"/>
  <c r="G2654" i="32"/>
  <c r="G745" i="32" l="1"/>
  <c r="G231" i="32"/>
  <c r="G1167" i="32"/>
  <c r="G3053" i="32"/>
  <c r="G3372" i="32"/>
  <c r="G17" i="32"/>
  <c r="G2062" i="32"/>
  <c r="G346" i="32"/>
  <c r="G2930" i="32"/>
  <c r="G3459" i="32"/>
  <c r="G1449" i="32"/>
  <c r="G2991" i="32"/>
  <c r="G182" i="32"/>
  <c r="G2552" i="32"/>
  <c r="G976" i="32"/>
  <c r="G3107" i="32"/>
  <c r="G919" i="32"/>
  <c r="G1833" i="32"/>
  <c r="G3553" i="32"/>
  <c r="G2155" i="32"/>
  <c r="G2256" i="32"/>
  <c r="G833" i="32"/>
  <c r="G1597" i="32"/>
  <c r="G2450" i="32"/>
  <c r="G2346" i="32"/>
  <c r="G1508" i="32"/>
  <c r="G3327" i="32"/>
  <c r="G2872" i="32"/>
  <c r="G2787" i="32"/>
  <c r="G3416" i="32"/>
  <c r="G3270" i="32"/>
  <c r="G2551" i="32"/>
  <c r="G464" i="32"/>
  <c r="G62" i="32"/>
  <c r="G134" i="32"/>
  <c r="G1370" i="32"/>
  <c r="G2674" i="32"/>
  <c r="G3506" i="32"/>
  <c r="G531" i="32"/>
  <c r="G1943" i="32"/>
  <c r="G3217" i="32"/>
  <c r="G3362" i="32"/>
  <c r="G3315" i="32"/>
  <c r="G1273" i="32"/>
  <c r="G448" i="32"/>
  <c r="G3039" i="32"/>
  <c r="G3258" i="32"/>
  <c r="G1357" i="32"/>
  <c r="G2859" i="32"/>
  <c r="G684" i="32"/>
  <c r="G3203" i="32"/>
  <c r="G1493" i="32"/>
  <c r="G3095" i="32"/>
  <c r="G3494" i="32"/>
  <c r="G1583" i="32"/>
  <c r="G216" i="32"/>
  <c r="G2233" i="32"/>
  <c r="G2133" i="32"/>
  <c r="G2916" i="32"/>
  <c r="G387" i="32"/>
  <c r="G1435" i="32"/>
  <c r="G2972" i="32"/>
  <c r="G1153" i="32"/>
  <c r="G2526" i="32"/>
  <c r="G119" i="32"/>
  <c r="G170" i="32"/>
  <c r="G3141" i="32"/>
  <c r="G1095" i="32"/>
  <c r="G963" i="32"/>
  <c r="G3447" i="32"/>
  <c r="G900" i="32"/>
  <c r="G5" i="32"/>
  <c r="G3540" i="32"/>
  <c r="G512" i="32"/>
  <c r="G820" i="32"/>
  <c r="G729" i="32"/>
  <c r="J1021" i="32"/>
  <c r="J3462" i="32"/>
  <c r="J3492" i="32" s="1"/>
  <c r="F1789" i="32"/>
  <c r="J1033" i="32" l="1"/>
  <c r="G2634" i="32" l="1"/>
  <c r="G2219" i="32"/>
  <c r="G2314" i="32"/>
  <c r="G2313" i="32"/>
  <c r="G2158" i="32" l="1"/>
  <c r="G2157" i="32"/>
  <c r="G2156" i="32"/>
  <c r="G2528" i="32"/>
  <c r="G1904" i="32"/>
  <c r="G1903" i="32"/>
  <c r="G1166" i="32"/>
  <c r="G3552" i="32"/>
  <c r="G530" i="32"/>
  <c r="G2785" i="32"/>
  <c r="G2673" i="32"/>
  <c r="G2871" i="32"/>
  <c r="G3326" i="32"/>
  <c r="G1369" i="32"/>
  <c r="G133" i="32"/>
  <c r="G3415" i="32"/>
  <c r="G61" i="32"/>
  <c r="G2786" i="32"/>
  <c r="G16" i="32"/>
  <c r="G1448" i="32"/>
  <c r="G2990" i="32"/>
  <c r="G181" i="32"/>
  <c r="G975" i="32"/>
  <c r="G345" i="32"/>
  <c r="G2929" i="32"/>
  <c r="G2549" i="32"/>
  <c r="G918" i="32"/>
  <c r="G3458" i="32"/>
  <c r="G2059" i="32"/>
  <c r="G3106" i="32"/>
  <c r="G2154" i="32"/>
  <c r="G1832" i="32"/>
  <c r="G832" i="32"/>
  <c r="G1596" i="32"/>
  <c r="G2344" i="32"/>
  <c r="G1507" i="32"/>
  <c r="G3269" i="32"/>
  <c r="G2255" i="32"/>
  <c r="G2447" i="32"/>
  <c r="G744" i="32"/>
  <c r="G3052" i="32"/>
  <c r="G463" i="32"/>
  <c r="G1940" i="32"/>
  <c r="G3216" i="32"/>
  <c r="G3505" i="32"/>
  <c r="G230" i="32"/>
  <c r="G1816" i="32"/>
  <c r="G1815" i="32"/>
  <c r="G2425" i="32"/>
  <c r="G2424" i="32"/>
  <c r="G2226" i="32"/>
  <c r="G2225" i="32"/>
  <c r="G2323" i="32"/>
  <c r="G2322" i="32"/>
  <c r="G2527" i="32" l="1"/>
  <c r="G2758" i="32"/>
  <c r="G1898" i="32"/>
  <c r="E10" i="28" l="1"/>
  <c r="J10" i="28"/>
  <c r="J12" i="28" s="1"/>
  <c r="G9" i="28"/>
  <c r="G8" i="28"/>
  <c r="G7" i="28"/>
  <c r="F3" i="28"/>
  <c r="A3" i="14"/>
  <c r="D3" i="13"/>
  <c r="XFC7" i="28" l="1"/>
  <c r="D134" i="14" l="1"/>
  <c r="D136" i="14" s="1"/>
  <c r="D14" i="42" s="1"/>
  <c r="D39" i="42" s="1"/>
  <c r="D15" i="4" l="1"/>
  <c r="D65" i="42"/>
  <c r="F39" i="42"/>
  <c r="C15" i="13"/>
  <c r="C11" i="13"/>
  <c r="C54" i="20"/>
  <c r="C31" i="20"/>
  <c r="D54" i="20" s="1"/>
  <c r="C19" i="6"/>
  <c r="F65" i="42" l="1"/>
  <c r="F40" i="42"/>
  <c r="F2" i="38"/>
  <c r="F105" i="21" l="1"/>
  <c r="F107" i="21" s="1"/>
  <c r="D8" i="41" l="1"/>
  <c r="D43" i="41" s="1"/>
  <c r="D20" i="4" s="1"/>
  <c r="F109" i="21"/>
  <c r="D70" i="41" l="1"/>
  <c r="F43" i="41"/>
  <c r="F70" i="41" l="1"/>
  <c r="F45" i="41"/>
  <c r="F20" i="26" l="1"/>
  <c r="G3874" i="32" l="1"/>
  <c r="G3873" i="32"/>
  <c r="G3872" i="32"/>
  <c r="G3871" i="32"/>
  <c r="G3870" i="32"/>
  <c r="G3869" i="32"/>
  <c r="B2" i="37" l="1"/>
  <c r="B2" i="36"/>
  <c r="J3678" i="32" l="1"/>
  <c r="J3683" i="32" s="1"/>
  <c r="C3" i="35" l="1"/>
  <c r="E56" i="40" l="1"/>
  <c r="E10" i="4" s="1"/>
  <c r="B3" i="29"/>
  <c r="B3" i="23"/>
  <c r="B2" i="11"/>
  <c r="B2" i="18"/>
  <c r="B2" i="17"/>
  <c r="B2" i="10"/>
  <c r="E81" i="40" l="1"/>
  <c r="F56" i="40"/>
  <c r="C34" i="6"/>
  <c r="F81" i="40" l="1"/>
  <c r="F58" i="40"/>
  <c r="C19" i="13"/>
  <c r="C25" i="4" l="1"/>
  <c r="C26" i="4"/>
  <c r="C24" i="4" l="1"/>
  <c r="C19" i="4"/>
  <c r="C14" i="4"/>
  <c r="C9" i="4"/>
  <c r="C28" i="4" l="1"/>
  <c r="B3" i="7"/>
  <c r="J256" i="38" l="1"/>
  <c r="J258" i="38" s="1"/>
  <c r="D64" i="6"/>
  <c r="C7" i="13" l="1"/>
  <c r="D19" i="13" s="1"/>
  <c r="D18" i="26" l="1"/>
  <c r="D25" i="4" s="1"/>
  <c r="E18" i="26" l="1"/>
  <c r="E25" i="4" s="1"/>
  <c r="F25" i="4" s="1"/>
  <c r="F3" i="32" l="1"/>
  <c r="C7" i="27" l="1"/>
  <c r="D3" i="27"/>
  <c r="D2" i="26"/>
  <c r="D3" i="20"/>
  <c r="A3" i="16"/>
  <c r="D3" i="6"/>
  <c r="E26" i="4"/>
  <c r="D26" i="4"/>
  <c r="D24" i="4" s="1"/>
  <c r="F11" i="4"/>
  <c r="F21" i="4" l="1"/>
  <c r="D9" i="4"/>
  <c r="F22" i="4"/>
  <c r="F16" i="4"/>
  <c r="E24" i="4"/>
  <c r="F18" i="26"/>
  <c r="F17" i="4"/>
  <c r="F26" i="4"/>
  <c r="F12" i="4" l="1"/>
  <c r="F24" i="4"/>
  <c r="D14" i="4"/>
  <c r="D19" i="4" l="1"/>
  <c r="D28" i="4" s="1"/>
  <c r="E9" i="4" l="1"/>
  <c r="F10" i="4"/>
  <c r="F9" i="4" s="1"/>
  <c r="E14" i="4" l="1"/>
  <c r="F15" i="4"/>
  <c r="F14" i="4" s="1"/>
  <c r="E19" i="4" l="1"/>
  <c r="E28" i="4" s="1"/>
  <c r="F20" i="4"/>
  <c r="F19" i="4" s="1"/>
  <c r="F28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PRODESP</author>
  </authors>
  <commentList>
    <comment ref="E3" authorId="0" shapeId="0" xr:uid="{00000000-0006-0000-0300-000001000000}">
      <text>
        <r>
          <rPr>
            <sz val="10"/>
            <color indexed="81"/>
            <rFont val="Arial"/>
            <family val="2"/>
          </rPr>
          <t>Ao inserir o mês neste campo, as demais páginas são automaticamente atualizadas.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Kelly Cristine da Silva</author>
  </authors>
  <commentList>
    <comment ref="C73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Kelly Cristine da Silva:</t>
        </r>
        <r>
          <rPr>
            <sz val="9"/>
            <color indexed="81"/>
            <rFont val="Tahoma"/>
            <family val="2"/>
          </rPr>
          <t xml:space="preserve">
R$ 29.801.559,91  é o valor recebido da nd, porem transferido 23.701.559,91 para aplicação e  300 mil para conta corrente. 
53 milhoes origem transferencia da aplicação de condominio e exploração</t>
        </r>
      </text>
    </comment>
    <comment ref="C7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Kelly Cristine da Silva:</t>
        </r>
        <r>
          <rPr>
            <sz val="9"/>
            <color indexed="81"/>
            <rFont val="Tahoma"/>
            <family val="2"/>
          </rPr>
          <t xml:space="preserve">
a diferença do resgate que não entrou na conta do convênio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PRODESP</author>
  </authors>
  <commentList>
    <comment ref="B2" authorId="0" shapeId="0" xr:uid="{00000000-0006-0000-0900-000001000000}">
      <text>
        <r>
          <rPr>
            <sz val="10"/>
            <color indexed="81"/>
            <rFont val="Arial"/>
            <family val="2"/>
          </rPr>
          <t>Ao inserir o mês neste campo, as demais páginas são automaticamente atualizadas.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Kelly Cristine da Silva</author>
  </authors>
  <commentList>
    <comment ref="C10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Kelly Cristine da Silva:</t>
        </r>
        <r>
          <rPr>
            <sz val="9"/>
            <color indexed="81"/>
            <rFont val="Tahoma"/>
            <family val="2"/>
          </rPr>
          <t xml:space="preserve">
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141896</author>
  </authors>
  <commentList>
    <comment ref="D98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141896:</t>
        </r>
        <r>
          <rPr>
            <sz val="9"/>
            <color indexed="81"/>
            <rFont val="Tahoma"/>
            <family val="2"/>
          </rPr>
          <t xml:space="preserve">
R$ 423,90 que será devolvido em 06/05/16 - pgto a maior</t>
        </r>
      </text>
    </comment>
    <comment ref="D117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141896:</t>
        </r>
        <r>
          <rPr>
            <sz val="9"/>
            <color indexed="81"/>
            <rFont val="Tahoma"/>
            <family val="2"/>
          </rPr>
          <t xml:space="preserve">
R$ 376,80 que será devolvido em 06/05/16 - pgto a maior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141896</author>
  </authors>
  <commentList>
    <comment ref="C32" authorId="0" shapeId="0" xr:uid="{00000000-0006-0000-1300-000001000000}">
      <text>
        <r>
          <rPr>
            <sz val="9"/>
            <color indexed="81"/>
            <rFont val="Tahoma"/>
            <family val="2"/>
          </rPr>
          <t xml:space="preserve">ref a NF 3620 Arimapel 
</t>
        </r>
      </text>
    </comment>
    <comment ref="C33" authorId="0" shapeId="0" xr:uid="{00000000-0006-0000-1300-000002000000}">
      <text>
        <r>
          <rPr>
            <sz val="9"/>
            <color indexed="81"/>
            <rFont val="Tahoma"/>
            <family val="2"/>
          </rPr>
          <t xml:space="preserve">ref a NF 3620 Arimapel 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PRODESP</author>
  </authors>
  <commentList>
    <comment ref="C3" authorId="0" shapeId="0" xr:uid="{00000000-0006-0000-1500-000001000000}">
      <text>
        <r>
          <rPr>
            <sz val="10"/>
            <color indexed="81"/>
            <rFont val="Arial"/>
            <family val="2"/>
          </rPr>
          <t>Ao inserir o mês neste campo, as demais páginas são automaticamente atualizadas.</t>
        </r>
      </text>
    </comment>
  </commentList>
</comments>
</file>

<file path=xl/sharedStrings.xml><?xml version="1.0" encoding="utf-8"?>
<sst xmlns="http://schemas.openxmlformats.org/spreadsheetml/2006/main" count="37288" uniqueCount="7920">
  <si>
    <t xml:space="preserve">                                             PRODESP Companhia de Processamento de Dados do Estado de São Paulo</t>
  </si>
  <si>
    <t>CONVÊNIO PROGRAMA POUPATEMPO</t>
  </si>
  <si>
    <t>RELATÓRIO DE PRESTAÇÃO DE CONTAS</t>
  </si>
  <si>
    <t>ÍNDICE</t>
  </si>
  <si>
    <r>
      <t>1.</t>
    </r>
    <r>
      <rPr>
        <sz val="14"/>
        <rFont val="Arial"/>
        <family val="2"/>
      </rPr>
      <t xml:space="preserve"> Glossário...........................................................................................................................................................................................................</t>
    </r>
  </si>
  <si>
    <r>
      <t>2.</t>
    </r>
    <r>
      <rPr>
        <sz val="14"/>
        <rFont val="Arial"/>
        <family val="2"/>
      </rPr>
      <t xml:space="preserve"> Resumo Financeiro..........................................................................................................................................................................................</t>
    </r>
  </si>
  <si>
    <t>5 e 6</t>
  </si>
  <si>
    <r>
      <t>4.</t>
    </r>
    <r>
      <rPr>
        <sz val="14"/>
        <rFont val="Arial"/>
        <family val="2"/>
      </rPr>
      <t xml:space="preserve"> Transferências entre contas - Conta 9049-2 - Convênio.............................................................................................................................</t>
    </r>
  </si>
  <si>
    <r>
      <t>7.</t>
    </r>
    <r>
      <rPr>
        <sz val="14"/>
        <rFont val="Arial"/>
        <family val="2"/>
      </rPr>
      <t xml:space="preserve"> Extrato do Banco do Brasil - Conta 9049-2 - Convênio...............................................................................................................................</t>
    </r>
  </si>
  <si>
    <t>10. Demonstrativo Financeiro - Exploração Comercial / Aplicação - Conta 130004-0..........................................................................</t>
  </si>
  <si>
    <r>
      <t>11.</t>
    </r>
    <r>
      <rPr>
        <sz val="14"/>
        <rFont val="Arial"/>
        <family val="2"/>
      </rPr>
      <t xml:space="preserve"> Transferências entre contas - Conta 130004-0 - Exploração Comercial ...............................................................................................</t>
    </r>
  </si>
  <si>
    <r>
      <t>12.</t>
    </r>
    <r>
      <rPr>
        <sz val="14"/>
        <rFont val="Arial"/>
        <family val="2"/>
      </rPr>
      <t xml:space="preserve"> Recebimentos - Conta 130004-0 - Exploração Comercial.......................................................................................................................</t>
    </r>
  </si>
  <si>
    <r>
      <t>13.</t>
    </r>
    <r>
      <rPr>
        <sz val="14"/>
        <rFont val="Arial"/>
        <family val="2"/>
      </rPr>
      <t xml:space="preserve"> Pagamentos Efetuados - Conta 130004-0 - Exploração Comercial.......................................................................................................</t>
    </r>
  </si>
  <si>
    <r>
      <t>14.</t>
    </r>
    <r>
      <rPr>
        <sz val="14"/>
        <rFont val="Arial"/>
        <family val="2"/>
      </rPr>
      <t xml:space="preserve"> Extrato do Banco do Brasil - Conta 130004-0 - Exploração Comercial..................................................................................................</t>
    </r>
  </si>
  <si>
    <t>17. Demonstrativo Financeiro - Condomínio / Aplicação - Conta 10-8.................................................................................................</t>
  </si>
  <si>
    <r>
      <t xml:space="preserve">18. </t>
    </r>
    <r>
      <rPr>
        <sz val="14"/>
        <rFont val="Arial"/>
        <family val="2"/>
      </rPr>
      <t>Transferências entre contas - Conta 10-8 - Condomínio...........................................................................................................................</t>
    </r>
  </si>
  <si>
    <r>
      <t>19.</t>
    </r>
    <r>
      <rPr>
        <sz val="14"/>
        <rFont val="Arial"/>
        <family val="2"/>
      </rPr>
      <t xml:space="preserve"> Recebimentos - Conta 10-8 - Condomínio..................................................................................................................................................</t>
    </r>
  </si>
  <si>
    <r>
      <t>20.</t>
    </r>
    <r>
      <rPr>
        <sz val="14"/>
        <rFont val="Arial"/>
        <family val="2"/>
      </rPr>
      <t xml:space="preserve"> Pagamentos Efetuados -  Conta 10-8 - Condomínio.................................................................................................................................</t>
    </r>
  </si>
  <si>
    <r>
      <t>21.</t>
    </r>
    <r>
      <rPr>
        <sz val="14"/>
        <rFont val="Arial"/>
        <family val="2"/>
      </rPr>
      <t xml:space="preserve"> Extrato do Banco do Brasil - Conta 10-8 - Condomínio.............................................................................................................................</t>
    </r>
  </si>
  <si>
    <t>24. Demonstrativo Financeiro - Gastos Extras / Aplicação - Conta 9050-6............................................................................................</t>
  </si>
  <si>
    <r>
      <t xml:space="preserve">25. </t>
    </r>
    <r>
      <rPr>
        <sz val="14"/>
        <rFont val="Arial"/>
        <family val="2"/>
      </rPr>
      <t>Transferências entre contas - Conta 9050-6 - Gastos Extras...................................................................................................................</t>
    </r>
  </si>
  <si>
    <r>
      <t>26.</t>
    </r>
    <r>
      <rPr>
        <sz val="14"/>
        <rFont val="Arial"/>
        <family val="2"/>
      </rPr>
      <t xml:space="preserve"> Pagamentos Efetuados - Conta 9050-6 - Gastos Extras..........................................................................................................................</t>
    </r>
  </si>
  <si>
    <r>
      <t>27.</t>
    </r>
    <r>
      <rPr>
        <sz val="14"/>
        <rFont val="Arial"/>
        <family val="2"/>
      </rPr>
      <t xml:space="preserve"> Extrato do Banco do Brasil - Conta 9050-6 - Gastos Extras.....................................................................................................................</t>
    </r>
  </si>
  <si>
    <t>GLOSSÁRIO DE TERMOS CONSTANTES DA RELAÇÃO 
DE PAGAMENTOS EFETUADOS</t>
  </si>
  <si>
    <r>
      <t>DIVULGAÇÃO</t>
    </r>
    <r>
      <rPr>
        <sz val="11"/>
        <rFont val="Arial"/>
        <family val="2"/>
      </rPr>
      <t>: Serviços de publicidade, comunicação e marketing para atendimento do Programa Poupatempo. Exemplos: material diverso de divulgação (folhetos, encartes, camisetas, etc.), campanhas publicitárias em veículos de comunicação, etc</t>
    </r>
  </si>
  <si>
    <r>
      <t>FUNDO FIXO</t>
    </r>
    <r>
      <rPr>
        <sz val="11"/>
        <rFont val="Arial"/>
        <family val="2"/>
      </rPr>
      <t xml:space="preserve">:  São despesas realizadas através de valores colocados à disposição dos postos Poupatempo para cobertura de despesas de pequeno valor,  de caráter emergencial e não rotineiro, cujos pagamentos devam ser efetuados à vista. O numerário é colocado à disposição dos postos sob a forma de "conta corrente bancária" do tipo "E" (solidária entre si), uma para cada Fundo Fixo existente, em nome de dois ou três titulares que terão poderes para movimentá-la, dois a dois. De acordo com a norma para utilização do Fundo Fixo estabelecida pela Prodesp, são permitidos os pagamentos dos seguintes tipos de despesas: reembolsos de condução, estacionamento e refeições; compras de bens e serviços cujo valor não ultrapasse 6% do limite legal para compra direta; compras de periféricos e componentes de informática cujo valor não ultrapasse       0,5% do limite legal para compra direta. É vetada a utilização do Fundo Fixo para aquisição de bens e serviços cobertos por contratos ou em caráter não emergencial; materiais de estoque; sistemas, programa produto, computadores e serviços de informática. Qualquer aquisição deve estar devidamente justificada e acompanhada de </t>
    </r>
  </si>
  <si>
    <t>pesquisa de mercado com, no mínimo, três fornecedores. Todas as despesa realizadas devem estar devidamente  autorizadas pelo gerente responsável pelo posto. A reposição do numerário gasto somente é efetuada pela Divisão Financeira da Prodesp mediante a apresentação, por parte dos titulares, da prestação de contas do Fundo Fixo acompanhado de todos os documentos comprobatórios corretamente preenchidos, justificados e assinados.</t>
  </si>
  <si>
    <r>
      <t>MATERIAL DE ALMOXARIFADO</t>
    </r>
    <r>
      <rPr>
        <sz val="11"/>
        <rFont val="Arial"/>
        <family val="2"/>
      </rPr>
      <t>: - Trata-se de material de utilização comum na empresa, adquirido e estocado pela PRODESP e distribuido aos postos Poupatempo conforme solicitação dos gestores. O valor unitário de cada material corresponde ao custo médio de aquisição. Mensalmente é apurada relação das saídas de materiais destinadas aos postos, que é incorporada ao relatório de prestação de contas do Convênio e Condomínio Poupatempo.</t>
    </r>
  </si>
  <si>
    <r>
      <t>PUBLICAÇÕES LEGAIS</t>
    </r>
    <r>
      <rPr>
        <sz val="11"/>
        <rFont val="Arial"/>
        <family val="2"/>
      </rPr>
      <t>: Serviços de veiculação de publicidade legal dos atos de interesse do Programa Poupatempo, nos respectivos cadernos do "Diário Oficial do Estado". Exemplos: avisos de licitações, avisos de inexibilidade de licitação, avisos de homologação, comunicados de retificação e prorrogação de contratos, avisos de prorrogação de chamamentos públicos, editais de procura de imóvel, relação de extratos de contratos e de pedidos de compra, atas de registro de preços, comunicados de suspensão, etc.</t>
    </r>
  </si>
  <si>
    <t xml:space="preserve">                              RESUMO FINANCEIRO   -</t>
  </si>
  <si>
    <t>(valores em Reais)</t>
  </si>
  <si>
    <t>DESCRIÇÃO</t>
  </si>
  <si>
    <t>CRÉDITO</t>
  </si>
  <si>
    <t>DÉBITO</t>
  </si>
  <si>
    <t xml:space="preserve">4.1   CONTA 9050-6 - GASTOS EXTRAS </t>
  </si>
  <si>
    <t>4.2   CONTA 9050-6 - APLICAÇÃO</t>
  </si>
  <si>
    <t>TOTAL GERAL</t>
  </si>
  <si>
    <t xml:space="preserve">                                               DEMONSTRATIVO FINANCEIRO</t>
  </si>
  <si>
    <t xml:space="preserve">                          1. CONVÊNIO    -    </t>
  </si>
  <si>
    <t>1.1</t>
  </si>
  <si>
    <t>CONTA 9049-2 - CONVÊNIO</t>
  </si>
  <si>
    <t>Entradas</t>
  </si>
  <si>
    <t>Saidas</t>
  </si>
  <si>
    <t>Saldo</t>
  </si>
  <si>
    <t xml:space="preserve">a) </t>
  </si>
  <si>
    <t>Saldo Anterior</t>
  </si>
  <si>
    <t>b)</t>
  </si>
  <si>
    <t>c)</t>
  </si>
  <si>
    <t>Resgate de Aplicação Financeira</t>
  </si>
  <si>
    <t>d)</t>
  </si>
  <si>
    <t>Aplicação Financeira</t>
  </si>
  <si>
    <t>e)</t>
  </si>
  <si>
    <t>Comprovação de Gastos - Pagamentos Efetuados Convênio Nota de Débito -  Anexo II</t>
  </si>
  <si>
    <t>f)</t>
  </si>
  <si>
    <t>g)</t>
  </si>
  <si>
    <t>Da Conta Movimento Prodesp</t>
  </si>
  <si>
    <t>Da Conta Condomínio</t>
  </si>
  <si>
    <t>h)</t>
  </si>
  <si>
    <t>Para Conta Movimento Prodesp</t>
  </si>
  <si>
    <t>i)</t>
  </si>
  <si>
    <t>j)</t>
  </si>
  <si>
    <t>Para Conta Exploração Comercial</t>
  </si>
  <si>
    <t>TOTAL (A)</t>
  </si>
  <si>
    <t>1.2</t>
  </si>
  <si>
    <t xml:space="preserve">b) </t>
  </si>
  <si>
    <t>Aplicação</t>
  </si>
  <si>
    <t xml:space="preserve">c) </t>
  </si>
  <si>
    <t xml:space="preserve">Resgate </t>
  </si>
  <si>
    <t>Rendimento Bruto</t>
  </si>
  <si>
    <t>TOTAL (B)</t>
  </si>
  <si>
    <t>1.3</t>
  </si>
  <si>
    <t>Resgate</t>
  </si>
  <si>
    <t>Rendimento Líquido</t>
  </si>
  <si>
    <t>TOTAL (C)</t>
  </si>
  <si>
    <t xml:space="preserve">         TRANSFERÊNCIAS ENTRE CONTAS</t>
  </si>
  <si>
    <t>CONTA 9049-2  -  CONVÊNIO</t>
  </si>
  <si>
    <t>CONTA
DÉBITO</t>
  </si>
  <si>
    <t>CONTA
CRÉDITO</t>
  </si>
  <si>
    <t xml:space="preserve">
VALOR</t>
  </si>
  <si>
    <t xml:space="preserve">Convênio </t>
  </si>
  <si>
    <t>Movimento Prodesp</t>
  </si>
  <si>
    <t>TOTAL</t>
  </si>
  <si>
    <t>Condomínio</t>
  </si>
  <si>
    <t>Exploração Comercial</t>
  </si>
  <si>
    <t xml:space="preserve"> (*) Na análise do mês em referência, quando identificados gastos ou recebimentos realizados em conta indevida,  estes são indicados na planilha como "transferência a ser efetuada" visto que a regularização ocorrerá no mês subsequente.</t>
  </si>
  <si>
    <t xml:space="preserve">                      ANEXO I</t>
  </si>
  <si>
    <t>UNIDADE</t>
  </si>
  <si>
    <t>BAURU</t>
  </si>
  <si>
    <t>BOTUCATU</t>
  </si>
  <si>
    <t>CAMPINAS CENTRO</t>
  </si>
  <si>
    <t>CAMPINAS SHOPPING</t>
  </si>
  <si>
    <t>CIDADE ADEMAR</t>
  </si>
  <si>
    <t>COTIA</t>
  </si>
  <si>
    <t>DIADEMA</t>
  </si>
  <si>
    <t>GUARULHOS</t>
  </si>
  <si>
    <t>ITAQUAQUECETUBA</t>
  </si>
  <si>
    <t>ITAQUERA</t>
  </si>
  <si>
    <t>LAPA</t>
  </si>
  <si>
    <t>OSASCO</t>
  </si>
  <si>
    <t>PIRACICABA</t>
  </si>
  <si>
    <t>RIBEIRÃO PRETO</t>
  </si>
  <si>
    <t>SANTO AMARO</t>
  </si>
  <si>
    <t>SANTOS</t>
  </si>
  <si>
    <t>SÃO BERNARDO DO CAMPO</t>
  </si>
  <si>
    <t>SÃO JOSÉ DOS CAMPOS</t>
  </si>
  <si>
    <t>SÃO JOSÉ DO RIO PRETO</t>
  </si>
  <si>
    <t>SÉ</t>
  </si>
  <si>
    <t>SUZANO</t>
  </si>
  <si>
    <t>TABOÃO DA SERRA</t>
  </si>
  <si>
    <t>página 10</t>
  </si>
  <si>
    <t>TAUBATÉ</t>
  </si>
  <si>
    <t>ANEXO II</t>
  </si>
  <si>
    <t>PAGAMENTOS EFETUADOS - CONVÊNIO</t>
  </si>
  <si>
    <t>Código
"NV"</t>
  </si>
  <si>
    <t>Fornecedor</t>
  </si>
  <si>
    <t>Descrição Conta</t>
  </si>
  <si>
    <t>Documento</t>
  </si>
  <si>
    <t>Referência</t>
  </si>
  <si>
    <t>Data do
Pagamento</t>
  </si>
  <si>
    <t>Valor Pago</t>
  </si>
  <si>
    <t>BANCO DO BRASIL S/A</t>
  </si>
  <si>
    <t>Despesas Bancárias</t>
  </si>
  <si>
    <t>Extrato bancário</t>
  </si>
  <si>
    <t>TOTAL POUPATEMPO  ITAQUERA</t>
  </si>
  <si>
    <t>TOTAL POUPATEMPO TAUBATÉ</t>
  </si>
  <si>
    <t>TOTAL POUPATEMPO JUNDIAÍ</t>
  </si>
  <si>
    <t>TOTAL POUPATEMPO PIRACICABA</t>
  </si>
  <si>
    <t>TOTAL POUPATEMPO PRESIDENTE PRUDENTE</t>
  </si>
  <si>
    <t>TOTAL POUPATEMPO MARÍLIA</t>
  </si>
  <si>
    <t>TOTAL POUPATEMPO ARAÇATUBA</t>
  </si>
  <si>
    <t>TOTAL POUPATEMPO RIO CLARO</t>
  </si>
  <si>
    <t>TOTAL POUPATEMPO CIDADE ADEMAR</t>
  </si>
  <si>
    <t>TOTAL POUPATEMPO TATUÍ</t>
  </si>
  <si>
    <t>TOTAL POUPATEMPO BOTUCATU</t>
  </si>
  <si>
    <t>TOTAL GERAL -  PRESTAÇÃO DE SERVIÇOS</t>
  </si>
  <si>
    <t xml:space="preserve">                                       EXTRATO DO BANCO DO BRASIL</t>
  </si>
  <si>
    <t xml:space="preserve">CONTA 9049-2   -   CONVÊNIO   - </t>
  </si>
  <si>
    <t xml:space="preserve">                         DEMONSTRATIVO FINANCEIRO</t>
  </si>
  <si>
    <t>2. EXPLORAÇÃO COMERCIAL  -</t>
  </si>
  <si>
    <t>2.1</t>
  </si>
  <si>
    <t>CONTA 130004-0 - EXPLORAÇÃO COMERCIAL</t>
  </si>
  <si>
    <t>Comprovação de Gastos - Pagamentos Efetuados Exploração Comercial - Anexo II</t>
  </si>
  <si>
    <t>Recebimentos c/ Exploração Comercial (Aluguéis/Ações de Marketing/outros) - Anexo I</t>
  </si>
  <si>
    <t>Para Conta Convênio</t>
  </si>
  <si>
    <t>Da Conta Convênio</t>
  </si>
  <si>
    <t>k)</t>
  </si>
  <si>
    <t>2.2</t>
  </si>
  <si>
    <t>a)</t>
  </si>
  <si>
    <t>Imposto de Renda</t>
  </si>
  <si>
    <t>2.3</t>
  </si>
  <si>
    <t>TOTAL (D = A + B + C)</t>
  </si>
  <si>
    <t>TRANSFERÊNCIAS ENTRE CONTAS</t>
  </si>
  <si>
    <t xml:space="preserve">            CONTA 130004-0  -  EXPLORAÇÃO COMERCIAL</t>
  </si>
  <si>
    <t>ANEXO I</t>
  </si>
  <si>
    <t>POSTO</t>
  </si>
  <si>
    <t>ENTIDADE</t>
  </si>
  <si>
    <t>DATA DO 
PAGAMENTO</t>
  </si>
  <si>
    <t>VALOR PAGO</t>
  </si>
  <si>
    <t>OBSERVAÇÃO</t>
  </si>
  <si>
    <t>TOTAL POUPATEMPO BAURU</t>
  </si>
  <si>
    <t>TOTAL POUPATEMPO CAMPINAS CENTRO</t>
  </si>
  <si>
    <t>TOTAL POUPATEMPO CAMPINAS SHOPPING</t>
  </si>
  <si>
    <t>TOTAL POUPATEMPO GUARULHOS</t>
  </si>
  <si>
    <t>TOTAL POUPATEMPO ITAQUERA</t>
  </si>
  <si>
    <t>TOTAL POUPATEMPO LUZ</t>
  </si>
  <si>
    <t>TOTAL POUPATEMPO OSASCO</t>
  </si>
  <si>
    <t>TOTAL POUPATEMPO RIBEIRÃO PRETO</t>
  </si>
  <si>
    <t>TOTAL POUPATEMPO SANTO AMARO</t>
  </si>
  <si>
    <t>TOTAL POUPATEMPO SANTOS</t>
  </si>
  <si>
    <t>TOTAL POUPATEMPO SÃO BERNARDO DO CAMPO</t>
  </si>
  <si>
    <t>TOTAL POUPATEMPO SÃO JOSÉ DO RIO PRETO</t>
  </si>
  <si>
    <t>TOTAL POUPATEMPO SÃO JOSÉ DOS CAMPOS</t>
  </si>
  <si>
    <t>TOTAL POUPATEMPO SÉ</t>
  </si>
  <si>
    <t>TOTAL DE ALUGUÉIS</t>
  </si>
  <si>
    <t>TOTAL DE EXAMES MÉDICOS</t>
  </si>
  <si>
    <t>PAGAMENTOS EFETUADOS - EXPLORAÇÃO COMERCIAL</t>
  </si>
  <si>
    <t>Código
"IN"</t>
  </si>
  <si>
    <t>IN000951</t>
  </si>
  <si>
    <t>IN000952</t>
  </si>
  <si>
    <t>IN000953</t>
  </si>
  <si>
    <t>IN000954</t>
  </si>
  <si>
    <t>IN000955</t>
  </si>
  <si>
    <t>IN000956</t>
  </si>
  <si>
    <t>IN000957</t>
  </si>
  <si>
    <t>IN000958</t>
  </si>
  <si>
    <t>TOTAL POUPATEMPO CARAGUATATUBA</t>
  </si>
  <si>
    <t>IN000959</t>
  </si>
  <si>
    <t>TOTAL POUPATEMPO SÃO CARLOS</t>
  </si>
  <si>
    <t>IN000960</t>
  </si>
  <si>
    <t>TOTAL POUPATEMPO ARARAQUARA</t>
  </si>
  <si>
    <t>IN000961</t>
  </si>
  <si>
    <t>TOTAL POUPATEMPO FRANCA</t>
  </si>
  <si>
    <t>IN000962</t>
  </si>
  <si>
    <t>TOTAL POUPATEMPO LAPA</t>
  </si>
  <si>
    <t>IN000963</t>
  </si>
  <si>
    <t>TOTAL POUPATEMPO SOROCABA</t>
  </si>
  <si>
    <t>IN000964</t>
  </si>
  <si>
    <t>TOTAL POUPATEMPO MOGI DAS CRUZES</t>
  </si>
  <si>
    <t>IN000975</t>
  </si>
  <si>
    <t>IN001154</t>
  </si>
  <si>
    <t>IN001170</t>
  </si>
  <si>
    <t>IN001171</t>
  </si>
  <si>
    <t>IN001182</t>
  </si>
  <si>
    <t>IN001271</t>
  </si>
  <si>
    <t>01-112120801030-000-062501000001-1-IN001333-000000000-0-0-0</t>
  </si>
  <si>
    <t>IN001333</t>
  </si>
  <si>
    <t>TOTAL POUPATEMPO SUPERINTENDÊNCIA</t>
  </si>
  <si>
    <t>IN001334</t>
  </si>
  <si>
    <t>IN001335</t>
  </si>
  <si>
    <t>IN001336</t>
  </si>
  <si>
    <t>IN001337</t>
  </si>
  <si>
    <t>IN001338</t>
  </si>
  <si>
    <t>IN001339</t>
  </si>
  <si>
    <t>IN001340</t>
  </si>
  <si>
    <t>IN001341</t>
  </si>
  <si>
    <t>IN001342</t>
  </si>
  <si>
    <t>IN001343</t>
  </si>
  <si>
    <t>IN002951</t>
  </si>
  <si>
    <t>TOTAL POUPATEMPO SUZANO</t>
  </si>
  <si>
    <t>IN003951</t>
  </si>
  <si>
    <t>IN003952</t>
  </si>
  <si>
    <t>IN003953</t>
  </si>
  <si>
    <t>IN003954</t>
  </si>
  <si>
    <t>IN003955</t>
  </si>
  <si>
    <t>IN003957</t>
  </si>
  <si>
    <t>IN003958</t>
  </si>
  <si>
    <t>IN003959</t>
  </si>
  <si>
    <t>IN003960</t>
  </si>
  <si>
    <t>IN003961</t>
  </si>
  <si>
    <t>IN003962</t>
  </si>
  <si>
    <t>IN003963</t>
  </si>
  <si>
    <t>IN003964</t>
  </si>
  <si>
    <t>IN003965</t>
  </si>
  <si>
    <t>IN003966</t>
  </si>
  <si>
    <t>IN003967</t>
  </si>
  <si>
    <t>IN003970</t>
  </si>
  <si>
    <t>IN003971</t>
  </si>
  <si>
    <t>IN003972</t>
  </si>
  <si>
    <t>IN003973</t>
  </si>
  <si>
    <t>IN003974</t>
  </si>
  <si>
    <t>IN003975</t>
  </si>
  <si>
    <t>IN003977</t>
  </si>
  <si>
    <t>IN003978</t>
  </si>
  <si>
    <t>IN003979</t>
  </si>
  <si>
    <t>IN003980</t>
  </si>
  <si>
    <t>IN003983</t>
  </si>
  <si>
    <t>IN003984</t>
  </si>
  <si>
    <t>IN003986</t>
  </si>
  <si>
    <t>IN004956</t>
  </si>
  <si>
    <t>IN004958</t>
  </si>
  <si>
    <t>IN007251</t>
  </si>
  <si>
    <t>Gastos do Poupatempo 2ª Geração,  SP Serviços, Agendamento Universal e Poupafila</t>
  </si>
  <si>
    <t>IN003976</t>
  </si>
  <si>
    <t xml:space="preserve">                          3. CONDOMÍNIO    -    </t>
  </si>
  <si>
    <t>3.1</t>
  </si>
  <si>
    <t>CONTA 10-8 - CONDOMÍNIO</t>
  </si>
  <si>
    <t>Recebimentos Condomínio Postos Poupatempo - Anexo I</t>
  </si>
  <si>
    <t>Comprovação de Gastos - Pagamentos Efetuados Condomínio -  Anexo II</t>
  </si>
  <si>
    <t/>
  </si>
  <si>
    <t>3.2</t>
  </si>
  <si>
    <t>3.3</t>
  </si>
  <si>
    <t>NOTA
DE
DÉBITO</t>
  </si>
  <si>
    <t>DATA
DA
 EMISSÃO</t>
  </si>
  <si>
    <t>DATA
DO
PAGAMENTO</t>
  </si>
  <si>
    <t>VALOR
 PAGO</t>
  </si>
  <si>
    <t>PAGAMENTOS EFETUADOS - CONDOMÍNIO</t>
  </si>
  <si>
    <t>Código
"CD"</t>
  </si>
  <si>
    <t>CD000971</t>
  </si>
  <si>
    <t>CD000972</t>
  </si>
  <si>
    <t>CD000976</t>
  </si>
  <si>
    <t>CD000977</t>
  </si>
  <si>
    <t>CD000978</t>
  </si>
  <si>
    <t>CD000979</t>
  </si>
  <si>
    <t>CD000980</t>
  </si>
  <si>
    <t>CD000981</t>
  </si>
  <si>
    <t>CD000982</t>
  </si>
  <si>
    <t>CD000983</t>
  </si>
  <si>
    <t>CD000984</t>
  </si>
  <si>
    <t>CD000985</t>
  </si>
  <si>
    <t>CD001137</t>
  </si>
  <si>
    <t>CD001138</t>
  </si>
  <si>
    <t>CD001172</t>
  </si>
  <si>
    <t>CD001173</t>
  </si>
  <si>
    <t>CD001313</t>
  </si>
  <si>
    <t>01-112120801030-000-062501000001-1-CD001313-000000000-0-0-0</t>
  </si>
  <si>
    <t>CD001314</t>
  </si>
  <si>
    <t>CD001315</t>
  </si>
  <si>
    <t>CD001316</t>
  </si>
  <si>
    <t>CD001317</t>
  </si>
  <si>
    <t>CD001318</t>
  </si>
  <si>
    <t>CD001319</t>
  </si>
  <si>
    <t>CD001320</t>
  </si>
  <si>
    <t>CD001321</t>
  </si>
  <si>
    <t>CD001322</t>
  </si>
  <si>
    <t>CD001323</t>
  </si>
  <si>
    <t>CD001332</t>
  </si>
  <si>
    <t>CD002951</t>
  </si>
  <si>
    <t>CD003956</t>
  </si>
  <si>
    <t>CD003976</t>
  </si>
  <si>
    <t>CD003981</t>
  </si>
  <si>
    <t>CD003983</t>
  </si>
  <si>
    <t>CD004953</t>
  </si>
  <si>
    <t>CD004958</t>
  </si>
  <si>
    <t>CD004960</t>
  </si>
  <si>
    <t>CD007250</t>
  </si>
  <si>
    <t>CD000973</t>
  </si>
  <si>
    <t>CD000974</t>
  </si>
  <si>
    <t>CD001139</t>
  </si>
  <si>
    <t>CD001324</t>
  </si>
  <si>
    <t>CD001326</t>
  </si>
  <si>
    <t>CD001328</t>
  </si>
  <si>
    <t>CD001329</t>
  </si>
  <si>
    <t>CD001330</t>
  </si>
  <si>
    <t>CD001331</t>
  </si>
  <si>
    <t>CD002952</t>
  </si>
  <si>
    <t>TOTAL POUPATEMPO SANTO ANDRÉ</t>
  </si>
  <si>
    <t>CD003951</t>
  </si>
  <si>
    <t>CD003952</t>
  </si>
  <si>
    <t>CD003954</t>
  </si>
  <si>
    <t>CD003955</t>
  </si>
  <si>
    <t>CD003957</t>
  </si>
  <si>
    <t>CD003958</t>
  </si>
  <si>
    <t>CD003959</t>
  </si>
  <si>
    <t>CD003960</t>
  </si>
  <si>
    <t>CD003961</t>
  </si>
  <si>
    <t>CD003962</t>
  </si>
  <si>
    <t>CD003963</t>
  </si>
  <si>
    <t>CD003964</t>
  </si>
  <si>
    <t>CD003965</t>
  </si>
  <si>
    <t>CD003966</t>
  </si>
  <si>
    <t>CD003967</t>
  </si>
  <si>
    <t>CD003970</t>
  </si>
  <si>
    <t>CD003971</t>
  </si>
  <si>
    <t>CD003972</t>
  </si>
  <si>
    <t>CD003973</t>
  </si>
  <si>
    <t>CD003974</t>
  </si>
  <si>
    <t>CD003975</t>
  </si>
  <si>
    <t>CD003977</t>
  </si>
  <si>
    <t>CD003978</t>
  </si>
  <si>
    <t>CD003980</t>
  </si>
  <si>
    <t>CD003984</t>
  </si>
  <si>
    <t>CD004120</t>
  </si>
  <si>
    <t>CD004951</t>
  </si>
  <si>
    <t>CD004952</t>
  </si>
  <si>
    <t>CD004954</t>
  </si>
  <si>
    <t>CD004955</t>
  </si>
  <si>
    <t>CD004956</t>
  </si>
  <si>
    <t>CD004959</t>
  </si>
  <si>
    <t>CD004962</t>
  </si>
  <si>
    <t>4. GASTOS EXTRAS  -</t>
  </si>
  <si>
    <t>4.1</t>
  </si>
  <si>
    <t>CONTA 9050-6 - GASTOS EXTRAS</t>
  </si>
  <si>
    <t>Comprovação de Gastos - Pagamentos Efetuados Gastos Extras-Anexo II</t>
  </si>
  <si>
    <t>4.2</t>
  </si>
  <si>
    <t>CONTA 9050-6 - APLICAÇÃO</t>
  </si>
  <si>
    <t xml:space="preserve">  </t>
  </si>
  <si>
    <t xml:space="preserve">   TRANSFERÊNCIAS ENTRE CONTAS</t>
  </si>
  <si>
    <t xml:space="preserve">        CONTA 9050-6  -  GASTOS EXTRAS</t>
  </si>
  <si>
    <t>PAGAMENTOS EFETUADOS - GASTOS EXTRAS</t>
  </si>
  <si>
    <t>IN004960</t>
  </si>
  <si>
    <t>GE002956</t>
  </si>
  <si>
    <t>IN002952</t>
  </si>
  <si>
    <t>01-112120801030-000-062501000001-1-GE002951-000000000-0-0-0</t>
  </si>
  <si>
    <t>GE002951</t>
  </si>
  <si>
    <t>GE002952</t>
  </si>
  <si>
    <t>GE002953</t>
  </si>
  <si>
    <t>GE002954</t>
  </si>
  <si>
    <t>GE002955</t>
  </si>
  <si>
    <t>GE002957</t>
  </si>
  <si>
    <t>GE002958</t>
  </si>
  <si>
    <t>GE002959</t>
  </si>
  <si>
    <t>GE002960</t>
  </si>
  <si>
    <t>GE002961</t>
  </si>
  <si>
    <t>GE002969</t>
  </si>
  <si>
    <t>GE002970</t>
  </si>
  <si>
    <t>GE002971</t>
  </si>
  <si>
    <t>GE002972</t>
  </si>
  <si>
    <t>GE002973</t>
  </si>
  <si>
    <t>GE002974</t>
  </si>
  <si>
    <t>GE002975</t>
  </si>
  <si>
    <t>GE002976</t>
  </si>
  <si>
    <t>GE002977</t>
  </si>
  <si>
    <t>GE002978</t>
  </si>
  <si>
    <t>GE002979</t>
  </si>
  <si>
    <t>GE002980</t>
  </si>
  <si>
    <t>GE002981</t>
  </si>
  <si>
    <t>GE002982</t>
  </si>
  <si>
    <t>GE002983</t>
  </si>
  <si>
    <t>GE002984</t>
  </si>
  <si>
    <t>GE002985</t>
  </si>
  <si>
    <t>GE002986</t>
  </si>
  <si>
    <t>GE002987</t>
  </si>
  <si>
    <t>GE002988</t>
  </si>
  <si>
    <t>GE002989</t>
  </si>
  <si>
    <t>GE002990</t>
  </si>
  <si>
    <t>Outras Despesas Antecipadas</t>
  </si>
  <si>
    <t>CD004957</t>
  </si>
  <si>
    <t>(*) TRANSFERÊNCIAS REFERENTES A GASTOS DO CONDOMÍNIO PAGOS PELA CONTA CONVÊNIO</t>
  </si>
  <si>
    <t>(*) TRANSFERÊNCIAS REFERENTES A GASTOS DA EXPLORAÇÃO COMERCIAL PAGOS PELA CONTA MOVIMENTO PRODESP</t>
  </si>
  <si>
    <t xml:space="preserve">(*) TRANSFERÊNCIAS REFERENTES A GASTOS DO CONDOMÍNIO PAGOS PELA CONTA MOVIMENTO PRODESP </t>
  </si>
  <si>
    <t>DES00001
IN005951</t>
  </si>
  <si>
    <t>(*) TRANSFERÊNCIAS REFERENTES A GASTOS DA PRODESP PAGOS PELA CONTA CONDOMÍNIO</t>
  </si>
  <si>
    <t>VALOR</t>
  </si>
  <si>
    <r>
      <t>23.</t>
    </r>
    <r>
      <rPr>
        <sz val="14"/>
        <rFont val="Arial"/>
        <family val="2"/>
      </rPr>
      <t xml:space="preserve"> Extrato do SIAFEM - UG 513192 - Aplicação............................................................................................................................................</t>
    </r>
  </si>
  <si>
    <t>Ar Condicionado</t>
  </si>
  <si>
    <t>ECMICRO COMERCIO E INFORMÁTICA LTDA EPP</t>
  </si>
  <si>
    <t>Serviços de Infra-Estrutura</t>
  </si>
  <si>
    <t>IS SERVIÇOS INTEGRADOS LTDA-ME</t>
  </si>
  <si>
    <t>HIGIENIX HIGIENIZAÇÃO E SERVIÇOS</t>
  </si>
  <si>
    <t>LYNCRA LIMPEZA E SERVIÇOS GERAIS LTDA</t>
  </si>
  <si>
    <t>PREF SÃO BERNARDO DO CAMPO - PREFEITURA DO MUNICÍPIO DE SÃO BERNARDO DO CAMPO</t>
  </si>
  <si>
    <t>PREF GUARULHOS - PREFEITURA MUNICIPAL DE GUARULHOS</t>
  </si>
  <si>
    <t>F CORDEIRO CONSTRUTORA EIRELI - EPP</t>
  </si>
  <si>
    <t>ILIDIO SAN MARTIN MACHADO</t>
  </si>
  <si>
    <t>PRODESP - FUNDO FIXO</t>
  </si>
  <si>
    <t>SIMONE TOMOYOSSE</t>
  </si>
  <si>
    <t>ANDREA TASSIN</t>
  </si>
  <si>
    <t>ALEXANDRE ANTONIO RAMOS DA SILVA</t>
  </si>
  <si>
    <t>ANTONIO CARLOS MARQUES RODRIGUES</t>
  </si>
  <si>
    <t>CANDIDA R SCHWENCH</t>
  </si>
  <si>
    <t>MARIO MILANELLO</t>
  </si>
  <si>
    <t>ELIZABETE HELENA VIANA</t>
  </si>
  <si>
    <t>Serviço Médico</t>
  </si>
  <si>
    <t>6234 P.1</t>
  </si>
  <si>
    <t>MEDICAL ONE EQUIPAMENTOS MÉDICOS LTDA</t>
  </si>
  <si>
    <t>1308 P.1</t>
  </si>
  <si>
    <t>Diversos Fornecedores a Pagar / Em atestação</t>
  </si>
  <si>
    <t>1312 P.1</t>
  </si>
  <si>
    <t>Reparos e Consertos Equip. Operacionais</t>
  </si>
  <si>
    <t>Serviço de Informações Poupatempo</t>
  </si>
  <si>
    <t>NOVA GERACAO COMERCIAL ELETRICA LTDA</t>
  </si>
  <si>
    <t>Mat. e Serv. Adap. Imóveis e Instalações (Contratos/esporádicos)</t>
  </si>
  <si>
    <t>Outros</t>
  </si>
  <si>
    <t>Combustíveis p/Equips Não Operacionais</t>
  </si>
  <si>
    <t>Limpeza e Conservação</t>
  </si>
  <si>
    <t>Material de Escritório</t>
  </si>
  <si>
    <t>NOVA LIMP  COM. DE EMB. E DESCARTÁVEIS LTDA</t>
  </si>
  <si>
    <t>6283 P.1</t>
  </si>
  <si>
    <t>TESOURARIA - SEDE/FFIXO</t>
  </si>
  <si>
    <t>Outras Imobilizações/Valor Corrigido</t>
  </si>
  <si>
    <t>Material de Informatica</t>
  </si>
  <si>
    <t>UNIFOGO SISTEMAS CONTRA INCÊNDIO LTDA - EPP</t>
  </si>
  <si>
    <t>GE002991</t>
  </si>
  <si>
    <t>(*) TRANSFERÊNCIAS REFERENTES A GASTOS DA PRODESP PAGOS PELA CONTA CONVÊNIO</t>
  </si>
  <si>
    <t>EXAMES MÉDICOS</t>
  </si>
  <si>
    <t>01-112120503040-000-062501600001-2-NV003973-PRO006551-0-0-0</t>
  </si>
  <si>
    <t>NV003973</t>
  </si>
  <si>
    <t>TERRACOM CONSTRUÇÕES LTDA</t>
  </si>
  <si>
    <t>01-112120402010-000-062502000001-1-NV006958-PRO006159-0-0-0</t>
  </si>
  <si>
    <t>NV006958</t>
  </si>
  <si>
    <t>SECURITY WEB INFORMÁTICA LTDA</t>
  </si>
  <si>
    <t>01-112120503030-000-062501000001-1-NV006958-PRO006656-0-0-0</t>
  </si>
  <si>
    <t>REALEZA INFORMÁTICA LTDA</t>
  </si>
  <si>
    <t>01-112120611020-000-017501020004-2-NV006959-PRO006438-0-0-0</t>
  </si>
  <si>
    <t>NV006959</t>
  </si>
  <si>
    <t>POLILIX TRIAGEM E CLASSIFICAÇÃO DE RESÍDUOS LTDA</t>
  </si>
  <si>
    <t>NV006960</t>
  </si>
  <si>
    <t>01-112120611020-000-016501060001-1-NV006961-PRO006124-0-0-0</t>
  </si>
  <si>
    <t>NV006961</t>
  </si>
  <si>
    <t>NV006963</t>
  </si>
  <si>
    <t>NV006964</t>
  </si>
  <si>
    <t>NV006965</t>
  </si>
  <si>
    <t>01-112120610020-000-048501100001-1-NV006966-000000000-0-0-0</t>
  </si>
  <si>
    <t>NV006966</t>
  </si>
  <si>
    <t>ANCONA LOPEZ ENGENHARIA  LTDA</t>
  </si>
  <si>
    <t>NV006967</t>
  </si>
  <si>
    <t>NV006968</t>
  </si>
  <si>
    <t>01-112120610020-000-062501010001-2-NV006969-000000000-0-0-0</t>
  </si>
  <si>
    <t>NV006969</t>
  </si>
  <si>
    <t>CIA PAULISTA DE OBRAS E SERVICOS-CPOS</t>
  </si>
  <si>
    <t>01-112120610020-000-062501000001-1-NV006969-000000000-0-0-0</t>
  </si>
  <si>
    <t>01-112120601060-000-062501160001-2-NV009954-000000000-0-0-0</t>
  </si>
  <si>
    <t>NV009954</t>
  </si>
  <si>
    <t>01-112120601060-000-062501200001-2-NV009956-000000000-0-0-0</t>
  </si>
  <si>
    <t>NV009956</t>
  </si>
  <si>
    <t>01-112120503040-000-062501230001-2-NV000952-PRO005857-0-0-0</t>
  </si>
  <si>
    <t>NV000952</t>
  </si>
  <si>
    <t>TELAR ENGENHARIA E COMÉRCIO LTDA</t>
  </si>
  <si>
    <t>01-112120502010-000-062501230001-2-NV000952-PRO005706-0-0-0</t>
  </si>
  <si>
    <t>CALL TECNOLOGIA E SERVIÇOS LTDA</t>
  </si>
  <si>
    <t>01-112120611020-000-062501230001-2-NV000952-PRO006604-0-0-0</t>
  </si>
  <si>
    <t>G4S INTERATIVA SERVICE LTDA</t>
  </si>
  <si>
    <t>01-112120611010-000-062501230001-2-NV000952-PRO006602-0-0-0</t>
  </si>
  <si>
    <t>CENTURION SEGURANÇA E VIGILÂNCIA LTDA</t>
  </si>
  <si>
    <t>MAZZINI ADMINISTRAÇÃO E EMPREITADAS LTDA</t>
  </si>
  <si>
    <t>01-112120502010-000-062501280001-2-NV000953-PRO005706-0-0-0</t>
  </si>
  <si>
    <t>NV000953</t>
  </si>
  <si>
    <t>01-112120503040-000-062501280001-2-NV000953-PRO005853-0-0-0</t>
  </si>
  <si>
    <t>TB SERVIÇOS, TRANSPORTES, LIMPEZA, GERENCIAMENTO E RECURSOS HUMANOS S.A</t>
  </si>
  <si>
    <t>01-112120611010-000-062501280001-2-NV000953-PRO006226-0-0-0</t>
  </si>
  <si>
    <t>GATTO &amp; SILVA SEG. E VIG. PATRIMONIAL LTDA- EPP</t>
  </si>
  <si>
    <t>01-112120611020-000-062501280001-2-NV000953-PRO006469-0-0-0</t>
  </si>
  <si>
    <t>LIMPECOM SERVIÇOS LTDA - ME</t>
  </si>
  <si>
    <t>SOCICAM ADMINISTRAÇÃO PROJETOS E REPRESENTAÇÕES LTDA</t>
  </si>
  <si>
    <t>EMPRESA TEJOFRAN SANEA. SERVIÇOS LTDA</t>
  </si>
  <si>
    <t>01-112120502010-000-062501210001-2-NV000954-PRO005706-0-0-0</t>
  </si>
  <si>
    <t>NV000954</t>
  </si>
  <si>
    <t>01-112120503040-000-062501210001-2-NV000954-PRO005859-0-0-0</t>
  </si>
  <si>
    <t>01-112120611010-000-062501210001-2-NV000954-PRO006225-0-0-0</t>
  </si>
  <si>
    <t>PORTISS VIGILÂNCIA E SEGURANÇA PATRIMONIAL EIRELI</t>
  </si>
  <si>
    <t>01-112120611020-000-062501210001-2-NV000954-PRO006509-0-0-0</t>
  </si>
  <si>
    <t>01-112120502010-000-062501250001-2-NV000955-PRO005706-0-0-0</t>
  </si>
  <si>
    <t>NV000955</t>
  </si>
  <si>
    <t>01-112120611020-000-062501250001-2-NV000955-PRO006604-0-0-0</t>
  </si>
  <si>
    <t>01-112120611010-000-062501250001-2-NV000955-PRO006602-0-0-0</t>
  </si>
  <si>
    <t>01-112120502010-000-062501130001-2-NV000956-PRO005706-0-0-0</t>
  </si>
  <si>
    <t>NV000956</t>
  </si>
  <si>
    <t>01-112120503040-000-062501130001-2-NV000956-PRO005858-0-0-0</t>
  </si>
  <si>
    <t>PROJECTO ASSESSORIA E SERVIÇOS LTDA</t>
  </si>
  <si>
    <t>MPE MONTAGENS E PROJETOS ESPECIAIS LTDA</t>
  </si>
  <si>
    <t>01-112120611020-000-062501130001-2-NV000956-PRO006604-0-0-0</t>
  </si>
  <si>
    <t>01-112120611010-000-062501130001-2-NV000956-PRO006602-0-0-0</t>
  </si>
  <si>
    <t>01-112120502010-000-062501310001-2-NV000957-PRO005706-0-0-0</t>
  </si>
  <si>
    <t>NV000957</t>
  </si>
  <si>
    <t>01-112120503040-000-062502000014-2-NV000957-000000000-0-0-0</t>
  </si>
  <si>
    <t>01-112120611020-000-062501310001-2-NV000957-PRO006604-0-0-0</t>
  </si>
  <si>
    <t>01-112120611010-000-062501310001-2-NV000957-PRO006602-0-0-0</t>
  </si>
  <si>
    <t>01-112120502010-000-062501300001-2-NV000958-PRO005706-0-0-0</t>
  </si>
  <si>
    <t>NV000958</t>
  </si>
  <si>
    <t>01-112120503040-000-062501300001-2-NV000958-PRO006079-0-0-0</t>
  </si>
  <si>
    <t>01-112120503040-000-062501300001-2-NV000958-000000000-0-0-0</t>
  </si>
  <si>
    <t>01-112120611020-000-062501300001-2-NV000958-PRO006604-0-0-0</t>
  </si>
  <si>
    <t>01-112120611010-000-062501300001-2-NV000958-PRO006334-0-0-0</t>
  </si>
  <si>
    <t>REAK SEG. E VIG. PATRIMONIAL LTDA</t>
  </si>
  <si>
    <t>01-112120502010-000-062501320001-2-NV002951-PRO005706-0-0-0</t>
  </si>
  <si>
    <t>NV002951</t>
  </si>
  <si>
    <t>01-112120611020-000-062501320001-2-NV002951-PRO006604-0-0-0</t>
  </si>
  <si>
    <t>01-112120611020-000-062501320001-2-NV002951-PRO006388-0-0-0</t>
  </si>
  <si>
    <t>SIMAC MANUTENÇÃO E SERVIÇOS LTDA - ME</t>
  </si>
  <si>
    <t>01-112120503040-000-062501320001-2-NV002951-PRO006256-0-0-0</t>
  </si>
  <si>
    <t>CONSTRUDAHER CONSTRUÇÕES LTDA</t>
  </si>
  <si>
    <t>01-112120611010-000-062501320001-2-NV002951-PRO006782-0-0-0</t>
  </si>
  <si>
    <t>AÇOFORTE SEGURANÇA E VIGILANCIA LTDA</t>
  </si>
  <si>
    <t>BK CONSULTORIA E SERVIÇOS LTDA</t>
  </si>
  <si>
    <t>01-112120502010-000-062501330001-2-NV002952-PRO005706-0-0-0</t>
  </si>
  <si>
    <t>NV002952</t>
  </si>
  <si>
    <t>01-112120611020-000-062501330001-2-NV002952-PRO006770-0-0-0</t>
  </si>
  <si>
    <t>01-112120611010-000-062501330001-2-NV002952-PRO006602-0-0-0</t>
  </si>
  <si>
    <t>01-112120503040-000-062501330001-2-NV002952-PRO006696-0-0-0</t>
  </si>
  <si>
    <t>01-112120502010-000-062501340001-2-NV003952-PRO005706-0-0-0</t>
  </si>
  <si>
    <t>NV003952</t>
  </si>
  <si>
    <t>01-112120503040-000-062501340001-2-NV003952-PRO006559-0-0-0</t>
  </si>
  <si>
    <t>GOCIL SERVIÇOS GERAIS LTDA</t>
  </si>
  <si>
    <t>01-112120502010-000-062501460001-2-NV003953-PRO005706-0-0-0</t>
  </si>
  <si>
    <t>NV003953</t>
  </si>
  <si>
    <t>01-112120503040-000-062501460001-2-NV003953-PRO006582-0-0-0</t>
  </si>
  <si>
    <t>PREF ANDRADINA - PREFEITURA MUNICIPAL DE ANDRADINA</t>
  </si>
  <si>
    <t>01-112120611020-000-062501460001-2-NV003953-PRO006604-0-0-0</t>
  </si>
  <si>
    <t>WORKS CONSTRUÇÕES E SERVIÇOS LTDA</t>
  </si>
  <si>
    <t>01-112120611010-000-062501460001-2-NV003953-PRO006602-0-0-0</t>
  </si>
  <si>
    <t>01-112120502010-000-062501350001-2-NV003954-PRO005706-0-0-0</t>
  </si>
  <si>
    <t>NV003954</t>
  </si>
  <si>
    <t>01-112120611020-000-062501350001-2-NV003954-PRO006604-0-0-0</t>
  </si>
  <si>
    <t>01-112120503040-000-062501350001-2-NV003954-PRO006559-0-0-0</t>
  </si>
  <si>
    <t>01-112120611010-000-062501350001-2-NV003954-PRO006602-0-0-0</t>
  </si>
  <si>
    <t>01-112120502010-000-062501470001-2-NV003955-PRO005706-0-0-0</t>
  </si>
  <si>
    <t>NV003955</t>
  </si>
  <si>
    <t>01-112120503040-000-062501470001-2-NV003955-PRO006552-0-0-0</t>
  </si>
  <si>
    <t>01-112120503040-000-062501480001-2-NV003956-PRO006551-0-0-0</t>
  </si>
  <si>
    <t>NV003956</t>
  </si>
  <si>
    <t>3P BRASIL-CONSULTORIA E PROJETOS DE ESTRUTURAÇÃO DE PARCERIAS PUBLICO-PRIVADAS E PARTICIPAÇÕES LTDA</t>
  </si>
  <si>
    <t>01-112120502010-000-062501480001-2-NV003956-PRO005706-0-0-0</t>
  </si>
  <si>
    <t>01-112120502010-000-062501490001-2-NV003957-PRO005706-0-0-0</t>
  </si>
  <si>
    <t>NV003957</t>
  </si>
  <si>
    <t>01-112120503040-000-062501490001-2-NV003957-PRO006582-0-0-0</t>
  </si>
  <si>
    <t>01-112120502010-000-062501500001-2-NV003958-PRO005706-0-0-0</t>
  </si>
  <si>
    <t>NV003958</t>
  </si>
  <si>
    <t>01-112120503040-000-062501500001-2-NV003958-PRO006582-0-0-0</t>
  </si>
  <si>
    <t>01-112120502010-000-062501510001-2-NV003959-PRO005706-0-0-0</t>
  </si>
  <si>
    <t>NV003959</t>
  </si>
  <si>
    <t>01-112120503040-000-062501510001-2-NV003959-PRO006582-0-0-0</t>
  </si>
  <si>
    <t>01-112120611010-000-062501510001-2-NV003959-PRO006602-0-0-0</t>
  </si>
  <si>
    <t>01-112120503040-000-062501520001-2-NV003960-PRO006581-0-0-0</t>
  </si>
  <si>
    <t>NV003960</t>
  </si>
  <si>
    <t>01-112120502010-000-062501520001-2-NV003960-PRO005706-0-0-0</t>
  </si>
  <si>
    <t>01-112120611020-000-062501520001-2-NV003960-PRO006604-0-0-0</t>
  </si>
  <si>
    <t>01-112120611010-000-062501520001-2-NV003960-PRO006602-0-0-0</t>
  </si>
  <si>
    <t>01-112120502010-000-062501360001-2-NV003961-PRO005706-0-0-0</t>
  </si>
  <si>
    <t>NV003961</t>
  </si>
  <si>
    <t>01-112120503040-000-062501360001-2-NV003961-PRO006550-0-0-0</t>
  </si>
  <si>
    <t>01-112120503040-000-062501530001-2-NV003962-PRO006649-0-0-0</t>
  </si>
  <si>
    <t>NV003962</t>
  </si>
  <si>
    <t>MPE ENGENHARIA E SERVIÇOS S/A</t>
  </si>
  <si>
    <t>01-112120502010-000-062501530001-2-NV003962-PRO005706-0-0-0</t>
  </si>
  <si>
    <t>01-112120611020-000-062501530001-2-NV003962-PRO006604-0-0-0</t>
  </si>
  <si>
    <t>01-112120611010-000-062501530001-2-NV003962-PRO006602-0-0-0</t>
  </si>
  <si>
    <t>01-112120502010-000-062501370001-2-NV003963-PRO005706-0-0-0</t>
  </si>
  <si>
    <t>NV003963</t>
  </si>
  <si>
    <t>01-112120503040-000-062501370001-2-NV003963-PRO006549-0-0-0</t>
  </si>
  <si>
    <t>TRAIL INFRAESTRUTURA LTDA</t>
  </si>
  <si>
    <t>01-112120502010-000-062501380001-2-NV003964-PRO005706-0-0-0</t>
  </si>
  <si>
    <t>NV003964</t>
  </si>
  <si>
    <t>01-112120611020-000-062501380001-2-NV003964-PRO006604-0-0-0</t>
  </si>
  <si>
    <t>01-112120503040-000-062501380001-2-NV003964-PRO006550-0-0-0</t>
  </si>
  <si>
    <t>01-112120611010-000-062501380001-2-NV003964-PRO006602-0-0-0</t>
  </si>
  <si>
    <t>01-112120503040-000-062501540001-2-NV003965-PRO006630-0-0-0</t>
  </si>
  <si>
    <t>NV003965</t>
  </si>
  <si>
    <t>01-112120502010-000-062501540001-2-NV003965-PRO005706-0-0-0</t>
  </si>
  <si>
    <t>01-112120611020-000-062501540001-2-NV003965-PRO006604-0-0-0</t>
  </si>
  <si>
    <t>01-112120611010-000-062501540001-2-NV003965-PRO006602-0-0-0</t>
  </si>
  <si>
    <t>01-112120502010-000-062501550001-0-NV003966-PRO005706-0-0-0</t>
  </si>
  <si>
    <t>NV003966</t>
  </si>
  <si>
    <t>01-112120503040-000-062501550001-2-NV003966-PRO006552-0-0-0</t>
  </si>
  <si>
    <t>01-112120502010-000-062501390001-2-NV003967-PRO005706-0-0-0</t>
  </si>
  <si>
    <t>NV003967</t>
  </si>
  <si>
    <t>01-112120503040-000-062501390001-2-NV003967-PRO006549-0-0-0</t>
  </si>
  <si>
    <t>01-112120503040-000-062501570001-2-NV003970-PRO006581-0-0-0</t>
  </si>
  <si>
    <t>NV003970</t>
  </si>
  <si>
    <t>01-112120502010-000-062501570001-2-NV003970-PRO005706-0-0-0</t>
  </si>
  <si>
    <t>01-112120503040-000-062501580001-2-NV003971-PRO006551-0-0-0</t>
  </si>
  <si>
    <t>NV003971</t>
  </si>
  <si>
    <t>01-112120502010-000-062501580001-2-NV003971-PRO005706-0-0-0</t>
  </si>
  <si>
    <t>01-112120611020-000-062501580001-2-NV003971-PRO006604-0-0-0</t>
  </si>
  <si>
    <t>01-112120611010-000-062501580001-2-NV003971-PRO006602-0-0-0</t>
  </si>
  <si>
    <t>01-112120503040-000-062501590001-2-NV003972-PRO006551-0-0-0</t>
  </si>
  <si>
    <t>NV003972</t>
  </si>
  <si>
    <t>01-112120502010-000-062501590001-2-NV003972-PRO005706-0-0-0</t>
  </si>
  <si>
    <t>01-112120502010-000-062501600001-2-NV003973-PRO005706-0-0-0</t>
  </si>
  <si>
    <t>01-112120503040-000-062501610001-2-NV003974-PRO006581-0-0-0</t>
  </si>
  <si>
    <t>NV003974</t>
  </si>
  <si>
    <t>01-112120502010-000-062501610001-2-NV003974-PRO005706-0-0-0</t>
  </si>
  <si>
    <t>01-112120502010-000-062501620001-2-NV003975-PRO005706-0-0-0</t>
  </si>
  <si>
    <t>NV003975</t>
  </si>
  <si>
    <t>01-112120503040-000-062501620001-2-NV003975-PRO006582-0-0-0</t>
  </si>
  <si>
    <t>PREF LINS - PREFEITURA MUNICIPAL DE LINS</t>
  </si>
  <si>
    <t>01-112120611010-000-062501620001-2-NV003975-PRO006602-0-0-0</t>
  </si>
  <si>
    <t>01-112120611010-000-062501630001-2-NV003976-PRO006602-0-0-0</t>
  </si>
  <si>
    <t>NV003976</t>
  </si>
  <si>
    <t>01-112120502010-000-062501410001-2-NV003977-PRO005706-0-0-0</t>
  </si>
  <si>
    <t>NV003977</t>
  </si>
  <si>
    <t>01-112120503040-000-062501410001-2-NV003977-PRO006559-0-0-0</t>
  </si>
  <si>
    <t>01-112120502010-000-062501640001-2-NV003978-PRO005706-0-0-0</t>
  </si>
  <si>
    <t>NV003978</t>
  </si>
  <si>
    <t>01-112120503040-000-062501640001-2-NV003978-PRO006552-0-0-0</t>
  </si>
  <si>
    <t>01-112120611020-000-062501640001-2-NV003978-PRO006604-0-0-0</t>
  </si>
  <si>
    <t>01-112120611010-000-062501640001-2-NV003978-PRO006602-0-0-0</t>
  </si>
  <si>
    <t>01-112120503040-000-062501650001-2-NV003979-PRO006581-0-0-0</t>
  </si>
  <si>
    <t>NV003979</t>
  </si>
  <si>
    <t>01-112120502010-000-062501650001-2-NV003979-PRO005706-0-0-0</t>
  </si>
  <si>
    <t>01-112120503040-000-062501420001-2-NV003980-PRO006522-0-0-0</t>
  </si>
  <si>
    <t>NV003980</t>
  </si>
  <si>
    <t>01-112120502010-000-062501420001-2-NV003980-PRO005706-0-0-0</t>
  </si>
  <si>
    <t>01-112120611020-000-062501420001-2-NV003980-PRO006604-0-0-0</t>
  </si>
  <si>
    <t>01-112120611010-000-062501420001-2-NV003980-PRO006602-0-0-0</t>
  </si>
  <si>
    <t>01-112120503040-000-062501430001-2-NV003981-PRO006522-0-0-0</t>
  </si>
  <si>
    <t>NV003981</t>
  </si>
  <si>
    <t>01-112120502010-000-062501430001-2-NV003981-PRO005706-0-0-0</t>
  </si>
  <si>
    <t>01-112120611020-000-062501430001-2-NV003981-PRO006604-0-0-0</t>
  </si>
  <si>
    <t>01-112120611010-000-062501430001-2-NV003981-PRO006602-0-0-0</t>
  </si>
  <si>
    <t>01-112120502010-000-062501440001-2-NV003983-PRO005706-0-0-0</t>
  </si>
  <si>
    <t>NV003983</t>
  </si>
  <si>
    <t>01-112120503040-000-062501440001-2-NV003983-PRO006559-0-0-0</t>
  </si>
  <si>
    <t>PREF SAO JOAO DA BOA VISTA - PREFEITURA MUNICIPAL DE SAO JOAO DA BOA VISTA</t>
  </si>
  <si>
    <t>01-112120502010-000-062501660001-2-NV003984-PRO005706-0-0-0</t>
  </si>
  <si>
    <t>NV003984</t>
  </si>
  <si>
    <t>01-112120611020-000-062501660001-2-NV003984-PRO006604-0-0-0</t>
  </si>
  <si>
    <t>01-112120503040-000-062501660001-2-NV003984-PRO006627-0-0-0</t>
  </si>
  <si>
    <t>01-112120611010-000-062501660001-2-NV003984-PRO006602-0-0-0</t>
  </si>
  <si>
    <t>01-112120502010-000-062501450001-2-NV003986-PRO005706-0-0-0</t>
  </si>
  <si>
    <t>NV003986</t>
  </si>
  <si>
    <t>01-112120503040-000-062501450001-2-NV003986-PRO006549-0-0-0</t>
  </si>
  <si>
    <t>01-112120502010-000-062501010016-2-NV004951-PRO005706-0-0-0</t>
  </si>
  <si>
    <t>NV004951</t>
  </si>
  <si>
    <t>NV004952</t>
  </si>
  <si>
    <t>01-112120502010-000-062501010017-2-NV004952-PRO005706-0-0-0</t>
  </si>
  <si>
    <t>NV004953</t>
  </si>
  <si>
    <t>01-112120502010-000-062501010018-2-NV004953-PRO005706-0-0-0</t>
  </si>
  <si>
    <t>01-112120502010-000-062501010019-2-NV004954-PRO005706-0-0-0</t>
  </si>
  <si>
    <t>NV004954</t>
  </si>
  <si>
    <t>01-112120502010-000-062501010020-2-NV004955-PRO005706-0-0-0</t>
  </si>
  <si>
    <t>NV004955</t>
  </si>
  <si>
    <t>01-112120502010-000-062501680001-2-NV004956-PRO005706-0-0-0</t>
  </si>
  <si>
    <t>NV004956</t>
  </si>
  <si>
    <t>01-112120503040-000-062501680001-2-NV004956-PRO006661-0-0-0</t>
  </si>
  <si>
    <t>01-112120503040-000-062501700001-2-NV004958-PRO006687-0-0-0</t>
  </si>
  <si>
    <t>NV004958</t>
  </si>
  <si>
    <t>01-112120502010-000-062501700001-2-NV004958-PRO005706-0-0-0</t>
  </si>
  <si>
    <t>01-112120502010-000-062501720001-2-NV004960-PRO005706-0-0-0</t>
  </si>
  <si>
    <t>NV004960</t>
  </si>
  <si>
    <t>01-112120502010-000-062501010021-2-NV004962-PRO005706-0-0-0</t>
  </si>
  <si>
    <t>NV004962</t>
  </si>
  <si>
    <t>01-112120503040-000-062501010021-2-NV004962-PRO006664-0-0-0</t>
  </si>
  <si>
    <t>01-112120503030-000-062502000001-1-NV006958-PRO006657-0-0-0</t>
  </si>
  <si>
    <t>G&amp;P PROJETOS E SISTEMAS S/A</t>
  </si>
  <si>
    <t>01-112120601060-000-017501020004-2-NV006959-PRO006959-0-0-0</t>
  </si>
  <si>
    <t>01-112120602030-000-017501020004-2-NV006959-PRO006769-0-0-0</t>
  </si>
  <si>
    <t>VANOLI INSTALAÇÕES LTDA</t>
  </si>
  <si>
    <t>01-112120611010-000-017501020004-2-NV006959-PRO006351-0-0-0</t>
  </si>
  <si>
    <t>ZOCCAL-SEGURANÇA PATRIMONIAL EIRELI</t>
  </si>
  <si>
    <t>01-112120502010-000-017501020004-2-NV006959-PRO005706-0-0-0</t>
  </si>
  <si>
    <t>01-112120502030-000-017501020004-2-NV006959-PRO006313-0-0-0</t>
  </si>
  <si>
    <t>01-112120502040-000-017501020004-2-NV006959-PRO006313-0-0-0</t>
  </si>
  <si>
    <t>01-112120611020-000-017501020004-2-NV006959-PRO006604-0-0-0</t>
  </si>
  <si>
    <t>01-112120503030-000-017501020004-2-NV006959-PRO006657-0-0-0</t>
  </si>
  <si>
    <t>01-112120402010-000-017501020004-2-NV006959-PRO006491-0-0-0</t>
  </si>
  <si>
    <t>3CORP TECHNOLOGY S/A INFRAESTRUTURA DE TELECOM</t>
  </si>
  <si>
    <t>01-112120602030-000-044501040001-1-NV006960-PRO006020-0-0-0</t>
  </si>
  <si>
    <t>01-112120502010-000-044501040001-1-NV006960-PRO005706-0-0-0</t>
  </si>
  <si>
    <t>01-112120611020-000-044501040001-1-NV006960-PRO006604-0-0-0</t>
  </si>
  <si>
    <t>01-112120503030-000-044501040001-1-NV006960-PRO006657-0-0-0</t>
  </si>
  <si>
    <t>01-112120402010-000-044501040001-1-NV006960-PRO006491-0-0-0</t>
  </si>
  <si>
    <t>01-112120502040-000-044501040001-1-NV006960-PRO006341-0-0-0</t>
  </si>
  <si>
    <t>DATASIST INFORMÁTICA S/C LTDA.</t>
  </si>
  <si>
    <t>01-112120502030-000-044501040001-1-NV006960-PRO006341-0-0-0</t>
  </si>
  <si>
    <t>01-112120611010-000-044501040001-1-NV006960-PRO006219-0-0-0</t>
  </si>
  <si>
    <t>01-112120602010-000-044501040001-1-NV006960-PRO006052-0-0-0</t>
  </si>
  <si>
    <t>THYSSENKRUP ELEVADORES S/A</t>
  </si>
  <si>
    <t>01-112120602010-000-044501040001-1-NV006960-PRO006480-0-0-0</t>
  </si>
  <si>
    <t>ELEVADORES ATLAS SHINDLER S/A</t>
  </si>
  <si>
    <t>01-112120503010-000-016501060001-1-NV006961-PRO006475-0-0-0</t>
  </si>
  <si>
    <t>ARS ASSESSORIA E CONSULTORIA EMPRESARIAL LTDA</t>
  </si>
  <si>
    <t>01-112120602030-000-016501060001-1-NV006961-PRO006783-0-0-0</t>
  </si>
  <si>
    <t>01-112120502010-000-016501060001-1-NV006961-PRO005706-0-0-0</t>
  </si>
  <si>
    <t>01-112120611020-000-016501060001-1-NV006961-PRO006604-0-0-0</t>
  </si>
  <si>
    <t>01-112120503030-000-016501060001-1-NV006961-PRO006657-0-0-0</t>
  </si>
  <si>
    <t>01-112120502040-000-016501060001-1-NV006961-PRO006340-0-0-0</t>
  </si>
  <si>
    <t>01-112120502030-000-016501060001-1-NV006961-PRO006340-0-0-0</t>
  </si>
  <si>
    <t>01-112120611010-000-016501060001-1-NV006961-PRO006317-0-0-0</t>
  </si>
  <si>
    <t>01-112120502010-000-045501070001-1-NV006962-PRO005706-0-0-0</t>
  </si>
  <si>
    <t>NV006962</t>
  </si>
  <si>
    <t>01-112120502030-000-045501070001-1-NV006962-PRO006735-0-0-0</t>
  </si>
  <si>
    <t>ALTERNATIVA SERVIÇOS E TERCEIRIZAÇÃO EM GERAL LTDA</t>
  </si>
  <si>
    <t>01-112120502040-000-045501070001-1-NV006962-PRO006735-0-0-0</t>
  </si>
  <si>
    <t>01-112120611020-000-045501070001-1-NV006962-PRO006604-0-0-0</t>
  </si>
  <si>
    <t>01-112120602030-000-045501070001-1-NV006962-PRO006304-0-0-0</t>
  </si>
  <si>
    <t>MRO SERVIÇOS EIRELI - EPP</t>
  </si>
  <si>
    <t>01-112120503030-000-045501070001-1-NV006962-PRO006657-0-0-0</t>
  </si>
  <si>
    <t>01-112120402010-000-045501070001-1-NV006962-PRO006491-0-0-0</t>
  </si>
  <si>
    <t>01-112120611010-000-045501070001-1-NV006962-PRO006602-0-0-0</t>
  </si>
  <si>
    <t>01-112120502010-000-015501020001-1-NV006963-PRO005706-0-0-0</t>
  </si>
  <si>
    <t>01-112120502040-000-015501020001-1-NV006963-PRO006343-0-0-0</t>
  </si>
  <si>
    <t>01-112120502030-000-015501020001-1-NV006963-PRO006343-0-0-0</t>
  </si>
  <si>
    <t>01-112120602030-000-015501020001-1-NV006963-PRO006768-0-0-0</t>
  </si>
  <si>
    <t>COMERCIAL BARCELOS EIRELI - EPP</t>
  </si>
  <si>
    <t>01-112120611020-000-015501020001-1-NV006963-PRO006604-0-0-0</t>
  </si>
  <si>
    <t>01-112120503030-000-015501020001-1-NV006963-PRO006657-0-0-0</t>
  </si>
  <si>
    <t>01-112120611010-000-015501020001-1-NV006963-PRO006602-0-0-0</t>
  </si>
  <si>
    <t>01-112120611020-000-015501020001-1-NV006963-PRO005748-0-0-0</t>
  </si>
  <si>
    <t>01-112120602020-000-015501020001-1-NV006963-PRO006280-0-0-0</t>
  </si>
  <si>
    <t>GHS INDÚSTRIA E SERVIÇOS LTDA</t>
  </si>
  <si>
    <t>01-112120502010-000-046501030001-1-NV006964-PRO005706-0-0-0</t>
  </si>
  <si>
    <t>01-112120502040-000-046501030001-1-NV006964-PRO006342-0-0-0</t>
  </si>
  <si>
    <t>01-112120502030-000-046501030001-1-NV006964-PRO006342-0-0-0</t>
  </si>
  <si>
    <t>01-112120602030-000-046501030001-1-NV006964-PRO006411-0-0-0</t>
  </si>
  <si>
    <t>01-112120611020-000-046501030001-1-NV006964-PRO006604-0-0-0</t>
  </si>
  <si>
    <t>01-112120503030-000-046501030001-1-NV006964-PRO006657-0-0-0</t>
  </si>
  <si>
    <t>01-112120402010-000-046501030001-1-NV006964-PRO006491-0-0-0</t>
  </si>
  <si>
    <t>01-112120611010-000-046501030001-1-NV006964-PRO006213-0-0-0</t>
  </si>
  <si>
    <t>01-112120602010-000-046501030001-1-NV006964-PRO006199-0-0-0</t>
  </si>
  <si>
    <t>01-112120502010-000-047501090001-1-NV006965-PRO005706-0-0-0</t>
  </si>
  <si>
    <t>01-112120502040-000-047501090001-1-NV006965-PRO006309-0-0-0</t>
  </si>
  <si>
    <t>01-112120502030-000-047501090001-1-NV006965-PRO006309-0-0-0</t>
  </si>
  <si>
    <t>01-112120602030-000-047501090001-1-NV006965-PRO006289-0-0-0</t>
  </si>
  <si>
    <t>01-112120611020-000-047501090001-1-NV006965-PRO006604-0-0-0</t>
  </si>
  <si>
    <t>01-112120503030-000-047501090001-1-NV006965-PRO006657-0-0-0</t>
  </si>
  <si>
    <t>01-112120402010-000-047501090001-1-NV006965-PRO006491-0-0-0</t>
  </si>
  <si>
    <t>01-112120611010-000-047501090001-1-NV006965-PRO006332-0-0-0</t>
  </si>
  <si>
    <t>01-112120602030-000-048501100001-1-NV006966-PRO006296-0-0-0</t>
  </si>
  <si>
    <t>01-112120502010-000-048501100001-1-NV006966-PRO005706-0-0-0</t>
  </si>
  <si>
    <t>01-112120502040-000-048501100001-1-NV006966-PRO006310-0-0-0</t>
  </si>
  <si>
    <t>01-112120502030-000-048501100001-1-NV006966-PRO006310-0-0-0</t>
  </si>
  <si>
    <t>01-112120611020-000-048501100001-1-NV006966-PRO006604-0-0-0</t>
  </si>
  <si>
    <t>01-112120503030-000-048501100001-1-NV006966-PRO006657-0-0-0</t>
  </si>
  <si>
    <t>01-112120402010-000-048501100001-1-NV006966-PRO006491-0-0-0</t>
  </si>
  <si>
    <t>01-112120611010-000-048501100001-1-NV006966-PRO006602-0-0-0</t>
  </si>
  <si>
    <t>01-112120502010-000-049501110001-1-NV006967-PRO005706-0-0-0</t>
  </si>
  <si>
    <t>01-112120502030-000-049501110001-1-NV006967-PRO006312-0-0-0</t>
  </si>
  <si>
    <t>01-112120502040-000-049501110001-1-NV006967-PRO006312-0-0-0</t>
  </si>
  <si>
    <t>01-112120611010-000-049501110001-1-NV006967-PRO006319-0-0-0</t>
  </si>
  <si>
    <t>01-112120611020-000-049501110001-1-NV006967-PRO006604-0-0-0</t>
  </si>
  <si>
    <t>01-112120503030-000-049501110001-1-NV006967-PRO006657-0-0-0</t>
  </si>
  <si>
    <t>01-112120602020-000-049501110001-1-NV006967-PRO006676-0-0-0</t>
  </si>
  <si>
    <t>ENCLIMAR ENGENHARIA DE CLIMATIZAÇÃO LTDA</t>
  </si>
  <si>
    <t>01-112120602030-000-050501050001-2-NV006968-PRO006019-0-0-0</t>
  </si>
  <si>
    <t>01-112120502010-000-050501050001-2-NV006968-PRO005706-0-0-0</t>
  </si>
  <si>
    <t>01-112120502030-000-050501050001-2-NV006968-PRO006570-0-0-0</t>
  </si>
  <si>
    <t>01-112120502040-000-050501050001-2-NV006968-PRO006570-0-0-0</t>
  </si>
  <si>
    <t>01-112120611020-000-050501050001-2-NV006968-PRO006604-0-0-0</t>
  </si>
  <si>
    <t>01-112120503030-000-050501050001-2-NV006968-PRO006657-0-0-0</t>
  </si>
  <si>
    <t>01-112120402010-000-050501050001-2-NV006968-PRO006491-0-0-0</t>
  </si>
  <si>
    <t>01-112120611010-000-050501050001-2-NV006968-PRO006764-0-0-0</t>
  </si>
  <si>
    <t>ATENTO SÃO PAULO SERV. DE SEGURANÇA PATRIMONIAL EIRELI</t>
  </si>
  <si>
    <t>01-112120503040-000-057501140001-2-NV006977-PRO006156-0-0-0</t>
  </si>
  <si>
    <t>NV006977</t>
  </si>
  <si>
    <t>01-112120502010-000-057501140001-2-NV006977-PRO005706-0-0-0</t>
  </si>
  <si>
    <t>01-112120503040-000-057501140001-2-NV006977-000000000-0-0-0</t>
  </si>
  <si>
    <t>01-112120611020-000-057501140001-2-NV006977-PRO006604-0-0-0</t>
  </si>
  <si>
    <t>01-112120611010-000-057501140001-2-NV006977-PRO006602-0-0-0</t>
  </si>
  <si>
    <t>01-112120503040-000-060501120001-2-NV006978-PRO006522-0-0-0</t>
  </si>
  <si>
    <t>NV006978</t>
  </si>
  <si>
    <t>01-112120502010-000-060501120001-2-NV006978-PRO005706-0-0-0</t>
  </si>
  <si>
    <t>01-112120611020-000-060501120001-2-NV006978-PRO006604-0-0-0</t>
  </si>
  <si>
    <t>01-112120611010-000-060501120001-2-NV006978-PRO006602-0-0-0</t>
  </si>
  <si>
    <t>01-112120502010-000-059501080001-2-NV007121-PRO005706-0-0-0</t>
  </si>
  <si>
    <t>NV007121</t>
  </si>
  <si>
    <t>01-112120611020-000-059501080001-2-NV007121-PRO006604-0-0-0</t>
  </si>
  <si>
    <t>01-112120503040-000-059501080001-2-NV007121-PRO006550-0-0-0</t>
  </si>
  <si>
    <t>01-112120611010-000-059501080001-2-NV007121-PRO006602-0-0-0</t>
  </si>
  <si>
    <t>01-112120502010-000-061501150001-2-NV007123-PRO005706-0-0-0</t>
  </si>
  <si>
    <t>NV007123</t>
  </si>
  <si>
    <t>01-112120503040-000-061501150001-2-NV007123-PRO006549-0-0-0</t>
  </si>
  <si>
    <t>01-112120611020-000-061501150001-2-NV007123-PRO006604-0-0-0</t>
  </si>
  <si>
    <t>01-112120611010-000-061501150001-2-NV007123-PRO006602-0-0-0</t>
  </si>
  <si>
    <t>01-112120502010-000-065501180001-0-NV008121-PRO005706-0-0-0</t>
  </si>
  <si>
    <t>NV008121</t>
  </si>
  <si>
    <t>01-112120611010-000-065501180001-2-NV008121-PRO006602-0-0-0</t>
  </si>
  <si>
    <t>01-112120502010-000-064501170001-2-NV008122-PRO005706-0-0-0</t>
  </si>
  <si>
    <t>NV008122</t>
  </si>
  <si>
    <t>01-112120503040-000-064501170001-2-NV008122-PRO006666-0-0-0</t>
  </si>
  <si>
    <t>01-112120611020-000-064501170001-2-NV008122-PRO006604-0-0-0</t>
  </si>
  <si>
    <t>01-112120611010-000-064501170001-2-NV008122-PRO006602-0-0-0</t>
  </si>
  <si>
    <t>01-112120503040-000-062501190001-2-NV008123-PRO006641-0-0-0</t>
  </si>
  <si>
    <t>NV008123</t>
  </si>
  <si>
    <t>01-112120502010-000-062501190001-2-NV008123-PRO005706-0-0-0</t>
  </si>
  <si>
    <t>01-112120611020-000-062501190001-2-NV008123-PRO006604-0-0-0</t>
  </si>
  <si>
    <t>01-112120611010-000-062501190001-2-NV008123-PRO006602-0-0-0</t>
  </si>
  <si>
    <t>01-112120502010-000-062501160001-2-NV009954-PRO005706-0-0-0</t>
  </si>
  <si>
    <t>01-112120503040-000-062501160001-2-NV009954-PRO005855-0-0-0</t>
  </si>
  <si>
    <t>01-112120611020-000-062501160001-2-NV009954-PRO006472-0-0-0</t>
  </si>
  <si>
    <t>TJ COMÉRCIO E SERVIÇOS LTDA - ME</t>
  </si>
  <si>
    <t>01-112120611010-000-062501160001-2-NV009954-PRO006602-0-0-0</t>
  </si>
  <si>
    <t>01-112120503040-000-062501260001-2-NV009955-PRO005782-0-0-0</t>
  </si>
  <si>
    <t>NV009955</t>
  </si>
  <si>
    <t>01-112120502010-000-062501260001-2-NV009955-PRO005706-0-0-0</t>
  </si>
  <si>
    <t>01-112120502010-000-062501200001-2-NV009956-PRO005706-0-0-0</t>
  </si>
  <si>
    <t>01-112120502010-000-062501270001-2-NV009957-PRO005706-0-0-0</t>
  </si>
  <si>
    <t>NV009957</t>
  </si>
  <si>
    <t>01-112120503040-000-062501270001-2-NV009957-PRO005784-0-0-0</t>
  </si>
  <si>
    <t>01-112120503040-000-062501240001-2-NV009958-PRO005854-0-0-0</t>
  </si>
  <si>
    <t>NV009958</t>
  </si>
  <si>
    <t>01-112120502010-000-062501240001-2-NV009958-PRO005706-0-0-0</t>
  </si>
  <si>
    <t>01-112120611020-000-062501240001-2-NV009958-PRO006604-0-0-0</t>
  </si>
  <si>
    <t>01-112120611010-000-062501240001-2-NV009958-PRO006602-0-0-0</t>
  </si>
  <si>
    <t>NV009959</t>
  </si>
  <si>
    <t>01-112120502010-000-062501290001-2-NV009959-PRO005706-0-0-0</t>
  </si>
  <si>
    <t>01-112120611020-000-062501290001-2-NV009959-PRO006604-0-0-0</t>
  </si>
  <si>
    <t>01-112120611010-000-062501290001-2-NV009959-PRO006602-0-0-0</t>
  </si>
  <si>
    <t>NV009960</t>
  </si>
  <si>
    <t>01-112120502010-000-062501220001-2-NV009960-PRO005706-0-0-0</t>
  </si>
  <si>
    <t>01-112120611020-000-062501220001-2-NV009960-PRO006604-0-0-0</t>
  </si>
  <si>
    <t>01-112120611010-000-062501220001-2-NV009960-PRO006602-0-0-0</t>
  </si>
  <si>
    <t>01-112120608120-000-001500000003-1-NV006958-PRO006605-0-0-0</t>
  </si>
  <si>
    <t>FUNDAP - FUNDAÇAO DESENV. ADMINISTRATIVO</t>
  </si>
  <si>
    <t>Taxa de administração de Estagiários</t>
  </si>
  <si>
    <t>01-112120608120-000-015501020001-1-NV006963-PRO006605-0-0-0</t>
  </si>
  <si>
    <t>01-112120608120-000-016501060001-1-NV006961-PRO006605-0-0-0</t>
  </si>
  <si>
    <t>01-112120608120-000-017501020004-2-NV006959-PRO006605-0-0-0</t>
  </si>
  <si>
    <t>01-112120608120-000-044501040001-1-NV006960-PRO006605-0-0-0</t>
  </si>
  <si>
    <t>01-112120608120-000-045501070001-1-NV006962-PRO006605-0-0-0</t>
  </si>
  <si>
    <t>01-112120608120-000-046501030001-1-NV006964-PRO006605-0-0-0</t>
  </si>
  <si>
    <t>01-112120608120-000-047501090001-1-NV006965-PRO006605-0-0-0</t>
  </si>
  <si>
    <t>01-112120608120-000-049501110001-1-NV006967-PRO006605-0-0-0</t>
  </si>
  <si>
    <t>01-112120608120-000-062501000001-1-NV006958-PRO006605-0-0-0</t>
  </si>
  <si>
    <t>01-112120608120-000-062502010001-2-NV006958-PRO006605-0-0-0</t>
  </si>
  <si>
    <t>01-112120608120-000-062502030001-2-NV006958-PRO006605-0-0-0</t>
  </si>
  <si>
    <t>01-112120106000-000-015501020001-1-NV006963-000000000-0-0-0</t>
  </si>
  <si>
    <t>RAIZAMED EQUIPAMENTOS MEDICOS LTDA</t>
  </si>
  <si>
    <t>544 P.1</t>
  </si>
  <si>
    <t>544 - OP TARIFA BANCARIA P.1</t>
  </si>
  <si>
    <t>01-112120106000-000-048501100001-1-NV006966-000000000-0-0-0</t>
  </si>
  <si>
    <t>1165 P.1</t>
  </si>
  <si>
    <t>1339 P.1</t>
  </si>
  <si>
    <t>01-112120201040-000-015501020001-1-NV006963-000000000-0-0-0</t>
  </si>
  <si>
    <t>Outros Equipamentos</t>
  </si>
  <si>
    <t>3202 P.1</t>
  </si>
  <si>
    <t>01-112120201040-000-049501110001-1-NV006967-000000000-0-0-0</t>
  </si>
  <si>
    <t>BIOMETRIA BRASIL TECNOLOGIA E SIST INTELIGENTES LTDA</t>
  </si>
  <si>
    <t>4830 P.1</t>
  </si>
  <si>
    <t>01-112120202020-000-015501020001-1-NV006963-PRO006305-0-0-0</t>
  </si>
  <si>
    <t>ACE SEGURADORA S/A</t>
  </si>
  <si>
    <t>82382 P.1</t>
  </si>
  <si>
    <t>01-112120202020-000-016501060001-1-NV006961-PRO006305-0-0-0</t>
  </si>
  <si>
    <t>01-112120202020-000-017501020004-2-NV006959-PRO006305-0-0-0</t>
  </si>
  <si>
    <t>01-112120202020-000-044501040001-1-NV006960-PRO006305-0-0-0</t>
  </si>
  <si>
    <t>01-112120202020-000-045501070001-1-NV006962-PRO006305-0-0-0</t>
  </si>
  <si>
    <t>01-112120202020-000-046501030001-1-NV006964-PRO006305-0-0-0</t>
  </si>
  <si>
    <t>01-112120202020-000-047501090001-1-NV006965-PRO006305-0-0-0</t>
  </si>
  <si>
    <t>01-112120202020-000-048501100001-1-NV006966-PRO006305-0-0-0</t>
  </si>
  <si>
    <t>01-112120202020-000-049501110001-1-NV006967-PRO006305-0-0-0</t>
  </si>
  <si>
    <t>01-112120202020-000-050501050001-2-NV006968-PRO006305-0-0-0</t>
  </si>
  <si>
    <t>01-112120202020-000-057501140001-2-NV006977-PRO006305-0-0-0</t>
  </si>
  <si>
    <t>01-112120202020-000-059501080001-2-NV007121-PRO006305-0-0-0</t>
  </si>
  <si>
    <t>01-112120202020-000-060501120001-2-NV006978-PRO006305-0-0-0</t>
  </si>
  <si>
    <t>01-112120202020-000-061501150001-2-NV007123-PRO006305-0-0-0</t>
  </si>
  <si>
    <t>01-112120202020-000-062501130001-2-NV000956-PRO006305-0-0-0</t>
  </si>
  <si>
    <t>01-112120202020-000-062501160001-2-NV009954-PRO006305-0-0-0</t>
  </si>
  <si>
    <t>01-112120202020-000-062501200001-2-NV009956-PRO006305-0-0-0</t>
  </si>
  <si>
    <t>01-112120202020-000-062501210001-2-NV000954-PRO006305-0-0-0</t>
  </si>
  <si>
    <t>01-112120202020-000-062501220001-2-NV009960-PRO006305-0-0-0</t>
  </si>
  <si>
    <t>01-112120202020-000-062501230001-2-NV000952-PRO006305-0-0-0</t>
  </si>
  <si>
    <t>01-112120202020-000-062501240001-2-NV009958-PRO006305-0-0-0</t>
  </si>
  <si>
    <t>01-112120202020-000-062501250001-2-NV000955-PRO006305-0-0-0</t>
  </si>
  <si>
    <t>01-112120202020-000-062501260001-2-NV009955-PRO006305-0-0-0</t>
  </si>
  <si>
    <t>01-112120202020-000-062501270001-2-NV009957-PRO006305-0-0-0</t>
  </si>
  <si>
    <t>01-112120202020-000-062501280001-2-NV000953-PRO006305-0-0-0</t>
  </si>
  <si>
    <t>01-112120202020-000-062501290001-2-NV009959-PRO006305-0-0-0</t>
  </si>
  <si>
    <t>01-112120202020-000-062501300001-2-NV000958-PRO006305-0-0-0</t>
  </si>
  <si>
    <t>01-112120202020-000-062501310001-2-NV000957-PRO006305-0-0-0</t>
  </si>
  <si>
    <t>01-112120202020-000-062501340001-2-NV003952-PRO006305-0-0-0</t>
  </si>
  <si>
    <t>01-112120202020-000-062501350001-2-NV003954-PRO006305-0-0-0</t>
  </si>
  <si>
    <t>01-112120202020-000-062501360001-2-NV003961-PRO006305-0-0-0</t>
  </si>
  <si>
    <t>01-112120202020-000-062501370001-2-NV003963-PRO006305-0-0-0</t>
  </si>
  <si>
    <t>01-112120202020-000-062501380001-2-NV003962-PRO006305-0-0-0</t>
  </si>
  <si>
    <t>01-112120202020-000-062501390001-2-NV003967-PRO006305-0-0-0</t>
  </si>
  <si>
    <t>01-112120202020-000-062501410001-2-NV003977-PRO006305-0-0-0</t>
  </si>
  <si>
    <t>01-112120202020-000-062501420001-2-NV003980-PRO006305-0-0-0</t>
  </si>
  <si>
    <t>01-112120202020-000-062501430001-2-NV003981-PRO006305-0-0-0</t>
  </si>
  <si>
    <t>01-112120202020-000-062501440001-2-NV003983-PRO006305-0-0-0</t>
  </si>
  <si>
    <t>01-112120202020-000-062501450001-2-NV003986-PRO006305-0-0-0</t>
  </si>
  <si>
    <t>01-112120202020-000-062501460001-2-NV003953-PRO006305-0-0-0</t>
  </si>
  <si>
    <t>01-112120202020-000-062501470001-2-NV003955-PRO006305-0-0-0</t>
  </si>
  <si>
    <t>01-112120202020-000-062501480001-2-NV003956-PRO006305-0-0-0</t>
  </si>
  <si>
    <t>01-112120202020-000-062501490001-2-NV003957-PRO006305-0-0-0</t>
  </si>
  <si>
    <t>01-112120202020-000-062501500001-2-NV003958-PRO006305-0-0-0</t>
  </si>
  <si>
    <t>01-112120202020-000-062501510001-2-NV003959-PRO006305-0-0-0</t>
  </si>
  <si>
    <t>01-112120202020-000-062501520001-2-NV003960-PRO006305-0-0-0</t>
  </si>
  <si>
    <t>01-112120202020-000-062501530001-2-NV003962-PRO006305-0-0-0</t>
  </si>
  <si>
    <t>01-112120202020-000-062501550001-2-NV003966-PRO006305-0-0-0</t>
  </si>
  <si>
    <t>01-112120202020-000-062501570001-2-NV003970-PRO006305-0-0-0</t>
  </si>
  <si>
    <t>01-112120202020-000-062501580001-2-NV003971-PRO006305-0-0-0</t>
  </si>
  <si>
    <t>01-112120202020-000-062501590001-2-NV003972-PRO006305-0-0-0</t>
  </si>
  <si>
    <t>01-112120202020-000-062501600001-2-NV003973-PRO006305-0-0-0</t>
  </si>
  <si>
    <t>01-112120202020-000-062501610001-2-NV003974-PRO006305-0-0-0</t>
  </si>
  <si>
    <t>01-112120202020-000-062501620001-2-NV003975-PRO006305-0-0-0</t>
  </si>
  <si>
    <t>01-112120202020-000-062501640001-2-NV003978-PRO006305-0-0-0</t>
  </si>
  <si>
    <t>01-112120202020-000-062501650001-2-NV003979-PRO006305-0-0-0</t>
  </si>
  <si>
    <t>01-112120202020-000-062501670001-2-NV003985-PRO006305-0-0-0</t>
  </si>
  <si>
    <t>NV003985</t>
  </si>
  <si>
    <t>01-112120202020-000-062501680001-2-NV004956-PRO006305-0-0-0</t>
  </si>
  <si>
    <t>01-112120202020-000-062501700001-2-NV004958-PRO006305-0-0-0</t>
  </si>
  <si>
    <t>01-112120202020-000-062501710001-2-NV004959-PRO006305-0-0-0</t>
  </si>
  <si>
    <t>NV004959</t>
  </si>
  <si>
    <t>01-112120202020-000-062502000001-1-NV006958-PRO006305-0-0-0</t>
  </si>
  <si>
    <t>01-112120202020-000-064501170001-2-NV008122-PRO006305-0-0-0</t>
  </si>
  <si>
    <t>01-112120203010-000-015501020001-1-NV006963-000000000-0-0-0</t>
  </si>
  <si>
    <t>547 P.1</t>
  </si>
  <si>
    <t>547 - OP TARIFA BANCARIA P.1</t>
  </si>
  <si>
    <t>01-112120203010-000-049501110001-1-NV006967-000000000-0-0-0</t>
  </si>
  <si>
    <t>01-112120301030-000-048501100001-1-NV006966-000000000-0-0-0</t>
  </si>
  <si>
    <t>GOLDEN DISTRIBUIDORA LTDA</t>
  </si>
  <si>
    <t>779424 P.1</t>
  </si>
  <si>
    <t>MARUMBI TECNOLOGIA LTDA ME</t>
  </si>
  <si>
    <t>13223 P.1</t>
  </si>
  <si>
    <t>Manutenção de Programa Produto</t>
  </si>
  <si>
    <t>5148 P.1</t>
  </si>
  <si>
    <t>2774 P.1</t>
  </si>
  <si>
    <t>319 P.1</t>
  </si>
  <si>
    <t>956 P.1</t>
  </si>
  <si>
    <t>957 P.1</t>
  </si>
  <si>
    <t>958 P.1</t>
  </si>
  <si>
    <t>01-112120502010-000-015501020001-1-NV006963-PRO006826-0-0-0</t>
  </si>
  <si>
    <t>320 P.1</t>
  </si>
  <si>
    <t>1000 P.1</t>
  </si>
  <si>
    <t>1001 P.1</t>
  </si>
  <si>
    <t>999 P.1</t>
  </si>
  <si>
    <t>01-112120502010-000-016501060001-1-NV006961-PRO006826-0-0-0</t>
  </si>
  <si>
    <t>01-112120502010-000-017501020004-2-NV006959-PRO006826-0-0-0</t>
  </si>
  <si>
    <t>01-112120502010-000-044501040001-1-NV006960-PRO006826-0-0-0</t>
  </si>
  <si>
    <t>01-112120502010-000-045501070001-1-NV006962-PRO006826-0-0-0</t>
  </si>
  <si>
    <t>01-112120502010-000-046501030001-1-NV006964-PRO006826-0-0-0</t>
  </si>
  <si>
    <t>01-112120502010-000-047501090001-1-NV006965-PRO006826-0-0-0</t>
  </si>
  <si>
    <t>01-112120502010-000-048501100001-1-NV006966-PRO006826-0-0-0</t>
  </si>
  <si>
    <t>01-112120502010-000-049501110001-1-NV006967-PRO006826-0-0-0</t>
  </si>
  <si>
    <t>01-112120502010-000-050501050001-2-NV006968-PRO006826-0-0-0</t>
  </si>
  <si>
    <t>01-112120502010-000-057501140001-2-NV006977-PRO006826-0-0-0</t>
  </si>
  <si>
    <t>01-112120502010-000-059501080001-2-NV007121-PRO006826-0-0-0</t>
  </si>
  <si>
    <t>01-112120502010-000-060501120001-2-NV006978-PRO005708-0-0-0</t>
  </si>
  <si>
    <t>01-112120502010-000-060501120001-2-NV006978-PRO006826-0-0-0</t>
  </si>
  <si>
    <t>01-112120502010-000-061501150001-2-NV007123-PRO006826-0-0-0</t>
  </si>
  <si>
    <t>01-112120502010-000-062501010016-2-NV004951-PRO006826-0-0-0</t>
  </si>
  <si>
    <t>01-112120502010-000-062501010017-2-NV004952-PRO006826-0-0-0</t>
  </si>
  <si>
    <t>01-112120502010-000-062501010018-2-NV004953-PRO006826-0-0-0</t>
  </si>
  <si>
    <t>01-112120502010-000-062501010019-2-NV004954-PRO006826-0-0-0</t>
  </si>
  <si>
    <t>01-112120502010-000-062501010020-2-NV004955-PRO006826-0-0-0</t>
  </si>
  <si>
    <t>01-112120502010-000-062501010021-2-NV004962-PRO006826-0-0-0</t>
  </si>
  <si>
    <t>01-112120502010-000-062501130001-2-NV000956-PRO006826-0-0-0</t>
  </si>
  <si>
    <t>01-112120502010-000-062501160001-2-NV009954-PRO006826-0-0-0</t>
  </si>
  <si>
    <t>01-112120502010-000-062501190001-2-NV008123-PRO006826-0-0-0</t>
  </si>
  <si>
    <t>01-112120502010-000-062501200001-2-NV009956-PRO006826-0-0-0</t>
  </si>
  <si>
    <t>01-112120502010-000-062501210001-2-NV000954-PRO006826-0-0-0</t>
  </si>
  <si>
    <t>01-112120502010-000-062501220001-2-NV009960-PRO006826-0-0-0</t>
  </si>
  <si>
    <t>01-112120502010-000-062501230001-2-NV000952-PRO006826-0-0-0</t>
  </si>
  <si>
    <t>01-112120502010-000-062501240001-2-NV009958-PRO005708-0-0-0</t>
  </si>
  <si>
    <t>01-112120502010-000-062501240001-2-NV009958-PRO006826-0-0-0</t>
  </si>
  <si>
    <t>01-112120502010-000-062501250001-2-NV000955-PRO006826-0-0-0</t>
  </si>
  <si>
    <t>01-112120502010-000-062501260001-2-NV009955-PRO006826-0-0-0</t>
  </si>
  <si>
    <t>01-112120502010-000-062501270001-2-NV009957-PRO006826-0-0-0</t>
  </si>
  <si>
    <t>01-112120502010-000-062501280001-2-NV000953-PRO006826-0-0-0</t>
  </si>
  <si>
    <t>01-112120502010-000-062501290001-2-NV009959-PRO006826-0-0-0</t>
  </si>
  <si>
    <t>01-112120502010-000-062501300001-2-NV000958-PRO006826-0-0-0</t>
  </si>
  <si>
    <t>01-112120502010-000-062501310001-2-NV000957-PRO006826-0-0-0</t>
  </si>
  <si>
    <t>01-112120502010-000-062501320001-2-NV002951-PRO006826-0-0-0</t>
  </si>
  <si>
    <t>01-112120502010-000-062501330001-2-NV002952-PRO006826-0-0-0</t>
  </si>
  <si>
    <t>01-112120502010-000-062501340001-2-NV003952-PRO006826-0-0-0</t>
  </si>
  <si>
    <t>01-112120502010-000-062501350001-2-NV003954-PRO006826-0-0-0</t>
  </si>
  <si>
    <t>01-112120502010-000-062501360001-2-NV003961-PRO006826-0-0-0</t>
  </si>
  <si>
    <t>01-112120502010-000-062501370001-2-NV003963-PRO006826-0-0-0</t>
  </si>
  <si>
    <t>01-112120502010-000-062501380001-2-NV003964-PRO006826-0-0-0</t>
  </si>
  <si>
    <t>01-112120502010-000-062501390001-2-NV003967-PRO006826-0-0-0</t>
  </si>
  <si>
    <t>01-112120502010-000-062501410001-2-NV003977-PRO006826-0-0-0</t>
  </si>
  <si>
    <t>01-112120502010-000-062501420001-2-NV003980-PRO006826-0-0-0</t>
  </si>
  <si>
    <t>01-112120502010-000-062501430001-2-NV003981-PRO006826-0-0-0</t>
  </si>
  <si>
    <t>01-112120502010-000-062501440001-2-NV003983-PRO006826-0-0-0</t>
  </si>
  <si>
    <t>01-112120502010-000-062501450001-2-NV003986-PRO006826-0-0-0</t>
  </si>
  <si>
    <t>01-112120502010-000-062501460001-2-NV003953-PRO006826-0-0-0</t>
  </si>
  <si>
    <t>01-112120502010-000-062501470001-2-NV003955-PRO006826-0-0-0</t>
  </si>
  <si>
    <t>01-112120502010-000-062501480001-2-NV003956-PRO006826-0-0-0</t>
  </si>
  <si>
    <t>01-112120502010-000-062501490001-2-NV003957-PRO006826-0-0-0</t>
  </si>
  <si>
    <t>01-112120502010-000-062501500001-2-NV003958-PRO006826-0-0-0</t>
  </si>
  <si>
    <t>01-112120502010-000-062501510001-2-NV003959-PRO006826-0-0-0</t>
  </si>
  <si>
    <t>01-112120502010-000-062501520001-2-NV003960-PRO006826-0-0-0</t>
  </si>
  <si>
    <t>01-112120502010-000-062501530001-2-NV003962-PRO006826-0-0-0</t>
  </si>
  <si>
    <t>01-112120502010-000-062501540001-2-NV003965-PRO006826-0-0-0</t>
  </si>
  <si>
    <t>01-112120502010-000-062501550001-2-NV003966-PRO005706-0-0-0</t>
  </si>
  <si>
    <t>01-112120502010-000-062501550001-2-NV003966-PRO006826-0-0-0</t>
  </si>
  <si>
    <t>01-112120502010-000-062501570001-2-NV003970-PRO006826-0-0-0</t>
  </si>
  <si>
    <t>01-112120502010-000-062501580001-2-NV003971-PRO006826-0-0-0</t>
  </si>
  <si>
    <t>01-112120502010-000-062501590001-2-NV003972-PRO006826-0-0-0</t>
  </si>
  <si>
    <t>01-112120502010-000-062501600001-2-NV003973-PRO006826-0-0-0</t>
  </si>
  <si>
    <t>01-112120502010-000-062501610001-2-NV003974-PRO006826-0-0-0</t>
  </si>
  <si>
    <t>01-112120502010-000-062501620001-2-NV003975-PRO006826-0-0-0</t>
  </si>
  <si>
    <t>01-112120502010-000-062501640001-2-NV003978-PRO006826-0-0-0</t>
  </si>
  <si>
    <t>01-112120502010-000-062501650001-2-NV003979-PRO006826-0-0-0</t>
  </si>
  <si>
    <t>01-112120502010-000-062501660001-2-NV003984-PRO006826-0-0-0</t>
  </si>
  <si>
    <t>01-112120502010-000-062501680001-2-NV004956-PRO006826-0-0-0</t>
  </si>
  <si>
    <t>01-112120502010-000-062501700001-2-NV004958-PRO006826-0-0-0</t>
  </si>
  <si>
    <t>01-112120502010-000-062501720001-2-NV004960-PRO006826-0-0-0</t>
  </si>
  <si>
    <t>01-112120502010-000-064501170001-2-NV008122-PRO006826-0-0-0</t>
  </si>
  <si>
    <t>01-112120502010-000-065501180001-2-NV008121-PRO005706-0-0-0</t>
  </si>
  <si>
    <t>01-112120502010-000-065501180001-2-NV008121-PRO006826-0-0-0</t>
  </si>
  <si>
    <t>Serviço de Recepçao Poupatempo</t>
  </si>
  <si>
    <t>999 GLOSA REF. VALOR COB. INDEV. SET/15 P.1</t>
  </si>
  <si>
    <t>5704 P.1</t>
  </si>
  <si>
    <t>995 P.1</t>
  </si>
  <si>
    <t>5707 P.1</t>
  </si>
  <si>
    <t>1814 P.1</t>
  </si>
  <si>
    <t>997 P.1</t>
  </si>
  <si>
    <t>998 P.1</t>
  </si>
  <si>
    <t>996 P.1</t>
  </si>
  <si>
    <t>994 P.1</t>
  </si>
  <si>
    <t>1815 P.1</t>
  </si>
  <si>
    <t>Serviço de Atendimento Poupatempo</t>
  </si>
  <si>
    <t>01-112120502050-000-046501030001-2-NV006964-PRO005978-0-0-0</t>
  </si>
  <si>
    <t>ISAIAS GOMES DE OLIVEIRA</t>
  </si>
  <si>
    <t>Indenizações Sobre Processos Trabalhistas</t>
  </si>
  <si>
    <t>DEP.JUD.TRAB.100009738720145020608 ISAIAS G P.1</t>
  </si>
  <si>
    <t>01-112120502050-000-047501090001-1-NV006965-PRO006151-0-0-0</t>
  </si>
  <si>
    <t>MARCOS ANTONIO DA SILVA</t>
  </si>
  <si>
    <t>DEP.JUD.TRAB.PROC.100001300320135020465MAR P.1</t>
  </si>
  <si>
    <t>01-112120502050-000-049501110001-1-NV006967-PRO006152-0-0-0</t>
  </si>
  <si>
    <t>ROGERIO DOS SANTOS QUEIROZ</t>
  </si>
  <si>
    <t>DEP.JUD.TRAB.PROC.00001910420135150113ROGER P.1</t>
  </si>
  <si>
    <t>01-112120502050-000-062501210001-2-NV000954-PRO006116-0-0-0</t>
  </si>
  <si>
    <t>DEIVID LUIZ DE SOUZA</t>
  </si>
  <si>
    <t>DEP.JUD.TRAB.PROC.00009614820115150151DEIVIDI P.1</t>
  </si>
  <si>
    <t>01-112120502050-000-062501260001-2-NV006975-000000000-0-0-0</t>
  </si>
  <si>
    <t>NV006975</t>
  </si>
  <si>
    <t>KLEBER KAWAGUTI</t>
  </si>
  <si>
    <t>DEP.JUD.TRAB.PROC.00100273720135150101KLEBER P.1</t>
  </si>
  <si>
    <t>01-112120502050-000-062501280001-2-NV000953-PRO006116-0-0-0</t>
  </si>
  <si>
    <t>JULIO CESAR MONTEIRO DA COSTA</t>
  </si>
  <si>
    <t>DEP.JUD.TRAB.PROC.00019549820125150008JUL P.1</t>
  </si>
  <si>
    <t>Manutenção de Equipamentos de Informatica</t>
  </si>
  <si>
    <t>46 P.1</t>
  </si>
  <si>
    <t>01-112120503020-000-017501020004-2-NV006959-000000000-0-0-0</t>
  </si>
  <si>
    <t>LHS ENGENHARIA EIRELE - ME</t>
  </si>
  <si>
    <t>241 P.1</t>
  </si>
  <si>
    <t>01-112120503020-000-062502000001-1-NV006958-PRO006579-0-0-0</t>
  </si>
  <si>
    <t>ALLEN RIO SERVIÇOS E COMÉRCIO DE PRODUTOS DE INFORMÁTICA LTDA</t>
  </si>
  <si>
    <t>8599 P.1</t>
  </si>
  <si>
    <t>8618 P.1</t>
  </si>
  <si>
    <t>Serviços de Instalação,Atendimento e Suporte a Ambiente de Rede</t>
  </si>
  <si>
    <t>4878 P.1</t>
  </si>
  <si>
    <t>4876 P.1</t>
  </si>
  <si>
    <t>4887 P.1</t>
  </si>
  <si>
    <t>4873 P.1</t>
  </si>
  <si>
    <t>4874 P.1</t>
  </si>
  <si>
    <t>4886 P.1</t>
  </si>
  <si>
    <t>4875 P.1</t>
  </si>
  <si>
    <t>4885 P.1</t>
  </si>
  <si>
    <t>4877 P.1</t>
  </si>
  <si>
    <t>4888 P.1</t>
  </si>
  <si>
    <t>4879 P.1</t>
  </si>
  <si>
    <t>4889 P.1</t>
  </si>
  <si>
    <t>4880 P.1</t>
  </si>
  <si>
    <t>4891 P.1</t>
  </si>
  <si>
    <t>4881 P.1</t>
  </si>
  <si>
    <t>4883 P.1</t>
  </si>
  <si>
    <t>4884 P.1</t>
  </si>
  <si>
    <t>4890 P.1</t>
  </si>
  <si>
    <t>20213 P.1</t>
  </si>
  <si>
    <t>4872 P.1</t>
  </si>
  <si>
    <t>4882 P.1</t>
  </si>
  <si>
    <t>4950 P.1</t>
  </si>
  <si>
    <t>Serviços de Implantação e Operacionalização postos Poupatempo</t>
  </si>
  <si>
    <t>1394 P.1</t>
  </si>
  <si>
    <t>1395 P.1</t>
  </si>
  <si>
    <t>538 P.1</t>
  </si>
  <si>
    <t>539 P.1</t>
  </si>
  <si>
    <t>27680 P.1</t>
  </si>
  <si>
    <t>3746 P.1</t>
  </si>
  <si>
    <t>89046 P.1</t>
  </si>
  <si>
    <t>17715 P.1</t>
  </si>
  <si>
    <t>6108 P.1</t>
  </si>
  <si>
    <t>533 P.1</t>
  </si>
  <si>
    <t>4293 P.1</t>
  </si>
  <si>
    <t>1398 P.1</t>
  </si>
  <si>
    <t>10195 P.1</t>
  </si>
  <si>
    <t>4285,04 P.1</t>
  </si>
  <si>
    <t>1409 P.1</t>
  </si>
  <si>
    <t>10199 P.1</t>
  </si>
  <si>
    <t>1015 P.1</t>
  </si>
  <si>
    <t>6105 P.1</t>
  </si>
  <si>
    <t>1308 glosa P.1</t>
  </si>
  <si>
    <t>29629 P.1</t>
  </si>
  <si>
    <t>4289 P.1</t>
  </si>
  <si>
    <t>1403 P.1</t>
  </si>
  <si>
    <t>1004 P.1</t>
  </si>
  <si>
    <t>6113 P.1</t>
  </si>
  <si>
    <t>542 P.1</t>
  </si>
  <si>
    <t>01-112120503040-000-062501200001-2-NV009956-PRO006802-0-0-0</t>
  </si>
  <si>
    <t>17735 P.1</t>
  </si>
  <si>
    <t>28950 P.1</t>
  </si>
  <si>
    <t>4250 P.1</t>
  </si>
  <si>
    <t>1344 P.1</t>
  </si>
  <si>
    <t>5205 P.1</t>
  </si>
  <si>
    <t>541 P.1</t>
  </si>
  <si>
    <t>01-112120503040-000-062501250001-2-NV000955-PRO006796-0-0-0</t>
  </si>
  <si>
    <t>29635 P.1</t>
  </si>
  <si>
    <t>10201 P.1</t>
  </si>
  <si>
    <t>29635 GLOSA P.1</t>
  </si>
  <si>
    <t>10201 GLOSA P.1</t>
  </si>
  <si>
    <t>5204 P.1</t>
  </si>
  <si>
    <t>17710,02 P.1</t>
  </si>
  <si>
    <t>418 P.1</t>
  </si>
  <si>
    <t>418 - GLOSA P.1</t>
  </si>
  <si>
    <t>29633 P.1</t>
  </si>
  <si>
    <t>4242 P.1</t>
  </si>
  <si>
    <t>29631 P.1</t>
  </si>
  <si>
    <t>4286 P.1</t>
  </si>
  <si>
    <t>1407 P.1</t>
  </si>
  <si>
    <t>29636 P.1</t>
  </si>
  <si>
    <t>4292 P.1</t>
  </si>
  <si>
    <t>1397 P.1</t>
  </si>
  <si>
    <t>27683 P.1</t>
  </si>
  <si>
    <t>3745 P.1</t>
  </si>
  <si>
    <t>17723 P.1</t>
  </si>
  <si>
    <t>27676 P.1</t>
  </si>
  <si>
    <t>3749 P.1</t>
  </si>
  <si>
    <t>89049 P.1</t>
  </si>
  <si>
    <t>27679 P.1</t>
  </si>
  <si>
    <t>3752 P.1</t>
  </si>
  <si>
    <t>89050 P.1</t>
  </si>
  <si>
    <t>27681 P.1</t>
  </si>
  <si>
    <t>3747 P.1</t>
  </si>
  <si>
    <t>89047 P.1</t>
  </si>
  <si>
    <t>4294 P.1</t>
  </si>
  <si>
    <t>1399 P.1</t>
  </si>
  <si>
    <t>10194 P.1</t>
  </si>
  <si>
    <t>27682 P.1</t>
  </si>
  <si>
    <t>3748 P.1</t>
  </si>
  <si>
    <t>89048 P.1</t>
  </si>
  <si>
    <t>4295 P.1</t>
  </si>
  <si>
    <t>1400 P.1</t>
  </si>
  <si>
    <t>10196 P.1</t>
  </si>
  <si>
    <t>27678 P.1</t>
  </si>
  <si>
    <t>3751 P.1</t>
  </si>
  <si>
    <t>89051 P.1</t>
  </si>
  <si>
    <t>17717 P.1</t>
  </si>
  <si>
    <t>6106 P.1</t>
  </si>
  <si>
    <t>17716 P.1</t>
  </si>
  <si>
    <t>6107 P.1</t>
  </si>
  <si>
    <t>544,02 P.1</t>
  </si>
  <si>
    <t>27677 P.1</t>
  </si>
  <si>
    <t>3750 P.1</t>
  </si>
  <si>
    <t>89052 P.1</t>
  </si>
  <si>
    <t>4296 P.1</t>
  </si>
  <si>
    <t>1401 P.1</t>
  </si>
  <si>
    <t>10197 P.1</t>
  </si>
  <si>
    <t>17720 P.1</t>
  </si>
  <si>
    <t>1309 P.1</t>
  </si>
  <si>
    <t>9910 P.1</t>
  </si>
  <si>
    <t>1309 - GLOSA P.1</t>
  </si>
  <si>
    <t>17721 P.1</t>
  </si>
  <si>
    <t>1006 P.1</t>
  </si>
  <si>
    <t>6109 P.1</t>
  </si>
  <si>
    <t>540 P.1</t>
  </si>
  <si>
    <t>17713 P.1</t>
  </si>
  <si>
    <t>9908 P.1</t>
  </si>
  <si>
    <t>1312 - GLOSA P.1</t>
  </si>
  <si>
    <t>17714 P.1</t>
  </si>
  <si>
    <t>1310 P.1</t>
  </si>
  <si>
    <t>9907 P.1</t>
  </si>
  <si>
    <t>1310 - GLOSA P.1</t>
  </si>
  <si>
    <t>17775 P.1</t>
  </si>
  <si>
    <t>1314 P.1</t>
  </si>
  <si>
    <t>9932 P.1</t>
  </si>
  <si>
    <t>1314 - GLOSA P.1</t>
  </si>
  <si>
    <t>1009 P.1</t>
  </si>
  <si>
    <t>82 P.1</t>
  </si>
  <si>
    <t>1005 P.1</t>
  </si>
  <si>
    <t>6104 P.1</t>
  </si>
  <si>
    <t>545 P.1</t>
  </si>
  <si>
    <t>17719 P.1</t>
  </si>
  <si>
    <t>1007 P.1</t>
  </si>
  <si>
    <t>1010 P.1</t>
  </si>
  <si>
    <t>6110 P.1</t>
  </si>
  <si>
    <t>535 P.1</t>
  </si>
  <si>
    <t>6111 P.1</t>
  </si>
  <si>
    <t>546 P.1</t>
  </si>
  <si>
    <t>6112 P.1</t>
  </si>
  <si>
    <t>536 P.1</t>
  </si>
  <si>
    <t>1011 P.1</t>
  </si>
  <si>
    <t>17718 P.1</t>
  </si>
  <si>
    <t>1311 P.1</t>
  </si>
  <si>
    <t>9909 P.1</t>
  </si>
  <si>
    <t>1311 - GLOSA P.1</t>
  </si>
  <si>
    <t>17712 P.1</t>
  </si>
  <si>
    <t>1008 P.1</t>
  </si>
  <si>
    <t>1012 P.1</t>
  </si>
  <si>
    <t>27685 P.1</t>
  </si>
  <si>
    <t>3753 P.1</t>
  </si>
  <si>
    <t>27684 P.1</t>
  </si>
  <si>
    <t>3754 P.1</t>
  </si>
  <si>
    <t>6114 P.1</t>
  </si>
  <si>
    <t>534 P.1</t>
  </si>
  <si>
    <t>17711 P.1</t>
  </si>
  <si>
    <t>1003 P.1</t>
  </si>
  <si>
    <t>4291 P.1</t>
  </si>
  <si>
    <t>1396 P.1</t>
  </si>
  <si>
    <t>10198 P.1</t>
  </si>
  <si>
    <t>01-112120601010-000-016501060001-1-NV006961-PRO006358-0-0-0</t>
  </si>
  <si>
    <t>SANTOMARENSE EMPREENDIMENTOS PART. E AGROP. LTDA.</t>
  </si>
  <si>
    <t>Aluguéis</t>
  </si>
  <si>
    <t>ALUGUEL PPT SANTO AMARO REF. OUT/15 P.1</t>
  </si>
  <si>
    <t>01-112120601010-000-044501040001-1-NV006960-PRO005715-0-0-0</t>
  </si>
  <si>
    <t>DEPEJOTA DE PARTICIPAÇÕES LTDA</t>
  </si>
  <si>
    <t>ALUGUEL (BEL) PPT CAMPINAS CENTRO REF. OUT/15 P.1</t>
  </si>
  <si>
    <t>NOVA EDIÇÃO COMPÊNDIOS E PALESTRAS LTDA</t>
  </si>
  <si>
    <t>ALUGUEL (ALS) PPT CAMPINAS CENTRO REF. OUT/15 P.1</t>
  </si>
  <si>
    <t>01-112120601010-000-045501070001-1-NV006962-000000000-0-0-0</t>
  </si>
  <si>
    <t>EMPREENDIMENTOS SHOPPING COLINAS</t>
  </si>
  <si>
    <t>ALUGUEL PPT S. J. DOS CAMPOS REF. OUT/15 P.1</t>
  </si>
  <si>
    <t>01-112120601010-000-050501050001-2-NV006968-PRO005509-0-0-0</t>
  </si>
  <si>
    <t>CONSÓRCIO EMPREENDEDOR CAMPINAS SHOPPING CENTER</t>
  </si>
  <si>
    <t>ALUGUEL (DETRAN) PPT CAMPINAS SHOPPING OUT/15 P.1</t>
  </si>
  <si>
    <t>ALUGUEL PPT CAMPINAS SHOPPING REF. OUT/15 P.1</t>
  </si>
  <si>
    <t>01-112120601010-000-062501270001-2-NV009957-PRO006528-0-0-0</t>
  </si>
  <si>
    <t>CONDOMÍNIO SHOPPING CENTER RIO CLARO</t>
  </si>
  <si>
    <t>ALUGUEL PPT RIO CLARO REF. OUT/15 P.1</t>
  </si>
  <si>
    <t>01-112120601010-000-062501530001-2-NV003962-PRO006601-0-0-0</t>
  </si>
  <si>
    <t>APUÂNIA INVESTIMENTOS IMOBILIÁRIOS LTDA</t>
  </si>
  <si>
    <t>ALUGUEL PPT CARAPICUÍBA REF. OUT/15 P.1</t>
  </si>
  <si>
    <t>01-112120601010-000-062502000007-2-NV000954-PRO005618-0-0-0</t>
  </si>
  <si>
    <t>ARENCO PROJETOS E CONTRUÇÕES LTDA</t>
  </si>
  <si>
    <t>ALUGUEL (50%) PPT ARARAQUARA REF. OUT/15 P.1</t>
  </si>
  <si>
    <t>PEREIRA ALVIM PATICIPAÇÕES E EMPREENDIMENTOS LTDA</t>
  </si>
  <si>
    <t>01-112120601010-000-062502000020-2-NV009959-000000000-0-0-0</t>
  </si>
  <si>
    <t>CASTELLABATE PARTICIPAÇÕES E INVESTIMENTOS LTDA</t>
  </si>
  <si>
    <t>ALUGUEL PPT TATUÍ REF. OUT/15 P.1</t>
  </si>
  <si>
    <t>01-112120601020-000-045501070001-1-NV006962-000000000-0-0-0</t>
  </si>
  <si>
    <t>CONDOMINIO SHOPPING COLINAS</t>
  </si>
  <si>
    <t>Condomínios</t>
  </si>
  <si>
    <t>CONDOMÍNIO PPT S. J. DOS CAMPOS REF. OUT/15 P.1</t>
  </si>
  <si>
    <t>01-112120601020-000-050501050001-2-NV006968-PRO005509-0-0-0</t>
  </si>
  <si>
    <t>CONDOMÍNIO PPT CAMPINAS SHOPPING REF. OUT/15 P.1</t>
  </si>
  <si>
    <t>01-112120601020-000-062501270001-2-NV009957-PRO006528-0-0-0</t>
  </si>
  <si>
    <t>CONDOMÍNIO PPT RIO CLARO REF. OUT/15 P.1</t>
  </si>
  <si>
    <t>01-112120601030-000-046501030001-1-NV006964-000000000-0-0-0</t>
  </si>
  <si>
    <t>COMPANHIA DO METROPOLITANO DE SÃO PAULO - METRÔ</t>
  </si>
  <si>
    <t>Impostos e Taxas</t>
  </si>
  <si>
    <t>IPTÚ PPT ITAQUERA REF. 2015 - PARC. 06/07 P.1</t>
  </si>
  <si>
    <t>01-112120601050-000-015501020001-1-NV006963-000000000-0-0-0</t>
  </si>
  <si>
    <t>SIBERIANO COMÉRCIO DE PEÇAS DE REFRIGERAÇÃO EIRELI - ME</t>
  </si>
  <si>
    <t>69 P.1</t>
  </si>
  <si>
    <t>69 - OP TARIFA BANCARIA P.1</t>
  </si>
  <si>
    <t>01-112120601050-000-016501060001-1-NV006961-000000000-0-0-0</t>
  </si>
  <si>
    <t>54 P.1</t>
  </si>
  <si>
    <t>54 - OP TARIFA BANCARIA P.1</t>
  </si>
  <si>
    <t>01-112120601050-000-046501030001-1-NV006964-000000000-0-0-0</t>
  </si>
  <si>
    <t>GLASS REMOVIVEIS LTDA - ME</t>
  </si>
  <si>
    <t>82 - OP TARIFA BANCARIA P.1</t>
  </si>
  <si>
    <t>01-112120601050-000-048501100001-1-NV006966-000000000-0-0-0</t>
  </si>
  <si>
    <t>EDMARCAS REFRIGERAÇÃO COMERCIAL LTDA</t>
  </si>
  <si>
    <t>46141 P.1</t>
  </si>
  <si>
    <t>FFIXOPTG12-15 NV P.1</t>
  </si>
  <si>
    <t>01-112120601060-000-015501020003-2-NV006963-000000000-0-0-0</t>
  </si>
  <si>
    <t>FFIXO PTS 062-15NV P.1</t>
  </si>
  <si>
    <t>01-112120601060-000-016501060001-1-NV006961-000000000-0-0-0</t>
  </si>
  <si>
    <t>59660 P.1</t>
  </si>
  <si>
    <t>01-112120601060-000-016501060003-2-NV006961-000000000-0-0-0</t>
  </si>
  <si>
    <t>FFIXOPTA027-15NV P.1</t>
  </si>
  <si>
    <t>01-112120601060-000-017501020004-2-NV006959-000000000-0-0-0</t>
  </si>
  <si>
    <t>FFIXO_PTSI_80-15NV P.1</t>
  </si>
  <si>
    <t>FFIXO_PTSI_82-15NV P.1</t>
  </si>
  <si>
    <t>FFIXO_PTSI_84-15NV P.1</t>
  </si>
  <si>
    <t>FFIXO_PTSI_85-15NV P.1</t>
  </si>
  <si>
    <t>99 P.1</t>
  </si>
  <si>
    <t>01-112120601060-000-044501040001-1-NV006960-000000000-0-0-0</t>
  </si>
  <si>
    <t>CASA DOS BEBEDOUROS LTDA</t>
  </si>
  <si>
    <t>63771 P.1</t>
  </si>
  <si>
    <t>DANIELA NASCIMENTO FERREIRA SOARES 41851974890</t>
  </si>
  <si>
    <t>16 P.1</t>
  </si>
  <si>
    <t>IMPERIAL COMÉRCIO DE PISOS E REVESTIMENTOS LTDA - ME</t>
  </si>
  <si>
    <t>211 P.1</t>
  </si>
  <si>
    <t>FFIXO_PTC_39-15NV P.1</t>
  </si>
  <si>
    <t>H. P. HACHIYA FUENTES ME</t>
  </si>
  <si>
    <t>445 P.1</t>
  </si>
  <si>
    <t>445 - OP TARIFA BANCARIA P.1</t>
  </si>
  <si>
    <t>01-112120601060-000-045501070001-1-NV006962-000000000-0-0-0</t>
  </si>
  <si>
    <t>FFIXO_PTJ_003-15N P.1</t>
  </si>
  <si>
    <t>FFIXO_PTJ_004-15N P.1</t>
  </si>
  <si>
    <t>FFIXO_PTJ_005-15N P.1</t>
  </si>
  <si>
    <t>FFIXO_PTJ_006-15N P.1</t>
  </si>
  <si>
    <t>FFIXO_PTJ_007-15N P.1</t>
  </si>
  <si>
    <t>01-112120601060-000-047501090001-1-NV006965-000000000-0-0-0</t>
  </si>
  <si>
    <t>FFIXO_PTB_016-15NV P.1</t>
  </si>
  <si>
    <t>1200 ISS COMETA 04080068 (PTB 16/15NV) P.1</t>
  </si>
  <si>
    <t>FFIXO_PTB_017-15NV P.1</t>
  </si>
  <si>
    <t>01-112120601060-000-047501090001-1-NV006965-PRO006461-0-0-0</t>
  </si>
  <si>
    <t>1294 P.1</t>
  </si>
  <si>
    <t>01-112120601060-000-048501100001-1-NV006966-000000000-0-0-0</t>
  </si>
  <si>
    <t>207 P.1</t>
  </si>
  <si>
    <t>FFIXOPTG11-15 NV P.1</t>
  </si>
  <si>
    <t>ELETROTEM COMERCIAL LTDA</t>
  </si>
  <si>
    <t>19145 P.1</t>
  </si>
  <si>
    <t>60055 P.1</t>
  </si>
  <si>
    <t>17 P.1</t>
  </si>
  <si>
    <t>411 ISS CEGARAO 10464526 (PTG 11/15NV) P.1</t>
  </si>
  <si>
    <t>Reps e Consertos de Outros Equip Não Operacionais</t>
  </si>
  <si>
    <t>337059 P.1</t>
  </si>
  <si>
    <t>01-112120601060-000-049501110001-1-NV006967-000000000-0-0-0</t>
  </si>
  <si>
    <t>REGIONAL COMERCIO DE MATERIAIS ELETRICOS LTDA</t>
  </si>
  <si>
    <t>28021 P.1</t>
  </si>
  <si>
    <t>01-112120601060-000-049501110003-2-NV006967-000000000-0-0-0</t>
  </si>
  <si>
    <t>FFIXO PTR 27-15N P.1</t>
  </si>
  <si>
    <t>FFIXO PTR 28-15N P.1</t>
  </si>
  <si>
    <t>01-112120601060-000-050501050001-2-NV006968-000000000-0-0-0</t>
  </si>
  <si>
    <t>8876 P.1</t>
  </si>
  <si>
    <t>8876 - GLOSA P.1</t>
  </si>
  <si>
    <t>01-112120601060-000-062501690001-2-NV004957-000000000-0-0-0</t>
  </si>
  <si>
    <t>NV004957</t>
  </si>
  <si>
    <t>FFIXO_SCN_06_15N P.1</t>
  </si>
  <si>
    <t>01-112120601080-000-016501060001-1-NV006961-PRO006305-0-0-0</t>
  </si>
  <si>
    <t>Seguros de Edifícios e Instalações</t>
  </si>
  <si>
    <t>01-112120601080-000-017501020004-2-NV006959-PRO006305-0-0-0</t>
  </si>
  <si>
    <t>01-112120601080-000-044501040001-1-NV006960-PRO006305-0-0-0</t>
  </si>
  <si>
    <t>01-112120601080-000-045501070001-1-NV006962-PRO006305-0-0-0</t>
  </si>
  <si>
    <t>01-112120601080-000-046501030001-1-NV006964-PRO006305-0-0-0</t>
  </si>
  <si>
    <t>01-112120601080-000-047501090001-1-NV006965-PRO006305-0-0-0</t>
  </si>
  <si>
    <t>01-112120601080-000-048501100001-1-NV006966-PRO006305-0-0-0</t>
  </si>
  <si>
    <t>01-112120601080-000-049501110001-1-NV006967-PRO006305-0-0-0</t>
  </si>
  <si>
    <t>01-112120601080-000-050501050001-2-NV006968-PRO006305-0-0-0</t>
  </si>
  <si>
    <t>01-112120601080-000-059501080001-2-NV007121-PRO006305-0-0-0</t>
  </si>
  <si>
    <t>01-112120601080-000-062501280001-2-NV000953-PRO006305-0-0-0</t>
  </si>
  <si>
    <t>01-112120602010-000-016501060001-1-NV006961-PRO006057-0-0-0</t>
  </si>
  <si>
    <t>CREL ELEVADORES LTDA.</t>
  </si>
  <si>
    <t>Elevadores</t>
  </si>
  <si>
    <t>87590 P.1</t>
  </si>
  <si>
    <t>88395 P.1</t>
  </si>
  <si>
    <t>43702 P.1</t>
  </si>
  <si>
    <t>99066 P.1</t>
  </si>
  <si>
    <t>739124 P.1</t>
  </si>
  <si>
    <t>309208 P.1</t>
  </si>
  <si>
    <t>36641 P.1</t>
  </si>
  <si>
    <t>01-112120602020-000-015501020001-1-NV006963-PRO006282-0-0-0</t>
  </si>
  <si>
    <t>MONTALL INSTALAÇÕES E COM. DE MATERIAIS HID. LTDA</t>
  </si>
  <si>
    <t>1856 P.1</t>
  </si>
  <si>
    <t>01-112120602020-000-045501070001-1-NV006962-PRO006807-0-0-0</t>
  </si>
  <si>
    <t>LUIZ GESSIVALDO DE JESUS SILVA - ME</t>
  </si>
  <si>
    <t>1775 P.1</t>
  </si>
  <si>
    <t>1775 glosa P.1</t>
  </si>
  <si>
    <t>01-112120602020-000-046501030001-1-NV006964-PRO005915-0-0-0</t>
  </si>
  <si>
    <t>AIR CARE DO BRASIL LTDA</t>
  </si>
  <si>
    <t>1228 P.1</t>
  </si>
  <si>
    <t>01-112120602020-000-047501090001-1-NV006965-PRO006793-0-0-0</t>
  </si>
  <si>
    <t>1227 P.1</t>
  </si>
  <si>
    <t>13406,02 P.1</t>
  </si>
  <si>
    <t>Outros Serviços</t>
  </si>
  <si>
    <t>985 P.1</t>
  </si>
  <si>
    <t>357 P.1</t>
  </si>
  <si>
    <t>350 P.1</t>
  </si>
  <si>
    <t>356 P.1</t>
  </si>
  <si>
    <t>358 P.1</t>
  </si>
  <si>
    <t>3787 P.1</t>
  </si>
  <si>
    <t>984 P.1</t>
  </si>
  <si>
    <t>979 P.1</t>
  </si>
  <si>
    <t>361 P.1</t>
  </si>
  <si>
    <t>359 P.1</t>
  </si>
  <si>
    <t>01-112120605010-000-015501020001-1-NV006963-000000000-0-0-0</t>
  </si>
  <si>
    <t>ELETROTEC SISTEMAS E ENERGIA LTDA - EPP</t>
  </si>
  <si>
    <t>No Break</t>
  </si>
  <si>
    <t>7403 P.1</t>
  </si>
  <si>
    <t>01-112120605020-000-044501040001-1-NV006960-000000000-0-0-0</t>
  </si>
  <si>
    <t>01-112120605020-000-048501100001-1-NV006966-000000000-0-0-0</t>
  </si>
  <si>
    <t>01-112120606030-000-045501070001-1-NV006962-000000000-0-0-0</t>
  </si>
  <si>
    <t>01-112120607060-000-015501020001-1-NV006963-PRO006374-0-0-0</t>
  </si>
  <si>
    <t>ALLIANZ SEGUROS S/A</t>
  </si>
  <si>
    <t>Seguro de Transportes</t>
  </si>
  <si>
    <t>64100009 P.1</t>
  </si>
  <si>
    <t>01-112120607060-000-016501060001-1-NV006961-PRO006374-0-0-0</t>
  </si>
  <si>
    <t>01-112120607060-000-017501020004-2-NV006959-PRO006374-0-0-0</t>
  </si>
  <si>
    <t>01-112120607060-000-044501040001-1-NV006960-PRO006374-0-0-0</t>
  </si>
  <si>
    <t>01-112120607060-000-045501070001-1-NV006962-PRO006374-0-0-0</t>
  </si>
  <si>
    <t>01-112120607060-000-046501030001-1-NV006964-PRO006374-0-0-0</t>
  </si>
  <si>
    <t>01-112120607060-000-047501090001-1-NV006965-PRO006374-0-0-0</t>
  </si>
  <si>
    <t>01-112120607060-000-048501100001-1-NV006966-PRO006374-0-0-0</t>
  </si>
  <si>
    <t>01-112120607060-000-049501110003-2-NV006958-PRO006374-0-0-0</t>
  </si>
  <si>
    <t>01-112120607060-000-050501050001-1-NV006968-PRO006374-0-0-0</t>
  </si>
  <si>
    <t>01-112120608100-000-001500000003-1-NV006958-PRO006605-0-0-0</t>
  </si>
  <si>
    <t>ESTAGIARIOS</t>
  </si>
  <si>
    <t>Estagiários</t>
  </si>
  <si>
    <t>BOLSA AUXILIO REF OUT-15 P.1</t>
  </si>
  <si>
    <t>01-112120608100-000-015501020001-1-NV006963-PRO006605-0-0-0</t>
  </si>
  <si>
    <t>01-112120608100-000-016501060001-1-NV006961-PRO006605-0-0-0</t>
  </si>
  <si>
    <t>01-112120608100-000-016501060002-2-NV006961-PRO006605-0-0-0</t>
  </si>
  <si>
    <t>01-112120608100-000-016501060003-2-NV006961-PRO006605-0-0-0</t>
  </si>
  <si>
    <t>01-112120608100-000-045501070002-2-NV006962-PRO006605-0-0-0</t>
  </si>
  <si>
    <t>01-112120608100-000-046501030001-1-NV006964-PRO006605-0-0-0</t>
  </si>
  <si>
    <t>01-112120608100-000-047501090003-2-NV006965-PRO006605-0-0-0</t>
  </si>
  <si>
    <t>01-112120608100-000-049501110003-2-NV006967-PRO006605-0-0-0</t>
  </si>
  <si>
    <t>01-112120608100-000-050501050001-2-NV006968-PRO006605-0-0-0</t>
  </si>
  <si>
    <t>PHUP-IN-320/15 PGTO BOLSA AUXILIO OUT-15 P.1</t>
  </si>
  <si>
    <t>01-112120608100-000-062501000001-1-NV006958-PRO006605-0-0-0</t>
  </si>
  <si>
    <t>Diversos Valores a Pagar</t>
  </si>
  <si>
    <t>01-112120608100-000-062501000002-1-NV006958-PRO006605-0-0-0</t>
  </si>
  <si>
    <t>01-112120608100-000-062502000054-2-NV006968-PRO006605-0-0-0</t>
  </si>
  <si>
    <t>01-112120608100-000-062502010001-2-NV006958-PRO006605-0-0-0</t>
  </si>
  <si>
    <t>Consultoria Externa</t>
  </si>
  <si>
    <t>4065 P.1</t>
  </si>
  <si>
    <t>4065 - OP TARIFA BANCARIA P.1</t>
  </si>
  <si>
    <t>8994 P.1</t>
  </si>
  <si>
    <t>8987 P.1</t>
  </si>
  <si>
    <t>01-112120610020-000-062502000001-1-NV006958-PRO006688-0-0-0</t>
  </si>
  <si>
    <t>FUNDAÇÃO INSTITUTO DE PESQUISAS ECONOMICAS FIPE</t>
  </si>
  <si>
    <t>35806 P.1</t>
  </si>
  <si>
    <t>Vigilância</t>
  </si>
  <si>
    <t>16268 P.1</t>
  </si>
  <si>
    <t>8890 P.1</t>
  </si>
  <si>
    <t>830 P.1</t>
  </si>
  <si>
    <t>8985 P.1</t>
  </si>
  <si>
    <t>16267 P.1</t>
  </si>
  <si>
    <t>8896 P.1</t>
  </si>
  <si>
    <t>8889 P.1</t>
  </si>
  <si>
    <t>16265 P.1</t>
  </si>
  <si>
    <t>1694 P.1</t>
  </si>
  <si>
    <t>12125 P.1</t>
  </si>
  <si>
    <t>16291 P.1</t>
  </si>
  <si>
    <t>16311 P.1</t>
  </si>
  <si>
    <t>16305 P.1</t>
  </si>
  <si>
    <t>16306 P.1</t>
  </si>
  <si>
    <t>16276 P.1</t>
  </si>
  <si>
    <t>16302 P.1</t>
  </si>
  <si>
    <t>16300 P.1</t>
  </si>
  <si>
    <t>1527 P.1</t>
  </si>
  <si>
    <t>16293 P.1</t>
  </si>
  <si>
    <t>16295 P.1</t>
  </si>
  <si>
    <t>16273 P.1</t>
  </si>
  <si>
    <t>16264 P.1</t>
  </si>
  <si>
    <t>1698 P.1</t>
  </si>
  <si>
    <t>16308 P.1</t>
  </si>
  <si>
    <t>8986 P.1</t>
  </si>
  <si>
    <t>16307 P.1</t>
  </si>
  <si>
    <t>12002 P.1</t>
  </si>
  <si>
    <t>16304 P.1</t>
  </si>
  <si>
    <t>16263 P.1</t>
  </si>
  <si>
    <t>16274 P.1</t>
  </si>
  <si>
    <t>16301 P.1</t>
  </si>
  <si>
    <t>16303 P.1</t>
  </si>
  <si>
    <t>16290 P.1</t>
  </si>
  <si>
    <t>16292 P.1</t>
  </si>
  <si>
    <t>16294 P.1</t>
  </si>
  <si>
    <t>16272 P.1</t>
  </si>
  <si>
    <t>16275 P.1</t>
  </si>
  <si>
    <t>16296 P.1</t>
  </si>
  <si>
    <t>16298 P.1</t>
  </si>
  <si>
    <t>16266 P.1</t>
  </si>
  <si>
    <t>16299 P.1</t>
  </si>
  <si>
    <t>16312 P.1</t>
  </si>
  <si>
    <t>16297 P.1</t>
  </si>
  <si>
    <t>16309 P.1</t>
  </si>
  <si>
    <t>16379 P.1</t>
  </si>
  <si>
    <t>2158 P.1</t>
  </si>
  <si>
    <t>2967 P.1</t>
  </si>
  <si>
    <t>6229 P.1</t>
  </si>
  <si>
    <t>16457 P.1</t>
  </si>
  <si>
    <t>2157 P.1</t>
  </si>
  <si>
    <t>2966 P.1</t>
  </si>
  <si>
    <t>6230 P.1</t>
  </si>
  <si>
    <t>16370 P.1</t>
  </si>
  <si>
    <t>15753 P.1</t>
  </si>
  <si>
    <t>16458 P.1</t>
  </si>
  <si>
    <t>2159 P.1</t>
  </si>
  <si>
    <t>2968 P.1</t>
  </si>
  <si>
    <t>6233 P.1</t>
  </si>
  <si>
    <t>2205 P.1</t>
  </si>
  <si>
    <t>2224 P.1</t>
  </si>
  <si>
    <t>3013 P.1</t>
  </si>
  <si>
    <t>6289 P.1</t>
  </si>
  <si>
    <t>2160 P.1</t>
  </si>
  <si>
    <t>2969 P.1</t>
  </si>
  <si>
    <t>2163 P.1</t>
  </si>
  <si>
    <t>2972 P.1</t>
  </si>
  <si>
    <t>6227 P.1</t>
  </si>
  <si>
    <t>2156 P.1</t>
  </si>
  <si>
    <t>2965 P.1</t>
  </si>
  <si>
    <t>6228,02 P.1</t>
  </si>
  <si>
    <t>2260 P.1</t>
  </si>
  <si>
    <t>2170 P.1</t>
  </si>
  <si>
    <t>2982 P.1</t>
  </si>
  <si>
    <t>6265 P.1</t>
  </si>
  <si>
    <t>2179 P.1</t>
  </si>
  <si>
    <t>2997 P.1</t>
  </si>
  <si>
    <t>6290 P.1</t>
  </si>
  <si>
    <t>2177 P.1</t>
  </si>
  <si>
    <t>2995 P.1</t>
  </si>
  <si>
    <t>2207 P.1</t>
  </si>
  <si>
    <t>3015 P.1</t>
  </si>
  <si>
    <t>6286 P.1</t>
  </si>
  <si>
    <t>2217 P.1</t>
  </si>
  <si>
    <t>3028,02 P.1</t>
  </si>
  <si>
    <t>6269 P.1</t>
  </si>
  <si>
    <t>2172 P.1</t>
  </si>
  <si>
    <t>2984 P.1</t>
  </si>
  <si>
    <t>6271 P.1</t>
  </si>
  <si>
    <t>2196 P.1</t>
  </si>
  <si>
    <t>3005 P.1</t>
  </si>
  <si>
    <t>6284 P.1</t>
  </si>
  <si>
    <t>2215 P.1</t>
  </si>
  <si>
    <t>3026,02 P.1</t>
  </si>
  <si>
    <t>6267 P.1</t>
  </si>
  <si>
    <t>5019 P.1</t>
  </si>
  <si>
    <t>2206 P.1</t>
  </si>
  <si>
    <t>3014 P.1</t>
  </si>
  <si>
    <t>6287 P.1</t>
  </si>
  <si>
    <t>2050 P.1</t>
  </si>
  <si>
    <t>2176 P.1</t>
  </si>
  <si>
    <t>2994 P.1</t>
  </si>
  <si>
    <t>6295 P.1</t>
  </si>
  <si>
    <t>6261 P.1</t>
  </si>
  <si>
    <t>2225 P.1</t>
  </si>
  <si>
    <t>3033 P.1</t>
  </si>
  <si>
    <t>2221 P.1</t>
  </si>
  <si>
    <t>3030 P.1</t>
  </si>
  <si>
    <t>6262 P.1</t>
  </si>
  <si>
    <t>2220 P.1</t>
  </si>
  <si>
    <t>3017 P.1</t>
  </si>
  <si>
    <t>6293 P.1</t>
  </si>
  <si>
    <t>2059 P.1</t>
  </si>
  <si>
    <t>2180 P.1</t>
  </si>
  <si>
    <t>2998 P.1</t>
  </si>
  <si>
    <t>6281 P.1</t>
  </si>
  <si>
    <t>2216 P.1</t>
  </si>
  <si>
    <t>3027,02 P.1</t>
  </si>
  <si>
    <t>6268 P.1</t>
  </si>
  <si>
    <t>2200 P.1</t>
  </si>
  <si>
    <t>3006 P.1</t>
  </si>
  <si>
    <t>6292 P.1</t>
  </si>
  <si>
    <t>3669 P.1</t>
  </si>
  <si>
    <t>2227 P.1</t>
  </si>
  <si>
    <t>3029 P.1</t>
  </si>
  <si>
    <t>6272 P.1</t>
  </si>
  <si>
    <t>2974 P.1</t>
  </si>
  <si>
    <t>2201 P.1</t>
  </si>
  <si>
    <t>3007 P.1</t>
  </si>
  <si>
    <t>6285 P.1</t>
  </si>
  <si>
    <t>2222 P.1</t>
  </si>
  <si>
    <t>3031 P.1</t>
  </si>
  <si>
    <t>6263 P.1</t>
  </si>
  <si>
    <t>2171 P.1</t>
  </si>
  <si>
    <t>2983 P.1</t>
  </si>
  <si>
    <t>6270 P.1</t>
  </si>
  <si>
    <t>2155 P.1</t>
  </si>
  <si>
    <t>2964 P.1</t>
  </si>
  <si>
    <t>6226 P.1</t>
  </si>
  <si>
    <t>2993 P.1</t>
  </si>
  <si>
    <t>2175 P.1</t>
  </si>
  <si>
    <t>6282 P.1</t>
  </si>
  <si>
    <t>2219 P.1</t>
  </si>
  <si>
    <t>3016 P.1</t>
  </si>
  <si>
    <t>6288 P.1</t>
  </si>
  <si>
    <t>2162 P.1</t>
  </si>
  <si>
    <t>2971 P.1</t>
  </si>
  <si>
    <t>6232 P.1</t>
  </si>
  <si>
    <t>2223 P.1</t>
  </si>
  <si>
    <t>3032 P.1</t>
  </si>
  <si>
    <t>6264 P.1</t>
  </si>
  <si>
    <t>2178 P.1</t>
  </si>
  <si>
    <t>2996 P.1</t>
  </si>
  <si>
    <t>6294 P.1</t>
  </si>
  <si>
    <t>2202 P.1</t>
  </si>
  <si>
    <t>3012 P.1</t>
  </si>
  <si>
    <t>6291 P.1</t>
  </si>
  <si>
    <t>2194 P.1</t>
  </si>
  <si>
    <t>3004 P.1</t>
  </si>
  <si>
    <t>6231 P.1</t>
  </si>
  <si>
    <t>2226 P.1</t>
  </si>
  <si>
    <t>3034 P.1</t>
  </si>
  <si>
    <t>01-112120611030-000-015501020001-1-NV006963-PRO006173-0-0-0</t>
  </si>
  <si>
    <t>FACAR LOG TRANSPORTES E SERVIÇOS EIRELI</t>
  </si>
  <si>
    <t>Transportes (Veículos e Utilitários)</t>
  </si>
  <si>
    <t>9#58294 P.1</t>
  </si>
  <si>
    <t>01-112120611030-000-049501110001-1-NV006967-PRO006173-0-0-0</t>
  </si>
  <si>
    <t>01-112120611030-000-050501050001-2-NV006968-PRO006173-0-0-0</t>
  </si>
  <si>
    <t>01-112120611030-000-062501190001-2-NV008123-PRO006173-0-0-0</t>
  </si>
  <si>
    <t>01-112120611030-000-062501200001-2-NV009956-PRO006173-0-0-0</t>
  </si>
  <si>
    <t>01-112120611030-000-062501220001-2-NV009960-PRO006173-0-0-0</t>
  </si>
  <si>
    <t>01-112120611030-000-062501230001-2-NV000952-PRO006173-0-0-0</t>
  </si>
  <si>
    <t>01-112120611030-000-062501260001-2-NV009955-PRO006173-0-0-0</t>
  </si>
  <si>
    <t>01-112120611030-000-062501290001-2-NV009959-PRO006173-0-0-0</t>
  </si>
  <si>
    <t>01-112120611030-000-062501600001-2-NV003973-PRO006173-0-0-0</t>
  </si>
  <si>
    <t>01-112120611030-000-062501710001-2-NV004959-PRO006173-0-0-0</t>
  </si>
  <si>
    <t>01-112120611050-000-015501020001-1-NV006963-PRO006732-0-0-0</t>
  </si>
  <si>
    <t>BOOMER EXPRESS LTDA - ME</t>
  </si>
  <si>
    <t>Transporte de Documentos (motoboy)</t>
  </si>
  <si>
    <t>106 P.1</t>
  </si>
  <si>
    <t>01-112120611050-000-016501060001-1-NV006961-PRO006732-0-0-0</t>
  </si>
  <si>
    <t>108 P.1</t>
  </si>
  <si>
    <t>01-112120611050-000-046501030001-1-NV006964-PRO006732-0-0-0</t>
  </si>
  <si>
    <t>109 P.1</t>
  </si>
  <si>
    <t>01-112120611050-000-047501090001-1-NV006965-PRO006732-0-0-0</t>
  </si>
  <si>
    <t>107 P.1</t>
  </si>
  <si>
    <t>01-112120611050-000-048501100001-1-NV006966-PRO006732-0-0-0</t>
  </si>
  <si>
    <t>112 P.1</t>
  </si>
  <si>
    <t>01-112120611050-000-062501000001-1-NV006958-PRO006732-0-0-0</t>
  </si>
  <si>
    <t>110 P.1</t>
  </si>
  <si>
    <t>01-112120612010-000-017501020004-2-NV006959-000000000-0-0-0</t>
  </si>
  <si>
    <t>ALTERTEL SIST. E SERV. ELETRÔNICOS LTDA - ME</t>
  </si>
  <si>
    <t>4302 P.1</t>
  </si>
  <si>
    <t>01-112120612010-000-044501040001-1-NV006960-000000000-0-0-0</t>
  </si>
  <si>
    <t>ARIMAPEL PAPELARIA E INF LTDA</t>
  </si>
  <si>
    <t>3122 P.1</t>
  </si>
  <si>
    <t>01-112120612090-000-001500000002-2-NV006958-PRO006067-0-0-0</t>
  </si>
  <si>
    <t>TIM CELULAR S.A</t>
  </si>
  <si>
    <t>Comunicações - Despesas Telefônicas</t>
  </si>
  <si>
    <t>1300494738 P.1</t>
  </si>
  <si>
    <t>01-112120612090-000-015501020001-2-NV006963-PRO006067-0-0-0</t>
  </si>
  <si>
    <t>01-112120612090-000-016501060001-1-NV006961-PRO006643-0-0-0</t>
  </si>
  <si>
    <t>ALGAR TELECOM S/A</t>
  </si>
  <si>
    <t>66620 P.1</t>
  </si>
  <si>
    <t>01-112120612090-000-016501060001-2-NV006961-000000000-0-0-0</t>
  </si>
  <si>
    <t>CLARO S.A</t>
  </si>
  <si>
    <t>15/05/21001485-5 P.1</t>
  </si>
  <si>
    <t>15/09/21001486-4 CLARO-EMBRATEL PTA -SET-15 P.1</t>
  </si>
  <si>
    <t>15/10/21001489-3 P.1</t>
  </si>
  <si>
    <t>01-112120612090-000-017501020004-2-NV006959-000000000-0-0-0</t>
  </si>
  <si>
    <t>0230457919757 P.1</t>
  </si>
  <si>
    <t>0220949804345 P.1</t>
  </si>
  <si>
    <t>0230290236825 P.1</t>
  </si>
  <si>
    <t>15/10/21001490-6 P.1</t>
  </si>
  <si>
    <t>01-112120612090-000-044501040001-1-NV006960-000000000-0-0-0</t>
  </si>
  <si>
    <t>0230207824220 P.1</t>
  </si>
  <si>
    <t>0230362859401 P.1</t>
  </si>
  <si>
    <t>01-112120612090-000-044501040001-2-NV006960-PRO006067-0-0-0</t>
  </si>
  <si>
    <t>01-112120612090-000-045501070001-2-NV006962-000000000-0-0-0</t>
  </si>
  <si>
    <t>0220870397442 P.1</t>
  </si>
  <si>
    <t>0220950002586 P.1</t>
  </si>
  <si>
    <t>01-112120612090-000-046501030001-1-NV006964-PRO006643-0-0-0</t>
  </si>
  <si>
    <t>01-112120612090-000-046501030001-2-NV006964-000000000-0-0-0</t>
  </si>
  <si>
    <t>15/05/21001484-0 P.1</t>
  </si>
  <si>
    <t>15/09/21001485-0 P.1</t>
  </si>
  <si>
    <t>15/10/21001488-9 P.1</t>
  </si>
  <si>
    <t>TELEFONICA BRASIL S/A</t>
  </si>
  <si>
    <t>11000-374.969/11/15 P.1</t>
  </si>
  <si>
    <t>01-112120612090-000-046501030001-2-NV006964-PRO006067-0-0-0</t>
  </si>
  <si>
    <t>01-112120612090-000-047501090001-1-NV006965-000000000-0-0-0</t>
  </si>
  <si>
    <t>0230292068837 P.1</t>
  </si>
  <si>
    <t>01-112120612090-000-047501090001-2-NV006965-PRO006067-0-0-0</t>
  </si>
  <si>
    <t>01-112120612090-000-049501110001-1-NV006967-PRO006067-0-0-0</t>
  </si>
  <si>
    <t>01-112120612090-000-049501110001-1-NV006967-PRO006490-0-0-0</t>
  </si>
  <si>
    <t>00.332.298/09/15 P.1</t>
  </si>
  <si>
    <t>00.335.956/05/15 P.1</t>
  </si>
  <si>
    <t>01-112120612090-000-049501110001-2-NV006967-000000000-0-0-0</t>
  </si>
  <si>
    <t>0230443655821 P.1</t>
  </si>
  <si>
    <t>0230443659230 P.1</t>
  </si>
  <si>
    <t>0220934415881 P.1</t>
  </si>
  <si>
    <t>01-112120612090-000-062501000001-1-NV006958-PRO006545-0-0-0</t>
  </si>
  <si>
    <t>01.524.197/03/15 P.1</t>
  </si>
  <si>
    <t>01-112120612090-000-062501000001-2-NV006958-PRO006067-0-0-0</t>
  </si>
  <si>
    <t>01-112120612090-000-062501010001-2-NV006969-000000000-0-0-0</t>
  </si>
  <si>
    <t>0230292747679 P.1</t>
  </si>
  <si>
    <t>01-112120612090-000-062501750001-2-NV006958-PRO006067-0-0-0</t>
  </si>
  <si>
    <t>01-112120612090-000-062501760001-2-NV006958-PRO006067-0-0-0</t>
  </si>
  <si>
    <t>01-112120612090-000-062501770001-2-NV006958-PRO006067-0-0-0</t>
  </si>
  <si>
    <t>01-112120612090-000-062502000001-1-NV006958-PRO006545-0-0-0</t>
  </si>
  <si>
    <t>01.524.621/04/15 P.1</t>
  </si>
  <si>
    <t>01-112120612090-000-062502000001-2-NV006958-PRO006067-0-0-0</t>
  </si>
  <si>
    <t>01-112120612090-000-062502030001-2-NV006958-PRO006067-0-0-0</t>
  </si>
  <si>
    <t>01-112120612090-000-062502040001-2-NV006958-PRO006067-0-0-0</t>
  </si>
  <si>
    <t>01-112120612110-000-048501100001-1-NV006966-000000000-0-0-0</t>
  </si>
  <si>
    <t>AMADE COMERCIAL LTDA</t>
  </si>
  <si>
    <t>Higiene</t>
  </si>
  <si>
    <t>325610 P.1</t>
  </si>
  <si>
    <t>01-112120612110-000-049501110001-1-NV006967-000000000-0-0-0</t>
  </si>
  <si>
    <t>01-112120612120-000-016501060001-1-NV006961-PRO006085-0-0-0</t>
  </si>
  <si>
    <t>ELETROPAULO METROPOLITANA ELETRICIDADE DE SÃO PAULO S/A</t>
  </si>
  <si>
    <t>Força e Luz</t>
  </si>
  <si>
    <t>2197 P.1</t>
  </si>
  <si>
    <t>01-112120612120-000-044501040001-1-NV006960-PRO006103-0-0-0</t>
  </si>
  <si>
    <t>CPFL - COMPANHIA PAULISTA DE FORÇA E LUZ</t>
  </si>
  <si>
    <t>11619953 P.1</t>
  </si>
  <si>
    <t>01-112120612120-000-045501070001-1-NV006962-000000000-0-0-0</t>
  </si>
  <si>
    <t>ENERGIA PPT SÃO JOSÉ DOS CAMPOS REF. OUT/15 P.1</t>
  </si>
  <si>
    <t>01-112120612120-000-046302010046-2-NV006964-PRO006098-0-0-0</t>
  </si>
  <si>
    <t>9029 P.1</t>
  </si>
  <si>
    <t>01-112120612120-000-047501090001-1-NV006965-PRO005982-0-0-0</t>
  </si>
  <si>
    <t>8017/15 P.1</t>
  </si>
  <si>
    <t>01-112120612120-000-048501100001-1-NV006966-PRO006141-0-0-0</t>
  </si>
  <si>
    <t>BANDEIRANTE ENERGIA S.A</t>
  </si>
  <si>
    <t>487456.1 P.1</t>
  </si>
  <si>
    <t>01-112120612120-000-049501110001-1-NV006966-PRO006099-0-0-0</t>
  </si>
  <si>
    <t>903856 P.1</t>
  </si>
  <si>
    <t>01-112120612120-000-050501050001-2-NV006968-PRO006102-0-0-0</t>
  </si>
  <si>
    <t>320000094125 P.1</t>
  </si>
  <si>
    <t>01-112120612120-000-062501350001-2-NV003954-000000000-0-0-0</t>
  </si>
  <si>
    <t>ELEKTRO ELETRICIDADE E SERVIÇOS S/A</t>
  </si>
  <si>
    <t>20152646170763 P.1</t>
  </si>
  <si>
    <t>01-112120612120-000-062501390001-2-NV003967-000000000-0-0-0</t>
  </si>
  <si>
    <t>1393001 P.1</t>
  </si>
  <si>
    <t>01-112120612120-000-062501430001-2-NV003981-000000000-0-0-0</t>
  </si>
  <si>
    <t>37227319/6 P.1</t>
  </si>
  <si>
    <t>01-112120612120-000-062501450001-2-NV003986-000000000-0-0-0</t>
  </si>
  <si>
    <t>20152643678098 P.1</t>
  </si>
  <si>
    <t>01-112120612120-000-062501460001-2-NV003953-000000000-0-0-0</t>
  </si>
  <si>
    <t>20152612287852 P.1</t>
  </si>
  <si>
    <t>01-112120612120-000-062501470001-2-NV003955-000000000-0-0-0</t>
  </si>
  <si>
    <t>EMPRESA DE DISTRIBUIÇAO DE ENERGIA VALE PARANAPANEMA</t>
  </si>
  <si>
    <t>48793070-1 P.1</t>
  </si>
  <si>
    <t>01-112120612120-000-062501490001-2-NV003957-000000000-0-0-0</t>
  </si>
  <si>
    <t>163879 P.1</t>
  </si>
  <si>
    <t>01-112120612120-000-062501500001-2-NV003958-000000000-0-0-0</t>
  </si>
  <si>
    <t>201510000414392 P.1</t>
  </si>
  <si>
    <t>01-112120612120-000-062501520001-2-NV003960-000000000-0-0-0</t>
  </si>
  <si>
    <t>EMPRESA ELÉTRICA BRAGANTINA S/A</t>
  </si>
  <si>
    <t>48657168/7 P.1</t>
  </si>
  <si>
    <t>01-112120612120-000-062501590001-2-NV003971-000000000-0-0-0</t>
  </si>
  <si>
    <t>201509000082111 P.1</t>
  </si>
  <si>
    <t>01-112120612120-000-062501590001-2-NV003972-000000000-0-0-0</t>
  </si>
  <si>
    <t>37442090 P.1</t>
  </si>
  <si>
    <t>01-112120612120-000-062501620001-2-NV003975-000000000-0-0-0</t>
  </si>
  <si>
    <t>1220468 P.1</t>
  </si>
  <si>
    <t>01-112120612120-000-062501630001-2-NV003976-000000000-0-0-0</t>
  </si>
  <si>
    <t>202404633 P.1</t>
  </si>
  <si>
    <t>521404179763 P.1</t>
  </si>
  <si>
    <t>544204185368 P.1</t>
  </si>
  <si>
    <t>559404085305 P.1</t>
  </si>
  <si>
    <t>576503983806 P.1</t>
  </si>
  <si>
    <t>576504014911 P.1</t>
  </si>
  <si>
    <t>589804072170 P.1</t>
  </si>
  <si>
    <t>01-112120612120-000-062501650001-2-NV003979-000000000-0-0-0</t>
  </si>
  <si>
    <t>150722739-6 P.1</t>
  </si>
  <si>
    <t>01-112120612130-000-015501020001-1-NV006963-PRO005659-0-0-0</t>
  </si>
  <si>
    <t>SABESP - CIA DE SANEAMENTO BÁSICO DO ESTADO DE SÃO PAULO</t>
  </si>
  <si>
    <t>Água</t>
  </si>
  <si>
    <t>6422200096311551 P.1</t>
  </si>
  <si>
    <t>01-112120612130-000-016501060001-1-NV006961-PRO005659-0-0-0</t>
  </si>
  <si>
    <t>64310416684251 P.1</t>
  </si>
  <si>
    <t>6431075965961 P.1</t>
  </si>
  <si>
    <t>01-112120612130-000-044501040001-1-NV006960-000000000-0-0-0</t>
  </si>
  <si>
    <t>SANASA CAMPINAS</t>
  </si>
  <si>
    <t>3685341 P.1</t>
  </si>
  <si>
    <t>01-112120612130-000-045501070001-1-NV006962-000000000-0-0-0</t>
  </si>
  <si>
    <t>1430086855921/1 P.1</t>
  </si>
  <si>
    <t>01-112120612130-000-046501030001-1-NV006964-PRO005659-0-0-0</t>
  </si>
  <si>
    <t>6431022220261 P.1</t>
  </si>
  <si>
    <t>01-112120612130-000-047501090001-1-NV006965-PRO005659-0-0-0</t>
  </si>
  <si>
    <t>6430063925441 P.1</t>
  </si>
  <si>
    <t>01-112120612130-000-048501100001-1-NV006966-000000000-0-0-0</t>
  </si>
  <si>
    <t>SAAE GUARULHOS SERVIÇOS AUTONOMO DE AGUA E ESGOTO</t>
  </si>
  <si>
    <t>45014-9 P.1</t>
  </si>
  <si>
    <t>01-112120612130-000-050501050001-2-NV006968-PRO005509-0-0-0</t>
  </si>
  <si>
    <t>ÁGUA -  (DETRAN) PPT CAMPINAS SHOPPING OUT/15 P.1</t>
  </si>
  <si>
    <t>01-112120612130-000-062501350001-2-NV003954-000000000-0-0-0</t>
  </si>
  <si>
    <t>SAEMA - SERVIÇO DE AGUA ESGOTO E MEIO AMBIENTE DE ARARAS</t>
  </si>
  <si>
    <t>27225/13 P.1</t>
  </si>
  <si>
    <t>01-112120612130-000-062501390001-2-NV003967-000000000-0-0-0</t>
  </si>
  <si>
    <t>1431031187541 P.1</t>
  </si>
  <si>
    <t>01-112120612130-000-062501430001-2-NV003981-000000000-0-0-0</t>
  </si>
  <si>
    <t>1431080500341 P.1</t>
  </si>
  <si>
    <t>01-112120612130-000-062501450001-2-NV003986-000000000-0-0-0</t>
  </si>
  <si>
    <t>SAEV - SUPERINTENDENCIA DE AGUA,ESGOTO E MEIO AMBIENTE VOTUPORANGA</t>
  </si>
  <si>
    <t>4703177 P.1</t>
  </si>
  <si>
    <t>01-112120612130-000-062501460001-2-NV003953-000000000-0-0-0</t>
  </si>
  <si>
    <t>FFIXO TESOURARIA 249/15 P.1</t>
  </si>
  <si>
    <t>01-112120612130-000-062501470001-2-NV003955-000000000-0-0-0</t>
  </si>
  <si>
    <t>1430028860551 P.1</t>
  </si>
  <si>
    <t>01-112120612130-000-062501480001-2-NV003956-000000000-0-0-0</t>
  </si>
  <si>
    <t>1431085339301 P.1</t>
  </si>
  <si>
    <t>01-112120612130-000-062501520001-2-NV003960-000000000-0-0-0</t>
  </si>
  <si>
    <t>1431084322981 P.1</t>
  </si>
  <si>
    <t>01-112120612130-000-062501580001-2-NV003971-000000000-0-0-0</t>
  </si>
  <si>
    <t>1431032589871 P.1</t>
  </si>
  <si>
    <t>01-112120612130-000-062501590001-2-NV003972-000000000-0-0-0</t>
  </si>
  <si>
    <t>1431032935911 P.1</t>
  </si>
  <si>
    <t>01-112120612130-000-062501600001-2-NV003973-000000000-0-0-0</t>
  </si>
  <si>
    <t>FFIXO TESOURARIA 255/15 P.1</t>
  </si>
  <si>
    <t>01-112120612130-000-062501620001-2-NV003975-000000000-0-0-0</t>
  </si>
  <si>
    <t>1431066791781 P.1</t>
  </si>
  <si>
    <t>01-112120612130-000-062501630001-2-NV003976-000000000-0-0-0</t>
  </si>
  <si>
    <t>FFIXO TESOURARIA 235/15 P.1</t>
  </si>
  <si>
    <t>01-112120612130-000-062501700001-2-NV004958-000000000-0-0-0</t>
  </si>
  <si>
    <t>DAEP DEPARTAMENTO DE ÁGUA E ESGOTO DE PENAPOLIS</t>
  </si>
  <si>
    <t>150044281329-33 P.1</t>
  </si>
  <si>
    <t>01-112120701020-000-062501000001-1-NV006958-PRO006305-0-0-0</t>
  </si>
  <si>
    <t>Prêmios de Seguros</t>
  </si>
  <si>
    <t>01-112120801020-000-062502000001-1-NV006958-000000000-0-0-0</t>
  </si>
  <si>
    <t>Multas Fiscais</t>
  </si>
  <si>
    <t>27398 - 003022122 - ISS P.1</t>
  </si>
  <si>
    <t>3713 - 003802330 - ISS P.1</t>
  </si>
  <si>
    <t>88125 - 000146889 - ISS P.1</t>
  </si>
  <si>
    <t>88132 - 000146889 - ISS P.1</t>
  </si>
  <si>
    <t>1274 - 031876709 - ISS P.1</t>
  </si>
  <si>
    <t>9522 - 056419492 - ISS P.1</t>
  </si>
  <si>
    <t>01-114040000000-000-045501070001-1-NV006962-000000000-0-0-0</t>
  </si>
  <si>
    <t>ALOISIO VALADARES FONSECA - ME</t>
  </si>
  <si>
    <t>PEDIEDO DE COMP0RA 33676 P.1</t>
  </si>
  <si>
    <t>01-132050100000-000-017501020004-2-NV006959-000000000-0-0-0</t>
  </si>
  <si>
    <t>MULTINOX EQUIPAMENTOS PARA RESTAURANTES LTDA</t>
  </si>
  <si>
    <t>126080,02 P.1</t>
  </si>
  <si>
    <t>01-132050100000-000-048501100001-1-NV006966-000000000-0-0-0</t>
  </si>
  <si>
    <t>59963 P.1</t>
  </si>
  <si>
    <t>CD003969</t>
  </si>
  <si>
    <t>CD003968</t>
  </si>
  <si>
    <t>IN004957</t>
  </si>
  <si>
    <t>01-112011001000-000-062502000001-1-NV006958-000000000-0-0-0</t>
  </si>
  <si>
    <t>CIA. PROC. DE DADOS ESTADO DE SÃO PAULO - PRODESP</t>
  </si>
  <si>
    <t>Horas dedicadas</t>
  </si>
  <si>
    <t>01-112120801030-000-062501000001-1-NV006958-000000000-0-0-0</t>
  </si>
  <si>
    <t>TOTAL POUPATEMPO  CARAGUATATUBA</t>
  </si>
  <si>
    <t>TOTAL POUPATEMPO  SÃO CARLOS</t>
  </si>
  <si>
    <t>TOTAL POUPATEMPO  ARARAQUARA</t>
  </si>
  <si>
    <t>TOTAL POUPATEMPO  FRANCA</t>
  </si>
  <si>
    <t>TOTAL POUPATEMPO  LAPA</t>
  </si>
  <si>
    <t>TOTAL POUPATEMPO  SOROCABA</t>
  </si>
  <si>
    <t>TOTAL POUPATEMPO  MOGI DAS CRUZES</t>
  </si>
  <si>
    <t>TOTAL POUPATEMPO  SUZANO</t>
  </si>
  <si>
    <t>TOTAL POUPATEMPO  SANTO ANDRÉ</t>
  </si>
  <si>
    <t>NV003951</t>
  </si>
  <si>
    <t>TOTAL POUPATEMPO  POSTOS AVANÇADOS</t>
  </si>
  <si>
    <t>TOTAL POUPATEMPO  AMERICANA</t>
  </si>
  <si>
    <t>TOTAL POUPATEMPO  ANDRADINA</t>
  </si>
  <si>
    <t>TOTAL POUPATEMPO  ARARAS</t>
  </si>
  <si>
    <t>TOTAL POUPATEMPO  ASSIS</t>
  </si>
  <si>
    <t>TOTAL POUPATEMPO  AVARÉ</t>
  </si>
  <si>
    <t>TOTAL POUPATEMPO  BARRETOS</t>
  </si>
  <si>
    <t>TOTAL POUPATEMPO  BEBEDOURO</t>
  </si>
  <si>
    <t>TOTAL POUPATEMPO  BIRIGUÍ</t>
  </si>
  <si>
    <t>TOTAL POUPATEMPO  BRAGANÇA PAULISTA</t>
  </si>
  <si>
    <t>TOTAL POUPATEMPO  CAIEIRAS</t>
  </si>
  <si>
    <t>TOTAL POUPATEMPO  CARAPICUÍBA</t>
  </si>
  <si>
    <t>TOTAL POUPATEMPO  CATANDUVA</t>
  </si>
  <si>
    <t>TOTAL POUPATEMPO  COTIA</t>
  </si>
  <si>
    <t>TOTAL POUPATEMPO  DIADEMA</t>
  </si>
  <si>
    <t>TOTAL POUPATEMPO  DRACENA</t>
  </si>
  <si>
    <t>TOTAL POUPATEMPO  FERNANDÓPOLIS</t>
  </si>
  <si>
    <t>TOTAL POUPATEMPO  INDAIATUBA</t>
  </si>
  <si>
    <t>TOTAL POUPATEMPO  ITAPETININGA</t>
  </si>
  <si>
    <t>TOTAL POUPATEMPO  ITAPEVA</t>
  </si>
  <si>
    <t>TOTAL POUPATEMPO  ITU</t>
  </si>
  <si>
    <t>TOTAL POUPATEMPO  JACAREÍ</t>
  </si>
  <si>
    <t>TOTAL POUPATEMPO  LINS</t>
  </si>
  <si>
    <t>TOTAL POUPATEMPO  MAUÁ</t>
  </si>
  <si>
    <t>TOTAL POUPATEMPO  MOGI GUAÇU</t>
  </si>
  <si>
    <t>TOTAL POUPATEMPO  OURINHOS</t>
  </si>
  <si>
    <t>TOTAL POUPATEMPO  PINDAMONHANGABA</t>
  </si>
  <si>
    <t>TOTAL POUPATEMPO  PRAIA GRANDE</t>
  </si>
  <si>
    <t>TOTAL POUPATEMPO  REGISTRO</t>
  </si>
  <si>
    <t>TOTAL POUPATEMPO  SÃO JOÃO DA BOA VISTA</t>
  </si>
  <si>
    <t>TOTAL POUPATEMPO  TABOÃO DA SERRA</t>
  </si>
  <si>
    <t>TOTAL POUPATEMPO  VOTUPORANGA</t>
  </si>
  <si>
    <t>TOTAL POUPATEMPO  MÓVEL REGIÃO NORTE</t>
  </si>
  <si>
    <t>TOTAL POUPATEMPO  MÓVEL REGIÃO SUL</t>
  </si>
  <si>
    <t>TOTAL POUPATEMPO  MÓVEL REGIÃO LESTE</t>
  </si>
  <si>
    <t>TOTAL POUPATEMPO  MÓVEL REGIÃO OESTE</t>
  </si>
  <si>
    <t>TOTAL POUPATEMPO  MÓVEL REGIÃO NOROESTE</t>
  </si>
  <si>
    <t>TOTAL POUPATEMPO  LIMEIRA</t>
  </si>
  <si>
    <t>TOTAL POUPATEMPO  PENÁPOLIS</t>
  </si>
  <si>
    <t>TOTAL POUPATEMPO  ITAQUAQUECETUBA</t>
  </si>
  <si>
    <t>TOTAL POUPATEMPO  MÓVEL GRANDE SÃO PAULO</t>
  </si>
  <si>
    <t>TOTAL POUPATEMPO  SUPERINTENDÊNCIA</t>
  </si>
  <si>
    <t>TOTAL POUPATEMPO  LUZ</t>
  </si>
  <si>
    <t>TOTAL POUPATEMPO  CAMPINAS CENTRO</t>
  </si>
  <si>
    <t>TOTAL POUPATEMPO  SANTO AMARO</t>
  </si>
  <si>
    <t>TOTAL POUPATEMPO  SÃO JOSÉ DOS CAMPOS</t>
  </si>
  <si>
    <t>TOTAL POUPATEMPO  SÉ</t>
  </si>
  <si>
    <t>TOTAL POUPATEMPO  SÃO BERNARDO DO CAMPO</t>
  </si>
  <si>
    <t>TOTAL POUPATEMPO  GUARULHOS</t>
  </si>
  <si>
    <t>TOTAL POUPATEMPO  RIBEIRÃO PRETO</t>
  </si>
  <si>
    <t>TOTAL POUPATEMPO  CAMPINAS SHOPPING</t>
  </si>
  <si>
    <t>TOTAL POUPATEMPO  BAURU</t>
  </si>
  <si>
    <t>TOTAL POUPATEMPO  SANTOS</t>
  </si>
  <si>
    <t>TOTAL POUPATEMPO  OSASCO</t>
  </si>
  <si>
    <t>TOTAL POUPATEMPO  SÃO JOSÉ DO RIO PRETO</t>
  </si>
  <si>
    <t>TOTAL DISQUE POUPATEMPO - CALLCENTER</t>
  </si>
  <si>
    <t>TOTAL DISQUE POUPATEMPO - TELECOM</t>
  </si>
  <si>
    <t>TOTAL HORAS DEDICADAS</t>
  </si>
  <si>
    <t>IN001105</t>
  </si>
  <si>
    <t>IN001344</t>
  </si>
  <si>
    <t>Depósito Judicial pago para MPE MONTAGENS E PROJETOS ESPECIAIS LTDA.</t>
  </si>
  <si>
    <t>Recebimento de Multa Contratual de AKIYAMA IND.E COM.DE EQUIPS. ELETRÔNICOS E SISTEMAS LTDA.</t>
  </si>
  <si>
    <t>Da Conta Exploração Comercial</t>
  </si>
  <si>
    <t>(*) TRANSFERÊNCIAS REFERENTES A GASTOS DA EXPLORAÇÃO COMERCIAL PAGOS PELA CONTA CONVÊNIO</t>
  </si>
  <si>
    <t>(*) TRANSFERÊNCIAS REFERENTES A GASTOS EXTRAS PAGOS PELA CONTA ...</t>
  </si>
  <si>
    <t>NÃO HOUVE OCORRÊNCIA</t>
  </si>
  <si>
    <t>TOTAL POUPATEMPO  TUPÃ</t>
  </si>
  <si>
    <t>TOTAL POUPATEMPO  JAÚ</t>
  </si>
  <si>
    <t>TOTAL POUPATEMPO  SERTÃOZINHO</t>
  </si>
  <si>
    <t>TOTAL POUPATEMPO  MÓVEL</t>
  </si>
  <si>
    <t>Transferência a ser efetuada da conta Gastos Extras referente acerto Dezembro/15</t>
  </si>
  <si>
    <t>RECEITA FEDERAL</t>
  </si>
  <si>
    <t>COFINS</t>
  </si>
  <si>
    <t>Transferência de recursos da conta Exploração Comercial para pagamento de despesas</t>
  </si>
  <si>
    <t>Valid Soluções e Serv. de Segurança em Meios de Pagamento e Identificação S.A</t>
  </si>
  <si>
    <t>Caixa Econômica Federal - CEF (9,45% impostos)</t>
  </si>
  <si>
    <t>VISUAL E IMAGEM EXPRESSA LTDA</t>
  </si>
  <si>
    <t>BAFF'S COMÉRCIO DE PRODUTOS ALIMENTÍCIOS – EIRELI</t>
  </si>
  <si>
    <t xml:space="preserve">Banco do Brasil S/A </t>
  </si>
  <si>
    <t>JUNDIAI</t>
  </si>
  <si>
    <t>LUZ</t>
  </si>
  <si>
    <t>B&amp;C ESTACIONAMENTO LTDA</t>
  </si>
  <si>
    <t>Recebimento de acerto Fundo Fixo - Ilidio San Martin</t>
  </si>
  <si>
    <t>Recebimento docs furtados EBCT</t>
  </si>
  <si>
    <t>CIA DE SANEAMENTO BASICO DO ESTADO DE SAO PAULO SABESP</t>
  </si>
  <si>
    <t>TRIBUNAL REGIONAL ELEITORAL</t>
  </si>
  <si>
    <t>CARAPICUIBA</t>
  </si>
  <si>
    <t>PREFEIRURA DE S. J. R. PRETO</t>
  </si>
  <si>
    <t>PREFEITURA MUNICIPAL DE PIRACICABA</t>
  </si>
  <si>
    <t>Conselho Regional de Corretores de Imóveis 2º Região SP - CRECI</t>
  </si>
  <si>
    <t>SECRETARIA DE ESTADO DO MEIO AMBIENTE</t>
  </si>
  <si>
    <t>INSTITUTO DE PAGAMENTOS ESPECIAIS DE SAO PAULO - IPESP</t>
  </si>
  <si>
    <t>PREFEITURA DO MUNICIPIO DE SAO BERNARDO DO CAMPO</t>
  </si>
  <si>
    <t>RIBEIRÃO  PRETO</t>
  </si>
  <si>
    <t>EMPRESA BRASILEIRA DE CORREIOS E TELEGRAFOS - EBCT</t>
  </si>
  <si>
    <t xml:space="preserve">EMPRESA MUNICIPAL DE DESENVOLVIMENTO DE CAMPINAS S/A </t>
  </si>
  <si>
    <t>PREFEIRURA DE JUNDIAI</t>
  </si>
  <si>
    <t>Devolução ISS DA EXCLUSIVA CAMPINAS NF 4711 EMISSÃO 18/11/2015d</t>
  </si>
  <si>
    <t>Para Conta Condominio</t>
  </si>
  <si>
    <r>
      <t>22.</t>
    </r>
    <r>
      <rPr>
        <sz val="14"/>
        <rFont val="Arial"/>
        <family val="2"/>
      </rPr>
      <t xml:space="preserve"> Extrato do SIAFEM - FUNDO SPII UG 513192 - Aplicação..............................................................................................................................................</t>
    </r>
  </si>
  <si>
    <t>COMPANHIA DE PROCESSAMENTO</t>
  </si>
  <si>
    <t>DE DADOS DO ESTADO DE S PAULO</t>
  </si>
  <si>
    <t xml:space="preserve">    NOTA  DE DÉBITO</t>
  </si>
  <si>
    <t xml:space="preserve">MATRIZ: RUA AGUEDA GONÇALVES, 240 -  KM 271,5 - BR 116 </t>
  </si>
  <si>
    <t xml:space="preserve">TEL. (011) 2845-6166 </t>
  </si>
  <si>
    <t xml:space="preserve">       INSCRIÇÃO NO CGC (MF) Nº 62.577.929/0001-35</t>
  </si>
  <si>
    <t>CEP: 06760-900 - TABOÃO DA SERRA - SP</t>
  </si>
  <si>
    <t>Nº DE ORDEM :</t>
  </si>
  <si>
    <t>EMISSÃO :</t>
  </si>
  <si>
    <t>VALOR EM R$ :</t>
  </si>
  <si>
    <t>VENCIMENTO:</t>
  </si>
  <si>
    <t>3(três) dias úteis da data da entrega da Nota de Débito</t>
  </si>
  <si>
    <r>
      <t>Devedor:</t>
    </r>
    <r>
      <rPr>
        <b/>
        <sz val="12"/>
        <rFont val="Arial"/>
        <family val="2"/>
      </rPr>
      <t xml:space="preserve">  Secretaria de Governo</t>
    </r>
  </si>
  <si>
    <t>Endereço: Avenida Morumubi, 4.500</t>
  </si>
  <si>
    <r>
      <t xml:space="preserve">CEP.: </t>
    </r>
    <r>
      <rPr>
        <b/>
        <sz val="12"/>
        <rFont val="Arial"/>
        <family val="2"/>
      </rPr>
      <t>05650-000</t>
    </r>
  </si>
  <si>
    <r>
      <t>Município:</t>
    </r>
    <r>
      <rPr>
        <b/>
        <sz val="12"/>
        <rFont val="Arial"/>
        <family val="2"/>
      </rPr>
      <t xml:space="preserve"> São Paulo</t>
    </r>
  </si>
  <si>
    <r>
      <t>ESTADO:</t>
    </r>
    <r>
      <rPr>
        <b/>
        <sz val="12"/>
        <rFont val="Arial"/>
        <family val="2"/>
      </rPr>
      <t xml:space="preserve"> São Paulo</t>
    </r>
  </si>
  <si>
    <r>
      <t>CNPJ(MF) Nº:</t>
    </r>
    <r>
      <rPr>
        <b/>
        <sz val="12"/>
        <rFont val="Arial"/>
        <family val="2"/>
      </rPr>
      <t xml:space="preserve"> 08.755.269/0001-90</t>
    </r>
  </si>
  <si>
    <t xml:space="preserve">VALOR POR EXTENSO  </t>
  </si>
  <si>
    <t xml:space="preserve">        </t>
  </si>
  <si>
    <t>OBSERVAÇÕES :</t>
  </si>
  <si>
    <t>Segue anexo planilha com detalhamento dos valores</t>
  </si>
  <si>
    <t>cobrados.</t>
  </si>
  <si>
    <t>Carlos Roberto Ruas Junior</t>
  </si>
  <si>
    <t>Gerente de Financeiro</t>
  </si>
  <si>
    <t xml:space="preserve">1º VIA CLIENTE  -  2º VIA FATURAMENTO  - 3º VIA CONTAS A RECEBER  -  4º VIA CONTABILIDADE  </t>
  </si>
  <si>
    <t>Americana</t>
  </si>
  <si>
    <t>Andradina</t>
  </si>
  <si>
    <t>Araçatuba</t>
  </si>
  <si>
    <t>Araraquara</t>
  </si>
  <si>
    <t>Araras</t>
  </si>
  <si>
    <t>Assis</t>
  </si>
  <si>
    <t>Avaré</t>
  </si>
  <si>
    <t>Barretos</t>
  </si>
  <si>
    <t>Bauru</t>
  </si>
  <si>
    <t>Bebedouro</t>
  </si>
  <si>
    <t>Birigui</t>
  </si>
  <si>
    <t>Botucatu</t>
  </si>
  <si>
    <t>Bragança Paulista</t>
  </si>
  <si>
    <t>Campinas Centro</t>
  </si>
  <si>
    <t>Campinas Shopping</t>
  </si>
  <si>
    <t>Caieiras</t>
  </si>
  <si>
    <t>Caraguatatuba</t>
  </si>
  <si>
    <t>Carapicuíba</t>
  </si>
  <si>
    <t>Catanduva</t>
  </si>
  <si>
    <t>Cidade Ademar</t>
  </si>
  <si>
    <t>Cotia</t>
  </si>
  <si>
    <t>Diadema</t>
  </si>
  <si>
    <t>Dracena</t>
  </si>
  <si>
    <t>Fernandópolis</t>
  </si>
  <si>
    <t>Franca</t>
  </si>
  <si>
    <t>Guaratinguetá</t>
  </si>
  <si>
    <t>Guarujá</t>
  </si>
  <si>
    <t>Guarulhos</t>
  </si>
  <si>
    <t>Indaiatuba</t>
  </si>
  <si>
    <t>Itapetininga</t>
  </si>
  <si>
    <t>Itapeva</t>
  </si>
  <si>
    <t>Itaquaquecetuba</t>
  </si>
  <si>
    <t>Itaquera</t>
  </si>
  <si>
    <t>Itu</t>
  </si>
  <si>
    <t>Jacareí</t>
  </si>
  <si>
    <t>Jundiaí</t>
  </si>
  <si>
    <t>Lapa</t>
  </si>
  <si>
    <t>Limeira</t>
  </si>
  <si>
    <t>Lins</t>
  </si>
  <si>
    <t>Luz</t>
  </si>
  <si>
    <t>Marília</t>
  </si>
  <si>
    <t>Mauá</t>
  </si>
  <si>
    <t>Mogi das Cruzes</t>
  </si>
  <si>
    <t>Osasco</t>
  </si>
  <si>
    <t>Ourinhos</t>
  </si>
  <si>
    <t>Penápolis</t>
  </si>
  <si>
    <t>Pindamonhangaba</t>
  </si>
  <si>
    <t>Piracicaba</t>
  </si>
  <si>
    <t>Praia Grande</t>
  </si>
  <si>
    <t>Presidente Prudente</t>
  </si>
  <si>
    <t>Registro</t>
  </si>
  <si>
    <t>página 11</t>
  </si>
  <si>
    <t>Rio Claro</t>
  </si>
  <si>
    <t>Ribeirão Preto</t>
  </si>
  <si>
    <t>Santo Amaro</t>
  </si>
  <si>
    <t>Santo André</t>
  </si>
  <si>
    <t>Santos</t>
  </si>
  <si>
    <t>São Bernardo do Campo</t>
  </si>
  <si>
    <t>São Carlos</t>
  </si>
  <si>
    <t>São João da Boa Vista</t>
  </si>
  <si>
    <t>São José dos Campos</t>
  </si>
  <si>
    <t>São José do Rio Preto</t>
  </si>
  <si>
    <t>Sé</t>
  </si>
  <si>
    <t>Sertãozinho</t>
  </si>
  <si>
    <t>Sorocaba</t>
  </si>
  <si>
    <t>Superintendência</t>
  </si>
  <si>
    <t>Suzano</t>
  </si>
  <si>
    <t>Taboão da Serra</t>
  </si>
  <si>
    <t>Tatuí</t>
  </si>
  <si>
    <t>Taubaté</t>
  </si>
  <si>
    <t>Votuporanga</t>
  </si>
  <si>
    <t>Disque Poupatempo - Callcenter</t>
  </si>
  <si>
    <t>Disque Poupatempo - Telecom</t>
  </si>
  <si>
    <t>Móvel - Grande São Paulo</t>
  </si>
  <si>
    <t>SUBTOTAL</t>
  </si>
  <si>
    <t>Horas Dedicadas</t>
  </si>
  <si>
    <t>Mogi-Guaçu</t>
  </si>
  <si>
    <t xml:space="preserve">Gerenc. Programa Poupatempo </t>
  </si>
  <si>
    <t xml:space="preserve">                CONTA 9049-2 - CONVÊNIO -</t>
  </si>
  <si>
    <t xml:space="preserve">               ANEXO I</t>
  </si>
  <si>
    <t>Marilia</t>
  </si>
  <si>
    <t>Ribeirão preto</t>
  </si>
  <si>
    <t xml:space="preserve">Tatuí </t>
  </si>
  <si>
    <t xml:space="preserve">PREFEITURA MUNICIPAL DE SÃO JOSÉ DOS CAMPOS </t>
  </si>
  <si>
    <t>SECRETARIA FAZENDA</t>
  </si>
  <si>
    <t>RESTITUIÇÃO DE TAXAS PAGAS INDEVIDAMENTE PELO CIDADÃO - PPT  S.B.CAMPO</t>
  </si>
  <si>
    <t>PASEP</t>
  </si>
  <si>
    <t>NV003969</t>
  </si>
  <si>
    <t>NV003968</t>
  </si>
  <si>
    <t>Recebimento fatura 60833 da Faculdade de Medicina de Marília em conta indevida, a ser transferido em Fevereiro/16 para Conta Movimento Prodesp.</t>
  </si>
  <si>
    <t>Transferência para contas de Aplicação Financeira do SIAFEM</t>
  </si>
  <si>
    <t>Resgate de Aplicações Financeiras do SIAFEM</t>
  </si>
  <si>
    <t>f )</t>
  </si>
  <si>
    <t>Transferência a ser efetuada da conta Exploração Comercial referente acerto de Janeiro/16</t>
  </si>
  <si>
    <t>CONTA DE APLICAÇÃO NO SIAFEM UG 513191 - FUNDO SPII</t>
  </si>
  <si>
    <t xml:space="preserve">CONTA DE APLICAÇÃO NO SIAFEM UG 513191 - FUNDO DE INVESTIMENTO </t>
  </si>
  <si>
    <t xml:space="preserve">CONTA DE APLICAÇÃO NO SIAFEM UG 513192 - FUNDO DE INVESTIMENTO </t>
  </si>
  <si>
    <t>CONTA DE APLICAÇÃO NO SIAFEM UG 513192 - FUNDO SPII</t>
  </si>
  <si>
    <t>2.3   CONTA DE APLICAÇÃO NO SIAFEM UG 513192- FUNDO DE INVESTIMENTO</t>
  </si>
  <si>
    <t>3.3   CONTA DE APLICAÇÃO NO SIAFEM UG 513192 - FUNDO DE INVESTIMENTO</t>
  </si>
  <si>
    <t>1.2   CONTA DE APLICAÇÃO NO SIAFEM UG 513191 - FUNDO SP II</t>
  </si>
  <si>
    <t>2.2   CONTA DE APLICAÇÃO NO SIAFEM UG 513192 - FUNDO SP II</t>
  </si>
  <si>
    <t>1.3   CONTA DE APLICAÇÃO NO SIAFEM UG 513191 - FUNDO DE INVESTIMENTO</t>
  </si>
  <si>
    <t>3.2   CONTA DE APLICAÇÃO NO SIAFEM UG 513192 - FUNDO SP II</t>
  </si>
  <si>
    <t>1. CONVÊNIO</t>
  </si>
  <si>
    <t>2. EXPLORAÇÃO COMERCIAL</t>
  </si>
  <si>
    <t>3. CONDOMÍNIO</t>
  </si>
  <si>
    <t>4. GASTOS EXTRAS</t>
  </si>
  <si>
    <t>1.1   CONTA CORRENTE BB 9049-2</t>
  </si>
  <si>
    <t>2.1   CONTA CORRENTE BB 130004-0</t>
  </si>
  <si>
    <t xml:space="preserve">3.1   CONTA CORRENTE BB 10-8 </t>
  </si>
  <si>
    <t>SALDO INICIAL</t>
  </si>
  <si>
    <t>SALDO FINAL</t>
  </si>
  <si>
    <t>Conta Contábil</t>
  </si>
  <si>
    <t>Segmento Contábil</t>
  </si>
  <si>
    <t xml:space="preserve">                                              DEMONSTRATIVO FINANCEIRO</t>
  </si>
  <si>
    <t xml:space="preserve">                         NOTA DE DÉBITO</t>
  </si>
  <si>
    <t>Convênio</t>
  </si>
  <si>
    <t>(*) TRANSFERÊNCIAS REFERENTES A GASTOS DO CONVÊNIO PAGOS PELA CONTA CONDOMÍNIO</t>
  </si>
  <si>
    <t>(*) TRANSFERÊNCIAS REFERENTES A GASTOS DO CONVÊNIO PAGOS PELA CONTA EXPLORAÇÃO COMERCIAL</t>
  </si>
  <si>
    <t>(*) TRANSFERÊNCIAS REFERENTES A GASTOS DO CONVÊNIO PAGOS PELA CONTA PRODESP</t>
  </si>
  <si>
    <t xml:space="preserve"> (*) Na análise do mês em referência, quando identificados gastos ou recebimentos realizados em conta indevida,  estes são indicados no demonstrativo financeiro como "transferência a ser efetuada" visto que a regularização ocorrerá no mês subsequente.</t>
  </si>
  <si>
    <t>TOTAL POUPATEMPO  GUARATINGUETÁ</t>
  </si>
  <si>
    <t>TOTAL POUPATEMPO  GUARUJÁ</t>
  </si>
  <si>
    <t>IN004959</t>
  </si>
  <si>
    <t xml:space="preserve">        CONTA 130004-0   -   EXPLORAÇÃO COMERCIAL   </t>
  </si>
  <si>
    <t xml:space="preserve">                                                     EXTRATO DO BANCO DO BRASIL</t>
  </si>
  <si>
    <t xml:space="preserve">                                 EXTRATO DO SIAFEM  UG 513191 - FUNDO SP II </t>
  </si>
  <si>
    <t xml:space="preserve">                                          EXTRATO DO SIAFEM  UG 513192 - FUNDO SP II </t>
  </si>
  <si>
    <t xml:space="preserve">                 EXTRATO DO SIAFEM - UG 513191 - FUNDO DE INVESTIMENTO</t>
  </si>
  <si>
    <t xml:space="preserve">                         CONTA 9049-2   -   CONVÊNIO   -</t>
  </si>
  <si>
    <t>RECEBIMENTOS DE EXPLORAÇÃO COMERCIAL - CONTA 130004-0
  (Aluguéis / Ações de Marketing / Outros)</t>
  </si>
  <si>
    <t xml:space="preserve">                        EXTRATO DO SIAFEM  UG 513192 - FUNDO DE INVESTIMENTO</t>
  </si>
  <si>
    <t xml:space="preserve">                                           EXTRATO DO BANCO DO BRASIL</t>
  </si>
  <si>
    <t xml:space="preserve">                                                        CONTA 10-8   -   CONDOMÍNIO</t>
  </si>
  <si>
    <t xml:space="preserve">                                            EXTRATO DO BANCO DO BRASIL</t>
  </si>
  <si>
    <t xml:space="preserve">                                                 CONTA 9050-6   -   GASTOS EXTRAS   </t>
  </si>
  <si>
    <t>3. Demonstrativo Financeiro - Convênio / Aplicação - Conta 9049-2.........................................................................................................</t>
  </si>
  <si>
    <r>
      <t>15.</t>
    </r>
    <r>
      <rPr>
        <sz val="14"/>
        <rFont val="Arial"/>
        <family val="2"/>
      </rPr>
      <t xml:space="preserve"> Extrato do SIAFEM - Fundo SPII UG 513192 Exploração Comercial..............................................................................................................................................</t>
    </r>
  </si>
  <si>
    <r>
      <t>16.</t>
    </r>
    <r>
      <rPr>
        <sz val="14"/>
        <rFont val="Arial"/>
        <family val="2"/>
      </rPr>
      <t xml:space="preserve"> Extrato do SIAFEM - Fundo de Investimento UG 513192  Exploração Comercial............................................................................................................................</t>
    </r>
  </si>
  <si>
    <r>
      <t>5.</t>
    </r>
    <r>
      <rPr>
        <sz val="14"/>
        <rFont val="Arial"/>
        <family val="2"/>
      </rPr>
      <t xml:space="preserve"> Anexo I - Nota de Débito e Composição - Conta 9049-2 - Convênio...........................................................................................................................................</t>
    </r>
  </si>
  <si>
    <r>
      <t xml:space="preserve">6. </t>
    </r>
    <r>
      <rPr>
        <sz val="14"/>
        <rFont val="Arial"/>
        <family val="2"/>
      </rPr>
      <t>Anexo II -  Pagamentos Efetuados -  Conta 9049-2 - Convênio...................................................................................................................................</t>
    </r>
  </si>
  <si>
    <r>
      <t>8.</t>
    </r>
    <r>
      <rPr>
        <sz val="14"/>
        <rFont val="Arial"/>
        <family val="2"/>
      </rPr>
      <t xml:space="preserve"> Extrato do SIAFEM - Fundo SPII UG 513191 Convênio..............................................................................................................................................</t>
    </r>
  </si>
  <si>
    <r>
      <t>9.</t>
    </r>
    <r>
      <rPr>
        <sz val="14"/>
        <rFont val="Arial"/>
        <family val="2"/>
      </rPr>
      <t xml:space="preserve"> Extrato do SIAFEM - Fundo de Investimento UG 513191 Convênio..........................................................................................................................................</t>
    </r>
  </si>
  <si>
    <t>FUNDACAO DE PROTECAO E DEFESA DO CONSUMIDOR-PROCON</t>
  </si>
  <si>
    <t>BANDEIRANTE ENERGIA</t>
  </si>
  <si>
    <t xml:space="preserve">CIA DESENV HABITAC E URBANO DO EST SAO PAULO CDHU </t>
  </si>
  <si>
    <t>SANTO AMARO Total</t>
  </si>
  <si>
    <t>ITAQUERA Total</t>
  </si>
  <si>
    <t>SÃO BERNARDO DO CAMPO Total</t>
  </si>
  <si>
    <t>PIRACICABA Total</t>
  </si>
  <si>
    <t>CAMPINAS SHOPPING Total</t>
  </si>
  <si>
    <t>BAURU Total</t>
  </si>
  <si>
    <t>BOTUCATU Total</t>
  </si>
  <si>
    <t>SÉ Total</t>
  </si>
  <si>
    <t>CAMPINAS CENTRO Total</t>
  </si>
  <si>
    <t>JUNDIAI Total</t>
  </si>
  <si>
    <t>SÃO JOSÉ DO RIO PRETO Total</t>
  </si>
  <si>
    <t>SÃO JOSÉ DOS CAMPOS Total</t>
  </si>
  <si>
    <t>OSASCO Total</t>
  </si>
  <si>
    <t>CARAPICUIBA Total</t>
  </si>
  <si>
    <t>COTIA Total</t>
  </si>
  <si>
    <t>TABOÃO DA SERRA Total</t>
  </si>
  <si>
    <t>LUZ Total</t>
  </si>
  <si>
    <t>GUARULHOS Total</t>
  </si>
  <si>
    <t>LAPA Total</t>
  </si>
  <si>
    <t>RIBEIRÃO  PRETO Total</t>
  </si>
  <si>
    <t>DIADEMA Total</t>
  </si>
  <si>
    <t>RIBEIRÃO PRETO Total</t>
  </si>
  <si>
    <t>SANTOS Total</t>
  </si>
  <si>
    <t>TAUBATÉ Total</t>
  </si>
  <si>
    <t xml:space="preserve"> PRESIDENTE PRUDENTE</t>
  </si>
  <si>
    <t xml:space="preserve"> MARÍLIA</t>
  </si>
  <si>
    <t xml:space="preserve"> ARAÇATUBA</t>
  </si>
  <si>
    <t xml:space="preserve"> RIO CLARO</t>
  </si>
  <si>
    <t xml:space="preserve"> CIDADE ADEMAR</t>
  </si>
  <si>
    <t xml:space="preserve"> TATUÍ</t>
  </si>
  <si>
    <t xml:space="preserve"> BOTUCATU</t>
  </si>
  <si>
    <t xml:space="preserve"> CARAGUATATUBA</t>
  </si>
  <si>
    <t xml:space="preserve"> SÃO CARLOS</t>
  </si>
  <si>
    <t xml:space="preserve"> ARARAQUARA</t>
  </si>
  <si>
    <t xml:space="preserve"> FRANCA</t>
  </si>
  <si>
    <t xml:space="preserve"> LAPA</t>
  </si>
  <si>
    <t xml:space="preserve"> SOROCABA</t>
  </si>
  <si>
    <t xml:space="preserve"> MOGI DAS CRUZES</t>
  </si>
  <si>
    <t xml:space="preserve"> PIRACICABA</t>
  </si>
  <si>
    <t xml:space="preserve"> OSASCO</t>
  </si>
  <si>
    <t xml:space="preserve"> BAURU</t>
  </si>
  <si>
    <t xml:space="preserve"> SANTOS</t>
  </si>
  <si>
    <t xml:space="preserve"> TAUBATÉ</t>
  </si>
  <si>
    <t xml:space="preserve"> JUNDIAÍ</t>
  </si>
  <si>
    <t xml:space="preserve"> LUZ</t>
  </si>
  <si>
    <t xml:space="preserve"> CAMPINAS CENTRO</t>
  </si>
  <si>
    <t xml:space="preserve"> SANTO AMARO</t>
  </si>
  <si>
    <t xml:space="preserve"> SÃO JOSÉ DOS CAMPOS</t>
  </si>
  <si>
    <t xml:space="preserve">  ITAQUERA</t>
  </si>
  <si>
    <t xml:space="preserve"> SÃO BERNARDO DO CAMPO</t>
  </si>
  <si>
    <t xml:space="preserve"> GUARULHOS</t>
  </si>
  <si>
    <t xml:space="preserve"> RIBEIRÃO PRETO</t>
  </si>
  <si>
    <t xml:space="preserve"> CAMPINAS SHOPPING</t>
  </si>
  <si>
    <t xml:space="preserve"> SUZANO</t>
  </si>
  <si>
    <t xml:space="preserve"> SANTO ANDRÉ</t>
  </si>
  <si>
    <t xml:space="preserve"> AMERICANA</t>
  </si>
  <si>
    <t xml:space="preserve"> ANDRADINA</t>
  </si>
  <si>
    <t xml:space="preserve"> ARARAS</t>
  </si>
  <si>
    <t xml:space="preserve"> BARRETOS</t>
  </si>
  <si>
    <t xml:space="preserve"> BEBEDOURO</t>
  </si>
  <si>
    <t xml:space="preserve"> BIRIGUÍ</t>
  </si>
  <si>
    <t xml:space="preserve"> BRAGANÇA PAULISTA</t>
  </si>
  <si>
    <t xml:space="preserve"> CAIEIRAS</t>
  </si>
  <si>
    <t xml:space="preserve"> CARAPICUÍBA</t>
  </si>
  <si>
    <t xml:space="preserve"> CATANDUVA</t>
  </si>
  <si>
    <t xml:space="preserve"> COTIA</t>
  </si>
  <si>
    <t xml:space="preserve"> DIADEMA</t>
  </si>
  <si>
    <t xml:space="preserve"> DRACENA</t>
  </si>
  <si>
    <t xml:space="preserve"> FERNANDÓPOLIS</t>
  </si>
  <si>
    <t xml:space="preserve"> INDAIATUBA</t>
  </si>
  <si>
    <t xml:space="preserve"> ITAPETININGA</t>
  </si>
  <si>
    <t xml:space="preserve"> ITAPEVA</t>
  </si>
  <si>
    <t xml:space="preserve"> ITU</t>
  </si>
  <si>
    <t xml:space="preserve"> JACAREÍ</t>
  </si>
  <si>
    <t xml:space="preserve"> LINS</t>
  </si>
  <si>
    <t xml:space="preserve"> MOGI-GUAÇU</t>
  </si>
  <si>
    <t xml:space="preserve"> OURINHOS</t>
  </si>
  <si>
    <t xml:space="preserve"> PINDAMONHANGABA</t>
  </si>
  <si>
    <t xml:space="preserve"> PRAIA GRANDE</t>
  </si>
  <si>
    <t xml:space="preserve"> SÃO JOÃO DA BOA VISTA</t>
  </si>
  <si>
    <t xml:space="preserve"> TABOÃO DA SERRA</t>
  </si>
  <si>
    <t xml:space="preserve"> VOTUPORANGA</t>
  </si>
  <si>
    <t xml:space="preserve"> LIMEIRA</t>
  </si>
  <si>
    <t xml:space="preserve"> PENÁPOLIS</t>
  </si>
  <si>
    <t xml:space="preserve"> ITAQUAQUECETUBA</t>
  </si>
  <si>
    <t xml:space="preserve"> SÃO JOSÉ DO RIO PRETO</t>
  </si>
  <si>
    <t xml:space="preserve"> SUPERINTENDÊNCIA</t>
  </si>
  <si>
    <t xml:space="preserve"> MÓVEL INTERIOR 3 - MARÍLIA</t>
  </si>
  <si>
    <t xml:space="preserve"> SÉ</t>
  </si>
  <si>
    <t xml:space="preserve"> UNIDADE GRANDE SP 1</t>
  </si>
  <si>
    <t xml:space="preserve"> - POSTOS AVANÇADOS</t>
  </si>
  <si>
    <t xml:space="preserve"> MAUÁ</t>
  </si>
  <si>
    <t xml:space="preserve"> JAÚ</t>
  </si>
  <si>
    <t>SERTÃOZINHO</t>
  </si>
  <si>
    <t>Gerenciamento Programa Poupatempo</t>
  </si>
  <si>
    <t>Considerando  o previsto no parágrafo segundo da cláusula 4ª; o saldo financeiro remanescente  dos recursos do Convênio  administrados pela PRODESP e tendo  em  vista as restrições  orçamentárias  impostas com a publicação do Decreto  nº 61.802 de 14/01/16, que regulamenta as disposições da Lei Orçamentária Anual – LOA  e  estabelece  as  normas  para  a  execução  orçamentária  e  financeira do exercício de 2016; a  PRODESP;  após  confirmação do valor mensal do repasse, não procederá a cobrança do saldo devedor desta Nota de Débito."</t>
  </si>
  <si>
    <t>Transferência  efetuada para conta Exploração Comercial referente acerto de Janeiro/16</t>
  </si>
  <si>
    <t>Vigilãncia</t>
  </si>
  <si>
    <t>01-112120602020-000-016501060001-1-NV006961-PRO006837-0-0-0</t>
  </si>
  <si>
    <t>01-112120602020-000-046501030001-1-NV006964-PRO006841-0-0-0</t>
  </si>
  <si>
    <t>01-112120502030-000-047501090001-1-NV006965-PRO006836-0-0-0</t>
  </si>
  <si>
    <t>01-112120502040-000-047501090001-1-NV006965-PRO006836-0-0-0</t>
  </si>
  <si>
    <t>01-112120502030-000-015501020001-1-NV006963-PRO006827-0-0-0</t>
  </si>
  <si>
    <t>01-112120502040-000-015501020001-1-NV006963-PRO006827-0-0-0</t>
  </si>
  <si>
    <t>01-112120503040-000-065501180001-2-NV008121-PRO006801-0-0-0</t>
  </si>
  <si>
    <t>ATP TECNOLOGIA E PRODUTOS S/A</t>
  </si>
  <si>
    <t>01-112120503040-000-062501260001-2-NV009955-PRO006804-0-0-0</t>
  </si>
  <si>
    <t>01-112120503040-000-062501270001-2-NV009957-PRO006803-0-0-0</t>
  </si>
  <si>
    <t>01-112120503040-000-062501240001-2-NV009958-PRO006816-0-0-0</t>
  </si>
  <si>
    <t>01-112120201040-000-062501340001-2-NV003952-000000000-0-0-0</t>
  </si>
  <si>
    <t>BANCO DO BRASIL</t>
  </si>
  <si>
    <t>01-112120201040-000-062501350001-2-NV003954-000000000-0-0-0</t>
  </si>
  <si>
    <t>01-112120201040-000-062501360001-2-NV003961-000000000-0-0-0</t>
  </si>
  <si>
    <t>01-112120201040-000-062501370001-2-NV003963-000000000-0-0-0</t>
  </si>
  <si>
    <t>01-112120201040-000-062501380001-2-NV003964-000000000-0-0-0</t>
  </si>
  <si>
    <t>01-112120201040-000-062501390001-2-NV003967-000000000-0-0-0</t>
  </si>
  <si>
    <t>01-112120201040-000-062501410001-2-NV003977-000000000-0-0-0</t>
  </si>
  <si>
    <t>01-112120201040-000-062501420001-2-NV003980-000000000-0-0-0</t>
  </si>
  <si>
    <t>01-112120201040-000-062501430001-2-NV003981-000000000-0-0-0</t>
  </si>
  <si>
    <t>01-112120201040-000-062501440001-2-NV003983-000000000-0-0-0</t>
  </si>
  <si>
    <t>01-112120201040-000-062501450001-2-NV003986-000000000-0-0-0</t>
  </si>
  <si>
    <t>01-112120201040-000-062501460001-2-NV003953-000000000-0-0-0</t>
  </si>
  <si>
    <t>01-112120201040-000-062501470001-2-NV003955-000000000-0-0-0</t>
  </si>
  <si>
    <t>01-112120201040-000-062501480001-2-NV003956-000000000-0-0-0</t>
  </si>
  <si>
    <t>01-112120201040-000-062501490001-2-NV003957-000000000-0-0-0</t>
  </si>
  <si>
    <t>01-112120201040-000-062501500001-2-NV003958-000000000-0-0-0</t>
  </si>
  <si>
    <t>01-112120201040-000-062501510001-2-NV003959-000000000-0-0-0</t>
  </si>
  <si>
    <t>01-112120201040-000-062501520001-2-NV003960-000000000-0-0-0</t>
  </si>
  <si>
    <t>01-112120201040-000-062501540001-2-NV003965-000000000-0-0-0</t>
  </si>
  <si>
    <t>01-112120201040-000-062501550001-2-NV003966-000000000-0-0-0</t>
  </si>
  <si>
    <t>01-112120201040-000-062501570001-2-NV003970-000000000-0-0-0</t>
  </si>
  <si>
    <t>01-112120201040-000-062501580001-2-NV003971-000000000-0-0-0</t>
  </si>
  <si>
    <t>01-112120201040-000-062501590001-2-NV003972-000000000-0-0-0</t>
  </si>
  <si>
    <t>01-112120201040-000-062501600001-2-NV003973-000000000-0-0-0</t>
  </si>
  <si>
    <t>01-112120201040-000-062501610001-2-NV003974-000000000-0-0-0</t>
  </si>
  <si>
    <t>01-112120201040-000-062501620001-2-NV003975-000000000-0-0-0</t>
  </si>
  <si>
    <t>01-112120201040-000-062501640001-2-NV003978-000000000-0-0-0</t>
  </si>
  <si>
    <t>01-112120201040-000-062501650001-2-NV003979-000000000-0-0-0</t>
  </si>
  <si>
    <t>01-112120201040-000-062501660001-2-NV003984-000000000-0-0-0</t>
  </si>
  <si>
    <t>01-112120201040-000-062501680001-2-NV004956-000000000-0-0-0</t>
  </si>
  <si>
    <t>01-112120201040-000-062501700001-2-NV004958-000000000-0-0-0</t>
  </si>
  <si>
    <t>01-112120612120-000-062501560001-2-NV003968-000000000-0-0-0</t>
  </si>
  <si>
    <t>01-112120601060-000-046501030001-1-NV006964-000000000-0-0-0</t>
  </si>
  <si>
    <t>01-112120502010-000-062501710001-2-NV004959-PRO006826-0-0-0</t>
  </si>
  <si>
    <t>01-112120601010-000-062502000020-2-NV009959-PRO006811-0-0-0</t>
  </si>
  <si>
    <t>01-112120611010-000-062501400001-2-NV003969-PRO006602-0-0-0</t>
  </si>
  <si>
    <t>01-112120602020-000-048501100001-1-NV006966-PRO006791-0-0-0</t>
  </si>
  <si>
    <t>CIMAX COMÉRCIO INSTALAÇÃO E MANUTENÇÃO DE AR CONDICIONADO EIRELI</t>
  </si>
  <si>
    <t>01-112120602020-000-044501040001-1-NV006960-PRO006745-0-0-0</t>
  </si>
  <si>
    <t>01-112120602020-000-050501050001-2-NV006968-PRO006745-0-0-0</t>
  </si>
  <si>
    <t>01-112120612120-000-062501580001-2-NV003971-000000000-0-0-0</t>
  </si>
  <si>
    <t>CPFL - COMPANHIA PIRATININGA DE FORÇA E LUZ</t>
  </si>
  <si>
    <t>01-112120503060-000-015501020001-1-NV006963-PRO006165-0-0-0</t>
  </si>
  <si>
    <t>01-112120503060-000-016501060001-1-NV006961-PRO006165-0-0-0</t>
  </si>
  <si>
    <t>01-112120503060-000-017501020004-2-NV006959-PRO006165-0-0-0</t>
  </si>
  <si>
    <t>01-112120503060-000-044501040001-1-NV006960-PRO006165-0-0-0</t>
  </si>
  <si>
    <t>01-112120503060-000-045501070001-1-NV006962-PRO006165-0-0-0</t>
  </si>
  <si>
    <t>01-112120503060-000-046501030001-1-NV006964-PRO006165-0-0-0</t>
  </si>
  <si>
    <t>01-112120503060-000-047501090001-1-NV006965-PRO006165-0-0-0</t>
  </si>
  <si>
    <t>01-112120503060-000-048501100001-1-NV006966-PRO006165-0-0-0</t>
  </si>
  <si>
    <t>01-112120503060-000-049501110001-1-NV006967-PRO006165-0-0-0</t>
  </si>
  <si>
    <t>01-112120503060-000-050501050001-2-NV006968-PRO006165-0-0-0</t>
  </si>
  <si>
    <t>01-112120612120-000-046501030001-1-NV006964-PRO006098-0-0-0</t>
  </si>
  <si>
    <t>Transportes</t>
  </si>
  <si>
    <t>01-112120503030-000-049501110003-2-NV006967-PRO006657-0-0-0</t>
  </si>
  <si>
    <t>01-112120611020-000-062501200001-2-NV009956-PRO006604-0-0-0</t>
  </si>
  <si>
    <t>01-112120611020-000-062501260001-2-NV009955-PRO006604-0-0-0</t>
  </si>
  <si>
    <t>01-112120611020-000-065501180001-2-NV008121-PRO006604-0-0-0</t>
  </si>
  <si>
    <t>01-112120611020-000-062501270001-2-NV009957-PRO006604-0-0-0</t>
  </si>
  <si>
    <t>Divulgação</t>
  </si>
  <si>
    <t>01-112120503040-000-062501400001-2-NV003969-PRO006522-0-0-0</t>
  </si>
  <si>
    <t>PMSP - PREFEITURA MUNICIPAL DE SÃO PAULO</t>
  </si>
  <si>
    <t>PREF ARARAQUARA - PREFEITURA MUNICIPAL DE ARARAQUARA</t>
  </si>
  <si>
    <t>01-112120503040-000-062501560001-2-NV003968-PRO006581-0-0-0</t>
  </si>
  <si>
    <t>01-112120503040-000-062501220001-2-NV009960-PRO006778-0-0-0</t>
  </si>
  <si>
    <t>01-112120503040-000-062501230001-2-NV000952-PRO006785-0-0-0</t>
  </si>
  <si>
    <t>01-112120503040-000-062501290001-2-NV009959-PRO006780-0-0-0</t>
  </si>
  <si>
    <t>01-112120503040-000-062501130001-2-NV000956-PRO006834-0-0-0</t>
  </si>
  <si>
    <t>01-112120502050-000-049501110001-2-NV006967-000000000-0-0-0</t>
  </si>
  <si>
    <t>01-112120612130-000-062501710001-2-NV004959-000000000-0-0-0</t>
  </si>
  <si>
    <t>SAEMAS - SERVIÇO AUTONOMO DE AGUA, ESGOTO E MEIO AMBIENTE DE SERTAOZINH</t>
  </si>
  <si>
    <t>01-112120503040-000-062501720001-2-NV004960-PRO006724-0-0-0</t>
  </si>
  <si>
    <t>01-112120503040-000-062501710001-2-NV004959-PRO006687-0-0-0</t>
  </si>
  <si>
    <t>Outras Despesas Tributáveis</t>
  </si>
  <si>
    <t>01-132050100000-000-046501030001-1-NV006964-000000000-0-0-0</t>
  </si>
  <si>
    <t>01-112120601060-000-017501020004-2-NV006959-PRO006461-0-0-0</t>
  </si>
  <si>
    <t>01-112120601060-000-015501020001-1-NV006963-PRO006461-0-0-0</t>
  </si>
  <si>
    <t>01-112120601060-000-044501040001-1-NV006960-PRO006461-0-0-0</t>
  </si>
  <si>
    <t>Mat e Serv Rep Adap Imóveis e Instal (Contratos/Esporádicos)</t>
  </si>
  <si>
    <t>01-112120601060-000-016501060001-1-NV006961-PRO006461-0-0-0</t>
  </si>
  <si>
    <t>01-112120601060-000-045501070001-1-NV006962-PRO006461-0-0-0</t>
  </si>
  <si>
    <t>01-112120601060-000-046501030001-1-NV006964-PRO006461-0-0-0</t>
  </si>
  <si>
    <t>01-112120601060-000-048501100001-1-NV006966-PRO006461-0-0-0</t>
  </si>
  <si>
    <t>01-112120601060-000-050501050001-2-NV006968-PRO006461-0-0-0</t>
  </si>
  <si>
    <t>01-112120602030-000-049501110001-1-NV006967-PRO006799-0-0-0</t>
  </si>
  <si>
    <t>MATERIAL DE ALMOXARIFADO</t>
  </si>
  <si>
    <t xml:space="preserve">Material de Escritório                                                                                                            </t>
  </si>
  <si>
    <t>01-112120612010-000-017501020004-2-CD001314-000000000-0-0-0</t>
  </si>
  <si>
    <t>01-112120612110-000-017501020004-2-CD001314-000000000-0-0-0</t>
  </si>
  <si>
    <t xml:space="preserve">Higiene                                                                                                                           </t>
  </si>
  <si>
    <t>01-112120101090-000-017501020004-2-CD001314-000000000-0-0-0</t>
  </si>
  <si>
    <t xml:space="preserve">Descartáveis                                                                                                                      </t>
  </si>
  <si>
    <t>01-112120612010-000-044501040001-1-CD001315-000000000-0-0-0</t>
  </si>
  <si>
    <t>01-112120101090-000-044501040001-1-CD001315-000000000-0-0-0</t>
  </si>
  <si>
    <t>01-112120612110-000-044501040001-1-CD001315-000000000-0-0-0</t>
  </si>
  <si>
    <t xml:space="preserve">Serviço Médico                                                                                                                    </t>
  </si>
  <si>
    <t>01-112120612010-000-016501060001-1-CD001316-000000000-0-0-0</t>
  </si>
  <si>
    <t>01-112120612110-000-016501060001-1-CD001316-000000000-0-0-0</t>
  </si>
  <si>
    <t>01-112120612010-000-045501070001-1-CD001317-000000000-0-0-0</t>
  </si>
  <si>
    <t>01-112120612110-000-045501070001-1-CD001317-000000000-0-0-0</t>
  </si>
  <si>
    <t>01-112120612010-000-015501020001-1-CD001318-000000000-0-0-0</t>
  </si>
  <si>
    <t>01-112120612110-000-015501020001-1-CD001318-000000000-0-0-0</t>
  </si>
  <si>
    <t>01-112120612010-000-046501030001-1-CD001319-000000000-0-0-0</t>
  </si>
  <si>
    <t>01-112120612110-000-046501030001-1-CD001319-000000000-0-0-0</t>
  </si>
  <si>
    <t>01-112120612010-000-047501090001-1-CD001320-000000000-0-0-0</t>
  </si>
  <si>
    <t>01-112120612110-000-047501090001-1-CD001320-000000000-0-0-0</t>
  </si>
  <si>
    <t>01-112120106000-000-047501090001-1-CD001320-000000000-0-0-0</t>
  </si>
  <si>
    <t>01-112120106000-000-048501100001-1-CD001321-000000000-0-0-0</t>
  </si>
  <si>
    <t>01-112120612010-000-048501100001-1-CD001321-000000000-0-0-0</t>
  </si>
  <si>
    <t>01-112120612110-000-048501100001-1-CD001321-000000000-0-0-0</t>
  </si>
  <si>
    <t>01-112120612010-000-049501110001-1-CD001322-000000000-0-0-0</t>
  </si>
  <si>
    <t>01-112120612110-000-049501110001-1-CD001322-000000000-0-0-0</t>
  </si>
  <si>
    <t>01-112120612110-000-050501050001-2-CD001323-000000000-0-0-0</t>
  </si>
  <si>
    <t>01-112120612010-000-050501050001-2-CD001323-000000000-0-0-0</t>
  </si>
  <si>
    <t>PREF CARAGUATATUBA - PREFEITURA MUNICIPAL DE CARAGUATATUBA</t>
  </si>
  <si>
    <t>INSS - FORNECEDORES DE SERVIÇOS</t>
  </si>
  <si>
    <t>PREF SÃO CARLOS - PREFEITURA MUNCIPAL DE SÃO CARLOS</t>
  </si>
  <si>
    <t>01-112120503040-000-062501210001-2-NV000954-PRO006786-0-0-0</t>
  </si>
  <si>
    <t>PREF FRANCA - PREFEITURA MUNICIPAL DE FRANCA</t>
  </si>
  <si>
    <t>PREF SOROCABA - PREFEITURA MUNICIPAL DE SOROCABA</t>
  </si>
  <si>
    <t>PREF MOGI DAS CRUZES - PREFEITURA MUNICIPAL DE MOGI DAS CRUZES</t>
  </si>
  <si>
    <t>PREF SUZANO</t>
  </si>
  <si>
    <t>01-112120611020-000-062501330001-2-NV002952-PRO006829-0-0-0</t>
  </si>
  <si>
    <t>PREF REGISTRO - PREFEITURA MUNICIPAL DE REGISTRO</t>
  </si>
  <si>
    <t>01-112120601060-000-062502030001-2-NV006958-000000000-0-0-0</t>
  </si>
  <si>
    <t>PREF CAMPINAS - PREFEITURA DO MUNICIPIO DE CAMPINAS</t>
  </si>
  <si>
    <t>PREF SJCAMPOS - PMSJC - PREFEITURA MUNICIPAL DE S.J.DOS CAMPOS</t>
  </si>
  <si>
    <t>PREF RIBEIRÃO PRETO - PMRP - PREFEITURA MUNICIPAL DE RIBEIRÃO PRETO</t>
  </si>
  <si>
    <t>PREF BAURU - PREFEITURA MUNICIPAL DE BAURU</t>
  </si>
  <si>
    <t>PREF SANTOS - PREFEITURA MUNICIPAL DE SANTOS</t>
  </si>
  <si>
    <t>PREF OSASCO - PREFEITURA MUNICIPAL DE OSASCO</t>
  </si>
  <si>
    <t>PREF SÃO JOSÉ DO RIO PRETO</t>
  </si>
  <si>
    <t>PREF TAUBATÉ - PREFEITURA MUNICIPAL DE TAUBATÉ</t>
  </si>
  <si>
    <t>PREF JUNDIAI - PREFEITURA MUNICIPAL DE JUNDIAI</t>
  </si>
  <si>
    <t>PREF PIRACICABA - PREFEITURA MUNICIPAL DE PIRACICABA</t>
  </si>
  <si>
    <t>01-112120503040-000-062501160001-2-NV009954-PRO006821-0-0-0</t>
  </si>
  <si>
    <t>PREF PRESIDENTE PRUDENTE - PREFEITURA MUNICIPAL DE PRESIDENTE PRUDENTE</t>
  </si>
  <si>
    <t>PREF MARILIA - PREFEITURA MUNICIPAL DE MARILIA</t>
  </si>
  <si>
    <t>PREF ARAÇATUBA - PREFEITURA MUNICIPAL DE ARAÇATUBA</t>
  </si>
  <si>
    <t>PREF RIO CLARO - PREFEITURA MUNICIPAL DE RIO CLARO</t>
  </si>
  <si>
    <t>PREF TATUI - PREFEITURA MUNICIPAL DE TATUI</t>
  </si>
  <si>
    <t>PREF BOTUCATU - PREFEITURA MUNICIPAL DE BOTUCATU</t>
  </si>
  <si>
    <t>01-451020000000-000-001500000005-1-DES00001-PRO006538-0-0-0</t>
  </si>
  <si>
    <t>DES00001</t>
  </si>
  <si>
    <t>01-442010000000-000-001500000005-1-DES00001-PRO006619-0-0-0</t>
  </si>
  <si>
    <t>01-441020000000-000-001500000005-1-DES00001-PRO006398-0-0-0</t>
  </si>
  <si>
    <t>01-451030000000-000-001500000005-1-DES00001-PRO006486-0-0-0</t>
  </si>
  <si>
    <t>01-134010100000-000-001500000005-1-IN005951-PRO006537-0-0-0</t>
  </si>
  <si>
    <t>IN005951</t>
  </si>
  <si>
    <t>01-134010100000-000-001500000005-1-IN005951-PRO006485-0-0-0</t>
  </si>
  <si>
    <t>01-134010100000-000-001500000005-1-IN005951-PRO006046-0-0-0</t>
  </si>
  <si>
    <t>01-134010100000-000-001500000005-1-IN005951-PRO006536-0-0-0</t>
  </si>
  <si>
    <t>01-112120611040-000-062501160001-2-CD000971-PRO006604-0-0-0</t>
  </si>
  <si>
    <t>01-112120611040-000-062501260001-2-CD000972-PRO006604-0-0-0</t>
  </si>
  <si>
    <t>01-112120611040-000-062501200001-2-CD000973-PRO006604-0-0-0</t>
  </si>
  <si>
    <t>01-112120611040-000-062501270001-2-CD000974-PRO006604-0-0-0</t>
  </si>
  <si>
    <t>01-112120611040-000-062501240001-2-CD000976-PRO006604-0-0-0</t>
  </si>
  <si>
    <t>01-112120611040-000-062501290001-2-CD000977-PRO006604-0-0-0</t>
  </si>
  <si>
    <t>01-112120611040-000-062501220001-2-CD000978-PRO006604-0-0-0</t>
  </si>
  <si>
    <t>01-112120611040-000-062501230001-2-CD000979-PRO006604-0-0-0</t>
  </si>
  <si>
    <t>01-112120611040-000-062501280001-2-CD000980-PRO006604-0-0-0</t>
  </si>
  <si>
    <t>01-112120611040-000-062501210001-2-CD000981-PRO006604-0-0-0</t>
  </si>
  <si>
    <t>01-112120611040-000-062501250001-2-CD000982-PRO006604-0-0-0</t>
  </si>
  <si>
    <t>01-112120611040-000-062501130001-2-CD000983-PRO006604-0-0-0</t>
  </si>
  <si>
    <t>01-112120611040-000-062501310001-2-CD000984-PRO006604-0-0-0</t>
  </si>
  <si>
    <t>01-112120611040-000-062501300001-2-CD000985-PRO006604-0-0-0</t>
  </si>
  <si>
    <t>01-112120611040-000-064501170001-2-CD001137-PRO006604-0-0-0</t>
  </si>
  <si>
    <t>01-112120611040-000-062501190001-2-CD001138-PRO006604-0-0-0</t>
  </si>
  <si>
    <t>01-112120611040-000-065501180001-2-CD001139-PRO006604-0-0-0</t>
  </si>
  <si>
    <t>01-112120611040-000-060501120001-2-CD001172-PRO006604-0-0-0</t>
  </si>
  <si>
    <t>01-112120611040-000-059501080001-2-CD001173-PRO006604-0-0-0</t>
  </si>
  <si>
    <t>01-112120611040-000-017501020004-2-CD001314-PRO006604-0-0-0</t>
  </si>
  <si>
    <t>01-112120611040-000-044501040001-1-CD001315-PRO006604-0-0-0</t>
  </si>
  <si>
    <t>01-112120611040-000-016501060001-1-CD001316-PRO006604-0-0-0</t>
  </si>
  <si>
    <t>01-112120611040-000-045501070001-1-CD001317-PRO006604-0-0-0</t>
  </si>
  <si>
    <t>01-112120611040-000-015501020001-1-CD001318-PRO006604-0-0-0</t>
  </si>
  <si>
    <t>01-112120611040-000-046501030001-1-CD001319-PRO006604-0-0-0</t>
  </si>
  <si>
    <t>01-112120611040-000-047501090001-1-CD001320-PRO006604-0-0-0</t>
  </si>
  <si>
    <t>01-112120611040-000-048501100001-1-CD001321-PRO006604-0-0-0</t>
  </si>
  <si>
    <t>01-112120608040-000-048501100001-1-CD001321-PRO006725-0-0-0</t>
  </si>
  <si>
    <t>01-112120611040-000-049501110001-1-CD001322-PRO006604-0-0-0</t>
  </si>
  <si>
    <t>01-112120611040-000-050501050001-2-CD001323-PRO006604-0-0-0</t>
  </si>
  <si>
    <t>01-112120611040-000-057501140001-2-CD001332-PRO006604-0-0-0</t>
  </si>
  <si>
    <t>01-112120611040-000-062501320001-2-CD002951-PRO006604-0-0-0</t>
  </si>
  <si>
    <t>01-112120611040-000-061501150001-2-CD007250-PRO006604-0-0-0</t>
  </si>
  <si>
    <t>Condução/Taxi</t>
  </si>
  <si>
    <t>01-112120103020-000-062501000001-1-CD001313-000000000-0-0-0</t>
  </si>
  <si>
    <t>Viagens e estadas Nacionais</t>
  </si>
  <si>
    <t>01-112120103060-000-062501000001-1-CD001313-000000000-0-0-0</t>
  </si>
  <si>
    <t>01-112120105010-000-062501000001-1-CD001313-000000000-0-0-0</t>
  </si>
  <si>
    <t>Estacionamento</t>
  </si>
  <si>
    <t>Despesas Postais</t>
  </si>
  <si>
    <t>SETEC CONSULTING GROUP CONSULTORIA E DITORA LTDA</t>
  </si>
  <si>
    <t>01-112120604020-000-049501110001-1-CD001322-PRO006202-0-0-0</t>
  </si>
  <si>
    <t>RODRIGUES CRUZ TELEC. ELETRIC. LTDA.</t>
  </si>
  <si>
    <t>01-112120604020-000-047501090001-1-CD001320-PRO006172-0-0-0</t>
  </si>
  <si>
    <t>RODRIGO CARLOS GOMES .</t>
  </si>
  <si>
    <t>Copa e Cozinha</t>
  </si>
  <si>
    <t>01-112120604020-000-044501040001-1-CD001315-PRO006591-0-0-0</t>
  </si>
  <si>
    <t>RA TELECOM LTDA - EPP</t>
  </si>
  <si>
    <t>01-112120604020-000-045501070001-1-CD001317-PRO006591-0-0-0</t>
  </si>
  <si>
    <t>01-112120604020-000-046501030001-1-CD001319-PRO006259-0-0-0</t>
  </si>
  <si>
    <t>01-112120604020-000-016501060001-1-CD001316-PRO006260-0-0-0</t>
  </si>
  <si>
    <t>01-112120604020-000-048501100001-1-CD001321-PRO006257-0-0-0</t>
  </si>
  <si>
    <t>01-112120604020-000-050501050001-2-CD001323-PRO006218-0-0-0</t>
  </si>
  <si>
    <t>R e A COMERCIO DE EQUIPAMENTOS TELEFONICOS LTDA</t>
  </si>
  <si>
    <t>Talheres e Guarnições de Copa</t>
  </si>
  <si>
    <t>Condução - taxi</t>
  </si>
  <si>
    <t>01-112120103020-000-045501070001-1-CD001317-000000000-0-0-0</t>
  </si>
  <si>
    <t>01-112120612030-000-045501070001-1-CD001317-000000000-0-0-0</t>
  </si>
  <si>
    <t>01-112120612180-000-045501070001-1-CD001317-000000000-0-0-0</t>
  </si>
  <si>
    <t>Pedágio</t>
  </si>
  <si>
    <t>01-112120702010-000-062501160001-2-CD000971-000000000-0-0-0</t>
  </si>
  <si>
    <t>Outros Impostos e Taxas</t>
  </si>
  <si>
    <t>01-112120103010-000-044501040001-1-CD001315-000000000-0-0-0</t>
  </si>
  <si>
    <t>PAULO SERGIO DE ANDRADE</t>
  </si>
  <si>
    <t>01-112120103030-000-044501040001-1-CD001315-000000000-0-0-0</t>
  </si>
  <si>
    <t>01-112120104000-000-044501040001-1-CD001315-000000000-0-0-0</t>
  </si>
  <si>
    <t>01-112120101060-000-045501070001-1-CD001317-PRO006776-0-0-0</t>
  </si>
  <si>
    <t>MINERAÇÃO MONTEIRO LOBATO LTDA</t>
  </si>
  <si>
    <t>Água (garrafas/garrafão/etc)</t>
  </si>
  <si>
    <t>Passagens Rodoviárias</t>
  </si>
  <si>
    <t>01-112120103020-000-017501020004-2-CD001314-000000000-0-0-0</t>
  </si>
  <si>
    <t>01-112120612100-000-017501020004-2-CD001314-000000000-0-0-0</t>
  </si>
  <si>
    <t>01-112120103010-000-062502000001-1-CD001313-000000000-0-0-0</t>
  </si>
  <si>
    <t>01-112120104000-000-062502000001-1-CD001313-000000000-0-0-0</t>
  </si>
  <si>
    <t>01-112120105010-000-062502000001-1-CD001313-000000000-0-0-0</t>
  </si>
  <si>
    <t>JOSE WILSON RICCIARDI</t>
  </si>
  <si>
    <t>01-112120103020-000-046501030002-2-CD001319-000000000-0-0-0</t>
  </si>
  <si>
    <t>JORGE CAPORUSCIO</t>
  </si>
  <si>
    <t>01-112120612010-000-046501030002-2-CD001319-000000000-0-0-0</t>
  </si>
  <si>
    <t>01-112120612160-000-046501030002-2-CD001319-000000000-0-0-0</t>
  </si>
  <si>
    <t>01-112120103040-000-046501030002-2-CD001319-000000000-0-0-0</t>
  </si>
  <si>
    <t>01-112120605020-000-046501030002-2-CD001319-000000000-0-0-0</t>
  </si>
  <si>
    <t>01-112120612180-000-046501030002-2-CD001319-000000000-0-0-0</t>
  </si>
  <si>
    <t>Material para Uso de Clientes</t>
  </si>
  <si>
    <t>IMPRENSA OFICIAL DO ESTADO S.A - IMESP</t>
  </si>
  <si>
    <t>Publicações Legais</t>
  </si>
  <si>
    <t>CD003986</t>
  </si>
  <si>
    <t>CD003953</t>
  </si>
  <si>
    <t>CD003979</t>
  </si>
  <si>
    <t>01-112120612060-000-047501090001-1-CD001320-PRO006470-0-0-0</t>
  </si>
  <si>
    <t>01-112120612060-000-050501050001-2-CD001323-PRO006470-0-0-0</t>
  </si>
  <si>
    <t>01-112120612060-000-015501020001-1-CD001318-PRO006470-0-0-0</t>
  </si>
  <si>
    <t>01-112120612060-000-017501020004-2-CD001314-PRO006470-0-0-0</t>
  </si>
  <si>
    <t>01-112120612060-000-048501100001-1-CD001321-PRO006470-0-0-0</t>
  </si>
  <si>
    <t>01-112120612060-000-049501110001-1-CD001322-PRO006470-0-0-0</t>
  </si>
  <si>
    <t>01-112120612060-000-062501000001-1-CD001313-PRO006470-0-0-0</t>
  </si>
  <si>
    <t>01-112120612060-000-062501320001-2-CD002951-PRO006470-0-0-0</t>
  </si>
  <si>
    <t>01-112120612060-000-062502000001-1-CD001313-PRO006470-0-0-0</t>
  </si>
  <si>
    <t>01-112120103020-000-062502000001-1-CD001313-000000000-0-0-0</t>
  </si>
  <si>
    <t>FABIANO DORETTO PAGIORO</t>
  </si>
  <si>
    <t>01-112120105010-000-044501040001-1-CD001315-000000000-0-0-0</t>
  </si>
  <si>
    <t>ELCIO BONATTI</t>
  </si>
  <si>
    <t>01-112120101060-000-016501060001-1-CD001316-PRO006743-0-0-0</t>
  </si>
  <si>
    <t>E. N. DE PAULA ADEGA - ME</t>
  </si>
  <si>
    <t>01-112120101060-000-046501030001-1-CD001319-PRO006743-0-0-0</t>
  </si>
  <si>
    <t>01-112120101060-000-047501090001-1-CD001320-PRO006743-0-0-0</t>
  </si>
  <si>
    <t>01-112120101060-000-044501040001-1-CD001315-PRO006743-0-0-0</t>
  </si>
  <si>
    <t>01-112120101060-000-050501050001-2-CD001323-PRO006743-0-0-0</t>
  </si>
  <si>
    <t>01-112120604020-000-015501020001-1-CD001318-PRO006352-0-0-0</t>
  </si>
  <si>
    <t>DAMOVO DO BRASIL S.A</t>
  </si>
  <si>
    <t>01-112120604020-000-015501020001-1-CD001318-PRO006258-0-0-0</t>
  </si>
  <si>
    <t>estagiarios</t>
  </si>
  <si>
    <t>01-112120103020-000-015501020003-2-CD001318-000000000-0-0-0</t>
  </si>
  <si>
    <t>01-112120103010-000-015501020001-1-CD001318-000000000-0-0-0</t>
  </si>
  <si>
    <t>01-112120103010-000-049501110003-2-CD001322-000000000-0-0-0</t>
  </si>
  <si>
    <t>01-112120612010-000-049501110003-2-CD001322-000000000-0-0-0</t>
  </si>
  <si>
    <t>01-112120103010-000-047501090001-1-CD001320-000000000-0-0-0</t>
  </si>
  <si>
    <t>01-112120103030-000-047501090001-1-CD001320-000000000-0-0-0</t>
  </si>
  <si>
    <t>01-112120103010-000-048501100001-1-CD001321-000000000-0-0-0</t>
  </si>
  <si>
    <t>01-112120612180-000-048501100001-1-CD001321-000000000-0-0-0</t>
  </si>
  <si>
    <t>01-112120801030-000-048501100001-1-CD001321-000000000-0-0-0</t>
  </si>
  <si>
    <t>01-112120103010-000-046501030001-1-CD001319-000000000-0-0-0</t>
  </si>
  <si>
    <t>ADEMIR COELHO</t>
  </si>
  <si>
    <t>01-112120104000-000-046501030001-1-CD001319-000000000-0-0-0</t>
  </si>
  <si>
    <t>01-112120103010-000-045501070001-1-CD001317-000000000-0-0-0</t>
  </si>
  <si>
    <t>01-112120104000-000-045501070001-1-CD001317-000000000-0-0-0</t>
  </si>
  <si>
    <t>01-112120105010-000-045501070001-1-CD001317-000000000-0-0-0</t>
  </si>
  <si>
    <t>ADAD EDUARDO MONTANO GUTIERREZ</t>
  </si>
  <si>
    <t>01-112120604020-000-017501020004-2-CD001314-PRO006135-0-0-0</t>
  </si>
  <si>
    <t>01-442010000000-000-001500000005-1-DES00001-PRO006779-0-0-0</t>
  </si>
  <si>
    <t>AÇÃO INFORMÁTICA BRASIL LTDA.</t>
  </si>
  <si>
    <t>Loc Progr Produto / IBM</t>
  </si>
  <si>
    <t>MAGNA SISTEMAS CONSULTORIA S.A</t>
  </si>
  <si>
    <t>Software - Valor Corrigido</t>
  </si>
  <si>
    <t>STEFANINI CONSULTORIA E ASSESSORIA EM INFORMATICA LTDA</t>
  </si>
  <si>
    <t>BRQ - SOLUÇÕES EM INFORMATICA S/A</t>
  </si>
  <si>
    <t>Transferência da Conta Única do Estado</t>
  </si>
  <si>
    <t xml:space="preserve">TOTAL </t>
  </si>
  <si>
    <t>CONTA ÚNICA DO ESTADO - DEMONSTRATIVO</t>
  </si>
  <si>
    <t>TOTAL ( D= A + B + C )</t>
  </si>
  <si>
    <t>CALL TECNOLOGIA E SERVICOS LTDA</t>
  </si>
  <si>
    <t>01-112120601040-000-044501040001-1-NV006960-000000000-0-0-0</t>
  </si>
  <si>
    <t>TOTAL OUTROS RECEBIMENTOS</t>
  </si>
  <si>
    <t>TOTAL  RECEBIMENTOS DE CONDOMÍNIO</t>
  </si>
  <si>
    <t>Recebimento antecipado de saldo de prestação de contas de Despesa de Viagem</t>
  </si>
  <si>
    <t>132050100000</t>
  </si>
  <si>
    <t>TOTAL GERENC. PROGRAMA POUPATEMPO</t>
  </si>
  <si>
    <t>TOTAL POUPATEMPO SUPERINTENDENCIA</t>
  </si>
  <si>
    <t>TOTAL POUPATEMPO MÓVEL GRANDE SP 1</t>
  </si>
  <si>
    <t>TOTAL POUPATEMPO MÓVEL GRANDE SP 3</t>
  </si>
  <si>
    <t>TOTAL POUPATEMPO MÓVEL INTERIOR 1 - REGISTRO</t>
  </si>
  <si>
    <t>TOTAL POUPATEMPO MÓVEL INTERIOR 2 - SOROCABA</t>
  </si>
  <si>
    <t>TOTAL POUPATEMPO MÓVEL INTERIOR 3 - MARILIA</t>
  </si>
  <si>
    <t>TOTAL POUPATEMPO MÓVEL INTERIOR 4 -ARAÇATUBA</t>
  </si>
  <si>
    <t>TOTAL POUPATEMPO - POSTOS AVANÇADOS</t>
  </si>
  <si>
    <t>TOTAL POUPATEMPO AMERICANA</t>
  </si>
  <si>
    <t>TOTAL POUPATEMPO ARARAS</t>
  </si>
  <si>
    <t>TOTAL POUPATEMPO ASSIS</t>
  </si>
  <si>
    <t>TOTAL POUPATEMPO AVARÉ</t>
  </si>
  <si>
    <t>TOTAL POUPATEMPO BARRETOS</t>
  </si>
  <si>
    <t>TOTAL POUPATEMPO BEBEDOURO</t>
  </si>
  <si>
    <t>TOTAL POUPATEMPO BIRIGUÍ</t>
  </si>
  <si>
    <t>TOTAL POUPATEMPO BRAGANÇA PAULISTA</t>
  </si>
  <si>
    <t>TOTAL POUPATEMPO CAIEIRAS</t>
  </si>
  <si>
    <t>TOTAL POUPATEMPO CARAPICUÍBA</t>
  </si>
  <si>
    <t>TOTAL POUPATEMPO CATANDUVA</t>
  </si>
  <si>
    <t>TOTAL POUPATEMPO COTIA</t>
  </si>
  <si>
    <t>TOTAL POUPATEMPO DIADEMA</t>
  </si>
  <si>
    <t>TOTAL POUPATEMPO DRACENA</t>
  </si>
  <si>
    <t>TOTAL POUPATEMPO FERNANDÓPOLIS</t>
  </si>
  <si>
    <t>TOTAL POUPATEMPO GUARATINGUETÁ</t>
  </si>
  <si>
    <t>TOTAL POUPATEMPO GUARUJÁ</t>
  </si>
  <si>
    <t>TOTAL POUPATEMPO INDAIATUBA</t>
  </si>
  <si>
    <t>TOTAL POUPATEMPO ITAPETININGA</t>
  </si>
  <si>
    <t>TOTAL POUPATEMPO ITAPEVA</t>
  </si>
  <si>
    <t>TOTAL POUPATEMPO ITU</t>
  </si>
  <si>
    <t>TOTAL POUPATEMPO JACAREÍ</t>
  </si>
  <si>
    <t>TOTAL POUPATEMPO LINS</t>
  </si>
  <si>
    <t>TOTAL POUPATEMPO MAUÁ</t>
  </si>
  <si>
    <t>TOTAL POUPATEMPO MOGI GUAÇU</t>
  </si>
  <si>
    <t>TOTAL POUPATEMPO OURINHOS</t>
  </si>
  <si>
    <t>TOTAL POUPATEMPO PRAIA GRANDE</t>
  </si>
  <si>
    <t>TOTAL POUPATEMPO REGISTRO</t>
  </si>
  <si>
    <t>TOTAL POUPATEMPO SÃO JOÃO DA BOA VISTA</t>
  </si>
  <si>
    <t>TOTAL POUPATEMPO TABOÃO DA SERRA</t>
  </si>
  <si>
    <t>TOTAL POUPATEMPO ????</t>
  </si>
  <si>
    <t>TOTAL POUPATEMPO MÓVEL REGIÃO NORTE</t>
  </si>
  <si>
    <t>TOTAL POUPATEMPO MÓVEL REGIÃO SUL</t>
  </si>
  <si>
    <t>TOTAL POUPATEMPO MÓVEL REGIÃO LESTE</t>
  </si>
  <si>
    <t>TOTAL POUPATEMPO MÓVEL REGIÃO OESTE</t>
  </si>
  <si>
    <t>TOTAL POUPATEMPO MÓVEL REGIÃO NOROESTE</t>
  </si>
  <si>
    <t>TOTAL POUPATEMPO LIMEIRA</t>
  </si>
  <si>
    <t>TOTAL POUPATEMPO JAÚ</t>
  </si>
  <si>
    <t>TOTAL POUPATEMPO PENÁPOLIS</t>
  </si>
  <si>
    <t>TOTAL POUPATEMPO SERTÃOZINHO</t>
  </si>
  <si>
    <t>TOTAL POUPATEMPO ITAQUAQUECETUBA</t>
  </si>
  <si>
    <t>TOTAL POUPATEMPO MÓVEL GRANDE SP</t>
  </si>
  <si>
    <t>TOTAL POUPATEMPO ANDRADINA</t>
  </si>
  <si>
    <t>TOTAL POUPATEMPO PINDAMONHANGABA</t>
  </si>
  <si>
    <t>TOTAL POUPATEMPO VOTUPORANGA</t>
  </si>
  <si>
    <t>01-112120612120-000-062501480001-2-NV003956-000000000-0-0-0</t>
  </si>
  <si>
    <t>01-112120612120-000-062501600001-2-NV003973-000000000-0-0-0</t>
  </si>
  <si>
    <t>Adiantamento p/Despesas de Viagem</t>
  </si>
  <si>
    <t>01-112120503040-000-064501170001-2-NV008122-PRO005590-0-0-0</t>
  </si>
  <si>
    <t>1109 P.1</t>
  </si>
  <si>
    <t>01-112120502050-000-016501060001-1-NV006961-PRO004750-0-0-0</t>
  </si>
  <si>
    <t>01-112120611020-000-062501400001-2-NV003969-PRO006882-0-0-0</t>
  </si>
  <si>
    <t>VIENA SERVIÇOS TERCEIRIZADOS EIRELI</t>
  </si>
  <si>
    <t>01-112120612120-000-062501710001-2-NV004959-000000000-0-0-0</t>
  </si>
  <si>
    <t>01-114040000000-000-046501030001-1-NV006964-000000000-0-0-0</t>
  </si>
  <si>
    <t>DIMATÉCNICA COMÉRCIO DE MATERIAIS ELÉTRICOS LTDA</t>
  </si>
  <si>
    <t>01-112120502030-000-017501020004-2-NV006959-PRO006847-0-0-0</t>
  </si>
  <si>
    <t>01-112120502040-000-017501020004-2-NV006959-PRO006847-0-0-0</t>
  </si>
  <si>
    <t>01-114040000000-000-015501020001-1-NV006963-000000000-0-0-0</t>
  </si>
  <si>
    <t>01-112120611020-000-062501160001-2-NV009954-PRO006604-0-0-0</t>
  </si>
  <si>
    <t>01-112120502050-000-016501060001-1-NV006961-PRO006116-0-0-0</t>
  </si>
  <si>
    <t>01-112120502030-000-048501100001-1-NV006966-PRO006838-0-0-0</t>
  </si>
  <si>
    <t>01-112120502040-000-048501100001-1-NV006966-PRO006838-0-0-0</t>
  </si>
  <si>
    <t>01-112120502030-000-049501110001-1-NV006967-PRO006851-0-0-0</t>
  </si>
  <si>
    <t>01-112120502040-000-049501110001-1-NV006967-PRO006851-0-0-0</t>
  </si>
  <si>
    <t>01-112120502010-000-062501400001-2-NV003969-PRO006826-0-0-0</t>
  </si>
  <si>
    <t>01-112120502010-000-062501560001-2-NV003968-PRO006826-0-0-0</t>
  </si>
  <si>
    <t>01-112120611010-000-062501320001-2-NV002951-PRO006874-0-0-0</t>
  </si>
  <si>
    <t>SEAL SEGURANÇA ALTERNATIVA EIRELI</t>
  </si>
  <si>
    <t>105 P.1</t>
  </si>
  <si>
    <t>01-112120101060-000-048501100001-1-CD001321-PRO006743-0-0-0</t>
  </si>
  <si>
    <t>01-112120612060-000-044501040001-1-CD001315-PRO006470-0-0-0</t>
  </si>
  <si>
    <t>01-112120103030-000-016501060002-2-CD001316-000000000-0-0-0</t>
  </si>
  <si>
    <t>01-112120612010-000-016501060002-2-CD001316-000000000-0-0-0</t>
  </si>
  <si>
    <t>01-112120612180-000-016501060002-2-CD001316-000000000-0-0-0</t>
  </si>
  <si>
    <t>01-112120103040-000-017501020004-2-CD001314-000000000-0-0-0</t>
  </si>
  <si>
    <t>01-112120103010-000-046501030002-2-CD001319-000000000-0-0-0</t>
  </si>
  <si>
    <t>01-112120612060-000-016501060001-1-CD001316-PRO006470-0-0-0</t>
  </si>
  <si>
    <t>01-112120612180-000-044501040001-1-CD001315-000000000-0-0-0</t>
  </si>
  <si>
    <t>01-112120301010-000-015501020001-1-CD001318-000000000-0-0-0</t>
  </si>
  <si>
    <t>CONTIPLAN INDUSTRIA GRAFICA LTDA ME</t>
  </si>
  <si>
    <t>Formularios contínuos</t>
  </si>
  <si>
    <t>01-112120301010-000-046501030001-1-CD001319-000000000-0-0-0</t>
  </si>
  <si>
    <t>JULIO TOSHIHARU MAEMURA</t>
  </si>
  <si>
    <t>01-112120103040-000-049501110001-1-CD001322-000000000-0-0-0</t>
  </si>
  <si>
    <t>01-112120103060-000-049501110001-1-CD001322-000000000-0-0-0</t>
  </si>
  <si>
    <t>01-112120105010-000-049501110001-1-CD001322-000000000-0-0-0</t>
  </si>
  <si>
    <t>EDIVALDO RODRIGUES DE LIMA</t>
  </si>
  <si>
    <t>01-112120103060-000-057501140001-2-CD001332-000000000-0-0-0</t>
  </si>
  <si>
    <t>ANDRÉ KELLNER SANTAREM</t>
  </si>
  <si>
    <t>01-112120105010-000-057501140001-1-CD001332-000000000-0-0-0</t>
  </si>
  <si>
    <t>ALBERTO SIMON SCHLAUTMANN</t>
  </si>
  <si>
    <t>01-112120103060-000-062502000001-1-CD001313-000000000-0-0-0</t>
  </si>
  <si>
    <t>FABIO CLAUZ MORLINA</t>
  </si>
  <si>
    <t>01-112120103020-000-049501110001-1-CD001322-000000000-0-0-0</t>
  </si>
  <si>
    <t>Material Grafico</t>
  </si>
  <si>
    <t>01-112120103020-000-048501100001-1-CD001321-000000000-0-0-0</t>
  </si>
  <si>
    <t>01-112120103030-000-048501100001-1-CD001321-000000000-0-0-0</t>
  </si>
  <si>
    <t>01-112120103040-000-048501100001-1-CD001321-000000000-0-0-0</t>
  </si>
  <si>
    <t>01-112120612020-000-048501100001-1-CD001321-000000000-0-0-0</t>
  </si>
  <si>
    <t>WILSON ROBERTO LUQUE</t>
  </si>
  <si>
    <t>01-112120103010-000-050501050001-1-CD001323-000000000-0-0-0</t>
  </si>
  <si>
    <t>01-112120104000-000-050501050001-1-CD001323-000000000-0-0-0</t>
  </si>
  <si>
    <t>01-112070800000-000-049501110001-1-CD001322-000000000-0-0-0</t>
  </si>
  <si>
    <t>MARIA REGINA B L SPERATTO</t>
  </si>
  <si>
    <t>01-112120103010-000-049501110001-1-CD001322-000000000-0-0-0</t>
  </si>
  <si>
    <t>01-112120103010-000-049501110002-2-CD001322-000000000-0-0-0</t>
  </si>
  <si>
    <t>01-112120103010-000-062501000001-1-CD001313-000000000-0-0-0</t>
  </si>
  <si>
    <t>ANA MARIA DA SILVA FERREIRA</t>
  </si>
  <si>
    <t>01-112120104000-000-062501000001-1-CD001313-000000000-0-0-0</t>
  </si>
  <si>
    <t>01-112120103030-000-046501030002-2-CD001319-000000000-0-0-0</t>
  </si>
  <si>
    <t>01-112120612060-000-046501030001-1-CD001319-PRO006470-0-0-0</t>
  </si>
  <si>
    <t>01-112120612060-000-057501140001-2-CD001332-PRO006470-0-0-0</t>
  </si>
  <si>
    <t>01-112120612060-000-059501080001-2-CD001173-PRO006470-0-0-0</t>
  </si>
  <si>
    <t>01-112120612060-000-060501120001-2-CD001172-PRO006470-0-0-0</t>
  </si>
  <si>
    <t>01-112120612060-000-061501150001-2-CD007250-PRO006470-0-0-0</t>
  </si>
  <si>
    <t>01-112120612060-000-062501190001-2-CD001138-PRO006470-0-0-0</t>
  </si>
  <si>
    <t>01-112120612180-000-049501110003-2-CD001322-000000000-0-0-0</t>
  </si>
  <si>
    <t>01-112120502010-000-062501000001-1-CD001313-PRO006613-0-0-0</t>
  </si>
  <si>
    <t>ZENVIA MOBILE SERVIÇOS DIGITAL S/A</t>
  </si>
  <si>
    <t>Serviço de Mensagens Telefônicas</t>
  </si>
  <si>
    <t>INSTITUTO NACIONAL DE ANÁLISES E PESQUISAS S/C LTDA</t>
  </si>
  <si>
    <t>Despesas Eventuais com Pessoal</t>
  </si>
  <si>
    <t>3972 P.1</t>
  </si>
  <si>
    <t>TANIA V DE SOUZA</t>
  </si>
  <si>
    <t>01-112120105010-000-050501050001-1-CD001323-000000000-0-0-0</t>
  </si>
  <si>
    <t>01-112120103030-000-049501110001-1-CD001322-000000000-0-0-0</t>
  </si>
  <si>
    <t>01-112120104000-000-049501110001-1-CD001322-000000000-0-0-0</t>
  </si>
  <si>
    <t>01-112070800000-000-062502000001-1-CD001313-000000000-0-0-0</t>
  </si>
  <si>
    <t>ELIAS TAVARES BEZERRA</t>
  </si>
  <si>
    <t>CLAUDIA TURZI SEPINHO</t>
  </si>
  <si>
    <t>01-112120103020-000-016501060002-2-CD001316-000000000-0-0-0</t>
  </si>
  <si>
    <t>01-112120612030-000-016501060002-2-CD001316-000000000-0-0-0</t>
  </si>
  <si>
    <t>01-112120608040-000-015501020001-1-CD001318-PRO006725-0-0-0</t>
  </si>
  <si>
    <t>01-112120608040-000-048501100001-1-CD001321-PRO006724-0-0-0</t>
  </si>
  <si>
    <t>01-112120612060-000-062501560001-2-CD003968-PRO006470-0-0-0</t>
  </si>
  <si>
    <t>3971 P.1</t>
  </si>
  <si>
    <t>01-112120610020-000-062502030001-2-CD001321-000000000-0-0-0</t>
  </si>
  <si>
    <t>01-112120610030-000-016501060001-1-CD001316-PRO006869-0-0-0</t>
  </si>
  <si>
    <t>Assessoria Externa</t>
  </si>
  <si>
    <t>01-112120610030-000-047501090001-1-CD001320-PRO006869-0-0-0</t>
  </si>
  <si>
    <t>01-112120610030-000-048501100001-1-CD001321-PRO006869-0-0-0</t>
  </si>
  <si>
    <t>01-112120606020-000-049501110003-2-CD001322-000000000-0-0-0</t>
  </si>
  <si>
    <t>01-112120801030-000-049501110002-2-CD001322-000000000-0-0-0</t>
  </si>
  <si>
    <t>01-112120103060-000-045501070001-1-CD001317-000000000-0-0-0</t>
  </si>
  <si>
    <t>RUBENS BRAGA</t>
  </si>
  <si>
    <t>01-112120612030-000-017501020004-2-CD001314-000000000-0-0-0</t>
  </si>
  <si>
    <t>134010100000</t>
  </si>
  <si>
    <t>451020000000</t>
  </si>
  <si>
    <t>Serviços de Assessoria e Consultoria - Ponto de Função</t>
  </si>
  <si>
    <t>FEV-16</t>
  </si>
  <si>
    <t>01-132050100000-000-016501060001-1-IN001336-000000000-0-0-0</t>
  </si>
  <si>
    <t>441020000000</t>
  </si>
  <si>
    <t>PREF ITAPEVA - PREFEITURA MUNICIPAL DE ITAPEVA</t>
  </si>
  <si>
    <t>01-112120503040-000-062501280001-2-NV000953-PRO006820-0-0-0</t>
  </si>
  <si>
    <t>PREF SANTO ANDRE - PREFEITURA MUNICIPAL DE SANTO ANDRE</t>
  </si>
  <si>
    <t>PREF AMERICANA - PREFEITURA MINICIPAL DE AMERICANA</t>
  </si>
  <si>
    <t>PREF ARARAS - PREFEITURA DO MUNICIPIO DE ARARAS</t>
  </si>
  <si>
    <t>PREF ASSIS - PREFEEITURA MUNICIPAL DE ASSIS</t>
  </si>
  <si>
    <t>PREF AVARE - PREFEITURA MINICIPAL ESTANCIA TURISTICA DE AVARE</t>
  </si>
  <si>
    <t>PREF BARRETOS - PREFEITURA MUNICIPAL DE BARRETOS</t>
  </si>
  <si>
    <t>PREF BEBEDOURO - PREFEITURA MUNICIPAL DE BEBEDOURO</t>
  </si>
  <si>
    <t>PREF BIRIGUI - PREFEITURA MUNICIPAL DE BIRIGUI</t>
  </si>
  <si>
    <t>PREF BRAGANÇA PTA - PREFEITURA DO MUNICIPIO DE BRAGANÇA PTA</t>
  </si>
  <si>
    <t>PREF CAIEIRAS - PREFEITURA DO MUNICIPIO DE CAIEIRAS</t>
  </si>
  <si>
    <t>PREF CARAPICUIBA - PREFEITURA MUNICIPAL DE CARAPICUIBA</t>
  </si>
  <si>
    <t>PREF CATANDUVA - PREFEITURA DO MUNICIPIO DE CATANDUVA</t>
  </si>
  <si>
    <t>PREF COTIA - PREFEITURA DO MUNICIPIO DE COTIA</t>
  </si>
  <si>
    <t>PREF DIADEMA - PREFEITURA DO MUNICIPIO DE DIADEMA</t>
  </si>
  <si>
    <t>PREF DRACENA - PREFEITURA MUNICIPAL DE DRACENA</t>
  </si>
  <si>
    <t>PREF FERNANDOPOLIS - PREFEITURA MUNICIPAL DE FERNANDOPOLIS</t>
  </si>
  <si>
    <t>PREF GUARATINGUETA - PREFEITURA MUNICIPAL DE GUARATINGUETA</t>
  </si>
  <si>
    <t>PREF GUARUJA - PREFEITURA MUNICIPAL DE GUARUJA</t>
  </si>
  <si>
    <t>PREF INDAIATUBA - PREFEITURA MUNICIPAL DE INDAIATUBA</t>
  </si>
  <si>
    <t>PREF ITAPETININGA - PREFEITURA MUNICIPAL DE ITAPETININGA</t>
  </si>
  <si>
    <t>PREF ITU - PREFEITURA DA ESTANCIA TURISTICA DE ITU</t>
  </si>
  <si>
    <t>PREF JACAREI - PREFEITURA MUNICIPAL DE JACAREI</t>
  </si>
  <si>
    <t>PREF MAUA - PREFEITURA DO MUNICIPIO DE MAUA</t>
  </si>
  <si>
    <t>PREF MOGI GUAÇU - PREFEITURA MUNICIPAL DE MOGI GUAÇU</t>
  </si>
  <si>
    <t>PREF OURINHOS - PREFEITURA MUNICIPAL DE OURINHO</t>
  </si>
  <si>
    <t>PREF PINDAMONHANGABA - PREFEITURA MUNICIPAL DE PINDAMONHANGABA</t>
  </si>
  <si>
    <t>PREF PRAIA GRANDE - PREFEITURA MIUNICIPAL DE PRAIA GRANDE</t>
  </si>
  <si>
    <t>PMTS - PREFEITURA MUNICIPAL DE TABOÃO DA SERRA</t>
  </si>
  <si>
    <t>PREF VOTUPORANGA - PREFEITURA MUNICIPAL DE VOTUPORANGA</t>
  </si>
  <si>
    <t>PREF LIMEIRA - PREFEITURA MINICIPAL DE LIMEIRA</t>
  </si>
  <si>
    <t>PREF PENAPOLIS - PREFEITURA MUNICIPAL DE PENAPOLIS</t>
  </si>
  <si>
    <t>PREF SERTAOZINHO - PREFEITURA MUNICIPAL DE SERTAOZINHO</t>
  </si>
  <si>
    <t>PREF ITAQUAQUECETUBA - PREFEITURA MUNICIPAL DE ITAQUAQUECETUBA</t>
  </si>
  <si>
    <t>PIS/COFINS/CSLL-TRAIL INFRAESTRUTURA LTDA-nf-11304</t>
  </si>
  <si>
    <t>IS SERVICOS INTEGRADOS LTDA-ME</t>
  </si>
  <si>
    <t>CESAR AUGUSTO GIAVAROTTI BARBOSA</t>
  </si>
  <si>
    <t>PRAIA GRANDE</t>
  </si>
  <si>
    <t>GUARATINGUETÁ</t>
  </si>
  <si>
    <t>GUARUJÁ</t>
  </si>
  <si>
    <t xml:space="preserve"> GUARATINGUETÁ</t>
  </si>
  <si>
    <t xml:space="preserve"> GUARUJÁ</t>
  </si>
  <si>
    <t>IN003968</t>
  </si>
  <si>
    <t>IN003969</t>
  </si>
  <si>
    <t>Mogi Guaçu</t>
  </si>
  <si>
    <t>NFE 560064/RPS 64001</t>
  </si>
  <si>
    <t>01-112120612010-000-062502000001-1-CD001313-000000000-0-0-0</t>
  </si>
  <si>
    <t>01-112120301050-000-017501020004-2-NV006959-000000000-0-0-0</t>
  </si>
  <si>
    <t>01-112120301060-000-017501020004-2-NV006959-000000000-0-0-0</t>
  </si>
  <si>
    <t>01-112120301050-000-044501040001-1-NV006960-000000000-0-0-0</t>
  </si>
  <si>
    <t>01-112120301050-000-016501060001-1-NV006961-000000000-0-0-0</t>
  </si>
  <si>
    <t>01-112120301050-000-015501020001-1-NV006963-000000000-0-0-0</t>
  </si>
  <si>
    <t>01-112120301060-000-015501020001-1-NV006963-000000000-0-0-0</t>
  </si>
  <si>
    <t>01-112120301050-000-046501030001-1-NV006964-000000000-0-0-0</t>
  </si>
  <si>
    <t>01-112120301060-000-046501030001-1-NV006964-000000000-0-0-0</t>
  </si>
  <si>
    <t>01-112120301060-000-047501090001-1-NV006965-000000000-0-0-0</t>
  </si>
  <si>
    <t>01-112120301050-000-047501090001-1-NV006965-000000000-0-0-0</t>
  </si>
  <si>
    <t>01-112120301050-000-048501100001-1-NV006966-000000000-0-0-0</t>
  </si>
  <si>
    <t>01-112120301050-000-049501110001-1-NV006967-000000000-0-0-0</t>
  </si>
  <si>
    <t>01-112120301050-000-050501050001-2-NV006968-000000000-0-0-0</t>
  </si>
  <si>
    <t xml:space="preserve">Papéis de Impressão                                                                                                               </t>
  </si>
  <si>
    <t xml:space="preserve">Materiais de Preparação / Expedição                                                                                               </t>
  </si>
  <si>
    <t xml:space="preserve">Mat e Serv Rep Adap Imóveis e Instalações (Contratos / Esporádicos)                                                               </t>
  </si>
  <si>
    <t>01-112120605020-000-048501100001-1-CD001321-000000000-0-0-0</t>
  </si>
  <si>
    <t>l)</t>
  </si>
  <si>
    <t>TOTAL GERAL RECEBIMENTOS MARÇO-16</t>
  </si>
  <si>
    <t>RECEBIMENTOS CONDOMÍNIO - POSTOS POUPATEMPO</t>
  </si>
  <si>
    <t>SHOPPING METRO ITAQUERA</t>
  </si>
  <si>
    <t>PRAIA GRANDE Total</t>
  </si>
  <si>
    <t>Transferência efetuada para conta Exploração Comercial referente acerto de Março/16</t>
  </si>
  <si>
    <t>Transferência efetuada da conta Exploração Comercial referente acerto de Março/16</t>
  </si>
  <si>
    <t>Manut. De Programa produto e logiciais</t>
  </si>
  <si>
    <t>01-112120503040-000-062502000014-2-NV000957-PRO006106-0-0-0</t>
  </si>
  <si>
    <t>ZENVIA MOBILE SERV DIGITAL S/A ( várias faturas)</t>
  </si>
  <si>
    <t>CONTA DE APLICAÇÃO NO SIAFEM UG 513192 - FUNDO SP II</t>
  </si>
  <si>
    <t>01-112120103030-000-045501070001-1-CD001317-000000000-0-0-0</t>
  </si>
  <si>
    <t>01-112120103010-000-016501060002-2-CD001316-000000000-0-0-0</t>
  </si>
  <si>
    <t>01-112120801030-000-045501070001-1-CD001317-000000000-0-0-0</t>
  </si>
  <si>
    <t>01-112120101100-000-045501070001-1-CD001317-000000000-0-0-0</t>
  </si>
  <si>
    <t>01-112120103040-000-015501020003-2-CD001318-000000000-0-0-0</t>
  </si>
  <si>
    <t>Para Conta Movimento Prodesp (Obs.: R$ Vlr R$ 88.550,00 ref bloqueio jud.  Na 8252-X)</t>
  </si>
  <si>
    <r>
      <t>INDENIZAÇÕES SOBRE PROCESSOS TRABALHISTAS</t>
    </r>
    <r>
      <rPr>
        <sz val="11"/>
        <rFont val="Arial"/>
        <family val="2"/>
      </rPr>
      <t>: São pagamentos referentes a reclamações trabalhistas decorrentes dos contratos de prestação de serviços, exclusivos para atendimento às necessidades dos postos Poupatempo, celebrados com terceiros, nos quais a PRODESP responde pelo pagamento dos saldos de salários ou verbas rescisórias em função da responsabilidade subsidiária do tomador do serviço.</t>
    </r>
  </si>
  <si>
    <t>7 e 8</t>
  </si>
  <si>
    <t>MÊS: ABRIL/2016</t>
  </si>
  <si>
    <t>Abril-16</t>
  </si>
  <si>
    <t>Referente:</t>
  </si>
  <si>
    <t>01.132050100000.000.049501110001.1.GE002960.000000000.0.0.0</t>
  </si>
  <si>
    <t>ITALIA OFFICE IND. E COM. DE MOVEIS LTDA</t>
  </si>
  <si>
    <t xml:space="preserve">Aplicação </t>
  </si>
  <si>
    <t>IRRF-MAZZINI ADMINISTRAÇÃO E EMPREITADAS LTDA-nf-19125</t>
  </si>
  <si>
    <t>16973 - 067668194 - INSS</t>
  </si>
  <si>
    <t>1137 - 043316033 - INSS</t>
  </si>
  <si>
    <t>INSS-MAZZINI ADMINISTRAÇÃO E EMPREITADAS LTDA-nf-19125</t>
  </si>
  <si>
    <t>6749 - 096647755 - INSS</t>
  </si>
  <si>
    <t>2783 - 009212711 - INSS</t>
  </si>
  <si>
    <t>ISS-MAZZINI ADMINISTRAÇÃO E EMPREITADAS LTDA-nf-19125</t>
  </si>
  <si>
    <t>3577 - 009441321 - INSS</t>
  </si>
  <si>
    <t>1220 - 005003257 - ISS</t>
  </si>
  <si>
    <t>IRRF-MPE MONTAGENS E PROJETOS ESPECIAIS LTDA-nf-1429</t>
  </si>
  <si>
    <t>1221 - 005003257 - ISS</t>
  </si>
  <si>
    <t>1222 - 005003257 - ISS</t>
  </si>
  <si>
    <t>INSS-MPE MONTAGENS E PROJETOS ESPECIAIS LTDA-nf-1429</t>
  </si>
  <si>
    <t>16973 - 067668194 - ISS</t>
  </si>
  <si>
    <t>1137 - 043316033 - ISS</t>
  </si>
  <si>
    <t>ISS-MPE MONTAGENS E PROJETOS ESPECIAIS LTDA-nf-1429</t>
  </si>
  <si>
    <t>6749 - 096647755 - ISS</t>
  </si>
  <si>
    <t>2783 - 009212711 - ISS</t>
  </si>
  <si>
    <t>IRRF-WORKS CONSTRUÇÕES E SERVIÇOS LTDA-nf-11695</t>
  </si>
  <si>
    <t>3577 - 009441321 - ISS</t>
  </si>
  <si>
    <t>INSS-WORKS CONSTRUÇÕES E SERVIÇOS LTDA-nf-11695</t>
  </si>
  <si>
    <t>Retenção Imp. Fonte - 354511 - 3</t>
  </si>
  <si>
    <t>ISS-WORKS CONSTRUÇÕES E SERVIÇOS LTDA-nf-11695</t>
  </si>
  <si>
    <t>Retenção Imp. Fonte - 354546 - 3</t>
  </si>
  <si>
    <t>IRRF-MAZZINI ADMINISTRAÇÃO E EMPREITADAS LTDA-nf-19124</t>
  </si>
  <si>
    <t>Retenção Imp. Fonte - 354546 - 4</t>
  </si>
  <si>
    <t>Retenção Imp. Fonte - 354546 - 3 - Cancelado</t>
  </si>
  <si>
    <t>INSS-MAZZINI ADMINISTRAÇÃO E EMPREITADAS LTDA-nf-19124</t>
  </si>
  <si>
    <t>Retenção Imp. Fonte - 319934 - 3</t>
  </si>
  <si>
    <t>Retenção Imp. Fonte - 317095 - 3</t>
  </si>
  <si>
    <t>ISS-MAZZINI ADMINISTRAÇÃO E EMPREITADAS LTDA-nf-19124</t>
  </si>
  <si>
    <t>Retenção Imp. Fonte - 317003 - 3</t>
  </si>
  <si>
    <t>Retenção Imp. Fonte - 365333 - 4 - Cancelado</t>
  </si>
  <si>
    <t>Retenção Imp. Fonte - 365333 - 3 - Cancelado</t>
  </si>
  <si>
    <t>PIS/COFINS/CSLL-BK CONSULTORIA E SERVIÇOS LTDA-nf-29201</t>
  </si>
  <si>
    <t>Retenção Imp. Fonte - 365333 - 3</t>
  </si>
  <si>
    <t>Retenção Imp. Fonte - 365333 - 4</t>
  </si>
  <si>
    <t>PIS/COFINS/CSLL-BK CONSULTORIA E SERVIÇOS LTDA-nf-29200</t>
  </si>
  <si>
    <t>Retenção Imp. Fonte - 365333 - 5</t>
  </si>
  <si>
    <t>16973 - 067668194 - IRRF</t>
  </si>
  <si>
    <t>Retenção Imp. Fonte - 361216 - 3 - Cancelado</t>
  </si>
  <si>
    <t>IRRF-IS SERVIÇOS INTEGRADOS LTDA-ME-nf-3562</t>
  </si>
  <si>
    <t>Retenção Imp. Fonte - 361216 - 4</t>
  </si>
  <si>
    <t>INSS-IS SERVIÇOS INTEGRADOS LTDA-ME-nf-3562</t>
  </si>
  <si>
    <t>Retenção Imp. Fonte - 361216 - 3</t>
  </si>
  <si>
    <t>ISS-IS SERVIÇOS INTEGRADOS LTDA-ME-nf-3562</t>
  </si>
  <si>
    <t>1220 - 005003257 - IRRF</t>
  </si>
  <si>
    <t>IRRF-IS SERVIÇOS INTEGRADOS LTDA-ME-nf-3563</t>
  </si>
  <si>
    <t>1221 - 005003257 - IRRF</t>
  </si>
  <si>
    <t>INSS-IS SERVIÇOS INTEGRADOS LTDA-ME-nf-3563</t>
  </si>
  <si>
    <t>1222 - 005003257 - IRRF</t>
  </si>
  <si>
    <t>ISS-IS SERVIÇOS INTEGRADOS LTDA-ME-nf-3563</t>
  </si>
  <si>
    <t>1137 - 043316033 - IRRF</t>
  </si>
  <si>
    <t>IRRF-IS SERVIÇOS INTEGRADOS LTDA-ME-nf-3565</t>
  </si>
  <si>
    <t>6749 - 096647755 - IRRF</t>
  </si>
  <si>
    <t>INSS-IS SERVIÇOS INTEGRADOS LTDA-ME-nf-3565</t>
  </si>
  <si>
    <t>2783 - 009212711 - IRRF</t>
  </si>
  <si>
    <t>ISS-IS SERVIÇOS INTEGRADOS LTDA-ME-nf-3565</t>
  </si>
  <si>
    <t>3577 - 009441321 - IRRF</t>
  </si>
  <si>
    <t>Retenção Imp. Fonte - 385321 - 3</t>
  </si>
  <si>
    <t>Retenção Imp. Fonte - 385190 - 3</t>
  </si>
  <si>
    <t>Retenção Imp. Fonte - 385186 - 3</t>
  </si>
  <si>
    <t>Retenção Imp. Fonte - 385168 - 3</t>
  </si>
  <si>
    <t>01-112120611020-000-062501280001-2-NV000953-PRO006604-0-0-0</t>
  </si>
  <si>
    <t>2699 - 009212711 - INSS</t>
  </si>
  <si>
    <t>3516 - 009441321 - INSS</t>
  </si>
  <si>
    <t>6690 - 096647755 - INSS</t>
  </si>
  <si>
    <t>1139 - 043316033 - INSS</t>
  </si>
  <si>
    <t>1868 - 009168249 - INSS</t>
  </si>
  <si>
    <t>2699 - 009212711 - ISS</t>
  </si>
  <si>
    <t>3516 - 009441321 - ISS</t>
  </si>
  <si>
    <t>6690 - 096647755 - ISS</t>
  </si>
  <si>
    <t>1139 - 043316033 - ISS</t>
  </si>
  <si>
    <t>1868 - 009168249 - ISS</t>
  </si>
  <si>
    <t>Retenção Imp. Fonte - 352095 - 3</t>
  </si>
  <si>
    <t>Retenção Imp. Fonte - 352095 - 4</t>
  </si>
  <si>
    <t>2699 - 009212711 - IRRF</t>
  </si>
  <si>
    <t>3516 - 009441321 - IRRF</t>
  </si>
  <si>
    <t>Retenção Imp. Fonte - 352095 - 3 - Cancelado</t>
  </si>
  <si>
    <t>Retenção Imp. Fonte - 354292 - 3</t>
  </si>
  <si>
    <t>6690 - 096647755 - IRRF</t>
  </si>
  <si>
    <t>1139 - 043316033 - IRRF</t>
  </si>
  <si>
    <t>1868 - 009168249 - IRRF</t>
  </si>
  <si>
    <t>IRRF-LYNCRA LIMPEZA E SERVIÇOS GERAIS LTDA-nf-6683</t>
  </si>
  <si>
    <t>INSS-LYNCRA LIMPEZA E SERVIÇOS GERAIS LTDA-nf-6683</t>
  </si>
  <si>
    <t>1135 - 043316033 - INSS</t>
  </si>
  <si>
    <t>ISS-LYNCRA LIMPEZA E SERVIÇOS GERAIS LTDA-nf-6683</t>
  </si>
  <si>
    <t>2456 - 013827508 - INSS</t>
  </si>
  <si>
    <t>IRRF-LYNCRA LIMPEZA E SERVIÇOS GERAIS LTDA-nf-6684</t>
  </si>
  <si>
    <t>1660 - 010887212 - INSS</t>
  </si>
  <si>
    <t>INSS-LYNCRA LIMPEZA E SERVIÇOS GERAIS LTDA-nf-6684</t>
  </si>
  <si>
    <t>PIS/COFINS/CSLL-IS SERVIÇOS INTEGRADOS LTDA-ME-nf-3459</t>
  </si>
  <si>
    <t>PIS/COFINS/CSLL-IS SERVIÇOS INTEGRADOS LTDA-ME-nf-3467</t>
  </si>
  <si>
    <t>PIS/COFINS/CSLL-IS SERVIÇOS INTEGRADOS LTDA-ME-nf-3466</t>
  </si>
  <si>
    <t>1135 - 043316033 - ISS</t>
  </si>
  <si>
    <t>PIS/COFINS/CSLL-IS SERVIÇOS INTEGRADOS LTDA-ME-nf-3464</t>
  </si>
  <si>
    <t>1660 - 010887212 - ISS</t>
  </si>
  <si>
    <t>PIS/COFINS/CSLL-IS SERVIÇOS INTEGRADOS LTDA-ME-nf-3463</t>
  </si>
  <si>
    <t>Retenção Imp. Fonte - 364135 - 3</t>
  </si>
  <si>
    <t>PIS/COFINS/CSLL-IS SERVIÇOS INTEGRADOS LTDA-ME-nf-3408</t>
  </si>
  <si>
    <t>Retenção Imp. Fonte - 364135 - 4</t>
  </si>
  <si>
    <t>PIS/COFINS/CSLL-IS SERVIÇOS INTEGRADOS LTDA-ME-nf-3406</t>
  </si>
  <si>
    <t>Retenção Imp. Fonte - 364135 - 3 - Cancelado</t>
  </si>
  <si>
    <t>PIS/COFINS/CSLL-IS SERVIÇOS INTEGRADOS LTDA-ME-nf-3405</t>
  </si>
  <si>
    <t>Retenção Imp. Fonte - 352099 - 3</t>
  </si>
  <si>
    <t>PIS/COFINS/CSLL-IS SERVIÇOS INTEGRADOS LTDA-ME-nf-3390</t>
  </si>
  <si>
    <t>Retenção Imp. Fonte - 352099 - 4</t>
  </si>
  <si>
    <t>PIS/COFINS/CSLL-IS SERVIÇOS INTEGRADOS LTDA-ME-nf-3391</t>
  </si>
  <si>
    <t>Retenção Imp. Fonte - 352099 - 3 - Cancelado</t>
  </si>
  <si>
    <t>PIS/COFINS/CSLL-IS SERVIÇOS INTEGRADOS LTDA-ME-nf-3393</t>
  </si>
  <si>
    <t>1135 - 043316033 - IRRF</t>
  </si>
  <si>
    <t>PIS/COFINS/CSLL-IS SERVIÇOS INTEGRADOS LTDA-ME-nf-3394</t>
  </si>
  <si>
    <t>2456 - 013827508 - IRRF</t>
  </si>
  <si>
    <t>PIS/COFINS/CSLL-IS SERVIÇOS INTEGRADOS LTDA-ME-nf-3465</t>
  </si>
  <si>
    <t>PIS/COFINS/CSLL-IS SERVIÇOS INTEGRADOS LTDA-ME-nf-3458</t>
  </si>
  <si>
    <t>PIS/COFINS/CSLL-IS SERVIÇOS INTEGRADOS LTDA-ME-nf-3395</t>
  </si>
  <si>
    <t>PIS/COFINS/CSLL-IS SERVIÇOS INTEGRADOS LTDA-ME-nf-3427</t>
  </si>
  <si>
    <t>Retenção Imp. Fonte - 380154 - 3</t>
  </si>
  <si>
    <t>PIS/COFINS/CSLL-IS SERVIÇOS INTEGRADOS LTDA-ME-nf-3396</t>
  </si>
  <si>
    <t>PIS/COFINS/CSLL-TELAR ENGENHARIA E COMÉRCIO LTDA-nf-425</t>
  </si>
  <si>
    <t>PIS/COFINS/CSLL-IS SERVIÇOS INTEGRADOS LTDA-ME-nf-3412</t>
  </si>
  <si>
    <t>PIS/COFINS/CSLL-IS SERVIÇOS INTEGRADOS LTDA-ME-nf-3411</t>
  </si>
  <si>
    <t>2697 - 009212711 - INSS</t>
  </si>
  <si>
    <t>PIS/COFINS/CSLL-IS SERVIÇOS INTEGRADOS LTDA-ME-nf-3410</t>
  </si>
  <si>
    <t>3514 - 009441321 - INSS</t>
  </si>
  <si>
    <t>PIS/COFINS/CSLL-IS SERVIÇOS INTEGRADOS LTDA-ME-nf-3409</t>
  </si>
  <si>
    <t>32241 - 061288437 - INSS</t>
  </si>
  <si>
    <t>PIS/COFINS/CSLL-IS SERVIÇOS INTEGRADOS LTDA-ME-nf-3407</t>
  </si>
  <si>
    <t>11587 - 005497348 - INSS</t>
  </si>
  <si>
    <t>PIS/COFINS/CSLL-IS SERVIÇOS INTEGRADOS LTDA-ME-nf-3404</t>
  </si>
  <si>
    <t>6688 - 096647755 - INSS</t>
  </si>
  <si>
    <t>PIS/COFINS/CSLL-IS SERVIÇOS INTEGRADOS LTDA-ME-nf-3403</t>
  </si>
  <si>
    <t>16978 - 067668194 - INSS</t>
  </si>
  <si>
    <t>PIS/COFINS/CSLL-IS SERVIÇOS INTEGRADOS LTDA-ME-nf-3392</t>
  </si>
  <si>
    <t>PIS/COFINS/CSLL-IS SERVIÇOS INTEGRADOS LTDA-ME-nf-3397</t>
  </si>
  <si>
    <t>PIS/COFINS/CSLL-IS SERVIÇOS INTEGRADOS LTDA-ME-nf-3457</t>
  </si>
  <si>
    <t>PIS/COFINS/CSLL-IS SERVIÇOS INTEGRADOS LTDA-ME-nf-3416</t>
  </si>
  <si>
    <t>2697 - 009212711 - ISS</t>
  </si>
  <si>
    <t>PIS/COFINS/CSLL-IS SERVIÇOS INTEGRADOS LTDA-ME-nf-3415</t>
  </si>
  <si>
    <t>3514 - 009441321 - ISS</t>
  </si>
  <si>
    <t>PIS/COFINS/CSLL-IS SERVIÇOS INTEGRADOS LTDA-ME-nf-3414</t>
  </si>
  <si>
    <t>32241 - 061288437 - ISS</t>
  </si>
  <si>
    <t>PIS/COFINS/CSLL-TJ COMÉRCIO E SERVIÇOS LTDA - ME-nf-5522</t>
  </si>
  <si>
    <t>11587 - 005497348 - ISS</t>
  </si>
  <si>
    <t>PIS/COFINS/CSLL-PROJECTO ASSESSORIA E SERVIÇOS LTDA-nf-1088</t>
  </si>
  <si>
    <t>6688 - 096647755 - ISS</t>
  </si>
  <si>
    <t>16978 - 067668194 - ISS</t>
  </si>
  <si>
    <t>PIS/COFINS/CSLL-PROJECTO ASSESSORIA E SERVIÇOS LTDA-nf-1087</t>
  </si>
  <si>
    <t>Retenção Imp. Fonte - 354623 - 3</t>
  </si>
  <si>
    <t>Retenção Imp. Fonte - 354623 - 4</t>
  </si>
  <si>
    <t>PIS/COFINS/CSLL-PROJECTO ASSESSORIA E SERVIÇOS LTDA-nf-1085</t>
  </si>
  <si>
    <t>2697 - 009212711 - IRRF</t>
  </si>
  <si>
    <t>3514 - 009441321 - IRRF</t>
  </si>
  <si>
    <t>PIS/COFINS/CSLL-PROJECTO ASSESSORIA E SERVIÇOS LTDA-nf-1089</t>
  </si>
  <si>
    <t>Retenção Imp. Fonte - 354623 - 3 - Cancelado</t>
  </si>
  <si>
    <t>32241 - 061288437 - IRRF</t>
  </si>
  <si>
    <t>PIS/COFINS/CSLL-IS SERVIÇOS INTEGRADOS LTDA-ME-nf-3433</t>
  </si>
  <si>
    <t>11587 - 005497348 - IRRF</t>
  </si>
  <si>
    <t>PIS/COFINS/CSLL-IS SERVIÇOS INTEGRADOS LTDA-ME-nf-3449</t>
  </si>
  <si>
    <t>Retenção Imp. Fonte - 354435 - 4 - Cancelado</t>
  </si>
  <si>
    <t>PIS/COFINS/CSLL-IS SERVIÇOS INTEGRADOS LTDA-ME-nf-3447</t>
  </si>
  <si>
    <t>Retenção Imp. Fonte - 354435 - 3 - Cancelado</t>
  </si>
  <si>
    <t>PIS/COFINS/CSLL-IS SERVIÇOS INTEGRADOS LTDA-ME-nf-3438</t>
  </si>
  <si>
    <t>Retenção Imp. Fonte - 354435 - 3</t>
  </si>
  <si>
    <t>PIS/COFINS/CSLL-IS SERVIÇOS INTEGRADOS LTDA-ME-nf-3432</t>
  </si>
  <si>
    <t>6688 - 096647755 - IRRF</t>
  </si>
  <si>
    <t>PIS/COFINS/CSLL-IS SERVIÇOS INTEGRADOS LTDA-ME-nf-3431</t>
  </si>
  <si>
    <t>Retenção Imp. Fonte - 354435 - 4</t>
  </si>
  <si>
    <t>PIS/COFINS/CSLL-IS SERVIÇOS INTEGRADOS LTDA-ME-nf-3430</t>
  </si>
  <si>
    <t>Retenção Imp. Fonte - 354435 - 5</t>
  </si>
  <si>
    <t>PIS/COFINS/CSLL-IS SERVIÇOS INTEGRADOS LTDA-ME-nf-3452</t>
  </si>
  <si>
    <t>Retenção Imp. Fonte - 361099 - 3 - Cancelado</t>
  </si>
  <si>
    <t>ISS-LYNCRA LIMPEZA E SERVIÇOS GERAIS LTDA-nf-6684</t>
  </si>
  <si>
    <t>Retenção Imp. Fonte - 361099 - 4</t>
  </si>
  <si>
    <t>IRRF-LYNCRA LIMPEZA E SERVIÇOS GERAIS LTDA-nf-6685</t>
  </si>
  <si>
    <t>Retenção Imp. Fonte - 361099 - 3</t>
  </si>
  <si>
    <t>INSS-LYNCRA LIMPEZA E SERVIÇOS GERAIS LTDA-nf-6685</t>
  </si>
  <si>
    <t>ISS-LYNCRA LIMPEZA E SERVIÇOS GERAIS LTDA-nf-6685</t>
  </si>
  <si>
    <t>16978 - 067668194 - IRRF</t>
  </si>
  <si>
    <t>6709 - 096647755 - INSS</t>
  </si>
  <si>
    <t>2771 - 009212711 - INSS</t>
  </si>
  <si>
    <t>IRRF-PROJECTO ASSESSORIA E SERVIÇOS LTDA-nf-1140</t>
  </si>
  <si>
    <t>1138 - 043316033 - INSS</t>
  </si>
  <si>
    <t>INSS-PROJECTO ASSESSORIA E SERVIÇOS LTDA-nf-1140</t>
  </si>
  <si>
    <t>16983 - 067668194 - INSS</t>
  </si>
  <si>
    <t>ISS-PROJECTO ASSESSORIA E SERVIÇOS LTDA-nf-1140</t>
  </si>
  <si>
    <t>3566 - 009441321 - INSS</t>
  </si>
  <si>
    <t>PIS/COFINS/CSLL-ENCLIMAR ENGENHARIA DE CLIMATIZAÇÃO LTDA-nf-16110</t>
  </si>
  <si>
    <t>6709 - 096647755 - ISS</t>
  </si>
  <si>
    <t>PIS/COFINS/CSLL-MRO SERVIÇOS EIRELI - EPP-nf-4144</t>
  </si>
  <si>
    <t>2771 - 009212711 - ISS</t>
  </si>
  <si>
    <t>IRRF-LYNCRA LIMPEZA E SERVIÇOS GERAIS LTDA-nf-6686</t>
  </si>
  <si>
    <t>1138 - 043316033 - ISS</t>
  </si>
  <si>
    <t>INSS-LYNCRA LIMPEZA E SERVIÇOS GERAIS LTDA-nf-6686</t>
  </si>
  <si>
    <t>ISS-LYNCRA LIMPEZA E SERVIÇOS GERAIS LTDA-nf-6686</t>
  </si>
  <si>
    <t>IRRF-TERRACOM CONSTRUÇÕES LTDA-nf-6529</t>
  </si>
  <si>
    <t>INSS-TERRACOM CONSTRUÇÕES LTDA-nf-6529</t>
  </si>
  <si>
    <t>16983 - 067668194 - ISS</t>
  </si>
  <si>
    <t>PIS/COFINS/CSLL-IS SERVIÇOS INTEGRADOS LTDA-ME-nf-3451</t>
  </si>
  <si>
    <t>3566 - 009441321 - ISS</t>
  </si>
  <si>
    <t>PIS/COFINS/CSLL-IS SERVIÇOS INTEGRADOS LTDA-ME-nf-3450</t>
  </si>
  <si>
    <t>Retenção Imp. Fonte - 353177 - 3</t>
  </si>
  <si>
    <t>PIS/COFINS/CSLL-IS SERVIÇOS INTEGRADOS LTDA-ME-nf-3448</t>
  </si>
  <si>
    <t>Retenção Imp. Fonte - 353177 - 4</t>
  </si>
  <si>
    <t>PIS/COFINS/CSLL-IS SERVIÇOS INTEGRADOS LTDA-ME-nf-3456</t>
  </si>
  <si>
    <t>Retenção Imp. Fonte - 353177 - 3 - Cancelado</t>
  </si>
  <si>
    <t>IRRF-TERRACOM CONSTRUÇÕES LTDA-nf-6526</t>
  </si>
  <si>
    <t>Retenção Imp. Fonte - 365242 - 4 - Cancelado</t>
  </si>
  <si>
    <t>INSS-TERRACOM CONSTRUÇÕES LTDA-nf-6526</t>
  </si>
  <si>
    <t>Retenção Imp. Fonte - 365242 - 3 - Cancelado</t>
  </si>
  <si>
    <t>ISS-TERRACOM CONSTRUÇÕES LTDA-nf-6526</t>
  </si>
  <si>
    <t>Retenção Imp. Fonte - 365242 - 3</t>
  </si>
  <si>
    <t>IRRF-LYNCRA LIMPEZA E SERVIÇOS GERAIS LTDA-nf-6695</t>
  </si>
  <si>
    <t>Retenção Imp. Fonte - 365242 - 4</t>
  </si>
  <si>
    <t>INSS-LYNCRA LIMPEZA E SERVIÇOS GERAIS LTDA-nf-6695</t>
  </si>
  <si>
    <t>Retenção Imp. Fonte - 365242 - 5</t>
  </si>
  <si>
    <t>ISS-LYNCRA LIMPEZA E SERVIÇOS GERAIS LTDA-nf-6695</t>
  </si>
  <si>
    <t>6709 - 096647755 - IRRF</t>
  </si>
  <si>
    <t>IRRF-LYNCRA LIMPEZA E SERVIÇOS GERAIS LTDA-nf-6696</t>
  </si>
  <si>
    <t>2771 - 009212711 - IRRF</t>
  </si>
  <si>
    <t>INSS-LYNCRA LIMPEZA E SERVIÇOS GERAIS LTDA-nf-6696</t>
  </si>
  <si>
    <t>1138 - 043316033 - IRRF</t>
  </si>
  <si>
    <t>ISS-LYNCRA LIMPEZA E SERVIÇOS GERAIS LTDA-nf-6696</t>
  </si>
  <si>
    <t>Retenção Imp. Fonte - 361075 - 3 - Cancelado</t>
  </si>
  <si>
    <t>Retenção Imp. Fonte - 361075 - 4</t>
  </si>
  <si>
    <t>IRRF-CENTURION SEGURANÇA E VIGILÂNCIA LTDA-nf-16972</t>
  </si>
  <si>
    <t>Retenção Imp. Fonte - 361075 - 3</t>
  </si>
  <si>
    <t>INSS-CENTURION SEGURANÇA E VIGILÂNCIA LTDA-nf-16972</t>
  </si>
  <si>
    <t>ISS-CENTURION SEGURANÇA E VIGILÂNCIA LTDA-nf-16972</t>
  </si>
  <si>
    <t>IRRF-CENTURION SEGURANÇA E VIGILÂNCIA LTDA-nf-16974</t>
  </si>
  <si>
    <t>INSS-CENTURION SEGURANÇA E VIGILÂNCIA LTDA-nf-16974</t>
  </si>
  <si>
    <t>16983 - 067668194 - IRRF</t>
  </si>
  <si>
    <t>ISS-CENTURION SEGURANÇA E VIGILÂNCIA LTDA-nf-16974</t>
  </si>
  <si>
    <t>3566 - 009441321 - IRRF</t>
  </si>
  <si>
    <t>IRRF-TB SERVIÇOS, TRANSPORTES, LIMPEZA, GERENCIAMENTO E RECURSOS HUMANOS S.A-nf-1604</t>
  </si>
  <si>
    <t>Retenção Imp. Fonte - 383201 - 3</t>
  </si>
  <si>
    <t>INSS-TB SERVIÇOS, TRANSPORTES, LIMPEZA, GERENCIAMENTO E RECURSOS HUMANOS S.A-nf-1604</t>
  </si>
  <si>
    <t>ISS-TB SERVIÇOS, TRANSPORTES, LIMPEZA, GERENCIAMENTO E RECURSOS HUMANOS S.A-nf-1604</t>
  </si>
  <si>
    <t>IRRF-TB SERVIÇOS, TRANSPORTES, LIMPEZA, GERENCIAMENTO E RECURSOS HUMANOS S.A-nf-1606</t>
  </si>
  <si>
    <t>1125 - 043316033 - INSS</t>
  </si>
  <si>
    <t>ISS-TERRACOM CONSTRUÇÕES LTDA-nf-6529</t>
  </si>
  <si>
    <t>IRRF-LYNCRA LIMPEZA E SERVIÇOS GERAIS LTDA-nf-6688</t>
  </si>
  <si>
    <t>2729 - 009212711 - INSS</t>
  </si>
  <si>
    <t>INSS-LYNCRA LIMPEZA E SERVIÇOS GERAIS LTDA-nf-6688</t>
  </si>
  <si>
    <t>19122 - 045517604 - INSS</t>
  </si>
  <si>
    <t>ISS-LYNCRA LIMPEZA E SERVIÇOS GERAIS LTDA-nf-6688</t>
  </si>
  <si>
    <t>IRRF-LYNCRA LIMPEZA E SERVIÇOS GERAIS LTDA-nf-6690</t>
  </si>
  <si>
    <t>6677 - 096647755 - INSS</t>
  </si>
  <si>
    <t>INSS-LYNCRA LIMPEZA E SERVIÇOS GERAIS LTDA-nf-6690</t>
  </si>
  <si>
    <t>3521 - 009441321 - INSS</t>
  </si>
  <si>
    <t>ISS-LYNCRA LIMPEZA E SERVIÇOS GERAIS LTDA-nf-6690</t>
  </si>
  <si>
    <t>16993 - 067668194 - INSS</t>
  </si>
  <si>
    <t>IRRF-TERRACOM CONSTRUÇÕES LTDA-nf-6530</t>
  </si>
  <si>
    <t>INSS-TERRACOM CONSTRUÇÕES LTDA-nf-6530</t>
  </si>
  <si>
    <t>ISS-TERRACOM CONSTRUÇÕES LTDA-nf-6530</t>
  </si>
  <si>
    <t>IRRF-LYNCRA LIMPEZA E SERVIÇOS GERAIS LTDA-nf-6691</t>
  </si>
  <si>
    <t>1125 - 043316033 - ISS</t>
  </si>
  <si>
    <t>INSS-LYNCRA LIMPEZA E SERVIÇOS GERAIS LTDA-nf-6691</t>
  </si>
  <si>
    <t>IRRF-TERRACOM CONSTRUÇÕES LTDA-nf-6531</t>
  </si>
  <si>
    <t>2729 - 009212711 - ISS</t>
  </si>
  <si>
    <t>INSS-TERRACOM CONSTRUÇÕES LTDA-nf-6531</t>
  </si>
  <si>
    <t>19122 - 045517604 - ISS</t>
  </si>
  <si>
    <t>ISS-TERRACOM CONSTRUÇÕES LTDA-nf-6531</t>
  </si>
  <si>
    <t>IRRF-LYNCRA LIMPEZA E SERVIÇOS GERAIS LTDA-nf-6687</t>
  </si>
  <si>
    <t>6677 - 096647755 - ISS</t>
  </si>
  <si>
    <t>INSS-LYNCRA LIMPEZA E SERVIÇOS GERAIS LTDA-nf-6687</t>
  </si>
  <si>
    <t>3521 - 009441321 - ISS</t>
  </si>
  <si>
    <t>ISS-LYNCRA LIMPEZA E SERVIÇOS GERAIS LTDA-nf-6687</t>
  </si>
  <si>
    <t>16993 - 067668194 - ISS</t>
  </si>
  <si>
    <t>IRRF-LYNCRA LIMPEZA E SERVIÇOS GERAIS LTDA-nf-6689</t>
  </si>
  <si>
    <t>Retenção Imp. Fonte - 354698 - 3</t>
  </si>
  <si>
    <t>INSS-LYNCRA LIMPEZA E SERVIÇOS GERAIS LTDA-nf-6689</t>
  </si>
  <si>
    <t>Retenção Imp. Fonte - 354698 - 4</t>
  </si>
  <si>
    <t>ISS-LYNCRA LIMPEZA E SERVIÇOS GERAIS LTDA-nf-6689</t>
  </si>
  <si>
    <t>Retenção Imp. Fonte - 354698 - 3 - Cancelado</t>
  </si>
  <si>
    <t>INSS-COMERCIAL BARCELOS EIRELI - EPP-nf-1109</t>
  </si>
  <si>
    <t>1125 - 043316033 - IRRF</t>
  </si>
  <si>
    <t>ISS-COMERCIAL BARCELOS EIRELI - EPP-nf-1109</t>
  </si>
  <si>
    <t>IRRF-IS SERVIÇOS INTEGRADOS LTDA-ME-nf-3569</t>
  </si>
  <si>
    <t>2729 - 009212711 - IRRF</t>
  </si>
  <si>
    <t>INSS-IS SERVIÇOS INTEGRADOS LTDA-ME-nf-3569</t>
  </si>
  <si>
    <t>Retenção Imp. Fonte - 365254 - 4 - Cancelado</t>
  </si>
  <si>
    <t>ISS-IS SERVIÇOS INTEGRADOS LTDA-ME-nf-3569</t>
  </si>
  <si>
    <t>Retenção Imp. Fonte - 365254 - 3 - Cancelado</t>
  </si>
  <si>
    <t>IRRF-IS SERVIÇOS INTEGRADOS LTDA-ME-nf-3570</t>
  </si>
  <si>
    <t>19122 - 045517604 - IRRF</t>
  </si>
  <si>
    <t>INSS-IS SERVIÇOS INTEGRADOS LTDA-ME-nf-3570</t>
  </si>
  <si>
    <t>ISS-IS SERVIÇOS INTEGRADOS LTDA-ME-nf-3570</t>
  </si>
  <si>
    <t>Retenção Imp. Fonte - 365254 - 3</t>
  </si>
  <si>
    <t>Retenção Imp. Fonte - 365254 - 4</t>
  </si>
  <si>
    <t>6677 - 096647755 - IRRF</t>
  </si>
  <si>
    <t>Retenção Imp. Fonte - 365254 - 5</t>
  </si>
  <si>
    <t>Retenção Imp. Fonte - 365314 - 3 - Cancelado</t>
  </si>
  <si>
    <t>3521 - 009441321 - IRRF</t>
  </si>
  <si>
    <t>Retenção Imp. Fonte - 365314 - 4</t>
  </si>
  <si>
    <t>Retenção Imp. Fonte - 365314 - 3</t>
  </si>
  <si>
    <t>16993 - 067668194 - IRRF</t>
  </si>
  <si>
    <t>Retenção Imp. Fonte - 381116 - 4</t>
  </si>
  <si>
    <t>Retenção Imp. Fonte - 380113 - 4</t>
  </si>
  <si>
    <t>4383 - 043217280 - INSS</t>
  </si>
  <si>
    <t>32240 - 061288437 - INSS</t>
  </si>
  <si>
    <t>10618 - 010928126 - INSS</t>
  </si>
  <si>
    <t>1602 - 060924040 - INSS</t>
  </si>
  <si>
    <t>6753 - 096647755 - INSS</t>
  </si>
  <si>
    <t>2788 - 009212711 - INSS</t>
  </si>
  <si>
    <t>3581 - 009441321 - INSS</t>
  </si>
  <si>
    <t>4383 - 043217280 - ISS</t>
  </si>
  <si>
    <t>32240 - 061288437 - ISS</t>
  </si>
  <si>
    <t>10618 - 010928126 - ISS</t>
  </si>
  <si>
    <t>1602 - 060924040 - ISS</t>
  </si>
  <si>
    <t>6753 - 096647755 - ISS</t>
  </si>
  <si>
    <t>2788 - 009212711 - ISS</t>
  </si>
  <si>
    <t>3581 - 009441321 - ISS</t>
  </si>
  <si>
    <t>Retenção Imp. Fonte - 356400 - 3</t>
  </si>
  <si>
    <t>Retenção Imp. Fonte - 356400 - 4</t>
  </si>
  <si>
    <t>Retenção Imp. Fonte - 356400 - 3 - Cancelado</t>
  </si>
  <si>
    <t>4383 - 043217280 - IRRF</t>
  </si>
  <si>
    <t>32240 - 061288437 - IRRF</t>
  </si>
  <si>
    <t>Retenção Imp. Fonte - 366299 - 4 - Cancelado</t>
  </si>
  <si>
    <t>10618 - 010928126 - IRRF</t>
  </si>
  <si>
    <t>Retenção Imp. Fonte - 366299 - 3 - Cancelado</t>
  </si>
  <si>
    <t>Retenção Imp. Fonte - 366299 - 3</t>
  </si>
  <si>
    <t>Retenção Imp. Fonte - 366299 - 4</t>
  </si>
  <si>
    <t>Retenção Imp. Fonte - 366299 - 5</t>
  </si>
  <si>
    <t>1602 - 060924040 - IRRF</t>
  </si>
  <si>
    <t>Retenção Imp. Fonte - 363356 - 3 - Cancelado</t>
  </si>
  <si>
    <t>Retenção Imp. Fonte - 363356 - 4</t>
  </si>
  <si>
    <t>Retenção Imp. Fonte - 363356 - 3</t>
  </si>
  <si>
    <t>Retenção Imp. Fonte - 383723 - 3</t>
  </si>
  <si>
    <t>Retenção Imp. Fonte - 380164 - 3</t>
  </si>
  <si>
    <t>Retenção Imp. Fonte - 380160 - 3</t>
  </si>
  <si>
    <t>6753 - 096647755 - IRRF</t>
  </si>
  <si>
    <t>2788 - 009212711 - IRRF</t>
  </si>
  <si>
    <t>3581 - 009441321 - IRRF</t>
  </si>
  <si>
    <t>3570 - 009441321 - INSS</t>
  </si>
  <si>
    <t>29082 - 003022122 - INSS</t>
  </si>
  <si>
    <t>IRRF-LYNCRA LIMPEZA E SERVIÇOS GERAIS LTDA-nf-6697</t>
  </si>
  <si>
    <t>3927 - 003802330 - INSS</t>
  </si>
  <si>
    <t>INSS-LYNCRA LIMPEZA E SERVIÇOS GERAIS LTDA-nf-6697</t>
  </si>
  <si>
    <t>ISS-LYNCRA LIMPEZA E SERVIÇOS GERAIS LTDA-nf-6697</t>
  </si>
  <si>
    <t>1471 - 003949685 - INSS</t>
  </si>
  <si>
    <t>IRRF-LYNCRA LIMPEZA E SERVIÇOS GERAIS LTDA-nf-6698</t>
  </si>
  <si>
    <t>6713 - 096647755 - INSS</t>
  </si>
  <si>
    <t>INSS-LYNCRA LIMPEZA E SERVIÇOS GERAIS LTDA-nf-6698</t>
  </si>
  <si>
    <t>2775 - 009212711 - INSS</t>
  </si>
  <si>
    <t>ISS-LYNCRA LIMPEZA E SERVIÇOS GERAIS LTDA-nf-6698</t>
  </si>
  <si>
    <t>IRRF-LYNCRA LIMPEZA E SERVIÇOS GERAIS LTDA-nf-6699</t>
  </si>
  <si>
    <t>INSS-LYNCRA LIMPEZA E SERVIÇOS GERAIS LTDA-nf-6699</t>
  </si>
  <si>
    <t>ISS-LYNCRA LIMPEZA E SERVIÇOS GERAIS LTDA-nf-6699</t>
  </si>
  <si>
    <t>3570 - 009441321 - ISS</t>
  </si>
  <si>
    <t>IRRF-LYNCRA LIMPEZA E SERVIÇOS GERAIS LTDA-nf-6701</t>
  </si>
  <si>
    <t>29082 - 003022122 - ISS</t>
  </si>
  <si>
    <t>INSS-LYNCRA LIMPEZA E SERVIÇOS GERAIS LTDA-nf-6701</t>
  </si>
  <si>
    <t>ISS-LYNCRA LIMPEZA E SERVIÇOS GERAIS LTDA-nf-6701</t>
  </si>
  <si>
    <t>3927 - 003802330 - ISS</t>
  </si>
  <si>
    <t>IRRF-LIMPECOM SERVIÇOS LTDA - ME-nf-2456</t>
  </si>
  <si>
    <t>INSS-LIMPECOM SERVIÇOS LTDA - ME-nf-2456</t>
  </si>
  <si>
    <t>1471 - 003949685 - ISS</t>
  </si>
  <si>
    <t>6713 - 096647755 - ISS</t>
  </si>
  <si>
    <t>2775 - 009212711 - ISS</t>
  </si>
  <si>
    <t>Retenção Imp. Fonte - 366262 - 4 - Cancelado</t>
  </si>
  <si>
    <t>Retenção Imp. Fonte - 366262 - 3 - Cancelado</t>
  </si>
  <si>
    <t>Retenção Imp. Fonte - 366262 - 3</t>
  </si>
  <si>
    <t>3570 - 009441321 - IRRF</t>
  </si>
  <si>
    <t>Retenção Imp. Fonte - 366262 - 4</t>
  </si>
  <si>
    <t>Retenção Imp. Fonte - 366262 - 5</t>
  </si>
  <si>
    <t>Retenção Imp. Fonte - 371195 - 3</t>
  </si>
  <si>
    <t>29082 - 003022122 - IRRF</t>
  </si>
  <si>
    <t>3927 - 003802330 - IRRF</t>
  </si>
  <si>
    <t>1471 - 003949685 - IRRF</t>
  </si>
  <si>
    <t>6713 - 096647755 - IRRF</t>
  </si>
  <si>
    <t>2775 - 009212711 - IRRF</t>
  </si>
  <si>
    <t>Retenção Imp. Fonte - 363352 - 3 - Cancelado</t>
  </si>
  <si>
    <t>Retenção Imp. Fonte - 363352 - 4</t>
  </si>
  <si>
    <t>Retenção Imp. Fonte - 363352 - 3</t>
  </si>
  <si>
    <t>IRRF-LYNCRA LIMPEZA E SERVIÇOS GERAIS LTDA-nf-6671</t>
  </si>
  <si>
    <t>INSS-LYNCRA LIMPEZA E SERVIÇOS GERAIS LTDA-nf-6671</t>
  </si>
  <si>
    <t>ISS-LYNCRA LIMPEZA E SERVIÇOS GERAIS LTDA-nf-6671</t>
  </si>
  <si>
    <t>IRRF-LYNCRA LIMPEZA E SERVIÇOS GERAIS LTDA-nf-6672</t>
  </si>
  <si>
    <t>Retenção Imp. Fonte - 380340 - 4</t>
  </si>
  <si>
    <t>INSS-LYNCRA LIMPEZA E SERVIÇOS GERAIS LTDA-nf-6672</t>
  </si>
  <si>
    <t>ISS-LYNCRA LIMPEZA E SERVIÇOS GERAIS LTDA-nf-6672</t>
  </si>
  <si>
    <t>Retenção Imp. Fonte - 380270 - 4</t>
  </si>
  <si>
    <t>IRRF-LYNCRA LIMPEZA E SERVIÇOS GERAIS LTDA-nf-6673</t>
  </si>
  <si>
    <t>INSS-LYNCRA LIMPEZA E SERVIÇOS GERAIS LTDA-nf-6673</t>
  </si>
  <si>
    <t>ISS-LYNCRA LIMPEZA E SERVIÇOS GERAIS LTDA-nf-6673</t>
  </si>
  <si>
    <t>IRRF-LYNCRA LIMPEZA E SERVIÇOS GERAIS LTDA-nf-6676</t>
  </si>
  <si>
    <t>INSS-LYNCRA LIMPEZA E SERVIÇOS GERAIS LTDA-nf-6676</t>
  </si>
  <si>
    <t>19134 - 045517604 - INSS</t>
  </si>
  <si>
    <t>ISS-LYNCRA LIMPEZA E SERVIÇOS GERAIS LTDA-nf-6676</t>
  </si>
  <si>
    <t>3548 - 009441321 - INSS</t>
  </si>
  <si>
    <t>IRRF-LYNCRA LIMPEZA E SERVIÇOS GERAIS LTDA-nf-6677</t>
  </si>
  <si>
    <t>16989 - 067668194 - INSS</t>
  </si>
  <si>
    <t>INSS-LYNCRA LIMPEZA E SERVIÇOS GERAIS LTDA-nf-6677</t>
  </si>
  <si>
    <t>ISS-LYNCRA LIMPEZA E SERVIÇOS GERAIS LTDA-nf-6677</t>
  </si>
  <si>
    <t>IRRF-LYNCRA LIMPEZA E SERVIÇOS GERAIS LTDA-nf-6679</t>
  </si>
  <si>
    <t>INSS-LYNCRA LIMPEZA E SERVIÇOS GERAIS LTDA-nf-6679</t>
  </si>
  <si>
    <t>19134 - 045517604 - ISS</t>
  </si>
  <si>
    <t>ISS-LYNCRA LIMPEZA E SERVIÇOS GERAIS LTDA-nf-6679</t>
  </si>
  <si>
    <t>3548 - 009441321 - ISS</t>
  </si>
  <si>
    <t>IRRF-LYNCRA LIMPEZA E SERVIÇOS GERAIS LTDA-nf-6680</t>
  </si>
  <si>
    <t>16989 - 067668194 - ISS</t>
  </si>
  <si>
    <t>INSS-LYNCRA LIMPEZA E SERVIÇOS GERAIS LTDA-nf-6680</t>
  </si>
  <si>
    <t>Retenção Imp. Fonte - 357280 - 3</t>
  </si>
  <si>
    <t>ISS-LYNCRA LIMPEZA E SERVIÇOS GERAIS LTDA-nf-6680</t>
  </si>
  <si>
    <t>Retenção Imp. Fonte - 357280 - 4</t>
  </si>
  <si>
    <t>IRRF-LYNCRA LIMPEZA E SERVIÇOS GERAIS LTDA-nf-6681</t>
  </si>
  <si>
    <t>Retenção Imp. Fonte - 357280 - 3 - Cancelado</t>
  </si>
  <si>
    <t>INSS-LYNCRA LIMPEZA E SERVIÇOS GERAIS LTDA-nf-6681</t>
  </si>
  <si>
    <t>Retenção Imp. Fonte - 354471 - 3</t>
  </si>
  <si>
    <t>ISS-LYNCRA LIMPEZA E SERVIÇOS GERAIS LTDA-nf-6681</t>
  </si>
  <si>
    <t>19134 - 045517604 - IRRF</t>
  </si>
  <si>
    <t>IRRF-LYNCRA LIMPEZA E SERVIÇOS GERAIS LTDA-nf-6674</t>
  </si>
  <si>
    <t>Retenção Imp. Fonte - 359090 - 3 - Cancelado</t>
  </si>
  <si>
    <t>INSS-LYNCRA LIMPEZA E SERVIÇOS GERAIS LTDA-nf-6674</t>
  </si>
  <si>
    <t>Retenção Imp. Fonte - 359090 - 3</t>
  </si>
  <si>
    <t>ISS-LYNCRA LIMPEZA E SERVIÇOS GERAIS LTDA-nf-6674</t>
  </si>
  <si>
    <t>Retenção Imp. Fonte - 359090 - 4</t>
  </si>
  <si>
    <t>IRRF-LYNCRA LIMPEZA E SERVIÇOS GERAIS LTDA-nf-6675</t>
  </si>
  <si>
    <t>3548 - 009441321 - IRRF</t>
  </si>
  <si>
    <t>INSS-LYNCRA LIMPEZA E SERVIÇOS GERAIS LTDA-nf-6675</t>
  </si>
  <si>
    <t>ISS-LYNCRA LIMPEZA E SERVIÇOS GERAIS LTDA-nf-6675</t>
  </si>
  <si>
    <t>IRRF-TB SERVIÇOS, TRANSPORTES, LIMPEZA, GERENCIAMENTO E RECURSOS HUMANOS S.A-nf-1608</t>
  </si>
  <si>
    <t>INSS-TB SERVIÇOS, TRANSPORTES, LIMPEZA, GERENCIAMENTO E RECURSOS HUMANOS S.A-nf-1608</t>
  </si>
  <si>
    <t>16989 - 067668194 - IRRF</t>
  </si>
  <si>
    <t>ISS-TB SERVIÇOS, TRANSPORTES, LIMPEZA, GERENCIAMENTO E RECURSOS HUMANOS S.A-nf-1608</t>
  </si>
  <si>
    <t>Retenção Imp. Fonte - 382180 - 3</t>
  </si>
  <si>
    <t>IRRF-LYNCRA LIMPEZA E SERVIÇOS GERAIS LTDA-nf-6700</t>
  </si>
  <si>
    <t>INSS-LYNCRA LIMPEZA E SERVIÇOS GERAIS LTDA-nf-6700</t>
  </si>
  <si>
    <t>ISS-LYNCRA LIMPEZA E SERVIÇOS GERAIS LTDA-nf-6700</t>
  </si>
  <si>
    <t>92459 - 000146889 - INSS</t>
  </si>
  <si>
    <t>29058 - 003022122 - INSS</t>
  </si>
  <si>
    <t>3931 - 003802330 - INSS</t>
  </si>
  <si>
    <t>92459 - 000146889 - ISS</t>
  </si>
  <si>
    <t>INSS-TB SERVIÇOS, TRANSPORTES, LIMPEZA, GERENCIAMENTO E RECURSOS HUMANOS S.A-nf-1609</t>
  </si>
  <si>
    <t>29058 - 003022122 - ISS</t>
  </si>
  <si>
    <t>ISS-TB SERVIÇOS, TRANSPORTES, LIMPEZA, GERENCIAMENTO E RECURSOS HUMANOS S.A-nf-1609</t>
  </si>
  <si>
    <t>3931 - 003802330 - ISS</t>
  </si>
  <si>
    <t>IRRF-IS SERVIÇOS INTEGRADOS LTDA-ME-nf-3537</t>
  </si>
  <si>
    <t>92459 - 000146889 - IRRF</t>
  </si>
  <si>
    <t>29058 - 003022122 - IRRF</t>
  </si>
  <si>
    <t>3931 - 003802330 - IRRF</t>
  </si>
  <si>
    <t>Retenção Imp. Fonte - 380285 - 4</t>
  </si>
  <si>
    <t>Retenção Imp. Fonte - 380117 - 3</t>
  </si>
  <si>
    <t>Retenção Imp. Fonte - 373373 - 3</t>
  </si>
  <si>
    <t>2741 - 009212711 - INSS</t>
  </si>
  <si>
    <t>6672 - 096647755 - INSS</t>
  </si>
  <si>
    <t>11689 - 056419492 - INSS</t>
  </si>
  <si>
    <t>1425 - 031876709 - INSS</t>
  </si>
  <si>
    <t>19131 - 045517604 - INSS</t>
  </si>
  <si>
    <t>3532 - 009441321 - INSS</t>
  </si>
  <si>
    <t>17002 - 067668194 - INSS</t>
  </si>
  <si>
    <t>2741 - 009212711 - ISS</t>
  </si>
  <si>
    <t>6672 - 096647755 - ISS</t>
  </si>
  <si>
    <t>1425 - 031876709 - ISS</t>
  </si>
  <si>
    <t>19131 - 045517604 - ISS</t>
  </si>
  <si>
    <t>3532 - 009441321 - ISS</t>
  </si>
  <si>
    <t>17002 - 067668194 - ISS</t>
  </si>
  <si>
    <t>11689 - 056419492 - ISS</t>
  </si>
  <si>
    <t>Retenção Imp. Fonte - 359081 - 3</t>
  </si>
  <si>
    <t>Retenção Imp. Fonte - 359081 - 4</t>
  </si>
  <si>
    <t>Retenção Imp. Fonte - 359081 - 3 - Cancelado</t>
  </si>
  <si>
    <t>2741 - 009212711 - IRRF</t>
  </si>
  <si>
    <t>Retenção Imp. Fonte - 354427 - 4 - Cancelado</t>
  </si>
  <si>
    <t>Retenção Imp. Fonte - 354427 - 3 - Cancelado</t>
  </si>
  <si>
    <t>Retenção Imp. Fonte - 354427 - 3</t>
  </si>
  <si>
    <t>Retenção Imp. Fonte - 354427 - 4</t>
  </si>
  <si>
    <t>6672 - 096647755 - IRRF</t>
  </si>
  <si>
    <t>Retenção Imp. Fonte - 354427 - 5</t>
  </si>
  <si>
    <t>11689 - 056419492 - IRRF</t>
  </si>
  <si>
    <t>1425 - 031876709 - IRRF</t>
  </si>
  <si>
    <t>19131 - 045517604 - IRRF</t>
  </si>
  <si>
    <t>ISS-CENTURION SEGURANÇA E VIGILÂNCIA LTDA-nf-16996</t>
  </si>
  <si>
    <t>Retenção Imp. Fonte - 368082 - 3 - Cancelado</t>
  </si>
  <si>
    <t>INSS-TB SERVIÇOS, TRANSPORTES, LIMPEZA, GERENCIAMENTO E RECURSOS HUMANOS S.A-nf-1606</t>
  </si>
  <si>
    <t>3532 - 009441321 - IRRF</t>
  </si>
  <si>
    <t>ISS-TB SERVIÇOS, TRANSPORTES, LIMPEZA, GERENCIAMENTO E RECURSOS HUMANOS S.A-nf-1606</t>
  </si>
  <si>
    <t>Retenção Imp. Fonte - 368082 - 4</t>
  </si>
  <si>
    <t>IRRF-LYNCRA LIMPEZA E SERVIÇOS GERAIS LTDA-nf-6702</t>
  </si>
  <si>
    <t>Retenção Imp. Fonte - 368082 - 3</t>
  </si>
  <si>
    <t>INSS-LYNCRA LIMPEZA E SERVIÇOS GERAIS LTDA-nf-6702</t>
  </si>
  <si>
    <t>ISS-LYNCRA LIMPEZA E SERVIÇOS GERAIS LTDA-nf-6702</t>
  </si>
  <si>
    <t>IRRF-TERRACOM CONSTRUÇÕES LTDA-nf-6524</t>
  </si>
  <si>
    <t>INSS-TERRACOM CONSTRUÇÕES LTDA-nf-6524</t>
  </si>
  <si>
    <t>17002 - 067668194 - IRRF</t>
  </si>
  <si>
    <t>ISS-TERRACOM CONSTRUÇÕES LTDA-nf-6524</t>
  </si>
  <si>
    <t>Retenção Imp. Fonte - 380356 - 3</t>
  </si>
  <si>
    <t>Retenção Imp. Fonte - 380302 - 4</t>
  </si>
  <si>
    <t>IRRF-CENTURION SEGURANÇA E VIGILÂNCIA LTDA-nf-16970</t>
  </si>
  <si>
    <t>INSS-CENTURION SEGURANÇA E VIGILÂNCIA LTDA-nf-16970</t>
  </si>
  <si>
    <t>IRRF-CENTURION SEGURANÇA E VIGILÂNCIA LTDA-nf-16971</t>
  </si>
  <si>
    <t>INSS-CENTURION SEGURANÇA E VIGILÂNCIA LTDA-nf-16971</t>
  </si>
  <si>
    <t>92460 - 000146889 - INSS</t>
  </si>
  <si>
    <t>ISS-CENTURION SEGURANÇA E VIGILÂNCIA LTDA-nf-16971</t>
  </si>
  <si>
    <t>29061 - 003022122 - INSS</t>
  </si>
  <si>
    <t>PIS/COFINS/CSLL-SEAL SEGURANÇA ALTERNATIVA EIRELI-nf-1429</t>
  </si>
  <si>
    <t>IRRF-TB SERVIÇOS, TRANSPORTES, LIMPEZA, GERENCIAMENTO E RECURSOS HUMANOS S.A-nf-1603</t>
  </si>
  <si>
    <t>2726 - 009212711 - INSS</t>
  </si>
  <si>
    <t>6674 - 096647755 - INSS</t>
  </si>
  <si>
    <t>16970 - 067668194 - INSS</t>
  </si>
  <si>
    <t>3934 - 003802330 - INSS</t>
  </si>
  <si>
    <t>ISS-TB SERVIÇOS, TRANSPORTES, LIMPEZA, GERENCIAMENTO E RECURSOS HUMANOS S.A-nf-1603</t>
  </si>
  <si>
    <t>IRRF-CENTURION SEGURANÇA E VIGILÂNCIA LTDA-nf-16973</t>
  </si>
  <si>
    <t>3518 - 009441321 - INSS</t>
  </si>
  <si>
    <t>INSS-CENTURION SEGURANÇA E VIGILÂNCIA LTDA-nf-16973</t>
  </si>
  <si>
    <t>ISS-CENTURION SEGURANÇA E VIGILÂNCIA LTDA-nf-16973</t>
  </si>
  <si>
    <t>IRRF-TB SERVIÇOS, TRANSPORTES, LIMPEZA, GERENCIAMENTO E RECURSOS HUMANOS S.A-nf-1607</t>
  </si>
  <si>
    <t>INSS-TB SERVIÇOS, TRANSPORTES, LIMPEZA, GERENCIAMENTO E RECURSOS HUMANOS S.A-nf-1607</t>
  </si>
  <si>
    <t>92460 - 000146889 - ISS</t>
  </si>
  <si>
    <t>ISS-TB SERVIÇOS, TRANSPORTES, LIMPEZA, GERENCIAMENTO E RECURSOS HUMANOS S.A-nf-1607</t>
  </si>
  <si>
    <t>29061 - 003022122 - ISS</t>
  </si>
  <si>
    <t>IRRF-BK CONSULTORIA E SERVIÇOS LTDA-nf-29082</t>
  </si>
  <si>
    <t>2726 - 009212711 - ISS</t>
  </si>
  <si>
    <t>INSS-BK CONSULTORIA E SERVIÇOS LTDA-nf-29082</t>
  </si>
  <si>
    <t>6674 - 096647755 - ISS</t>
  </si>
  <si>
    <t>3934 - 003802330 - ISS</t>
  </si>
  <si>
    <t>ISS-BK CONSULTORIA E SERVIÇOS LTDA-nf-29082</t>
  </si>
  <si>
    <t>3518 - 009441321 - ISS</t>
  </si>
  <si>
    <t>16970 - 067668194 - ISS</t>
  </si>
  <si>
    <t>IRRF-CONSTRUDAHER CONSTRUÇÕES LTDA-nf-3931</t>
  </si>
  <si>
    <t>Retenção Imp. Fonte - 359086 - 3</t>
  </si>
  <si>
    <t>Retenção Imp. Fonte - 359086 - 4</t>
  </si>
  <si>
    <t>INSS-CONSTRUDAHER CONSTRUÇÕES LTDA-nf-3931</t>
  </si>
  <si>
    <t>Retenção Imp. Fonte - 359086 - 3 - Cancelado</t>
  </si>
  <si>
    <t>92460 - 000146889 - IRRF</t>
  </si>
  <si>
    <t>IRRF-CONSTRUDAHER CONSTRUÇÕES LTDA-nf-3934</t>
  </si>
  <si>
    <t>29061 - 003022122 - IRRF</t>
  </si>
  <si>
    <t>INSS-CONSTRUDAHER CONSTRUÇÕES LTDA-nf-3934</t>
  </si>
  <si>
    <t>2726 - 009212711 - IRRF</t>
  </si>
  <si>
    <t>Retenção Imp. Fonte - 356196 - 4 - Cancelado</t>
  </si>
  <si>
    <t>ISS-CONSTRUDAHER CONSTRUÇÕES LTDA-nf-3934</t>
  </si>
  <si>
    <t>Retenção Imp. Fonte - 356196 - 3 - Cancelado</t>
  </si>
  <si>
    <t>Retenção Imp. Fonte - 356196 - 3</t>
  </si>
  <si>
    <t>IRRF-CONSTRUDAHER CONSTRUÇÕES LTDA-nf-3933</t>
  </si>
  <si>
    <t>Retenção Imp. Fonte - 356196 - 4</t>
  </si>
  <si>
    <t>6674 - 096647755 - IRRF</t>
  </si>
  <si>
    <t>INSS-CONSTRUDAHER CONSTRUÇÕES LTDA-nf-3933</t>
  </si>
  <si>
    <t>Retenção Imp. Fonte - 356196 - 5</t>
  </si>
  <si>
    <t>16970 - 067668194 - IRRF</t>
  </si>
  <si>
    <t>ISS-CONSTRUDAHER CONSTRUÇÕES LTDA-nf-3933</t>
  </si>
  <si>
    <t>3934 - 003802330 - IRRF</t>
  </si>
  <si>
    <t>IRRF-WORKS CONSTRUÇÕES E SERVIÇOS LTDA-nf-11689</t>
  </si>
  <si>
    <t>Retenção Imp. Fonte - 361111 - 3 - Cancelado</t>
  </si>
  <si>
    <t>3518 - 009441321 - IRRF</t>
  </si>
  <si>
    <t>INSS-WORKS CONSTRUÇÕES E SERVIÇOS LTDA-nf-11689</t>
  </si>
  <si>
    <t>Retenção Imp. Fonte - 361111 - 4</t>
  </si>
  <si>
    <t>Retenção Imp. Fonte - 361111 - 3</t>
  </si>
  <si>
    <t>IRRF-WORKS CONSTRUÇÕES E SERVIÇOS LTDA-nf-11694</t>
  </si>
  <si>
    <t>INSS-WORKS CONSTRUÇÕES E SERVIÇOS LTDA-nf-11694</t>
  </si>
  <si>
    <t>Retenção Imp. Fonte - 380289 - 4</t>
  </si>
  <si>
    <t>Retenção Imp. Fonte - 380123 - 4</t>
  </si>
  <si>
    <t>Retenção Imp. Fonte - 373377 - 3</t>
  </si>
  <si>
    <t>1129 - 043316033 - INSS</t>
  </si>
  <si>
    <t>19132 - 045517604 - INSS</t>
  </si>
  <si>
    <t>19132 - 045517604 - ISS</t>
  </si>
  <si>
    <t>1129 - 043316033 - ISS</t>
  </si>
  <si>
    <t>1129 - 043316033 - IRRF</t>
  </si>
  <si>
    <t>19132 - 045517604 - IRRF</t>
  </si>
  <si>
    <t>Retenção Imp. Fonte - 380323 - 3</t>
  </si>
  <si>
    <t>Retenção Imp. Fonte - 380150 - 3</t>
  </si>
  <si>
    <t>6529 - 047497367 - INSS</t>
  </si>
  <si>
    <t>IRRF-MPE MONTAGENS E PROJETOS ESPECIAIS LTDA-nf-1428</t>
  </si>
  <si>
    <t>633 - 001259348 - INSS</t>
  </si>
  <si>
    <t>INSS-MPE MONTAGENS E PROJETOS ESPECIAIS LTDA-nf-1428</t>
  </si>
  <si>
    <t>ISS-MPE MONTAGENS E PROJETOS ESPECIAIS LTDA-nf-1428</t>
  </si>
  <si>
    <t>6529 - 047497367 - ISS</t>
  </si>
  <si>
    <t>633 - 001259348 - ISS</t>
  </si>
  <si>
    <t>IRRF-MAZZINI ADMINISTRAÇÃO E EMPREITADAS LTDA-nf-19133</t>
  </si>
  <si>
    <t>6529 - 047497367 - IRRF</t>
  </si>
  <si>
    <t>INSS-MAZZINI ADMINISTRAÇÃO E EMPREITADAS LTDA-nf-19133</t>
  </si>
  <si>
    <t>ISS-MAZZINI ADMINISTRAÇÃO E EMPREITADAS LTDA-nf-19133</t>
  </si>
  <si>
    <t>Retenção Imp. Fonte - 382418 - 3</t>
  </si>
  <si>
    <t>IRRF-PROJECTO ASSESSORIA E SERVIÇOS LTDA-nf-1127</t>
  </si>
  <si>
    <t>INSS-PROJECTO ASSESSORIA E SERVIÇOS LTDA-nf-1127</t>
  </si>
  <si>
    <t>ISS-PROJECTO ASSESSORIA E SERVIÇOS LTDA-nf-1127</t>
  </si>
  <si>
    <t>Retenção Imp. Fonte - 371169 - 3</t>
  </si>
  <si>
    <t>IRRF-MAZZINI ADMINISTRAÇÃO E EMPREITADAS LTDA-nf-19132</t>
  </si>
  <si>
    <t>633 - 001259348 - IRRF</t>
  </si>
  <si>
    <t>INSS-MAZZINI ADMINISTRAÇÃO E EMPREITADAS LTDA-nf-19132</t>
  </si>
  <si>
    <t>1429 - 031876709 - INSS</t>
  </si>
  <si>
    <t>ISS-MAZZINI ADMINISTRAÇÃO E EMPREITADAS LTDA-nf-19132</t>
  </si>
  <si>
    <t>IRRF-MAZZINI ADMINISTRAÇÃO E EMPREITADAS LTDA-nf-19130</t>
  </si>
  <si>
    <t>11695 - 056419492 - INSS</t>
  </si>
  <si>
    <t>INSS-MAZZINI ADMINISTRAÇÃO E EMPREITADAS LTDA-nf-19130</t>
  </si>
  <si>
    <t>19124 - 045517604 - INSS</t>
  </si>
  <si>
    <t>ISS-MAZZINI ADMINISTRAÇÃO E EMPREITADAS LTDA-nf-19130</t>
  </si>
  <si>
    <t>IRRF-MAZZINI ADMINISTRAÇÃO E EMPREITADAS LTDA-nf-19123</t>
  </si>
  <si>
    <t>INSS-MAZZINI ADMINISTRAÇÃO E EMPREITADAS LTDA-nf-19123</t>
  </si>
  <si>
    <t>ISS-MAZZINI ADMINISTRAÇÃO E EMPREITADAS LTDA-nf-19123</t>
  </si>
  <si>
    <t>IRRF-CONSTRUDAHER CONSTRUÇÕES LTDA-nf-3927</t>
  </si>
  <si>
    <t>1429 - 031876709 - ISS</t>
  </si>
  <si>
    <t>INSS-CONSTRUDAHER CONSTRUÇÕES LTDA-nf-3927</t>
  </si>
  <si>
    <t>11695 - 056419492 - ISS</t>
  </si>
  <si>
    <t>19124 - 045517604 - ISS</t>
  </si>
  <si>
    <t>ISS-CONSTRUDAHER CONSTRUÇÕES LTDA-nf-3927</t>
  </si>
  <si>
    <t>1429 - 031876709 - IRRF</t>
  </si>
  <si>
    <t>INSS-IS SERVIÇOS INTEGRADOS LTDA-ME-nf-3537</t>
  </si>
  <si>
    <t>ISS-IS SERVIÇOS INTEGRADOS LTDA-ME-nf-3537</t>
  </si>
  <si>
    <t>11695 - 056419492 - IRRF</t>
  </si>
  <si>
    <t>IRRF-TB SERVIÇOS, TRANSPORTES, LIMPEZA, GERENCIAMENTO E RECURSOS HUMANOS S.A-nf-1602</t>
  </si>
  <si>
    <t>19124 - 045517604 - IRRF</t>
  </si>
  <si>
    <t>INSS-TB SERVIÇOS, TRANSPORTES, LIMPEZA, GERENCIAMENTO E RECURSOS HUMANOS S.A-nf-1602</t>
  </si>
  <si>
    <t>ISS-TB SERVIÇOS, TRANSPORTES, LIMPEZA, GERENCIAMENTO E RECURSOS HUMANOS S.A-nf-1602</t>
  </si>
  <si>
    <t>IRRF-IS SERVIÇOS INTEGRADOS LTDA-ME-nf-3538</t>
  </si>
  <si>
    <t>INSS-IS SERVIÇOS INTEGRADOS LTDA-ME-nf-3538</t>
  </si>
  <si>
    <t>IRRF-TB SERVIÇOS, TRANSPORTES, LIMPEZA, GERENCIAMENTO E RECURSOS HUMANOS S.A-nf-1599</t>
  </si>
  <si>
    <t>Retenção Imp. Fonte - 381137 - 4</t>
  </si>
  <si>
    <t>INSS-TB SERVIÇOS, TRANSPORTES, LIMPEZA, GERENCIAMENTO E RECURSOS HUMANOS S.A-nf-1599</t>
  </si>
  <si>
    <t>ISS-TB SERVIÇOS, TRANSPORTES, LIMPEZA, GERENCIAMENTO E RECURSOS HUMANOS S.A-nf-1599</t>
  </si>
  <si>
    <t>Retenção Imp. Fonte - 381133 - 3</t>
  </si>
  <si>
    <t>IRRF-TB SERVIÇOS, TRANSPORTES, LIMPEZA, GERENCIAMENTO E RECURSOS HUMANOS S.A-nf-1600</t>
  </si>
  <si>
    <t>ISS-TB SERVIÇOS, TRANSPORTES, LIMPEZA, GERENCIAMENTO E RECURSOS HUMANOS S.A-nf-1600</t>
  </si>
  <si>
    <t>IRRF-IS SERVIÇOS INTEGRADOS LTDA-ME-nf-3540</t>
  </si>
  <si>
    <t>INSS-IS SERVIÇOS INTEGRADOS LTDA-ME-nf-3540</t>
  </si>
  <si>
    <t>11693 - 056419492 - INSS</t>
  </si>
  <si>
    <t>ISS-IS SERVIÇOS INTEGRADOS LTDA-ME-nf-3540</t>
  </si>
  <si>
    <t>19125 - 045517604 - INSS</t>
  </si>
  <si>
    <t>IRRF-IS SERVIÇOS INTEGRADOS LTDA-ME-nf-3541</t>
  </si>
  <si>
    <t>INSS-IS SERVIÇOS INTEGRADOS LTDA-ME-nf-3541</t>
  </si>
  <si>
    <t>1426 - 031876709 - INSS</t>
  </si>
  <si>
    <t>ISS-IS SERVIÇOS INTEGRADOS LTDA-ME-nf-3541</t>
  </si>
  <si>
    <t>IRRF-IS SERVIÇOS INTEGRADOS LTDA-ME-nf-3543</t>
  </si>
  <si>
    <t>INSS-IS SERVIÇOS INTEGRADOS LTDA-ME-nf-3543</t>
  </si>
  <si>
    <t>ISS-IS SERVIÇOS INTEGRADOS LTDA-ME-nf-3543</t>
  </si>
  <si>
    <t>19125 - 045517604 - ISS</t>
  </si>
  <si>
    <t>IRRF-IS SERVIÇOS INTEGRADOS LTDA-ME-nf-3544</t>
  </si>
  <si>
    <t>INSS-IS SERVIÇOS INTEGRADOS LTDA-ME-nf-3544</t>
  </si>
  <si>
    <t>1426 - 031876709 - ISS</t>
  </si>
  <si>
    <t>ISS-IS SERVIÇOS INTEGRADOS LTDA-ME-nf-3544</t>
  </si>
  <si>
    <t>11693 - 056419492 - ISS</t>
  </si>
  <si>
    <t>IRRF-IS SERVIÇOS INTEGRADOS LTDA-ME-nf-3545</t>
  </si>
  <si>
    <t>11693 - 056419492 - IRRF</t>
  </si>
  <si>
    <t>INSS-IS SERVIÇOS INTEGRADOS LTDA-ME-nf-3545</t>
  </si>
  <si>
    <t>19125 - 045517604 - IRRF</t>
  </si>
  <si>
    <t>ISS-IS SERVIÇOS INTEGRADOS LTDA-ME-nf-3545</t>
  </si>
  <si>
    <t>IRRF-MPE MONTAGENS E PROJETOS ESPECIAIS LTDA-nf-1425</t>
  </si>
  <si>
    <t>INSS-MPE MONTAGENS E PROJETOS ESPECIAIS LTDA-nf-1425</t>
  </si>
  <si>
    <t>1426 - 031876709 - IRRF</t>
  </si>
  <si>
    <t>ISS-MPE MONTAGENS E PROJETOS ESPECIAIS LTDA-nf-1425</t>
  </si>
  <si>
    <t>Retenção Imp. Fonte - 381122 - 4</t>
  </si>
  <si>
    <t>IRRF-MAZZINI ADMINISTRAÇÃO E EMPREITADAS LTDA-nf-19131</t>
  </si>
  <si>
    <t>Retenção Imp. Fonte - 381088 - 3</t>
  </si>
  <si>
    <t>INSS-MAZZINI ADMINISTRAÇÃO E EMPREITADAS LTDA-nf-19131</t>
  </si>
  <si>
    <t>ISS-MAZZINI ADMINISTRAÇÃO E EMPREITADAS LTDA-nf-19131</t>
  </si>
  <si>
    <t>IRRF-CONSTRUDAHER CONSTRUÇÕES LTDA-nf-3932</t>
  </si>
  <si>
    <t>11694 - 056419492 - INSS</t>
  </si>
  <si>
    <t>INSS-CONSTRUDAHER CONSTRUÇÕES LTDA-nf-3932</t>
  </si>
  <si>
    <t>1428 - 031876709 - INSS</t>
  </si>
  <si>
    <t>ISS-CONSTRUDAHER CONSTRUÇÕES LTDA-nf-3932</t>
  </si>
  <si>
    <t>19133 - 045517604 - INSS</t>
  </si>
  <si>
    <t>IRRF-PROJECTO ASSESSORIA E SERVIÇOS LTDA-nf-1128</t>
  </si>
  <si>
    <t>INSS-PROJECTO ASSESSORIA E SERVIÇOS LTDA-nf-1128</t>
  </si>
  <si>
    <t>17003 - 067668194 - INSS</t>
  </si>
  <si>
    <t>01-112120611020-000-062501510001-2-NV003959-PRO006881-0-0-0</t>
  </si>
  <si>
    <t>2786 - 009212711 - INSS</t>
  </si>
  <si>
    <t>1428 - 031876709 - ISS</t>
  </si>
  <si>
    <t>19133 - 045517604 - ISS</t>
  </si>
  <si>
    <t>17003 - 067668194 - ISS</t>
  </si>
  <si>
    <t>IRRF-THYSSENKRUP ELEVADORES S/A-nf-46975</t>
  </si>
  <si>
    <t>2786 - 009212711 - ISS</t>
  </si>
  <si>
    <t>IRRF-LYNCRA LIMPEZA E SERVIÇOS GERAIS LTDA-nf-6707</t>
  </si>
  <si>
    <t>11694 - 056419492 - ISS</t>
  </si>
  <si>
    <t>INSS-LYNCRA LIMPEZA E SERVIÇOS GERAIS LTDA-nf-6707</t>
  </si>
  <si>
    <t>ISS-LYNCRA LIMPEZA E SERVIÇOS GERAIS LTDA-nf-6707</t>
  </si>
  <si>
    <t>Retenção Imp. Fonte - 354527 - 3</t>
  </si>
  <si>
    <t>IRRF-LYNCRA LIMPEZA E SERVIÇOS GERAIS LTDA-nf-6708</t>
  </si>
  <si>
    <t>Retenção Imp. Fonte - 354527 - 4</t>
  </si>
  <si>
    <t>INSS-LYNCRA LIMPEZA E SERVIÇOS GERAIS LTDA-nf-6708</t>
  </si>
  <si>
    <t>Retenção Imp. Fonte - 354527 - 3 - Cancelado</t>
  </si>
  <si>
    <t>11694 - 056419492 - IRRF</t>
  </si>
  <si>
    <t>IRRF-LYNCRA LIMPEZA E SERVIÇOS GERAIS LTDA-nf-6709</t>
  </si>
  <si>
    <t>INSS-LYNCRA LIMPEZA E SERVIÇOS GERAIS LTDA-nf-6709</t>
  </si>
  <si>
    <t>1428 - 031876709 - IRRF</t>
  </si>
  <si>
    <t>ISS-LYNCRA LIMPEZA E SERVIÇOS GERAIS LTDA-nf-6709</t>
  </si>
  <si>
    <t>IRRF-LYNCRA LIMPEZA E SERVIÇOS GERAIS LTDA-nf-6710</t>
  </si>
  <si>
    <t>19133 - 045517604 - IRRF</t>
  </si>
  <si>
    <t>INSS-LYNCRA LIMPEZA E SERVIÇOS GERAIS LTDA-nf-6710</t>
  </si>
  <si>
    <t>ISS-LYNCRA LIMPEZA E SERVIÇOS GERAIS LTDA-nf-6710</t>
  </si>
  <si>
    <t>17003 - 067668194 - IRRF</t>
  </si>
  <si>
    <t>Retenção Imp. Fonte - 380315 - 4</t>
  </si>
  <si>
    <t>IRRF-LYNCRA LIMPEZA E SERVIÇOS GERAIS LTDA-nf-6706</t>
  </si>
  <si>
    <t>Retenção Imp. Fonte - 380306 - 4</t>
  </si>
  <si>
    <t>INSS-LYNCRA LIMPEZA E SERVIÇOS GERAIS LTDA-nf-6706</t>
  </si>
  <si>
    <t>ISS-LYNCRA LIMPEZA E SERVIÇOS GERAIS LTDA-nf-6706</t>
  </si>
  <si>
    <t>IRRF-IS SERVIÇOS INTEGRADOS LTDA-ME-nf-3550</t>
  </si>
  <si>
    <t>INSS-IS SERVIÇOS INTEGRADOS LTDA-ME-nf-3550</t>
  </si>
  <si>
    <t>ISS-IS SERVIÇOS INTEGRADOS LTDA-ME-nf-3550</t>
  </si>
  <si>
    <t>2786 - 009212711 - IRRF</t>
  </si>
  <si>
    <t>IRRF-HIGIENIX HIGIENIZAÇÃO E SERVIÇOS-nf-2768</t>
  </si>
  <si>
    <t>653 - 000752995 - INSS</t>
  </si>
  <si>
    <t>INSS-HIGIENIX HIGIENIZAÇÃO E SERVIÇOS-nf-2768</t>
  </si>
  <si>
    <t>2731 - 009212711 - INSS</t>
  </si>
  <si>
    <t>ISS-HIGIENIX HIGIENIZAÇÃO E SERVIÇOS-nf-2768</t>
  </si>
  <si>
    <t>1130 - 043316033 - INSS</t>
  </si>
  <si>
    <t>IRRF-HIGIENIX HIGIENIZAÇÃO E SERVIÇOS-nf-2771</t>
  </si>
  <si>
    <t>16972 - 067668194 - INSS</t>
  </si>
  <si>
    <t>INSS-HIGIENIX HIGIENIZAÇÃO E SERVIÇOS-nf-2771</t>
  </si>
  <si>
    <t>6679 - 096647755 - INSS</t>
  </si>
  <si>
    <t>ISS-HIGIENIX HIGIENIZAÇÃO E SERVIÇOS-nf-2771</t>
  </si>
  <si>
    <t>3523 - 009441321 - INSS</t>
  </si>
  <si>
    <t>IRRF-HIGIENIX HIGIENIZAÇÃO E SERVIÇOS-nf-2772</t>
  </si>
  <si>
    <t>INSS-HIGIENIX HIGIENIZAÇÃO E SERVIÇOS-nf-2772</t>
  </si>
  <si>
    <t>ISS-HIGIENIX HIGIENIZAÇÃO E SERVIÇOS-nf-2772</t>
  </si>
  <si>
    <t>IRRF-HIGIENIX HIGIENIZAÇÃO E SERVIÇOS-nf-2774</t>
  </si>
  <si>
    <t>653 - 000752995 - ISS</t>
  </si>
  <si>
    <t>ISS-COMERCIAL BARCELOS EIRELI - EPP-nf-1110</t>
  </si>
  <si>
    <t>2731 - 009212711 - ISS</t>
  </si>
  <si>
    <t>INSS-COMERCIAL BARCELOS EIRELI - EPP-nf-1111</t>
  </si>
  <si>
    <t>16972 - 067668194 - ISS</t>
  </si>
  <si>
    <t>ISS-COMERCIAL BARCELOS EIRELI - EPP-nf-1111</t>
  </si>
  <si>
    <t>6679 - 096647755 - ISS</t>
  </si>
  <si>
    <t>IRRF-PROJECTO ASSESSORIA E SERVIÇOS LTDA-nf-1138</t>
  </si>
  <si>
    <t>3523 - 009441321 - ISS</t>
  </si>
  <si>
    <t>INSS-PROJECTO ASSESSORIA E SERVIÇOS LTDA-nf-1138</t>
  </si>
  <si>
    <t>1130 - 043316033 - ISS</t>
  </si>
  <si>
    <t>ISS-PROJECTO ASSESSORIA E SERVIÇOS LTDA-nf-1138</t>
  </si>
  <si>
    <t>Retenção Imp. Fonte - 354542 - 3</t>
  </si>
  <si>
    <t>Retenção Imp. Fonte - 354542 - 4</t>
  </si>
  <si>
    <t>Retenção Imp. Fonte - 354542 - 3 - Cancelado</t>
  </si>
  <si>
    <t>653 - 000752995 - IRRF</t>
  </si>
  <si>
    <t>2731 - 009212711 - IRRF</t>
  </si>
  <si>
    <t>1130 - 043316033 - IRRF</t>
  </si>
  <si>
    <t>Retenção Imp. Fonte - 365262 - 4 - Cancelado</t>
  </si>
  <si>
    <t>IRRF-TB SERVIÇOS, TRANSPORTES, LIMPEZA, GERENCIAMENTO E RECURSOS HUMANOS S.A-nf-1601</t>
  </si>
  <si>
    <t>Retenção Imp. Fonte - 365262 - 3 - Cancelado</t>
  </si>
  <si>
    <t>INSS-TB SERVIÇOS, TRANSPORTES, LIMPEZA, GERENCIAMENTO E RECURSOS HUMANOS S.A-nf-1601</t>
  </si>
  <si>
    <t>Retenção Imp. Fonte - 365262 - 3</t>
  </si>
  <si>
    <t>ISS-TB SERVIÇOS, TRANSPORTES, LIMPEZA, GERENCIAMENTO E RECURSOS HUMANOS S.A-nf-1601</t>
  </si>
  <si>
    <t>16972 - 067668194 - IRRF</t>
  </si>
  <si>
    <t>IRRF-SEAL SEGURANÇA ALTERNATIVA EIRELI-nf-1471</t>
  </si>
  <si>
    <t>Retenção Imp. Fonte - 365262 - 4</t>
  </si>
  <si>
    <t>INSS-SEAL SEGURANÇA ALTERNATIVA EIRELI-nf-1471</t>
  </si>
  <si>
    <t>6679 - 096647755 - IRRF</t>
  </si>
  <si>
    <t>ISS-SEAL SEGURANÇA ALTERNATIVA EIRELI-nf-1471</t>
  </si>
  <si>
    <t>Retenção Imp. Fonte - 365262 - 5</t>
  </si>
  <si>
    <t>Retenção Imp. Fonte - 365300 - 3 - Cancelado</t>
  </si>
  <si>
    <t>Retenção Imp. Fonte - 365300 - 4</t>
  </si>
  <si>
    <t>Retenção Imp. Fonte - 365300 - 3</t>
  </si>
  <si>
    <t>3523 - 009441321 - IRRF</t>
  </si>
  <si>
    <t>Retenção Imp. Fonte - 378202 - 3</t>
  </si>
  <si>
    <t>Retenção Imp. Fonte - 380140 - 3</t>
  </si>
  <si>
    <t>IRRF-LYNCRA LIMPEZA E SERVIÇOS GERAIS LTDA-nf-6711</t>
  </si>
  <si>
    <t>INSS-LYNCRA LIMPEZA E SERVIÇOS GERAIS LTDA-nf-6711</t>
  </si>
  <si>
    <t>ISS-LYNCRA LIMPEZA E SERVIÇOS GERAIS LTDA-nf-6711</t>
  </si>
  <si>
    <t>29080 - 003022122 - INSS</t>
  </si>
  <si>
    <t>92457 - 000146889 - INSS</t>
  </si>
  <si>
    <t>3929 - 003802330 - INSS</t>
  </si>
  <si>
    <t>IRRF-TERRACOM CONSTRUÇÕES LTDA-nf-6523</t>
  </si>
  <si>
    <t>INSS-TERRACOM CONSTRUÇÕES LTDA-nf-6523</t>
  </si>
  <si>
    <t>ISS-TERRACOM CONSTRUÇÕES LTDA-nf-6523</t>
  </si>
  <si>
    <t>IRRF-LYNCRA LIMPEZA E SERVIÇOS GERAIS LTDA-nf-6705</t>
  </si>
  <si>
    <t>INSS-LYNCRA LIMPEZA E SERVIÇOS GERAIS LTDA-nf-6705</t>
  </si>
  <si>
    <t>92457 - 000146889 - ISS</t>
  </si>
  <si>
    <t>ISS-LYNCRA LIMPEZA E SERVIÇOS GERAIS LTDA-nf-6705</t>
  </si>
  <si>
    <t>IRRF-LYNCRA LIMPEZA E SERVIÇOS GERAIS LTDA-nf-6712</t>
  </si>
  <si>
    <t>3929 - 003802330 - ISS</t>
  </si>
  <si>
    <t>INSS-LYNCRA LIMPEZA E SERVIÇOS GERAIS LTDA-nf-6712</t>
  </si>
  <si>
    <t>ISS-LYNCRA LIMPEZA E SERVIÇOS GERAIS LTDA-nf-6712</t>
  </si>
  <si>
    <t>29080 - 003022122 - ISS</t>
  </si>
  <si>
    <t>IRRF-LYNCRA LIMPEZA E SERVIÇOS GERAIS LTDA-nf-6713</t>
  </si>
  <si>
    <t>29080 - 003022122 - IRRF</t>
  </si>
  <si>
    <t>INSS-LYNCRA LIMPEZA E SERVIÇOS GERAIS LTDA-nf-6713</t>
  </si>
  <si>
    <t>92457 - 000146889 - IRRF</t>
  </si>
  <si>
    <t>ISS-LYNCRA LIMPEZA E SERVIÇOS GERAIS LTDA-nf-6713</t>
  </si>
  <si>
    <t>3929 - 003802330 - IRRF</t>
  </si>
  <si>
    <t>ISS-BK CONSULTORIA E SERVIÇOS LTDA-nf-29058</t>
  </si>
  <si>
    <t>Retenção Imp. Fonte - 380214 - 4</t>
  </si>
  <si>
    <t>INSS-HIGIENIX HIGIENIZAÇÃO E SERVIÇOS-nf-2774</t>
  </si>
  <si>
    <t>Retenção Imp. Fonte - 380202 - 4</t>
  </si>
  <si>
    <t>ISS-HIGIENIX HIGIENIZAÇÃO E SERVIÇOS-nf-2774</t>
  </si>
  <si>
    <t>IRRF-HIGIENIX HIGIENIZAÇÃO E SERVIÇOS-nf-2775</t>
  </si>
  <si>
    <t>INSS-HIGIENIX HIGIENIZAÇÃO E SERVIÇOS-nf-2775</t>
  </si>
  <si>
    <t>ISS-HIGIENIX HIGIENIZAÇÃO E SERVIÇOS-nf-2775</t>
  </si>
  <si>
    <t>INSS-PORTISS VIGILÂNCIA E SEGURANÇA PATRIMONIAL EIRELI-nf-1660</t>
  </si>
  <si>
    <t>Retenção Imp. Fonte - 374075 - 3</t>
  </si>
  <si>
    <t>ISS-PORTISS VIGILÂNCIA E SEGURANÇA PATRIMONIAL EIRELI-nf-1660</t>
  </si>
  <si>
    <t>1126 - 043316033 - INSS</t>
  </si>
  <si>
    <t>PIS/COFINS/CSLL-HIGIENIX HIGIENIZAÇÃO E SERVIÇOS-nf-2655</t>
  </si>
  <si>
    <t>178 - 004743858 - INSS</t>
  </si>
  <si>
    <t>PIS/COFINS/CSLL-IS SERVIÇOS INTEGRADOS LTDA-ME-nf-3429</t>
  </si>
  <si>
    <t>16974 - 067668194 - INSS</t>
  </si>
  <si>
    <t>PIS/COFINS/CSLL-LYNCRA LIMPEZA E SERVIÇOS GERAIS LTDA-nf-6573</t>
  </si>
  <si>
    <t>6698 - 096647755 - INSS</t>
  </si>
  <si>
    <t>PIS/COFINS/CSLL-LYNCRA LIMPEZA E SERVIÇOS GERAIS LTDA-nf-6575</t>
  </si>
  <si>
    <t>3541 - 009441321 - INSS</t>
  </si>
  <si>
    <t>PIS/COFINS/CSLL-LYNCRA LIMPEZA E SERVIÇOS GERAIS LTDA-nf-6576</t>
  </si>
  <si>
    <t>2750 - 009212711 - INSS</t>
  </si>
  <si>
    <t>PIS/COFINS/CSLL-LYNCRA LIMPEZA E SERVIÇOS GERAIS LTDA-nf-6578</t>
  </si>
  <si>
    <t>PIS/COFINS/CSLL-LYNCRA LIMPEZA E SERVIÇOS GERAIS LTDA-nf-6579</t>
  </si>
  <si>
    <t>PIS/COFINS/CSLL-LYNCRA LIMPEZA E SERVIÇOS GERAIS LTDA-nf-6580</t>
  </si>
  <si>
    <t>PIS/COFINS/CSLL-LYNCRA LIMPEZA E SERVIÇOS GERAIS LTDA-nf-6582</t>
  </si>
  <si>
    <t>178 - 004743858 - ISS</t>
  </si>
  <si>
    <t>PIS/COFINS/CSLL-LYNCRA LIMPEZA E SERVIÇOS GERAIS LTDA-nf-6572</t>
  </si>
  <si>
    <t>16974 - 067668194 - ISS</t>
  </si>
  <si>
    <t>PIS/COFINS/CSLL-LYNCRA LIMPEZA E SERVIÇOS GERAIS LTDA-nf-6583</t>
  </si>
  <si>
    <t>6698 - 096647755 - ISS</t>
  </si>
  <si>
    <t>PIS/COFINS/CSLL-LYNCRA LIMPEZA E SERVIÇOS GERAIS LTDA-nf-6606</t>
  </si>
  <si>
    <t>3541 - 009441321 - ISS</t>
  </si>
  <si>
    <t>PIS/COFINS/CSLL-LYNCRA LIMPEZA E SERVIÇOS GERAIS LTDA-nf-6607</t>
  </si>
  <si>
    <t>2750 - 009212711 - ISS</t>
  </si>
  <si>
    <t>PIS/COFINS/CSLL-LYNCRA LIMPEZA E SERVIÇOS GERAIS LTDA-nf-6608</t>
  </si>
  <si>
    <t>1126 - 043316033 - ISS</t>
  </si>
  <si>
    <t>PIS/COFINS/CSLL-LYNCRA LIMPEZA E SERVIÇOS GERAIS LTDA-nf-6566</t>
  </si>
  <si>
    <t>Retenção Imp. Fonte - 354611 - 3</t>
  </si>
  <si>
    <t>PIS/COFINS/CSLL-LYNCRA LIMPEZA E SERVIÇOS GERAIS LTDA-nf-6565</t>
  </si>
  <si>
    <t>Retenção Imp. Fonte - 354611 - 4</t>
  </si>
  <si>
    <t>PIS/COFINS/CSLL-LYNCRA LIMPEZA E SERVIÇOS GERAIS LTDA-nf-6564</t>
  </si>
  <si>
    <t>Retenção Imp. Fonte - 354611 - 3 - Cancelado</t>
  </si>
  <si>
    <t>PIS/COFINS/CSLL-LYNCRA LIMPEZA E SERVIÇOS GERAIS LTDA-nf-6563</t>
  </si>
  <si>
    <t>1126 - 043316033 - IRRF</t>
  </si>
  <si>
    <t>PIS/COFINS/CSLL-LYNCRA LIMPEZA E SERVIÇOS GERAIS LTDA-nf-6561</t>
  </si>
  <si>
    <t>178 - 004743858 - IRRF</t>
  </si>
  <si>
    <t>PIS/COFINS/CSLL-LYNCRA LIMPEZA E SERVIÇOS GERAIS LTDA-nf-6569</t>
  </si>
  <si>
    <t>Retenção Imp. Fonte - 354339 - 4 - Cancelado</t>
  </si>
  <si>
    <t>PIS/COFINS/CSLL-LYNCRA LIMPEZA E SERVIÇOS GERAIS LTDA-nf-6562</t>
  </si>
  <si>
    <t>Retenção Imp. Fonte - 354339 - 3 - Cancelado</t>
  </si>
  <si>
    <t>PIS/COFINS/CSLL-LYNCRA LIMPEZA E SERVIÇOS GERAIS LTDA-nf-6560</t>
  </si>
  <si>
    <t>Retenção Imp. Fonte - 354339 - 3</t>
  </si>
  <si>
    <t>PIS/COFINS/CSLL-LYNCRA LIMPEZA E SERVIÇOS GERAIS LTDA-nf-6641</t>
  </si>
  <si>
    <t>16974 - 067668194 - IRRF</t>
  </si>
  <si>
    <t>PIS/COFINS/CSLL-LYNCRA LIMPEZA E SERVIÇOS GERAIS LTDA-nf-6635</t>
  </si>
  <si>
    <t>Retenção Imp. Fonte - 354339 - 4</t>
  </si>
  <si>
    <t>PIS/COFINS/CSLL-LYNCRA LIMPEZA E SERVIÇOS GERAIS LTDA-nf-6636</t>
  </si>
  <si>
    <t>6698 - 096647755 - IRRF</t>
  </si>
  <si>
    <t>PIS/COFINS/CSLL-LYNCRA LIMPEZA E SERVIÇOS GERAIS LTDA-nf-6638</t>
  </si>
  <si>
    <t>Retenção Imp. Fonte - 354339 - 5</t>
  </si>
  <si>
    <t>PIS/COFINS/CSLL-LYNCRA LIMPEZA E SERVIÇOS GERAIS LTDA-nf-6624</t>
  </si>
  <si>
    <t>3541 - 009441321 - IRRF</t>
  </si>
  <si>
    <t>PIS/COFINS/CSLL-LYNCRA LIMPEZA E SERVIÇOS GERAIS LTDA-nf-6623</t>
  </si>
  <si>
    <t>Retenção Imp. Fonte - 358145 - 3 - Cancelado</t>
  </si>
  <si>
    <t>Retenção Imp. Fonte - 358145 - 4</t>
  </si>
  <si>
    <t>Retenção Imp. Fonte - 358145 - 3</t>
  </si>
  <si>
    <t>2750 - 009212711 - IRRF</t>
  </si>
  <si>
    <t>Retenção Imp. Fonte - 373497 - 3</t>
  </si>
  <si>
    <t>IRRF-IS SERVIÇOS INTEGRADOS LTDA-ME-nf-3518</t>
  </si>
  <si>
    <t>Retenção Imp. Fonte - 373493 - 3</t>
  </si>
  <si>
    <t>INSS-IS SERVIÇOS INTEGRADOS LTDA-ME-nf-3518</t>
  </si>
  <si>
    <t>ISS-IS SERVIÇOS INTEGRADOS LTDA-ME-nf-3518</t>
  </si>
  <si>
    <t>IRRF-IS SERVIÇOS INTEGRADOS LTDA-ME-nf-3519</t>
  </si>
  <si>
    <t>INSS-IS SERVIÇOS INTEGRADOS LTDA-ME-nf-3519</t>
  </si>
  <si>
    <t>4385 - 043217280 - INSS</t>
  </si>
  <si>
    <t>ISS-IS SERVIÇOS INTEGRADOS LTDA-ME-nf-3519</t>
  </si>
  <si>
    <t>11580 - 005497348 - INSS</t>
  </si>
  <si>
    <t>IRRF-IS SERVIÇOS INTEGRADOS LTDA-ME-nf-3520</t>
  </si>
  <si>
    <t>1604 - 060924040 - INSS</t>
  </si>
  <si>
    <t>INSS-IS SERVIÇOS INTEGRADOS LTDA-ME-nf-3520</t>
  </si>
  <si>
    <t>ISS-IS SERVIÇOS INTEGRADOS LTDA-ME-nf-3520</t>
  </si>
  <si>
    <t>IRRF-IS SERVIÇOS INTEGRADOS LTDA-ME-nf-3521</t>
  </si>
  <si>
    <t>INSS-IS SERVIÇOS INTEGRADOS LTDA-ME-nf-3521</t>
  </si>
  <si>
    <t>4385 - 043217280 - ISS</t>
  </si>
  <si>
    <t>ISS-IS SERVIÇOS INTEGRADOS LTDA-ME-nf-3521</t>
  </si>
  <si>
    <t>1604 - 060924040 - ISS</t>
  </si>
  <si>
    <t>IRRF-IS SERVIÇOS INTEGRADOS LTDA-ME-nf-3522</t>
  </si>
  <si>
    <t>11580 - 005497348 - ISS</t>
  </si>
  <si>
    <t>INSS-IS SERVIÇOS INTEGRADOS LTDA-ME-nf-3522</t>
  </si>
  <si>
    <t>4385 - 043217280 - IRRF</t>
  </si>
  <si>
    <t>ISS-IS SERVIÇOS INTEGRADOS LTDA-ME-nf-3522</t>
  </si>
  <si>
    <t>11580 - 005497348 - IRRF</t>
  </si>
  <si>
    <t>IRRF-IS SERVIÇOS INTEGRADOS LTDA-ME-nf-3524</t>
  </si>
  <si>
    <t>1604 - 060924040 - IRRF</t>
  </si>
  <si>
    <t>INSS-IS SERVIÇOS INTEGRADOS LTDA-ME-nf-3524</t>
  </si>
  <si>
    <t>ISS-IS SERVIÇOS INTEGRADOS LTDA-ME-nf-3524</t>
  </si>
  <si>
    <t>IRRF-IS SERVIÇOS INTEGRADOS LTDA-ME-nf-3525</t>
  </si>
  <si>
    <t>INSS-IS SERVIÇOS INTEGRADOS LTDA-ME-nf-3525</t>
  </si>
  <si>
    <t>Retenção Imp. Fonte - 384121 - 3</t>
  </si>
  <si>
    <t>ISS-IS SERVIÇOS INTEGRADOS LTDA-ME-nf-3525</t>
  </si>
  <si>
    <t>Retenção Imp. Fonte - 378157 - 3</t>
  </si>
  <si>
    <t>IRRF-IS SERVIÇOS INTEGRADOS LTDA-ME-nf-3532</t>
  </si>
  <si>
    <t>Retenção Imp. Fonte - 378113 - 4</t>
  </si>
  <si>
    <t>INSS-IS SERVIÇOS INTEGRADOS LTDA-ME-nf-3532</t>
  </si>
  <si>
    <t>ISS-IS SERVIÇOS INTEGRADOS LTDA-ME-nf-3532</t>
  </si>
  <si>
    <t>92458 - 000146889 - INSS</t>
  </si>
  <si>
    <t>29081 - 003022122 - INSS</t>
  </si>
  <si>
    <t>3930 - 003802330 - INSS</t>
  </si>
  <si>
    <t>3563 - 009441321 - INSS</t>
  </si>
  <si>
    <t>6706 - 096647755 - INSS</t>
  </si>
  <si>
    <t>ISS-CONSTRUDAHER CONSTRUÇÕES LTDA-nf-3931</t>
  </si>
  <si>
    <t>2768 - 009212711 - INSS</t>
  </si>
  <si>
    <t>16976 - 067668194 - INSS</t>
  </si>
  <si>
    <t>92458 - 000146889 - ISS</t>
  </si>
  <si>
    <t>29081 - 003022122 - ISS</t>
  </si>
  <si>
    <t>3930 - 003802330 - ISS</t>
  </si>
  <si>
    <t>3563 - 009441321 - ISS</t>
  </si>
  <si>
    <t>6706 - 096647755 - ISS</t>
  </si>
  <si>
    <t>2768 - 009212711 - ISS</t>
  </si>
  <si>
    <t>16976 - 067668194 - ISS</t>
  </si>
  <si>
    <t>Retenção Imp. Fonte - 354615 - 3</t>
  </si>
  <si>
    <t>Retenção Imp. Fonte - 354615 - 4</t>
  </si>
  <si>
    <t>Retenção Imp. Fonte - 354615 - 3 - Cancelado</t>
  </si>
  <si>
    <t>92458 - 000146889 - IRRF</t>
  </si>
  <si>
    <t>Retenção Imp. Fonte - 366249 - 4 - Cancelado</t>
  </si>
  <si>
    <t>Retenção Imp. Fonte - 366249 - 3 - Cancelado</t>
  </si>
  <si>
    <t>29081 - 003022122 - IRRF</t>
  </si>
  <si>
    <t>3930 - 003802330 - IRRF</t>
  </si>
  <si>
    <t>3563 - 009441321 - IRRF</t>
  </si>
  <si>
    <t>Retenção Imp. Fonte - 366249 - 3</t>
  </si>
  <si>
    <t>Retenção Imp. Fonte - 366249 - 4</t>
  </si>
  <si>
    <t>Retenção Imp. Fonte - 366249 - 5</t>
  </si>
  <si>
    <t>6706 - 096647755 - IRRF</t>
  </si>
  <si>
    <t>2768 - 009212711 - IRRF</t>
  </si>
  <si>
    <t>Retenção Imp. Fonte - 363310 - 3 - Cancelado</t>
  </si>
  <si>
    <t>Retenção Imp. Fonte - 363310 - 3</t>
  </si>
  <si>
    <t>Retenção Imp. Fonte - 363310 - 4</t>
  </si>
  <si>
    <t>16976 - 067668194 - IRRF</t>
  </si>
  <si>
    <t>PIS/COFINS/CSLL-LYNCRA LIMPEZA E SERVIÇOS GERAIS LTDA-nf-6621</t>
  </si>
  <si>
    <t>PIS/COFINS/CSLL-LYNCRA LIMPEZA E SERVIÇOS GERAIS LTDA-nf-6622</t>
  </si>
  <si>
    <t>PIS/COFINS/CSLL-LYNCRA LIMPEZA E SERVIÇOS GERAIS LTDA-nf-6653</t>
  </si>
  <si>
    <t>PIS/COFINS/CSLL-LYNCRA LIMPEZA E SERVIÇOS GERAIS LTDA-nf-6654</t>
  </si>
  <si>
    <t>Retenção Imp. Fonte - 380223 - 3</t>
  </si>
  <si>
    <t>PIS/COFINS/CSLL-LYNCRA LIMPEZA E SERVIÇOS GERAIS LTDA-nf-6611</t>
  </si>
  <si>
    <t>Retenção Imp. Fonte - 380219 - 3</t>
  </si>
  <si>
    <t>PIS/COFINS/CSLL-LYNCRA LIMPEZA E SERVIÇOS GERAIS LTDA-nf-6634</t>
  </si>
  <si>
    <t>Retenção Imp. Fonte - 380109 - 4</t>
  </si>
  <si>
    <t>PIS/COFINS/CSLL-LYNCRA LIMPEZA E SERVIÇOS GERAIS LTDA-nf-6637</t>
  </si>
  <si>
    <t>PIS/COFINS/CSLL-LYNCRA LIMPEZA E SERVIÇOS GERAIS LTDA-nf-6642</t>
  </si>
  <si>
    <t>PIS/COFINS/CSLL-LYNCRA LIMPEZA E SERVIÇOS GERAIS LTDA-nf-6610</t>
  </si>
  <si>
    <t>PIS/COFINS/CSLL-LYNCRA LIMPEZA E SERVIÇOS GERAIS LTDA-nf-6571</t>
  </si>
  <si>
    <t>PIS/COFINS/CSLL-LYNCRA LIMPEZA E SERVIÇOS GERAIS LTDA-nf-6574</t>
  </si>
  <si>
    <t>6527 - 047497367 - INSS</t>
  </si>
  <si>
    <t>PIS/COFINS/CSLL-LYNCRA LIMPEZA E SERVIÇOS GERAIS LTDA-nf-6577</t>
  </si>
  <si>
    <t>6707 - 096647755 - INSS</t>
  </si>
  <si>
    <t>PIS/COFINS/CSLL-LYNCRA LIMPEZA E SERVIÇOS GERAIS LTDA-nf-6581</t>
  </si>
  <si>
    <t>16977 - 067668194 - INSS</t>
  </si>
  <si>
    <t>PIS/COFINS/CSLL-LYNCRA LIMPEZA E SERVIÇOS GERAIS LTDA-nf-6605</t>
  </si>
  <si>
    <t>2769 - 009212711 - INSS</t>
  </si>
  <si>
    <t>PIS/COFINS/CSLL-LYNCRA LIMPEZA E SERVIÇOS GERAIS LTDA-nf-6609</t>
  </si>
  <si>
    <t>3564 - 009441321 - INSS</t>
  </si>
  <si>
    <t>632 - 001259348 - INSS</t>
  </si>
  <si>
    <t>6527 - 047497367 - ISS</t>
  </si>
  <si>
    <t>6707 - 096647755 - ISS</t>
  </si>
  <si>
    <t>16977 - 067668194 - ISS</t>
  </si>
  <si>
    <t>2769 - 009212711 - ISS</t>
  </si>
  <si>
    <t>3564 - 009441321 - ISS</t>
  </si>
  <si>
    <t>632 - 001259348 - ISS</t>
  </si>
  <si>
    <t>Retenção Imp. Fonte - 354619 - 3</t>
  </si>
  <si>
    <t>Retenção Imp. Fonte - 354619 - 4</t>
  </si>
  <si>
    <t>Retenção Imp. Fonte - 354619 - 3 - Cancelado</t>
  </si>
  <si>
    <t>Retenção Imp. Fonte - 366253 - 4 - Cancelado</t>
  </si>
  <si>
    <t>Retenção Imp. Fonte - 366253 - 3 - Cancelado</t>
  </si>
  <si>
    <t>6527 - 047497367 - IRRF</t>
  </si>
  <si>
    <t>Retenção Imp. Fonte - 366253 - 3</t>
  </si>
  <si>
    <t>Retenção Imp. Fonte - 366253 - 4</t>
  </si>
  <si>
    <t>Retenção Imp. Fonte - 366253 - 5</t>
  </si>
  <si>
    <t>6707 - 096647755 - IRRF</t>
  </si>
  <si>
    <t>Retenção Imp. Fonte - 363360 - 3 - Cancelado</t>
  </si>
  <si>
    <t>Retenção Imp. Fonte - 363360 - 4</t>
  </si>
  <si>
    <t>Retenção Imp. Fonte - 363360 - 3</t>
  </si>
  <si>
    <t>16977 - 067668194 - IRRF</t>
  </si>
  <si>
    <t>2769 - 009212711 - IRRF</t>
  </si>
  <si>
    <t>3564 - 009441321 - IRRF</t>
  </si>
  <si>
    <t>Retenção Imp. Fonte - 382215 - 3</t>
  </si>
  <si>
    <t>IRRF-IS SERVIÇOS INTEGRADOS LTDA-ME-nf-3533</t>
  </si>
  <si>
    <t>INSS-IS SERVIÇOS INTEGRADOS LTDA-ME-nf-3533</t>
  </si>
  <si>
    <t>ISS-IS SERVIÇOS INTEGRADOS LTDA-ME-nf-3533</t>
  </si>
  <si>
    <t>IRRF-HIGIENIX HIGIENIZAÇÃO E SERVIÇOS-nf-2747</t>
  </si>
  <si>
    <t>Retenção Imp. Fonte - 371173 - 3</t>
  </si>
  <si>
    <t>INSS-HIGIENIX HIGIENIZAÇÃO E SERVIÇOS-nf-2747</t>
  </si>
  <si>
    <t>632 - 001259348 - IRRF</t>
  </si>
  <si>
    <t>ISS-HIGIENIX HIGIENIZAÇÃO E SERVIÇOS-nf-2747</t>
  </si>
  <si>
    <t>19130 - 045517604 - INSS</t>
  </si>
  <si>
    <t>IRRF-HIGIENIX HIGIENIZAÇÃO E SERVIÇOS-nf-2748</t>
  </si>
  <si>
    <t>1128 - 043316033 - INSS</t>
  </si>
  <si>
    <t>INSS-HIGIENIX HIGIENIZAÇÃO E SERVIÇOS-nf-2748</t>
  </si>
  <si>
    <t>ISS-HIGIENIX HIGIENIZAÇÃO E SERVIÇOS-nf-2748</t>
  </si>
  <si>
    <t>IRRF-HIGIENIX HIGIENIZAÇÃO E SERVIÇOS-nf-2751</t>
  </si>
  <si>
    <t>INSS-HIGIENIX HIGIENIZAÇÃO E SERVIÇOS-nf-2751</t>
  </si>
  <si>
    <t>19130 - 045517604 - ISS</t>
  </si>
  <si>
    <t>ISS-HIGIENIX HIGIENIZAÇÃO E SERVIÇOS-nf-2751</t>
  </si>
  <si>
    <t>1128 - 043316033 - ISS</t>
  </si>
  <si>
    <t>IRRF-HIGIENIX HIGIENIZAÇÃO E SERVIÇOS-nf-2752</t>
  </si>
  <si>
    <t>19130 - 045517604 - IRRF</t>
  </si>
  <si>
    <t>INSS-HIGIENIX HIGIENIZAÇÃO E SERVIÇOS-nf-2752</t>
  </si>
  <si>
    <t>1128 - 043316033 - IRRF</t>
  </si>
  <si>
    <t>ISS-HIGIENIX HIGIENIZAÇÃO E SERVIÇOS-nf-2752</t>
  </si>
  <si>
    <t>IRRF-HIGIENIX HIGIENIZAÇÃO E SERVIÇOS-nf-2753</t>
  </si>
  <si>
    <t>INSS-HIGIENIX HIGIENIZAÇÃO E SERVIÇOS-nf-2753</t>
  </si>
  <si>
    <t>ISS-HIGIENIX HIGIENIZAÇÃO E SERVIÇOS-nf-2753</t>
  </si>
  <si>
    <t>Retenção Imp. Fonte - 380368 - 3</t>
  </si>
  <si>
    <t>IRRF-HIGIENIX HIGIENIZAÇÃO E SERVIÇOS-nf-2754</t>
  </si>
  <si>
    <t>Retenção Imp. Fonte - 380328 - 3</t>
  </si>
  <si>
    <t>INSS-HIGIENIX HIGIENIZAÇÃO E SERVIÇOS-nf-2754</t>
  </si>
  <si>
    <t>ISS-HIGIENIX HIGIENIZAÇÃO E SERVIÇOS-nf-2754</t>
  </si>
  <si>
    <t>IRRF-ATP TECNOLOGIA E PRODUTOS S/A-nf-9738</t>
  </si>
  <si>
    <t>INSS-ATP TECNOLOGIA E PRODUTOS S/A-nf-9738</t>
  </si>
  <si>
    <t>ISS-ATP TECNOLOGIA E PRODUTOS S/A-nf-9738</t>
  </si>
  <si>
    <t>4386 - 043217280 - INSS</t>
  </si>
  <si>
    <t>IRRF-PROJECTO ASSESSORIA E SERVIÇOS LTDA-nf-1139</t>
  </si>
  <si>
    <t>11582 - 005497348 - INSS</t>
  </si>
  <si>
    <t>INSS-PROJECTO ASSESSORIA E SERVIÇOS LTDA-nf-1139</t>
  </si>
  <si>
    <t>1606 - 060924040 - INSS</t>
  </si>
  <si>
    <t>ISS-PROJECTO ASSESSORIA E SERVIÇOS LTDA-nf-1139</t>
  </si>
  <si>
    <t>IRRF-PROJECTO ASSESSORIA E SERVIÇOS LTDA-nf-1136</t>
  </si>
  <si>
    <t>INSS-PROJECTO ASSESSORIA E SERVIÇOS LTDA-nf-1136</t>
  </si>
  <si>
    <t>4386 - 043217280 - ISS</t>
  </si>
  <si>
    <t>11582 - 005497348 - ISS</t>
  </si>
  <si>
    <t>1606 - 060924040 - ISS</t>
  </si>
  <si>
    <t>4386 - 043217280 - IRRF</t>
  </si>
  <si>
    <t>11582 - 005497348 - IRRF</t>
  </si>
  <si>
    <t>1606 - 060924040 - IRRF</t>
  </si>
  <si>
    <t>Retenção Imp. Fonte - 384125 - 3</t>
  </si>
  <si>
    <t>Retenção Imp. Fonte - 378161 - 3</t>
  </si>
  <si>
    <t>Retenção Imp. Fonte - 378147 - 3</t>
  </si>
  <si>
    <t>1134 - 043316033 - INSS</t>
  </si>
  <si>
    <t>656 - 000752995 - INSS</t>
  </si>
  <si>
    <t>656 - 000752995 - ISS</t>
  </si>
  <si>
    <t>1134 - 043316033 - ISS</t>
  </si>
  <si>
    <t>1134 - 043316033 - IRRF</t>
  </si>
  <si>
    <t>656 - 000752995 - IRRF</t>
  </si>
  <si>
    <t>Retenção Imp. Fonte - 380235 - 4</t>
  </si>
  <si>
    <t>Retenção Imp. Fonte - 378198 - 4</t>
  </si>
  <si>
    <t>19136 - 045517604 - INSS</t>
  </si>
  <si>
    <t>16979 - 067668194 - INSS</t>
  </si>
  <si>
    <t>6525 - 047497367 - INSS</t>
  </si>
  <si>
    <t>647 - 001259348 - INSS</t>
  </si>
  <si>
    <t>19136 - 045517604 - ISS</t>
  </si>
  <si>
    <t>16979 - 067668194 - ISS</t>
  </si>
  <si>
    <t>6525 - 047497367 - ISS</t>
  </si>
  <si>
    <t>115 - 020811381000104 - ISS</t>
  </si>
  <si>
    <t>647 - 001259348 - ISS</t>
  </si>
  <si>
    <t>Retenção Imp. Fonte - 354551 - 3</t>
  </si>
  <si>
    <t>Retenção Imp. Fonte - 354551 - 4</t>
  </si>
  <si>
    <t>Retenção Imp. Fonte - 354551 - 3 - Cancelado</t>
  </si>
  <si>
    <t>19136 - 045517604 - IRRF</t>
  </si>
  <si>
    <t>16979 - 067668194 - IRRF</t>
  </si>
  <si>
    <t>IRRF-CENTURION SEGURANÇA E VIGILÂNCIA LTDA-nf-16976</t>
  </si>
  <si>
    <t>6525 - 047497367 - IRRF</t>
  </si>
  <si>
    <t>INSS-CENTURION SEGURANÇA E VIGILÂNCIA LTDA-nf-16976</t>
  </si>
  <si>
    <t>IRRF-GATTO &amp; SILVA SEG. E VIG. PATRIMONIAL LTDA- EPP-nf-1868</t>
  </si>
  <si>
    <t>INSS-GATTO &amp; SILVA SEG. E VIG. PATRIMONIAL LTDA- EPP-nf-1868</t>
  </si>
  <si>
    <t>Retenção Imp. Fonte - 381096 - 3</t>
  </si>
  <si>
    <t>ISS-GATTO &amp; SILVA SEG. E VIG. PATRIMONIAL LTDA- EPP-nf-1868</t>
  </si>
  <si>
    <t>Retenção Imp. Fonte - 383383 - 3</t>
  </si>
  <si>
    <t>Retenção Imp. Fonte - 370285 - 3</t>
  </si>
  <si>
    <t>647 - 001259348 - IRRF</t>
  </si>
  <si>
    <t>654 - 000752995 - INSS</t>
  </si>
  <si>
    <t>IRRF-IS SERVIÇOS INTEGRADOS LTDA-ME-nf-3523</t>
  </si>
  <si>
    <t>1131 - 043316033 - INSS</t>
  </si>
  <si>
    <t>INSS-IS SERVIÇOS INTEGRADOS LTDA-ME-nf-3523</t>
  </si>
  <si>
    <t>ISS-IS SERVIÇOS INTEGRADOS LTDA-ME-nf-3523</t>
  </si>
  <si>
    <t>654 - 000752995 - ISS</t>
  </si>
  <si>
    <t>1131 - 043316033 - ISS</t>
  </si>
  <si>
    <t>IRRF-HIGIENIX HIGIENIZAÇÃO E SERVIÇOS-nf-2746</t>
  </si>
  <si>
    <t>654 - 000752995 - IRRF</t>
  </si>
  <si>
    <t>INSS-HIGIENIX HIGIENIZAÇÃO E SERVIÇOS-nf-2746</t>
  </si>
  <si>
    <t>1131 - 043316033 - IRRF</t>
  </si>
  <si>
    <t>ISS-HIGIENIX HIGIENIZAÇÃO E SERVIÇOS-nf-2746</t>
  </si>
  <si>
    <t>IRRF-HIGIENIX HIGIENIZAÇÃO E SERVIÇOS-nf-2749</t>
  </si>
  <si>
    <t>INSS-HIGIENIX HIGIENIZAÇÃO E SERVIÇOS-nf-2749</t>
  </si>
  <si>
    <t>ISS-HIGIENIX HIGIENIZAÇÃO E SERVIÇOS-nf-2749</t>
  </si>
  <si>
    <t>Retenção Imp. Fonte - 380210 - 3</t>
  </si>
  <si>
    <t>IRRF-HIGIENIX HIGIENIZAÇÃO E SERVIÇOS-nf-2750</t>
  </si>
  <si>
    <t>Retenção Imp. Fonte - 380144 - 3</t>
  </si>
  <si>
    <t>INSS-HIGIENIX HIGIENIZAÇÃO E SERVIÇOS-nf-2750</t>
  </si>
  <si>
    <t>ISS-HIGIENIX HIGIENIZAÇÃO E SERVIÇOS-nf-2750</t>
  </si>
  <si>
    <t>INSS-ZOCCAL-SEGURANÇA PATRIMONIAL EIRELI-nf-952</t>
  </si>
  <si>
    <t>2728 - 009212711 - INSS</t>
  </si>
  <si>
    <t>ISS-ZOCCAL-SEGURANÇA PATRIMONIAL EIRELI-nf-952</t>
  </si>
  <si>
    <t>6530 - 047497367 - INSS</t>
  </si>
  <si>
    <t>IRRF-CIMAX COMÉRCIO INSTALAÇÃO E MANUTENÇÃO DE AR CONDICIONADO EIRELI-nf-160</t>
  </si>
  <si>
    <t>6676 - 096647755 - INSS</t>
  </si>
  <si>
    <t>ISS-CIMAX COMÉRCIO INSTALAÇÃO E MANUTENÇÃO DE AR CONDICIONADO EIRELI-nf-160</t>
  </si>
  <si>
    <t>3520 - 009441321 - INSS</t>
  </si>
  <si>
    <t>16981 - 067668194 - INSS</t>
  </si>
  <si>
    <t>634 - 001259348 - INSS</t>
  </si>
  <si>
    <t>PIS/COFINS/CSLL-ELEVADORES ATLAS SHINDLER S/A-nf-106591</t>
  </si>
  <si>
    <t>IRRF-IS SERVIÇOS INTEGRADOS LTDA-ME-nf-3539</t>
  </si>
  <si>
    <t>2728 - 009212711 - ISS</t>
  </si>
  <si>
    <t>INSS-IS SERVIÇOS INTEGRADOS LTDA-ME-nf-3539</t>
  </si>
  <si>
    <t>6530 - 047497367 - ISS</t>
  </si>
  <si>
    <t>ISS-IS SERVIÇOS INTEGRADOS LTDA-ME-nf-3539</t>
  </si>
  <si>
    <t>6676 - 096647755 - ISS</t>
  </si>
  <si>
    <t>IRRF-IS SERVIÇOS INTEGRADOS LTDA-ME-nf-3542</t>
  </si>
  <si>
    <t>3520 - 009441321 - ISS</t>
  </si>
  <si>
    <t>INSS-IS SERVIÇOS INTEGRADOS LTDA-ME-nf-3542</t>
  </si>
  <si>
    <t>16981 - 067668194 - ISS</t>
  </si>
  <si>
    <t>ISS-IS SERVIÇOS INTEGRADOS LTDA-ME-nf-3542</t>
  </si>
  <si>
    <t>634 - 001259348 - ISS</t>
  </si>
  <si>
    <t>Retenção Imp. Fonte - 354631 - 3</t>
  </si>
  <si>
    <t>Retenção Imp. Fonte - 354631 - 4</t>
  </si>
  <si>
    <t>Retenção Imp. Fonte - 354631 - 3 - Cancelado</t>
  </si>
  <si>
    <t>IRRF-HIGIENIX HIGIENIZAÇÃO E SERVIÇOS-nf-2776</t>
  </si>
  <si>
    <t>2728 - 009212711 - IRRF</t>
  </si>
  <si>
    <t>INSS-HIGIENIX HIGIENIZAÇÃO E SERVIÇOS-nf-2776</t>
  </si>
  <si>
    <t>Retenção Imp. Fonte - 365258 - 4 - Cancelado</t>
  </si>
  <si>
    <t>ISS-HIGIENIX HIGIENIZAÇÃO E SERVIÇOS-nf-2776</t>
  </si>
  <si>
    <t>Retenção Imp. Fonte - 365258 - 3 - Cancelado</t>
  </si>
  <si>
    <t>Retenção Imp. Fonte - 365258 - 3</t>
  </si>
  <si>
    <t>IRRF-CENTURION SEGURANÇA E VIGILÂNCIA LTDA-nf-16975</t>
  </si>
  <si>
    <t>6530 - 047497367 - IRRF</t>
  </si>
  <si>
    <t>INSS-CENTURION SEGURANÇA E VIGILÂNCIA LTDA-nf-16975</t>
  </si>
  <si>
    <t>Retenção Imp. Fonte - 365258 - 4</t>
  </si>
  <si>
    <t>ISS-CENTURION SEGURANÇA E VIGILÂNCIA LTDA-nf-16975</t>
  </si>
  <si>
    <t>6676 - 096647755 - IRRF</t>
  </si>
  <si>
    <t>IRRF-CENTURION SEGURANÇA E VIGILÂNCIA LTDA-nf-16977</t>
  </si>
  <si>
    <t>Retenção Imp. Fonte - 365258 - 5</t>
  </si>
  <si>
    <t>INSS-CENTURION SEGURANÇA E VIGILÂNCIA LTDA-nf-16977</t>
  </si>
  <si>
    <t>Retenção Imp. Fonte - 365320 - 3 - Cancelado</t>
  </si>
  <si>
    <t>ISS-CENTURION SEGURANÇA E VIGILÂNCIA LTDA-nf-16977</t>
  </si>
  <si>
    <t>3520 - 009441321 - IRRF</t>
  </si>
  <si>
    <t>Retenção Imp. Fonte - 365320 - 4</t>
  </si>
  <si>
    <t>Retenção Imp. Fonte - 365320 - 3</t>
  </si>
  <si>
    <t>16981 - 067668194 - IRRF</t>
  </si>
  <si>
    <t>Retenção Imp. Fonte - 382432 - 3</t>
  </si>
  <si>
    <t>IRRF-CENTURION SEGURANÇA E VIGILÂNCIA LTDA-nf-16979</t>
  </si>
  <si>
    <t>INSS-CENTURION SEGURANÇA E VIGILÂNCIA LTDA-nf-16979</t>
  </si>
  <si>
    <t>ISS-CENTURION SEGURANÇA E VIGILÂNCIA LTDA-nf-16979</t>
  </si>
  <si>
    <t>IRRF-CIMAX COMÉRCIO INSTALAÇÃO E MANUTENÇÃO DE AR CONDICIONADO EIRELI-nf-161</t>
  </si>
  <si>
    <t>Retenção Imp. Fonte - 371233 - 3</t>
  </si>
  <si>
    <t>ISS-CIMAX COMÉRCIO INSTALAÇÃO E MANUTENÇÃO DE AR CONDICIONADO EIRELI-nf-161</t>
  </si>
  <si>
    <t>634 - 001259348 - IRRF</t>
  </si>
  <si>
    <t>IRRF-TERRACOM CONSTRUÇÕES LTDA-nf-6528</t>
  </si>
  <si>
    <t>6532 - 047497367 - INSS</t>
  </si>
  <si>
    <t>INSS-TERRACOM CONSTRUÇÕES LTDA-nf-6528</t>
  </si>
  <si>
    <t>637 - 001259348 - INSS</t>
  </si>
  <si>
    <t>ISS-TERRACOM CONSTRUÇÕES LTDA-nf-6528</t>
  </si>
  <si>
    <t>IRRF-CIMAX COMÉRCIO INSTALAÇÃO E MANUTENÇÃO DE AR CONDICIONADO EIRELI-nf-159</t>
  </si>
  <si>
    <t>ISS-ELEVADORES ATLAS SHINDLER S/A-nf-109699</t>
  </si>
  <si>
    <t>ISS-GHS INDÚSTRIA E SERVIÇOS LTDA-nf-39945</t>
  </si>
  <si>
    <t>6532 - 047497367 - ISS</t>
  </si>
  <si>
    <t>IRRF-TERRACOM CONSTRUÇÕES LTDA-nf-6525</t>
  </si>
  <si>
    <t>637 - 001259348 - ISS</t>
  </si>
  <si>
    <t>INSS-TERRACOM CONSTRUÇÕES LTDA-nf-6525</t>
  </si>
  <si>
    <t>6532 - 047497367 - IRRF</t>
  </si>
  <si>
    <t>ISS-TERRACOM CONSTRUÇÕES LTDA-nf-6525</t>
  </si>
  <si>
    <t>Retenção Imp. Fonte - 382197 - 3</t>
  </si>
  <si>
    <t>IRRF-LYNCRA LIMPEZA E SERVIÇOS GERAIS LTDA-nf-6694</t>
  </si>
  <si>
    <t>Retenção Imp. Fonte - 371187 - 3</t>
  </si>
  <si>
    <t>INSS-LYNCRA LIMPEZA E SERVIÇOS GERAIS LTDA-nf-6694</t>
  </si>
  <si>
    <t>637 - 001259348 - IRRF</t>
  </si>
  <si>
    <t>ISS-LYNCRA LIMPEZA E SERVIÇOS GERAIS LTDA-nf-6694</t>
  </si>
  <si>
    <t>6531 - 047497367 - INSS</t>
  </si>
  <si>
    <t>IRRF-IS SERVIÇOS INTEGRADOS LTDA-ME-nf-3548</t>
  </si>
  <si>
    <t>639 - 001259348 - INSS</t>
  </si>
  <si>
    <t>INSS-IS SERVIÇOS INTEGRADOS LTDA-ME-nf-3548</t>
  </si>
  <si>
    <t>ISS-IS SERVIÇOS INTEGRADOS LTDA-ME-nf-3548</t>
  </si>
  <si>
    <t>IRRF-HIGIENIX HIGIENIZAÇÃO E SERVIÇOS-nf-2767</t>
  </si>
  <si>
    <t>INSS-HIGIENIX HIGIENIZAÇÃO E SERVIÇOS-nf-2767</t>
  </si>
  <si>
    <t>6531 - 047497367 - ISS</t>
  </si>
  <si>
    <t>ISS-HIGIENIX HIGIENIZAÇÃO E SERVIÇOS-nf-2767</t>
  </si>
  <si>
    <t>639 - 001259348 - ISS</t>
  </si>
  <si>
    <t>IRRF-HIGIENIX HIGIENIZAÇÃO E SERVIÇOS-nf-2769</t>
  </si>
  <si>
    <t>6531 - 047497367 - IRRF</t>
  </si>
  <si>
    <t>INSS-HIGIENIX HIGIENIZAÇÃO E SERVIÇOS-nf-2769</t>
  </si>
  <si>
    <t>ISS-HIGIENIX HIGIENIZAÇÃO E SERVIÇOS-nf-2769</t>
  </si>
  <si>
    <t>IRRF-HIGIENIX HIGIENIZAÇÃO E SERVIÇOS-nf-2770</t>
  </si>
  <si>
    <t>INSS-HIGIENIX HIGIENIZAÇÃO E SERVIÇOS-nf-2770</t>
  </si>
  <si>
    <t>Retenção Imp. Fonte - 382439 - 3</t>
  </si>
  <si>
    <t>ISS-HIGIENIX HIGIENIZAÇÃO E SERVIÇOS-nf-2770</t>
  </si>
  <si>
    <t>IRRF-HIGIENIX HIGIENIZAÇÃO E SERVIÇOS-nf-2773</t>
  </si>
  <si>
    <t>INSS-HIGIENIX HIGIENIZAÇÃO E SERVIÇOS-nf-2773</t>
  </si>
  <si>
    <t>ISS-HIGIENIX HIGIENIZAÇÃO E SERVIÇOS-nf-2773</t>
  </si>
  <si>
    <t>Retenção Imp. Fonte - 372169 - 3</t>
  </si>
  <si>
    <t>639 - 001259348 - IRRF</t>
  </si>
  <si>
    <t>1132 - 043316033 - INSS</t>
  </si>
  <si>
    <t>655 - 000752995 - INSS</t>
  </si>
  <si>
    <t>1132 - 043316033 - ISS</t>
  </si>
  <si>
    <t>655 - 000752995 - ISS</t>
  </si>
  <si>
    <t>1132 - 043316033 - IRRF</t>
  </si>
  <si>
    <t>655 - 000752995 - IRRF</t>
  </si>
  <si>
    <t>Retenção Imp. Fonte - 380239 - 3</t>
  </si>
  <si>
    <t>Retenção Imp. Fonte - 378190 - 3</t>
  </si>
  <si>
    <t>11691 - 056419492 - INSS</t>
  </si>
  <si>
    <t>1427 - 031876709 - INSS</t>
  </si>
  <si>
    <t>19129 - 045517604 - INSS</t>
  </si>
  <si>
    <t>IRRF-CALL TECNOLOGIA E SERVIÇOS LTDA-nf-1220</t>
  </si>
  <si>
    <t>17005 - 067668194 - INSS</t>
  </si>
  <si>
    <t>1427 - 031876709 - ISS</t>
  </si>
  <si>
    <t>19129 - 045517604 - ISS</t>
  </si>
  <si>
    <t>17005 - 067668194 - ISS</t>
  </si>
  <si>
    <t>11691 - 056419492 - ISS</t>
  </si>
  <si>
    <t>Retenção Imp. Fonte - 354249 - 3</t>
  </si>
  <si>
    <t>Retenção Imp. Fonte - 354249 - 4</t>
  </si>
  <si>
    <t>Retenção Imp. Fonte - 354249 - 3 - Cancelado</t>
  </si>
  <si>
    <t>11691 - 056419492 - IRRF</t>
  </si>
  <si>
    <t>1427 - 031876709 - IRRF</t>
  </si>
  <si>
    <t>19129 - 045517604 - IRRF</t>
  </si>
  <si>
    <t>Retenção Imp. Fonte - 381112 - 4</t>
  </si>
  <si>
    <t>Retenção Imp. Fonte - 381075 - 4</t>
  </si>
  <si>
    <t>17005 - 067668194 - IRRF</t>
  </si>
  <si>
    <t>17019 - 067668194 - INSS</t>
  </si>
  <si>
    <t>17019 - 067668194 - ISS</t>
  </si>
  <si>
    <t>Retenção Imp. Fonte - 353159 - 3</t>
  </si>
  <si>
    <t>Retenção Imp. Fonte - 353159 - 4</t>
  </si>
  <si>
    <t>Retenção Imp. Fonte - 353159 - 3 - Cancelado</t>
  </si>
  <si>
    <t>17019 - 067668194 - IRRF</t>
  </si>
  <si>
    <t>92461 - 000146889 - INSS</t>
  </si>
  <si>
    <t>29060 - 003022122 - INSS</t>
  </si>
  <si>
    <t>3933 - 003802330 - INSS</t>
  </si>
  <si>
    <t>92461 - 000146889 - ISS</t>
  </si>
  <si>
    <t>3933 - 003802330 - ISS</t>
  </si>
  <si>
    <t>29060 - 003022122 - ISS</t>
  </si>
  <si>
    <t>92461 - 000146889 - IRRF</t>
  </si>
  <si>
    <t>29060 - 003022122 - IRRF</t>
  </si>
  <si>
    <t>3933 - 003802330 - IRRF</t>
  </si>
  <si>
    <t>Retenção Imp. Fonte - 380293 - 4</t>
  </si>
  <si>
    <t>Retenção Imp. Fonte - 380128 - 3</t>
  </si>
  <si>
    <t>Retenção Imp. Fonte - 373381 - 3</t>
  </si>
  <si>
    <t>3512 - 009441321 - INSS</t>
  </si>
  <si>
    <t>2695 - 009212711 - INSS</t>
  </si>
  <si>
    <t>6686 - 096647755 - INSS</t>
  </si>
  <si>
    <t>1127 - 043316033 - INSS</t>
  </si>
  <si>
    <t>19123 - 045517604 - INSS</t>
  </si>
  <si>
    <t>17006 - 067668194 - INSS</t>
  </si>
  <si>
    <t>ISS-CALL TECNOLOGIA E SERVIÇOS LTDA-nf-1220</t>
  </si>
  <si>
    <t>3512 - 009441321 - ISS</t>
  </si>
  <si>
    <t>2695 - 009212711 - ISS</t>
  </si>
  <si>
    <t>6686 - 096647755 - ISS</t>
  </si>
  <si>
    <t>1127 - 043316033 - ISS</t>
  </si>
  <si>
    <t>19123 - 045517604 - ISS</t>
  </si>
  <si>
    <t>17006 - 067668194 - ISS</t>
  </si>
  <si>
    <t>Retenção Imp. Fonte - 363128 - 3</t>
  </si>
  <si>
    <t>Retenção Imp. Fonte - 363128 - 4</t>
  </si>
  <si>
    <t>Retenção Imp. Fonte - 363128 - 3 - Cancelado</t>
  </si>
  <si>
    <t>Retenção Imp. Fonte - 353165 - 3</t>
  </si>
  <si>
    <t>Retenção Imp. Fonte - 353165 - 4</t>
  </si>
  <si>
    <t>3512 - 009441321 - IRRF</t>
  </si>
  <si>
    <t>Retenção Imp. Fonte - 353165 - 3 - Cancelado</t>
  </si>
  <si>
    <t>2695 - 009212711 - IRRF</t>
  </si>
  <si>
    <t>Retenção Imp. Fonte - 354423 - 4 - Cancelado</t>
  </si>
  <si>
    <t>Retenção Imp. Fonte - 354423 - 3 - Cancelado</t>
  </si>
  <si>
    <t>Retenção Imp. Fonte - 354423 - 3</t>
  </si>
  <si>
    <t>6686 - 096647755 - IRRF</t>
  </si>
  <si>
    <t>Retenção Imp. Fonte - 354423 - 4</t>
  </si>
  <si>
    <t>Retenção Imp. Fonte - 354423 - 5</t>
  </si>
  <si>
    <t>1127 - 043316033 - IRRF</t>
  </si>
  <si>
    <t>19123 - 045517604 - IRRF</t>
  </si>
  <si>
    <t>Retenção Imp. Fonte - 361103 - 3 - Cancelado</t>
  </si>
  <si>
    <t>Retenção Imp. Fonte - 361103 - 4</t>
  </si>
  <si>
    <t>Retenção Imp. Fonte - 361103 - 3</t>
  </si>
  <si>
    <t>17006 - 067668194 - IRRF</t>
  </si>
  <si>
    <t>Retenção Imp. Fonte - 380332 - 3</t>
  </si>
  <si>
    <t>Retenção Imp. Fonte - 380319 - 3</t>
  </si>
  <si>
    <t>1133 - 043316033 - INSS</t>
  </si>
  <si>
    <t>657 - 000752995 - INSS</t>
  </si>
  <si>
    <t>1133 - 043316033 - ISS</t>
  </si>
  <si>
    <t>657 - 000752995 - ISS</t>
  </si>
  <si>
    <t>1133 - 043316033 - IRRF</t>
  </si>
  <si>
    <t>657 - 000752995 - IRRF</t>
  </si>
  <si>
    <t>Retenção Imp. Fonte - 380243 - 3</t>
  </si>
  <si>
    <t>Retenção Imp. Fonte - 380105 - 3</t>
  </si>
  <si>
    <t>19128 - 045517604 - INSS</t>
  </si>
  <si>
    <t>6524 - 047497367 - INSS</t>
  </si>
  <si>
    <t>6711 - 096647755 - INSS</t>
  </si>
  <si>
    <t>2773 - 009212711 - INSS</t>
  </si>
  <si>
    <t>3568 - 009441321 - INSS</t>
  </si>
  <si>
    <t>16987 - 067668194 - INSS</t>
  </si>
  <si>
    <t>636 - 001259348 - INSS</t>
  </si>
  <si>
    <t>19128 - 045517604 - ISS</t>
  </si>
  <si>
    <t>6524 - 047497367 - ISS</t>
  </si>
  <si>
    <t>6711 - 096647755 - ISS</t>
  </si>
  <si>
    <t>2773 - 009212711 - ISS</t>
  </si>
  <si>
    <t>3568 - 009441321 - ISS</t>
  </si>
  <si>
    <t>16987 - 067668194 - ISS</t>
  </si>
  <si>
    <t>636 - 001259348 - ISS</t>
  </si>
  <si>
    <t>Retenção Imp. Fonte - 357203 - 3</t>
  </si>
  <si>
    <t>Retenção Imp. Fonte - 357203 - 4</t>
  </si>
  <si>
    <t>IRRF-CALL TECNOLOGIA E SERVIÇOS LTDA-nf-1221</t>
  </si>
  <si>
    <t>Retenção Imp. Fonte - 357203 - 3 - Cancelado</t>
  </si>
  <si>
    <t>Retenção Imp. Fonte - 365246 - 4 - Cancelado</t>
  </si>
  <si>
    <t>Retenção Imp. Fonte - 365246 - 3 - Cancelado</t>
  </si>
  <si>
    <t>19128 - 045517604 - IRRF</t>
  </si>
  <si>
    <t>Retenção Imp. Fonte - 365246 - 3</t>
  </si>
  <si>
    <t>Retenção Imp. Fonte - 365246 - 4</t>
  </si>
  <si>
    <t>Retenção Imp. Fonte - 365246 - 5</t>
  </si>
  <si>
    <t>6524 - 047497367 - IRRF</t>
  </si>
  <si>
    <t>6711 - 096647755 - IRRF</t>
  </si>
  <si>
    <t>Retenção Imp. Fonte - 361212 - 3 - Cancelado</t>
  </si>
  <si>
    <t>Retenção Imp. Fonte - 361212 - 4</t>
  </si>
  <si>
    <t>Retenção Imp. Fonte - 361212 - 3</t>
  </si>
  <si>
    <t>2773 - 009212711 - IRRF</t>
  </si>
  <si>
    <t>3568 - 009441321 - IRRF</t>
  </si>
  <si>
    <t>16987 - 067668194 - IRRF</t>
  </si>
  <si>
    <t>Retenção Imp. Fonte - 381100 - 3</t>
  </si>
  <si>
    <t>Retenção Imp. Fonte - 384134 - 3</t>
  </si>
  <si>
    <t>Retenção Imp. Fonte - 370299 - 4</t>
  </si>
  <si>
    <t>636 - 001259348 - IRRF</t>
  </si>
  <si>
    <t>19127 - 045517604 - INSS</t>
  </si>
  <si>
    <t>6526 - 047497367 - INSS</t>
  </si>
  <si>
    <t>3537 - 009441321 - INSS</t>
  </si>
  <si>
    <t>2746 - 009212711 - INSS</t>
  </si>
  <si>
    <t>6694 - 096647755 - INSS</t>
  </si>
  <si>
    <t>16988 - 067668194 - INSS</t>
  </si>
  <si>
    <t>638 - 001259348 - INSS</t>
  </si>
  <si>
    <t>19127 - 045517604 - ISS</t>
  </si>
  <si>
    <t>6526 - 047497367 - ISS</t>
  </si>
  <si>
    <t>3537 - 009441321 - ISS</t>
  </si>
  <si>
    <t>2746 - 009212711 - ISS</t>
  </si>
  <si>
    <t>6694 - 096647755 - ISS</t>
  </si>
  <si>
    <t>638 - 001259348 - ISS</t>
  </si>
  <si>
    <t>16988 - 067668194 - ISS</t>
  </si>
  <si>
    <t>Retenção Imp. Fonte - 354675 - 3</t>
  </si>
  <si>
    <t>Retenção Imp. Fonte - 354675 - 4</t>
  </si>
  <si>
    <t>Retenção Imp. Fonte - 354675 - 3 - Cancelado</t>
  </si>
  <si>
    <t>Retenção Imp. Fonte - 366271 - 4 - Cancelado</t>
  </si>
  <si>
    <t>Retenção Imp. Fonte - 366271 - 3 - Cancelado</t>
  </si>
  <si>
    <t>19127 - 045517604 - IRRF</t>
  </si>
  <si>
    <t>Retenção Imp. Fonte - 366271 - 3</t>
  </si>
  <si>
    <t>6526 - 047497367 - IRRF</t>
  </si>
  <si>
    <t>Retenção Imp. Fonte - 366271 - 4</t>
  </si>
  <si>
    <t>3537 - 009441321 - IRRF</t>
  </si>
  <si>
    <t>Retenção Imp. Fonte - 366271 - 5</t>
  </si>
  <si>
    <t>Retenção Imp. Fonte - 368120 - 3 - Cancelado</t>
  </si>
  <si>
    <t>Retenção Imp. Fonte - 368120 - 4</t>
  </si>
  <si>
    <t>Retenção Imp. Fonte - 368120 - 3</t>
  </si>
  <si>
    <t>2746 - 009212711 - IRRF</t>
  </si>
  <si>
    <t>6694 - 096647755 - IRRF</t>
  </si>
  <si>
    <t>16988 - 067668194 - IRRF</t>
  </si>
  <si>
    <t>Retenção Imp. Fonte - 383417 - 3</t>
  </si>
  <si>
    <t>Retenção Imp. Fonte - 381108 - 3</t>
  </si>
  <si>
    <t>Retenção Imp. Fonte - 370291 - 4</t>
  </si>
  <si>
    <t>ISS-CALL TECNOLOGIA E SERVIÇOS LTDA-nf-1221</t>
  </si>
  <si>
    <t>638 - 001259348 - IRRF</t>
  </si>
  <si>
    <t>92462 - 000146889 - INSS</t>
  </si>
  <si>
    <t>29059 - 003022122 - INSS</t>
  </si>
  <si>
    <t>3932 - 003802330 - INSS</t>
  </si>
  <si>
    <t>92462 - 000146889 - ISS</t>
  </si>
  <si>
    <t>3932 - 003802330 - ISS</t>
  </si>
  <si>
    <t>29059 - 003022122 - ISS</t>
  </si>
  <si>
    <t>92462 - 000146889 - IRRF</t>
  </si>
  <si>
    <t>29059 - 003022122 - IRRF</t>
  </si>
  <si>
    <t>3932 - 003802330 - IRRF</t>
  </si>
  <si>
    <t>Retenção Imp. Fonte - 380360 - 4</t>
  </si>
  <si>
    <t>Retenção Imp. Fonte - 380227 - 3</t>
  </si>
  <si>
    <t>Retenção Imp. Fonte - 373385 - 3</t>
  </si>
  <si>
    <t>29083 - 003022122 - INSS</t>
  </si>
  <si>
    <t>3935 - 003802330 - INSS</t>
  </si>
  <si>
    <t>6697 - 096647755 - INSS</t>
  </si>
  <si>
    <t>3540 - 009441321 - INSS</t>
  </si>
  <si>
    <t>2749 - 009212711 - INSS</t>
  </si>
  <si>
    <t>16994 - 067668194 - INSS</t>
  </si>
  <si>
    <t>29083 - 003022122 - ISS</t>
  </si>
  <si>
    <t>3935 - 003802330 - ISS</t>
  </si>
  <si>
    <t>6697 - 096647755 - ISS</t>
  </si>
  <si>
    <t>3540 - 009441321 - ISS</t>
  </si>
  <si>
    <t>2749 - 009212711 - ISS</t>
  </si>
  <si>
    <t>16994 - 067668194 - ISS</t>
  </si>
  <si>
    <t>Retenção Imp. Fonte - 357284 - 3</t>
  </si>
  <si>
    <t>Retenção Imp. Fonte - 357284 - 4</t>
  </si>
  <si>
    <t>Retenção Imp. Fonte - 357284 - 3 - Cancelado</t>
  </si>
  <si>
    <t>29083 - 003022122 - IRRF</t>
  </si>
  <si>
    <t>3935 - 003802330 - IRRF</t>
  </si>
  <si>
    <t>Retenção Imp. Fonte - 354411 - 4 - Cancelado</t>
  </si>
  <si>
    <t>Retenção Imp. Fonte - 354411 - 3 - Cancelado</t>
  </si>
  <si>
    <t>Retenção Imp. Fonte - 354411 - 3</t>
  </si>
  <si>
    <t>Retenção Imp. Fonte - 354411 - 4</t>
  </si>
  <si>
    <t>6697 - 096647755 - IRRF</t>
  </si>
  <si>
    <t>Retenção Imp. Fonte - 354411 - 5</t>
  </si>
  <si>
    <t>3540 - 009441321 - IRRF</t>
  </si>
  <si>
    <t>Retenção Imp. Fonte - 358132 - 3 - Cancelado</t>
  </si>
  <si>
    <t>Retenção Imp. Fonte - 358132 - 4</t>
  </si>
  <si>
    <t>Retenção Imp. Fonte - 358132 - 3</t>
  </si>
  <si>
    <t>2749 - 009212711 - IRRF</t>
  </si>
  <si>
    <t>16994 - 067668194 - IRRF</t>
  </si>
  <si>
    <t>Retenção Imp. Fonte - 380088 - 3</t>
  </si>
  <si>
    <t>Retenção Imp. Fonte - 380174 - 3</t>
  </si>
  <si>
    <t>11583 - 005497348 - INSS</t>
  </si>
  <si>
    <t>4387 - 043217280 - INSS</t>
  </si>
  <si>
    <t>1607 - 060924040 - INSS</t>
  </si>
  <si>
    <t>IRRF-CALL TECNOLOGIA E SERVIÇOS LTDA-nf-1222</t>
  </si>
  <si>
    <t>11583 - 005497348 - ISS</t>
  </si>
  <si>
    <t>4387 - 043217280 - ISS</t>
  </si>
  <si>
    <t>1607 - 060924040 - ISS</t>
  </si>
  <si>
    <t>11583 - 005497348 - IRRF</t>
  </si>
  <si>
    <t>4387 - 043217280 - IRRF</t>
  </si>
  <si>
    <t>1607 - 060924040 - IRRF</t>
  </si>
  <si>
    <t>Retenção Imp. Fonte - 384160 - 3</t>
  </si>
  <si>
    <t>Retenção Imp. Fonte - 378153 - 3</t>
  </si>
  <si>
    <t>Retenção Imp. Fonte - 378135 - 3</t>
  </si>
  <si>
    <t>29062 - 003022122 - INSS</t>
  </si>
  <si>
    <t>3936 - 003802330 - INSS</t>
  </si>
  <si>
    <t>29062 - 003022122 - ISS</t>
  </si>
  <si>
    <t>3936 - 003802330 - ISS</t>
  </si>
  <si>
    <t>29062 - 003022122 - IRRF</t>
  </si>
  <si>
    <t>3936 - 003802330 - IRRF</t>
  </si>
  <si>
    <t>Retenção Imp. Fonte - 373489 - 3</t>
  </si>
  <si>
    <t>Retenção Imp. Fonte - 373450 - 3</t>
  </si>
  <si>
    <t>6533 - 047497367 - INSS</t>
  </si>
  <si>
    <t>629 - 001259348 - INSS</t>
  </si>
  <si>
    <t>6533 - 047497367 - ISS</t>
  </si>
  <si>
    <t>629 - 001259348 - ISS</t>
  </si>
  <si>
    <t>6533 - 047497367 - IRRF</t>
  </si>
  <si>
    <t>Retenção Imp. Fonte - 370162 - 3</t>
  </si>
  <si>
    <t>Retenção Imp. Fonte - 373501 - 3</t>
  </si>
  <si>
    <t>629 - 001259348 - IRRF</t>
  </si>
  <si>
    <t>6534 - 047497367 - INSS</t>
  </si>
  <si>
    <t>630 - 001259348 - INSS</t>
  </si>
  <si>
    <t>6534 - 047497367 - ISS</t>
  </si>
  <si>
    <t>630 - 001259348 - ISS</t>
  </si>
  <si>
    <t>6534 - 047497367 - IRRF</t>
  </si>
  <si>
    <t>Retenção Imp. Fonte - 373505 - 3</t>
  </si>
  <si>
    <t>Retenção Imp. Fonte - 371079 - 3</t>
  </si>
  <si>
    <t>630 - 001259348 - IRRF</t>
  </si>
  <si>
    <t>11586 - 005497348 - INSS</t>
  </si>
  <si>
    <t>4381 - 043217280 - INSS</t>
  </si>
  <si>
    <t>ISS-CALL TECNOLOGIA E SERVIÇOS LTDA-nf-1222</t>
  </si>
  <si>
    <t>1609 - 060924040 - INSS</t>
  </si>
  <si>
    <t>4381 - 043217280 - ISS</t>
  </si>
  <si>
    <t>1609 - 060924040 - ISS</t>
  </si>
  <si>
    <t>11586 - 005497348 - ISS</t>
  </si>
  <si>
    <t>11586 - 005497348 - IRRF</t>
  </si>
  <si>
    <t>4381 - 043217280 - IRRF</t>
  </si>
  <si>
    <t>1609 - 060924040 - IRRF</t>
  </si>
  <si>
    <t>Retenção Imp. Fonte - 380084 - 3</t>
  </si>
  <si>
    <t>Retenção Imp. Fonte - 383715 - 3</t>
  </si>
  <si>
    <t>Retenção Imp. Fonte - 380169 - 3</t>
  </si>
  <si>
    <t>4380 - 043217280 - INSS</t>
  </si>
  <si>
    <t>11585 - 005497348 - INSS</t>
  </si>
  <si>
    <t>1608 - 060924040 - INSS</t>
  </si>
  <si>
    <t>4380 - 043217280 - ISS</t>
  </si>
  <si>
    <t>11585 - 005497348 - ISS</t>
  </si>
  <si>
    <t>1608 - 060924040 - ISS</t>
  </si>
  <si>
    <t>4380 - 043217280 - IRRF</t>
  </si>
  <si>
    <t>11585 - 005497348 - IRRF</t>
  </si>
  <si>
    <t>1608 - 060924040 - IRRF</t>
  </si>
  <si>
    <t>Retenção Imp. Fonte - 383472 - 3</t>
  </si>
  <si>
    <t>Retenção Imp. Fonte - 375086 - 3</t>
  </si>
  <si>
    <t>Retenção Imp. Fonte - 378210 - 3</t>
  </si>
  <si>
    <t>39945 - 001797423 - ISS</t>
  </si>
  <si>
    <t>Retenção Imp. Fonte - 370358 - 3</t>
  </si>
  <si>
    <t>Retenção Imp. Fonte - 370356 - 3</t>
  </si>
  <si>
    <t>Retenção Imp. Fonte - 356371 - 3</t>
  </si>
  <si>
    <t>Retenção Imp. Fonte - 370358 - 4</t>
  </si>
  <si>
    <t>Retenção Imp. Fonte - 370356 - 4</t>
  </si>
  <si>
    <t>Retenção Imp. Fonte - 356371 - 4</t>
  </si>
  <si>
    <t>Retenção Imp. Fonte - 370358 - 3 - Cancelado</t>
  </si>
  <si>
    <t>Retenção Imp. Fonte - 370356 - 3 - Cancelado</t>
  </si>
  <si>
    <t>Retenção Imp. Fonte - 356371 - 3 - Cancelado</t>
  </si>
  <si>
    <t>Retenção Imp. Fonte - 370175 - 3</t>
  </si>
  <si>
    <t>Retenção Imp. Fonte - 370153 - 3</t>
  </si>
  <si>
    <t>Retenção Imp. Fonte - 370726 - 3</t>
  </si>
  <si>
    <t>Retenção Imp. Fonte - 370724 - 3</t>
  </si>
  <si>
    <t>Retenção Imp. Fonte - 370706 - 3</t>
  </si>
  <si>
    <t>5645 - 059057992 - IRRF</t>
  </si>
  <si>
    <t>5649 - 059057992 - IRRF</t>
  </si>
  <si>
    <t>Retenção Imp. Fonte - 383381 - 3</t>
  </si>
  <si>
    <t>103 - 002698372 - IRRF</t>
  </si>
  <si>
    <t>6700 - 096647755 - INSS</t>
  </si>
  <si>
    <t>3543 - 009441321 - INSS</t>
  </si>
  <si>
    <t>2752 - 009212711 - INSS</t>
  </si>
  <si>
    <t>952 - 013992899 - INSS</t>
  </si>
  <si>
    <t>397 - 068241900 - INSS</t>
  </si>
  <si>
    <t>2030 - 068000199 - INSS</t>
  </si>
  <si>
    <t>6700 - 096647755 - ISS</t>
  </si>
  <si>
    <t>3543 - 009441321 - ISS</t>
  </si>
  <si>
    <t>2752 - 009212711 - ISS</t>
  </si>
  <si>
    <t>952 - 013992899 - ISS</t>
  </si>
  <si>
    <t>IRRF-ALTERNATIVA SERVIÇOS E TERCEIRIZAÇÃO EM GERAL LTDA-nf-2025</t>
  </si>
  <si>
    <t>INSS-ALTERNATIVA SERVIÇOS E TERCEIRIZAÇÃO EM GERAL LTDA-nf-2025</t>
  </si>
  <si>
    <t>397 - 068241900 - ISS</t>
  </si>
  <si>
    <t>ISS-ALTERNATIVA SERVIÇOS E TERCEIRIZAÇÃO EM GERAL LTDA-nf-2025</t>
  </si>
  <si>
    <t>17056 - 002991559 - ISS</t>
  </si>
  <si>
    <t>2030 - 068000199 - ISS</t>
  </si>
  <si>
    <t>67309 - 001644731 - ISS</t>
  </si>
  <si>
    <t>IRRF-CENTURION SEGURANÇA E VIGILÂNCIA LTDA-nf-17004</t>
  </si>
  <si>
    <t>Retenção Imp. Fonte - 365089 - 2</t>
  </si>
  <si>
    <t>INSS-CENTURION SEGURANÇA E VIGILÂNCIA LTDA-nf-17004</t>
  </si>
  <si>
    <t>Retenção Imp. Fonte - 372192 - 3</t>
  </si>
  <si>
    <t>ISS-CENTURION SEGURANÇA E VIGILÂNCIA LTDA-nf-17004</t>
  </si>
  <si>
    <t>Retenção Imp. Fonte - 372192 - 4</t>
  </si>
  <si>
    <t>Retenção Imp. Fonte - 372192 - 3 - Cancelado</t>
  </si>
  <si>
    <t>Retenção Imp. Fonte - 373310 - 3</t>
  </si>
  <si>
    <t>IRRF-CENTURION SEGURANÇA E VIGILÂNCIA LTDA-nf-17006</t>
  </si>
  <si>
    <t>Retenção Imp. Fonte - 371165 - 3</t>
  </si>
  <si>
    <t>Retenção Imp. Fonte - 370550 - 15</t>
  </si>
  <si>
    <t>Retenção Imp. Fonte - 370550 - 16</t>
  </si>
  <si>
    <t>Retenção Imp. Fonte - 354331 - 4 - Cancelado</t>
  </si>
  <si>
    <t>Retenção Imp. Fonte - 354331 - 3 - Cancelado</t>
  </si>
  <si>
    <t>Retenção Imp. Fonte - 346153 - 3 - Cancelado</t>
  </si>
  <si>
    <t>Retenção Imp. Fonte - 346153 - 4 - Cancelado</t>
  </si>
  <si>
    <t>Retenção Imp. Fonte - 354331 - 3</t>
  </si>
  <si>
    <t>Retenção Imp. Fonte - 346153 - 3</t>
  </si>
  <si>
    <t>Retenção Imp. Fonte - 354331 - 4</t>
  </si>
  <si>
    <t>Retenção Imp. Fonte - 346153 - 4</t>
  </si>
  <si>
    <t>IRRF-CENTURION SEGURANÇA E VIGILÂNCIA LTDA-nf-17007</t>
  </si>
  <si>
    <t>INSS-CENTURION SEGURANÇA E VIGILÂNCIA LTDA-nf-17007</t>
  </si>
  <si>
    <t>6700 - 096647755 - IRRF</t>
  </si>
  <si>
    <t>ISS-CENTURION SEGURANÇA E VIGILÂNCIA LTDA-nf-17007</t>
  </si>
  <si>
    <t>Retenção Imp. Fonte - 354331 - 5</t>
  </si>
  <si>
    <t>Retenção Imp. Fonte - 346153 - 5</t>
  </si>
  <si>
    <t>IRRF-CENTURION SEGURANÇA E VIGILÂNCIA LTDA-nf-17008</t>
  </si>
  <si>
    <t>3543 - 009441321 - IRRF</t>
  </si>
  <si>
    <t>INSS-CENTURION SEGURANÇA E VIGILÂNCIA LTDA-nf-17008</t>
  </si>
  <si>
    <t>Retenção Imp. Fonte - 358149 - 3 - Cancelado</t>
  </si>
  <si>
    <t>ISS-CENTURION SEGURANÇA E VIGILÂNCIA LTDA-nf-17008</t>
  </si>
  <si>
    <t>Retenção Imp. Fonte - 358149 - 4</t>
  </si>
  <si>
    <t>INSS-CENTURION SEGURANÇA E VIGILÂNCIA LTDA-nf-17006</t>
  </si>
  <si>
    <t>2752 - 009212711 - IRRF</t>
  </si>
  <si>
    <t>ISS-CENTURION SEGURANÇA E VIGILÂNCIA LTDA-nf-17006</t>
  </si>
  <si>
    <t>Retenção Imp. Fonte - 358149 - 3</t>
  </si>
  <si>
    <t>67309 - 001644731 - IRRF</t>
  </si>
  <si>
    <t>IRRF-PROJECTO ASSESSORIA E SERVIÇOS LTDA-nf-1137</t>
  </si>
  <si>
    <t>Retenção Imp. Fonte - 387077 - 15</t>
  </si>
  <si>
    <t>INSS-PROJECTO ASSESSORIA E SERVIÇOS LTDA-nf-1137</t>
  </si>
  <si>
    <t>Retenção Imp. Fonte - 387077 - 16</t>
  </si>
  <si>
    <t>ISS-PROJECTO ASSESSORIA E SERVIÇOS LTDA-nf-1137</t>
  </si>
  <si>
    <t>IRRF-MPE MONTAGENS E PROJETOS ESPECIAIS LTDA-nf-1426</t>
  </si>
  <si>
    <t>2030 - 068000199 - IRRF</t>
  </si>
  <si>
    <t>INSS-MPE MONTAGENS E PROJETOS ESPECIAIS LTDA-nf-1426</t>
  </si>
  <si>
    <t>ISS-MPE MONTAGENS E PROJETOS ESPECIAIS LTDA-nf-1426</t>
  </si>
  <si>
    <t>5640 - 059057992 - IRRF</t>
  </si>
  <si>
    <t>2733 - 009212711 - INSS</t>
  </si>
  <si>
    <t>10625 - 010928126 - INSS</t>
  </si>
  <si>
    <t>6681 - 096647755 - INSS</t>
  </si>
  <si>
    <t>3525 - 009441321 - INSS</t>
  </si>
  <si>
    <t>IRRF-CENTURION SEGURANÇA E VIGILÂNCIA LTDA-nf-17002</t>
  </si>
  <si>
    <t>5911 - 060911690 - INSS</t>
  </si>
  <si>
    <t>INSS-CENTURION SEGURANÇA E VIGILÂNCIA LTDA-nf-17002</t>
  </si>
  <si>
    <t>01-112120602030-000-044501040001-1-NV006960-PRO006896-0-0-0</t>
  </si>
  <si>
    <t>ISS-CENTURION SEGURANÇA E VIGILÂNCIA LTDA-nf-17002</t>
  </si>
  <si>
    <t>395 - 068241900 - INSS</t>
  </si>
  <si>
    <t>INSS-VANOLI INSTALAÇÕES LTDA - EPP-nf-396</t>
  </si>
  <si>
    <t>2779 - 009212711 - INSS</t>
  </si>
  <si>
    <t>INSS-VANOLI INSTALAÇÕES LTDA - EPP-nf-397</t>
  </si>
  <si>
    <t>3572 - 009441321 - INSS</t>
  </si>
  <si>
    <t>ISS-VANOLI INSTALAÇÕES LTDA - EPP-nf-397</t>
  </si>
  <si>
    <t>6736 - 096647755 - INSS</t>
  </si>
  <si>
    <t>INSS-VANOLI INSTALAÇÕES LTDA - EPP-nf-399</t>
  </si>
  <si>
    <t>ISS-VANOLI INSTALAÇÕES LTDA - EPP-nf-399</t>
  </si>
  <si>
    <t>INSS-VANOLI INSTALAÇÕES LTDA - EPP-nf-394</t>
  </si>
  <si>
    <t>ISS-VANOLI INSTALAÇÕES LTDA - EPP-nf-394</t>
  </si>
  <si>
    <t>IRRF-DATASIST INFORMÁTICA S/C LTDA.-nf-5912</t>
  </si>
  <si>
    <t>2733 - 009212711 - ISS</t>
  </si>
  <si>
    <t>10625 - 010928126 - ISS</t>
  </si>
  <si>
    <t>INSS-DATASIST INFORMÁTICA S/C LTDA.-nf-5912</t>
  </si>
  <si>
    <t>6681 - 096647755 - ISS</t>
  </si>
  <si>
    <t>3525 - 009441321 - ISS</t>
  </si>
  <si>
    <t>ISS-DATASIST INFORMÁTICA S/C LTDA.-nf-5912</t>
  </si>
  <si>
    <t>160 - 018379306 - ISS</t>
  </si>
  <si>
    <t>109699 - 000028986 - ISS</t>
  </si>
  <si>
    <t>IRRF-DATASIST INFORMÁTICA S/C LTDA.-nf-5911</t>
  </si>
  <si>
    <t>395 - 068241900 - ISS</t>
  </si>
  <si>
    <t>5911 - 060911690 - ISS</t>
  </si>
  <si>
    <t>INSS-DATASIST INFORMÁTICA S/C LTDA.-nf-5911</t>
  </si>
  <si>
    <t>Retenção Imp. Fonte - 367405 - 3</t>
  </si>
  <si>
    <t>INSS-VANOLI INSTALAÇÕES LTDA - EPP-nf-398</t>
  </si>
  <si>
    <t>ISS-VANOLI INSTALAÇÕES LTDA - EPP-nf-398</t>
  </si>
  <si>
    <t>INSS-VANOLI INSTALAÇÕES LTDA - EPP-nf-395</t>
  </si>
  <si>
    <t>Retenção Imp. Fonte - 371239 - 3</t>
  </si>
  <si>
    <t>ISS-VANOLI INSTALAÇÕES LTDA - EPP-nf-395</t>
  </si>
  <si>
    <t>Retenção Imp. Fonte - 365375 - 3</t>
  </si>
  <si>
    <t>IRRF-CENTURION SEGURANÇA E VIGILÂNCIA LTDA-nf-16983</t>
  </si>
  <si>
    <t>Retenção Imp. Fonte - 371239 - 4</t>
  </si>
  <si>
    <t>INSS-CENTURION SEGURANÇA E VIGILÂNCIA LTDA-nf-16983</t>
  </si>
  <si>
    <t>Retenção Imp. Fonte - 365375 - 4</t>
  </si>
  <si>
    <t>ISS-CENTURION SEGURANÇA E VIGILÂNCIA LTDA-nf-16983</t>
  </si>
  <si>
    <t>Retenção Imp. Fonte - 365375 - 3 - Cancelado</t>
  </si>
  <si>
    <t>IRRF-LYNCRA LIMPEZA E SERVIÇOS GERAIS LTDA-nf-6730</t>
  </si>
  <si>
    <t>Retenção Imp. Fonte - 371239 - 3 - Cancelado</t>
  </si>
  <si>
    <t>Retenção Imp. Fonte - 356404 - 3</t>
  </si>
  <si>
    <t>INSS-LYNCRA LIMPEZA E SERVIÇOS GERAIS LTDA-nf-6730</t>
  </si>
  <si>
    <t>Retenção Imp. Fonte - 356404 - 4</t>
  </si>
  <si>
    <t>Retenção Imp. Fonte - 356404 - 3 - Cancelado</t>
  </si>
  <si>
    <t>ISS-LYNCRA LIMPEZA E SERVIÇOS GERAIS LTDA-nf-6730</t>
  </si>
  <si>
    <t>6434 - 096647755 - IRRF</t>
  </si>
  <si>
    <t>2733 - 009212711 - IRRF</t>
  </si>
  <si>
    <t>Retenção Imp. Fonte - 374107 - 3</t>
  </si>
  <si>
    <t>IRRF-IS SERVIÇOS INTEGRADOS LTDA-ME-nf-3564</t>
  </si>
  <si>
    <t>INSS-IS SERVIÇOS INTEGRADOS LTDA-ME-nf-3564</t>
  </si>
  <si>
    <t>ISS-IS SERVIÇOS INTEGRADOS LTDA-ME-nf-3564</t>
  </si>
  <si>
    <t>Retenção Imp. Fonte - 363295 - 5</t>
  </si>
  <si>
    <t>IRRF-IS SERVIÇOS INTEGRADOS LTDA-ME-nf-3566</t>
  </si>
  <si>
    <t>Retenção Imp. Fonte - 363349 - 4 - Cancelado</t>
  </si>
  <si>
    <t>INSS-IS SERVIÇOS INTEGRADOS LTDA-ME-nf-3566</t>
  </si>
  <si>
    <t>Retenção Imp. Fonte - 363295 - 4 - Cancelado</t>
  </si>
  <si>
    <t>ISS-IS SERVIÇOS INTEGRADOS LTDA-ME-nf-3566</t>
  </si>
  <si>
    <t>10625 - 010928126 - IRRF</t>
  </si>
  <si>
    <t>IRRF-IS SERVIÇOS INTEGRADOS LTDA-ME-nf-3567</t>
  </si>
  <si>
    <t>Retenção Imp. Fonte - 363349 - 3 - Cancelado</t>
  </si>
  <si>
    <t>INSS-IS SERVIÇOS INTEGRADOS LTDA-ME-nf-3567</t>
  </si>
  <si>
    <t>Retenção Imp. Fonte - 363295 - 3 - Cancelado</t>
  </si>
  <si>
    <t>ISS-IS SERVIÇOS INTEGRADOS LTDA-ME-nf-3567</t>
  </si>
  <si>
    <t>Retenção Imp. Fonte - 363349 - 3</t>
  </si>
  <si>
    <t>Retenção Imp. Fonte - 363295 - 3</t>
  </si>
  <si>
    <t>IRRF-IS SERVIÇOS INTEGRADOS LTDA-ME-nf-3568</t>
  </si>
  <si>
    <t>Retenção Imp. Fonte - 363349 - 4</t>
  </si>
  <si>
    <t>INSS-IS SERVIÇOS INTEGRADOS LTDA-ME-nf-3568</t>
  </si>
  <si>
    <t>Retenção Imp. Fonte - 363295 - 4</t>
  </si>
  <si>
    <t>ISS-IS SERVIÇOS INTEGRADOS LTDA-ME-nf-3568</t>
  </si>
  <si>
    <t>6681 - 096647755 - IRRF</t>
  </si>
  <si>
    <t>Retenção Imp. Fonte - 363349 - 5</t>
  </si>
  <si>
    <t>46975 - 090347840 - IRRF</t>
  </si>
  <si>
    <t>Retenção Imp. Fonte - 363364 - 3 - Cancelado</t>
  </si>
  <si>
    <t>3525 - 009441321 - IRRF</t>
  </si>
  <si>
    <t>IRRF-IS SERVIÇOS INTEGRADOS LTDA-ME-nf-3552</t>
  </si>
  <si>
    <t>Retenção Imp. Fonte - 363292 - 3 - Cancelado</t>
  </si>
  <si>
    <t>INSS-IS SERVIÇOS INTEGRADOS LTDA-ME-nf-3552</t>
  </si>
  <si>
    <t>Retenção Imp. Fonte - 363364 - 4</t>
  </si>
  <si>
    <t>ISS-IS SERVIÇOS INTEGRADOS LTDA-ME-nf-3552</t>
  </si>
  <si>
    <t>Retenção Imp. Fonte - 363364 - 3</t>
  </si>
  <si>
    <t>Retenção Imp. Fonte - 363292 - 3</t>
  </si>
  <si>
    <t>Retenção Imp. Fonte - 363292 - 4</t>
  </si>
  <si>
    <t>160 - 018379306 - IRRF</t>
  </si>
  <si>
    <t>Retenção Imp. Fonte - 378087 - 3</t>
  </si>
  <si>
    <t>IRRF-CENTURION SEGURANÇA E VIGILÂNCIA LTDA-nf-16978</t>
  </si>
  <si>
    <t>INSS-CENTURION SEGURANÇA E VIGILÂNCIA LTDA-nf-16978</t>
  </si>
  <si>
    <t>5911 - 060911690 - IRRF</t>
  </si>
  <si>
    <t>ISS-CENTURION SEGURANÇA E VIGILÂNCIA LTDA-nf-16978</t>
  </si>
  <si>
    <t>IRRF-CENTURION SEGURANÇA E VIGILÂNCIA LTDA-nf-16980</t>
  </si>
  <si>
    <t>2779 - 009212711 - IRRF</t>
  </si>
  <si>
    <t>INSS-CENTURION SEGURANÇA E VIGILÂNCIA LTDA-nf-16980</t>
  </si>
  <si>
    <t>3572 - 009441321 - IRRF</t>
  </si>
  <si>
    <t>ISS-CENTURION SEGURANÇA E VIGILÂNCIA LTDA-nf-16980</t>
  </si>
  <si>
    <t>5635 - 059057992 - IRRF</t>
  </si>
  <si>
    <t>6736 - 096647755 - IRRF</t>
  </si>
  <si>
    <t>Retenção Imp. Fonte - 348294 - 3</t>
  </si>
  <si>
    <t>Retenção Imp. Fonte - 370138 - 3</t>
  </si>
  <si>
    <t>IRRF-CENTURION SEGURANÇA E VIGILÂNCIA LTDA-nf-16981</t>
  </si>
  <si>
    <t>INSS-CENTURION SEGURANÇA E VIGILÂNCIA LTDA-nf-16981</t>
  </si>
  <si>
    <t>Retenção Imp. Fonte - 370138 - 3 - Cancelado</t>
  </si>
  <si>
    <t>ISS-CENTURION SEGURANÇA E VIGILÂNCIA LTDA-nf-16981</t>
  </si>
  <si>
    <t>108461 - 000028986 - IRRF</t>
  </si>
  <si>
    <t>162 - 018379306 - IRRF</t>
  </si>
  <si>
    <t>10472 - 010928126 - INSS</t>
  </si>
  <si>
    <t>3550 - 009441321 - INSS</t>
  </si>
  <si>
    <t>2776 - 009212711 - INSS</t>
  </si>
  <si>
    <t>5912 - 060911690 - INSS</t>
  </si>
  <si>
    <t>398 - 068241900 - INSS</t>
  </si>
  <si>
    <t>6733 - 096647755 - INSS</t>
  </si>
  <si>
    <t>10472 - 010928126 - ISS</t>
  </si>
  <si>
    <t>3550 - 009441321 - ISS</t>
  </si>
  <si>
    <t>2776 - 009212711 - ISS</t>
  </si>
  <si>
    <t>IRRF-CENTURION SEGURANÇA E VIGILÂNCIA LTDA-nf-16985</t>
  </si>
  <si>
    <t>INSS-CENTURION SEGURANÇA E VIGILÂNCIA LTDA-nf-16985</t>
  </si>
  <si>
    <t>5912 - 060911690 - ISS</t>
  </si>
  <si>
    <t>IRRF-CENTURION SEGURANÇA E VIGILÂNCIA LTDA-nf-16986</t>
  </si>
  <si>
    <t>INSS-CENTURION SEGURANÇA E VIGILÂNCIA LTDA-nf-16986</t>
  </si>
  <si>
    <t>398 - 068241900 - ISS</t>
  </si>
  <si>
    <t>ISS-CENTURION SEGURANÇA E VIGILÂNCIA LTDA-nf-16986</t>
  </si>
  <si>
    <t>6733 - 096647755 - ISS</t>
  </si>
  <si>
    <t>IRRF-CENTURION SEGURANÇA E VIGILÂNCIA LTDA-nf-16987</t>
  </si>
  <si>
    <t>17058 - 002991559 - ISS</t>
  </si>
  <si>
    <t>INSS-CENTURION SEGURANÇA E VIGILÂNCIA LTDA-nf-16987</t>
  </si>
  <si>
    <t>ISS-CENTURION SEGURANÇA E VIGILÂNCIA LTDA-nf-16987</t>
  </si>
  <si>
    <t>Retenção Imp. Fonte - 367414 - 5</t>
  </si>
  <si>
    <t>IRRF-CENTURION SEGURANÇA E VIGILÂNCIA LTDA-nf-16989</t>
  </si>
  <si>
    <t>INSS-CENTURION SEGURANÇA E VIGILÂNCIA LTDA-nf-16989</t>
  </si>
  <si>
    <t>ISS-CENTURION SEGURANÇA E VIGILÂNCIA LTDA-nf-16989</t>
  </si>
  <si>
    <t>Retenção Imp. Fonte - 348287 - 2</t>
  </si>
  <si>
    <t>IRRF-CENTURION SEGURANÇA E VIGILÂNCIA LTDA-nf-16990</t>
  </si>
  <si>
    <t>Retenção Imp. Fonte - 367401 - 3</t>
  </si>
  <si>
    <t>INSS-CENTURION SEGURANÇA E VIGILÂNCIA LTDA-nf-16990</t>
  </si>
  <si>
    <t>IRRF-CENTURION SEGURANÇA E VIGILÂNCIA LTDA-nf-16991</t>
  </si>
  <si>
    <t>Retenção Imp. Fonte - 370371 - 3</t>
  </si>
  <si>
    <t>INSS-CENTURION SEGURANÇA E VIGILÂNCIA LTDA-nf-16991</t>
  </si>
  <si>
    <t>Retenção Imp. Fonte - 356408 - 3</t>
  </si>
  <si>
    <t>ISS-CENTURION SEGURANÇA E VIGILÂNCIA LTDA-nf-16991</t>
  </si>
  <si>
    <t>Retenção Imp. Fonte - 370371 - 4</t>
  </si>
  <si>
    <t>IRRF-CENTURION SEGURANÇA E VIGILÂNCIA LTDA-nf-16992</t>
  </si>
  <si>
    <t>Retenção Imp. Fonte - 356408 - 4</t>
  </si>
  <si>
    <t>INSS-CENTURION SEGURANÇA E VIGILÂNCIA LTDA-nf-16992</t>
  </si>
  <si>
    <t>Retenção Imp. Fonte - 370371 - 3 - Cancelado</t>
  </si>
  <si>
    <t>ISS-CENTURION SEGURANÇA E VIGILÂNCIA LTDA-nf-16992</t>
  </si>
  <si>
    <t>Retenção Imp. Fonte - 356408 - 3 - Cancelado</t>
  </si>
  <si>
    <t>IRRF-CENTURION SEGURANÇA E VIGILÂNCIA LTDA-nf-16993</t>
  </si>
  <si>
    <t>INSS-CENTURION SEGURANÇA E VIGILÂNCIA LTDA-nf-16993</t>
  </si>
  <si>
    <t>10472 - 010928126 - IRRF</t>
  </si>
  <si>
    <t>IRRF-CENTURION SEGURANÇA E VIGILÂNCIA LTDA-nf-16994</t>
  </si>
  <si>
    <t>INSS-CENTURION SEGURANÇA E VIGILÂNCIA LTDA-nf-16994</t>
  </si>
  <si>
    <t>Retenção Imp. Fonte - 366267 - 4 - Cancelado</t>
  </si>
  <si>
    <t>ISS-CENTURION SEGURANÇA E VIGILÂNCIA LTDA-nf-16994</t>
  </si>
  <si>
    <t>51 - 004189909 - IRRF</t>
  </si>
  <si>
    <t>IRRF-CENTURION SEGURANÇA E VIGILÂNCIA LTDA-nf-16995</t>
  </si>
  <si>
    <t>Retenção Imp. Fonte - 366267 - 3 - Cancelado</t>
  </si>
  <si>
    <t>INSS-CENTURION SEGURANÇA E VIGILÂNCIA LTDA-nf-16995</t>
  </si>
  <si>
    <t>Retenção Imp. Fonte - 366267 - 3</t>
  </si>
  <si>
    <t>ISS-CENTURION SEGURANÇA E VIGILÂNCIA LTDA-nf-16995</t>
  </si>
  <si>
    <t>Retenção Imp. Fonte - 366267 - 4</t>
  </si>
  <si>
    <t>IRRF-CENTURION SEGURANÇA E VIGILÂNCIA LTDA-nf-16996</t>
  </si>
  <si>
    <t>Retenção Imp. Fonte - 366267 - 5</t>
  </si>
  <si>
    <t>INSS-CENTURION SEGURANÇA E VIGILÂNCIA LTDA-nf-16996</t>
  </si>
  <si>
    <t>3550 - 009441321 - IRRF</t>
  </si>
  <si>
    <t>Retenção Imp. Fonte - 368108 - 3 - Cancelado</t>
  </si>
  <si>
    <t>Retenção Imp. Fonte - 368108 - 4</t>
  </si>
  <si>
    <t>Retenção Imp. Fonte - 368108 - 3</t>
  </si>
  <si>
    <t>2776 - 009212711 - IRRF</t>
  </si>
  <si>
    <t>5912 - 060911690 - IRRF</t>
  </si>
  <si>
    <t>IRRF-LYNCRA LIMPEZA E SERVIÇOS GERAIS LTDA-nf-6733</t>
  </si>
  <si>
    <t>INSS-LYNCRA LIMPEZA E SERVIÇOS GERAIS LTDA-nf-6733</t>
  </si>
  <si>
    <t>6733 - 096647755 - IRRF</t>
  </si>
  <si>
    <t>ISS-LYNCRA LIMPEZA E SERVIÇOS GERAIS LTDA-nf-6733</t>
  </si>
  <si>
    <t>5670 - 059057992 - IRRF</t>
  </si>
  <si>
    <t>IRRF-CENTURION SEGURANÇA E VIGILÂNCIA LTDA-nf-16988</t>
  </si>
  <si>
    <t>INSS-CENTURION SEGURANÇA E VIGILÂNCIA LTDA-nf-16988</t>
  </si>
  <si>
    <t>Retenção Imp. Fonte - 382206 - 3</t>
  </si>
  <si>
    <t>5667 - 059057992 - IRRF</t>
  </si>
  <si>
    <t>4209 - 003539770 - INSS</t>
  </si>
  <si>
    <t>IRRF-GATTO &amp; SILVA SEG. E VIG. PATRIMONIAL LTDA- EPP-nf-1883</t>
  </si>
  <si>
    <t>4208 - 003539770 - INSS</t>
  </si>
  <si>
    <t>INSS-GATTO &amp; SILVA SEG. E VIG. PATRIMONIAL LTDA- EPP-nf-1883</t>
  </si>
  <si>
    <t>ISS-GATTO &amp; SILVA SEG. E VIG. PATRIMONIAL LTDA- EPP-nf-1883</t>
  </si>
  <si>
    <t>6701 - 096647755 - INSS</t>
  </si>
  <si>
    <t>3544 - 009441321 - INSS</t>
  </si>
  <si>
    <t>PIS/COFINS/CSLL-LYNCRA LIMPEZA E SERVIÇOS GERAIS LTDA-nf-6625,02</t>
  </si>
  <si>
    <t>2753 - 009212711 - INSS</t>
  </si>
  <si>
    <t>IRRF-HIGIENIX HIGIENIZAÇÃO E SERVIÇOS-nf-2779</t>
  </si>
  <si>
    <t>16991 - 067668194 - INSS</t>
  </si>
  <si>
    <t>INSS-HIGIENIX HIGIENIZAÇÃO E SERVIÇOS-nf-2779</t>
  </si>
  <si>
    <t>2019 - 068000199 - INSS</t>
  </si>
  <si>
    <t>INSS-TB SERVIÇOS, TRANSPORTES, LIMPEZA, GERENCIAMENTO E RECURSOS HUMANOS S.A-nf-1603</t>
  </si>
  <si>
    <t>4209 - 003539770 - ISS</t>
  </si>
  <si>
    <t>IRRF-IS SERVIÇOS INTEGRADOS LTDA-ME-nf-3575</t>
  </si>
  <si>
    <t>4208 - 003539770 - ISS</t>
  </si>
  <si>
    <t>INSS-IS SERVIÇOS INTEGRADOS LTDA-ME-nf-3575</t>
  </si>
  <si>
    <t>6701 - 096647755 - ISS</t>
  </si>
  <si>
    <t>3544 - 009441321 - ISS</t>
  </si>
  <si>
    <t>2753 - 009212711 - ISS</t>
  </si>
  <si>
    <t>16991 - 067668194 - ISS</t>
  </si>
  <si>
    <t>2019 - 068000199 - ISS</t>
  </si>
  <si>
    <t>Retenção Imp. Fonte - 365378 - 3</t>
  </si>
  <si>
    <t>Retenção Imp. Fonte - 370406 - 3</t>
  </si>
  <si>
    <t>Retenção Imp. Fonte - 353169 - 3</t>
  </si>
  <si>
    <t>Retenção Imp. Fonte - 370406 - 4</t>
  </si>
  <si>
    <t>IRRF-IS SERVIÇOS INTEGRADOS LTDA-ME-nf-3572</t>
  </si>
  <si>
    <t>Retenção Imp. Fonte - 353169 - 4</t>
  </si>
  <si>
    <t>INSS-IS SERVIÇOS INTEGRADOS LTDA-ME-nf-3572</t>
  </si>
  <si>
    <t>Retenção Imp. Fonte - 353169 - 3 - Cancelado</t>
  </si>
  <si>
    <t>Retenção Imp. Fonte - 370406 - 3 - Cancelado</t>
  </si>
  <si>
    <t>4209 - 003539770 - IRRF</t>
  </si>
  <si>
    <t>4208 - 003539770 - IRRF</t>
  </si>
  <si>
    <t>IRRF-CENTURION SEGURANÇA E VIGILÂNCIA LTDA-nf-17003</t>
  </si>
  <si>
    <t>INSS-CENTURION SEGURANÇA E VIGILÂNCIA LTDA-nf-17003</t>
  </si>
  <si>
    <t>ISS-CENTURION SEGURANÇA E VIGILÂNCIA LTDA-nf-17003</t>
  </si>
  <si>
    <t>Retenção Imp. Fonte - 354325 - 4 - Cancelado</t>
  </si>
  <si>
    <t>Retenção Imp. Fonte - 354325 - 3 - Cancelado</t>
  </si>
  <si>
    <t>Retenção Imp. Fonte - 354325 - 3</t>
  </si>
  <si>
    <t>IRRF-ALTERNATIVA SERVIÇOS E TERCEIRIZAÇÃO EM GERAL LTDA-nf-2019</t>
  </si>
  <si>
    <t>Retenção Imp. Fonte - 365159 - 4</t>
  </si>
  <si>
    <t>Retenção Imp. Fonte - 354325 - 4</t>
  </si>
  <si>
    <t>INSS-ALTERNATIVA SERVIÇOS E TERCEIRIZAÇÃO EM GERAL LTDA-nf-2019</t>
  </si>
  <si>
    <t>6701 - 096647755 - IRRF</t>
  </si>
  <si>
    <t>Retenção Imp. Fonte - 365159 - 3</t>
  </si>
  <si>
    <t>ISS-ALTERNATIVA SERVIÇOS E TERCEIRIZAÇÃO EM GERAL LTDA-nf-2019</t>
  </si>
  <si>
    <t>Retenção Imp. Fonte - 365159 - 3 - Cancelado</t>
  </si>
  <si>
    <t>Retenção Imp. Fonte - 354325 - 5</t>
  </si>
  <si>
    <t>3544 - 009441321 - IRRF</t>
  </si>
  <si>
    <t>Retenção Imp. Fonte - 358154 - 3 - Cancelado</t>
  </si>
  <si>
    <t>Retenção Imp. Fonte - 358154 - 4</t>
  </si>
  <si>
    <t>2753 - 009212711 - IRRF</t>
  </si>
  <si>
    <t>Retenção Imp. Fonte - 358154 - 3</t>
  </si>
  <si>
    <t>IRRF-THYSSENKRUP ELEVADORES S/A-nf-314415#64818</t>
  </si>
  <si>
    <t>16991 - 067668194 - IRRF</t>
  </si>
  <si>
    <t>2019 - 068000199 - IRRF</t>
  </si>
  <si>
    <t>5652 - 059057992 - IRRF</t>
  </si>
  <si>
    <t>1110 - 044597144 - INSS</t>
  </si>
  <si>
    <t>6699 - 096647755 - INSS</t>
  </si>
  <si>
    <t>2751 - 009212711 - INSS</t>
  </si>
  <si>
    <t>3542 - 009441321 - INSS</t>
  </si>
  <si>
    <t>16992 - 067668194 - INSS</t>
  </si>
  <si>
    <t>2026 - 068000199 - INSS</t>
  </si>
  <si>
    <t>39944 - 001797423 - ISS</t>
  </si>
  <si>
    <t>6699 - 096647755 - ISS</t>
  </si>
  <si>
    <t>1110 - 044597144 - ISS</t>
  </si>
  <si>
    <t>2751 - 009212711 - ISS</t>
  </si>
  <si>
    <t>3542 - 009441321 - ISS</t>
  </si>
  <si>
    <t>16992 - 067668194 - ISS</t>
  </si>
  <si>
    <t>17057 - 002991559 - ISS</t>
  </si>
  <si>
    <t>2026 - 068000199 - ISS</t>
  </si>
  <si>
    <t>Retenção Imp. Fonte - 370354 - 3</t>
  </si>
  <si>
    <t>IRRF-G&amp;P PROJETOS E SISTEMAS S/A-nf-5635</t>
  </si>
  <si>
    <t>Retenção Imp. Fonte - 353173 - 3</t>
  </si>
  <si>
    <t>IRRF-G&amp;P PROJETOS E SISTEMAS S/A-nf-5645</t>
  </si>
  <si>
    <t>Retenção Imp. Fonte - 371225 - 3</t>
  </si>
  <si>
    <t>IRRF-G&amp;P PROJETOS E SISTEMAS S/A-nf-5649</t>
  </si>
  <si>
    <t>Retenção Imp. Fonte - 370354 - 4</t>
  </si>
  <si>
    <t>Retenção Imp. Fonte - 371225 - 4</t>
  </si>
  <si>
    <t>Retenção Imp. Fonte - 353173 - 4</t>
  </si>
  <si>
    <t>Retenção Imp. Fonte - 371225 - 3 - Cancelado</t>
  </si>
  <si>
    <t>Retenção Imp. Fonte - 353173 - 3 - Cancelado</t>
  </si>
  <si>
    <t>IRRF-G&amp;P PROJETOS E SISTEMAS S/A-nf-5669</t>
  </si>
  <si>
    <t>Retenção Imp. Fonte - 370354 - 3 - Cancelado</t>
  </si>
  <si>
    <t>IRRF-G&amp;P PROJETOS E SISTEMAS S/A-nf-5670</t>
  </si>
  <si>
    <t>IRRF-G&amp;P PROJETOS E SISTEMAS S/A-nf-5656</t>
  </si>
  <si>
    <t>Retenção Imp. Fonte - 354335 - 4 - Cancelado</t>
  </si>
  <si>
    <t>IRRF-CTIS TECNOLOGIA S/A-nf-67309</t>
  </si>
  <si>
    <t>Retenção Imp. Fonte - 354335 - 3 - Cancelado</t>
  </si>
  <si>
    <t>Retenção Imp. Fonte - 354335 - 3</t>
  </si>
  <si>
    <t>Retenção Imp. Fonte - 354335 - 4</t>
  </si>
  <si>
    <t>6699 - 096647755 - IRRF</t>
  </si>
  <si>
    <t>Retenção Imp. Fonte - 354335 - 5</t>
  </si>
  <si>
    <t>Retenção Imp. Fonte - 358141 - 3 - Cancelado</t>
  </si>
  <si>
    <t>Retenção Imp. Fonte - 358141 - 4</t>
  </si>
  <si>
    <t>2751 - 009212711 - IRRF</t>
  </si>
  <si>
    <t>Retenção Imp. Fonte - 358141 - 3</t>
  </si>
  <si>
    <t>3542 - 009441321 - IRRF</t>
  </si>
  <si>
    <t>ISS-CTIS TECNOLOGIA S/A-nf-67309</t>
  </si>
  <si>
    <t>16992 - 067668194 - IRRF</t>
  </si>
  <si>
    <t>5669 - 059057992 - IRRF</t>
  </si>
  <si>
    <t>IRRF-HIGIENIX HIGIENIZAÇÃO E SERVIÇOS-nf-2781</t>
  </si>
  <si>
    <t>INSS-HIGIENIX HIGIENIZAÇÃO E SERVIÇOS-nf-2781</t>
  </si>
  <si>
    <t>5643 - 059057992 - IRRF</t>
  </si>
  <si>
    <t>IRRF-LYNCRA LIMPEZA E SERVIÇOS GERAIS LTDA-nf-6736</t>
  </si>
  <si>
    <t>2026 - 068000199 - IRRF</t>
  </si>
  <si>
    <t>INSS-LYNCRA LIMPEZA E SERVIÇOS GERAIS LTDA-nf-6736</t>
  </si>
  <si>
    <t>IRRF-LYNCRA LIMPEZA E SERVIÇOS GERAIS LTDA-nf-6735</t>
  </si>
  <si>
    <t>10470 - 010928126 - INSS</t>
  </si>
  <si>
    <t>INSS-LYNCRA LIMPEZA E SERVIÇOS GERAIS LTDA-nf-6735</t>
  </si>
  <si>
    <t>6695 - 096647755 - INSS</t>
  </si>
  <si>
    <t>3538 - 009441321 - INSS</t>
  </si>
  <si>
    <t>1111 - 044597144 - INSS</t>
  </si>
  <si>
    <t>2747 - 009212711 - INSS</t>
  </si>
  <si>
    <t>01-112120502030-000-046501030001-1-NV006964-PRO006843-0-0-0</t>
  </si>
  <si>
    <t>2020 - 068000199 - INSS</t>
  </si>
  <si>
    <t>01-112120502040-000-046501030001-1-NV006964-PRO006843-0-0-0</t>
  </si>
  <si>
    <t>10470 - 010928126 - ISS</t>
  </si>
  <si>
    <t>6695 - 096647755 - ISS</t>
  </si>
  <si>
    <t>1111 - 044597144 - ISS</t>
  </si>
  <si>
    <t>2747 - 009212711 - ISS</t>
  </si>
  <si>
    <t>2020 - 068000199 - ISS</t>
  </si>
  <si>
    <t>3538 - 009441321 - ISS</t>
  </si>
  <si>
    <t>IRRF-LYNCRA LIMPEZA E SERVIÇOS GERAIS LTDA-nf-6749</t>
  </si>
  <si>
    <t>Retenção Imp. Fonte - 372188 - 3</t>
  </si>
  <si>
    <t>INSS-LYNCRA LIMPEZA E SERVIÇOS GERAIS LTDA-nf-6749</t>
  </si>
  <si>
    <t>Retenção Imp. Fonte - 356412 - 3</t>
  </si>
  <si>
    <t>ISS-LYNCRA LIMPEZA E SERVIÇOS GERAIS LTDA-nf-6749</t>
  </si>
  <si>
    <t>Retenção Imp. Fonte - 372188 - 4</t>
  </si>
  <si>
    <t>Retenção Imp. Fonte - 356412 - 4</t>
  </si>
  <si>
    <t>Retenção Imp. Fonte - 372188 - 3 - Cancelado</t>
  </si>
  <si>
    <t>Retenção Imp. Fonte - 356412 - 3 - Cancelado</t>
  </si>
  <si>
    <t>PIS/COFINS/CSLL-CONSTRUDAHER CONSTRUÇÕES LTDA-nf-3935</t>
  </si>
  <si>
    <t>Retenção Imp. Fonte - 373293 - 3</t>
  </si>
  <si>
    <t>IRRF-HIGIENIX HIGIENIZAÇÃO E SERVIÇOS-nf-2783</t>
  </si>
  <si>
    <t>INSS-HIGIENIX HIGIENIZAÇÃO E SERVIÇOS-nf-2783</t>
  </si>
  <si>
    <t>Retenção Imp. Fonte - 354347 - 4 - Cancelado</t>
  </si>
  <si>
    <t>ISS-HIGIENIX HIGIENIZAÇÃO E SERVIÇOS-nf-2783</t>
  </si>
  <si>
    <t>Retenção Imp. Fonte - 354347 - 3 - Cancelado</t>
  </si>
  <si>
    <t>Retenção Imp. Fonte - 346161 - 3 - Cancelado</t>
  </si>
  <si>
    <t>Retenção Imp. Fonte - 346161 - 4 - Cancelado</t>
  </si>
  <si>
    <t>PIS/COFINS/CSLL-3P BRASIL-CONSULTORIA E PROJETOS DE ESTRUTURAÇÃO DE PARCERIAS PUBLICO-PRIVADAS E PARTICIPAÇÕES LTDA-nf-626</t>
  </si>
  <si>
    <t>PIS/COFINS/CSLL-TERRACOM CONSTRUÇÕES LTDA-nf-6534</t>
  </si>
  <si>
    <t>10470 - 010928126 - IRRF</t>
  </si>
  <si>
    <t>PIS/COFINS/CSLL-TERRACOM CONSTRUÇÕES LTDA-nf-6533</t>
  </si>
  <si>
    <t>Retenção Imp. Fonte - 354347 - 3</t>
  </si>
  <si>
    <t>PIS/COFINS/CSLL-MPE ENGENHARIA E SERVIÇOS S/A-nf-178</t>
  </si>
  <si>
    <t>Retenção Imp. Fonte - 346161 - 3</t>
  </si>
  <si>
    <t>PIS/COFINS/CSLL-PROJECTO ASSESSORIA E SERVIÇOS LTDA-nf-1126</t>
  </si>
  <si>
    <t>PIS/COFINS/CSLL-CONSTRUDAHER CONSTRUÇÕES LTDA-nf-3936</t>
  </si>
  <si>
    <t>6695 - 096647755 - IRRF</t>
  </si>
  <si>
    <t>PIS/COFINS/CSLL-SOCICAM ADMINISTRAÇÃO PROJETOS E REPRESENTAÇÕES LTDA-nf-4381</t>
  </si>
  <si>
    <t>Retenção Imp. Fonte - 354347 - 4</t>
  </si>
  <si>
    <t>PIS/COFINS/CSLL-ATP TECNOLOGIA E PRODUTOS S/A-nf-6</t>
  </si>
  <si>
    <t>Retenção Imp. Fonte - 346161 - 4</t>
  </si>
  <si>
    <t>PIS/COFINS/CSLL-BK CONSULTORIA E SERVIÇOS LTDA-nf-29062</t>
  </si>
  <si>
    <t>PIS/COFINS/CSLL-ATP TECNOLOGIA E PRODUTOS S/A-nf-9738</t>
  </si>
  <si>
    <t>Retenção Imp. Fonte - 354347 - 5</t>
  </si>
  <si>
    <t>PIS/COFINS/CSLL-CONSTRUDAHER CONSTRUÇÕES LTDA-nf-3931</t>
  </si>
  <si>
    <t>Retenção Imp. Fonte - 346161 - 5</t>
  </si>
  <si>
    <t>PIS/COFINS/CSLL-BK CONSULTORIA E SERVIÇOS LTDA-nf-29058</t>
  </si>
  <si>
    <t>3538 - 009441321 - IRRF</t>
  </si>
  <si>
    <t>PIS/COFINS/CSLL-TERRACOM CONSTRUÇÕES LTDA-nf-6523</t>
  </si>
  <si>
    <t>Retenção Imp. Fonte - 358136 - 3 - Cancelado</t>
  </si>
  <si>
    <t>PIS/COFINS/CSLL-TB SERVIÇOS, TRANSPORTES, LIMPEZA, GERENCIAMENTO E RECURSOS HUMANOS S.A-nf-1601</t>
  </si>
  <si>
    <t>Retenção Imp. Fonte - 358136 - 4</t>
  </si>
  <si>
    <t>PIS/COFINS/CSLL-PROJECTO ASSESSORIA E SERVIÇOS LTDA-nf-1138</t>
  </si>
  <si>
    <t>2747 - 009212711 - IRRF</t>
  </si>
  <si>
    <t>PIS/COFINS/CSLL-PROJECTO ASSESSORIA E SERVIÇOS LTDA-nf-1128</t>
  </si>
  <si>
    <t>Retenção Imp. Fonte - 358136 - 3</t>
  </si>
  <si>
    <t>PIS/COFINS/CSLL-CONSTRUDAHER CONSTRUÇÕES LTDA-nf-3932</t>
  </si>
  <si>
    <t>PIS/COFINS/CSLL-MAZZINI ADMINISTRAÇÃO E EMPREITADAS LTDA-nf-19131</t>
  </si>
  <si>
    <t>PIS/COFINS/CSLL-TB SERVIÇOS, TRANSPORTES, LIMPEZA, GERENCIAMENTO E RECURSOS HUMANOS S.A-nf-1600</t>
  </si>
  <si>
    <t>314415#64818 - 090347840 - IRRF</t>
  </si>
  <si>
    <t>PIS/COFINS/CSLL-TB SERVIÇOS, TRANSPORTES, LIMPEZA, GERENCIAMENTO E RECURSOS HUMANOS S.A-nf-1599</t>
  </si>
  <si>
    <t>PIS/COFINS/CSLL-TB SERVIÇOS, TRANSPORTES, LIMPEZA, GERENCIAMENTO E RECURSOS HUMANOS S.A-nf-1602</t>
  </si>
  <si>
    <t>PIS/COFINS/CSLL-CONSTRUDAHER CONSTRUÇÕES LTDA-nf-3927</t>
  </si>
  <si>
    <t>Retenção Imp. Fonte - 386161 - 3</t>
  </si>
  <si>
    <t>PIS/COFINS/CSLL-MAZZINI ADMINISTRAÇÃO E EMPREITADAS LTDA-nf-19123</t>
  </si>
  <si>
    <t>PIS/COFINS/CSLL-MAZZINI ADMINISTRAÇÃO E EMPREITADAS LTDA-nf-19130</t>
  </si>
  <si>
    <t>PIS/COFINS/CSLL-MAZZINI ADMINISTRAÇÃO E EMPREITADAS LTDA-nf-19132</t>
  </si>
  <si>
    <t>PIS/COFINS/CSLL-PROJECTO ASSESSORIA E SERVIÇOS LTDA-nf-1127</t>
  </si>
  <si>
    <t>2020 - 068000199 - IRRF</t>
  </si>
  <si>
    <t>PIS/COFINS/CSLL-TERRACOM CONSTRUÇÕES LTDA-nf-6526</t>
  </si>
  <si>
    <t>PIS/COFINS/CSLL-MAZZINI ADMINISTRAÇÃO E EMPREITADAS LTDA-nf-19122</t>
  </si>
  <si>
    <t>5631 - 059057992 - IRRF</t>
  </si>
  <si>
    <t>10471 - 010928126 - INSS</t>
  </si>
  <si>
    <t>PIS/COFINS/CSLL-MAZZINI ADMINISTRAÇÃO E EMPREITADAS LTDA-nf-19129</t>
  </si>
  <si>
    <t>6696 - 096647755 - INSS</t>
  </si>
  <si>
    <t>1109 - 044597144 - INSS</t>
  </si>
  <si>
    <t>PIS/COFINS/CSLL-MAZZINI ADMINISTRAÇÃO E EMPREITADAS LTDA-nf-19127</t>
  </si>
  <si>
    <t>2748 - 009212711 - INSS</t>
  </si>
  <si>
    <t>PIS/COFINS/CSLL-SOFTPARK INFORMÁTICA LTDA-nf-657</t>
  </si>
  <si>
    <t>3539 - 009441321 - INSS</t>
  </si>
  <si>
    <t>PIS/COFINS/CSLL-SOFTPARK INFORMÁTICA LTDA-nf-655</t>
  </si>
  <si>
    <t>3575 - 009441321 - INSS</t>
  </si>
  <si>
    <t>PIS/COFINS/CSLL-SOFTPARK INFORMÁTICA LTDA-nf-656</t>
  </si>
  <si>
    <t>2781 - 009212711 - INSS</t>
  </si>
  <si>
    <t>6735 - 096647755 - INSS</t>
  </si>
  <si>
    <t>PIS/COFINS/CSLL-TERRACOM CONSTRUÇÕES LTDA-nf-6529</t>
  </si>
  <si>
    <t>2027 - 068000199 - INSS</t>
  </si>
  <si>
    <t>PIS/COFINS/CSLL-PROJECTO ASSESSORIA E SERVIÇOS LTDA-nf-1140</t>
  </si>
  <si>
    <t>PIS/COFINS/CSLL-MAZZINI ADMINISTRAÇÃO E EMPREITADAS LTDA-nf-19124</t>
  </si>
  <si>
    <t>PIS/COFINS/CSLL-WORKS CONSTRUÇÕES E SERVIÇOS LTDA-nf-11695</t>
  </si>
  <si>
    <t>PIS/COFINS/CSLL-MAZZINI ADMINISTRAÇÃO E EMPREITADAS LTDA-nf-19125</t>
  </si>
  <si>
    <t>6696 - 096647755 - ISS</t>
  </si>
  <si>
    <t>PIS/COFINS/CSLL-BK CONSULTORIA E SERVIÇOS LTDA-nf-29059</t>
  </si>
  <si>
    <t>1109 - 044597144 - ISS</t>
  </si>
  <si>
    <t>PIS/COFINS/CSLL-MAZZINI ADMINISTRAÇÃO E EMPREITADAS LTDA-nf-19135</t>
  </si>
  <si>
    <t>2748 - 009212711 - ISS</t>
  </si>
  <si>
    <t>PIS/COFINS/CSLL-TERRACOM CONSTRUÇÕES LTDA-nf-6532</t>
  </si>
  <si>
    <t>3539 - 009441321 - ISS</t>
  </si>
  <si>
    <t>PIS/COFINS/CSLL-CONSTRUDAHER CONSTRUÇÕES LTDA-nf-3930</t>
  </si>
  <si>
    <t>2027 - 068000199 - ISS</t>
  </si>
  <si>
    <t>PIS/COFINS/CSLL-BK CONSULTORIA E SERVIÇOS LTDA-nf-29081</t>
  </si>
  <si>
    <t>PIS/COFINS/CSLL-CONSTRUDAHER CONSTRUÇÕES LTDA-nf-3929</t>
  </si>
  <si>
    <t>10471 - 010928126 - ISS</t>
  </si>
  <si>
    <t>PIS/COFINS/CSLL-PROJECTO ASSESSORIA E SERVIÇOS LTDA-nf-1131</t>
  </si>
  <si>
    <t>Retenção Imp. Fonte - 371158 - 3</t>
  </si>
  <si>
    <t>PIS/COFINS/CSLL-GOCIL SERVIÇOS GERAIS LTDA-nf-92457</t>
  </si>
  <si>
    <t>Retenção Imp. Fonte - 371158 - 4</t>
  </si>
  <si>
    <t>PIS/COFINS/CSLL-GOCIL SERVIÇOS GERAIS LTDA-nf-92456</t>
  </si>
  <si>
    <t>Retenção Imp. Fonte - 371158 - 3 - Cancelado</t>
  </si>
  <si>
    <t>PIS/COFINS/CSLL-TB SERVIÇOS, TRANSPORTES, LIMPEZA, GERENCIAMENTO E RECURSOS HUMANOS S.A-nf-1609</t>
  </si>
  <si>
    <t>PIS/COFINS/CSLL-TERRACOM CONSTRUÇÕES LTDA-nf-6527</t>
  </si>
  <si>
    <t>Retenção Imp. Fonte - 370404 - 3</t>
  </si>
  <si>
    <t>PIS/COFINS/CSLL-MAZZINI ADMINISTRAÇÃO E EMPREITADAS LTDA-nf-19128</t>
  </si>
  <si>
    <t>Retenção Imp. Fonte - 356417 - 3</t>
  </si>
  <si>
    <t>PIS/COFINS/CSLL-MAZZINI ADMINISTRAÇÃO E EMPREITADAS LTDA-nf-19136</t>
  </si>
  <si>
    <t>Retenção Imp. Fonte - 370404 - 4</t>
  </si>
  <si>
    <t>PIS/COFINS/CSLL-WORKS CONSTRUÇÕES E SERVIÇOS LTDA-nf-11693</t>
  </si>
  <si>
    <t>Retenção Imp. Fonte - 356417 - 4</t>
  </si>
  <si>
    <t>PIS/COFINS/CSLL-MAZZINI ADMINISTRAÇÃO E EMPREITADAS LTDA-nf-19126</t>
  </si>
  <si>
    <t>Retenção Imp. Fonte - 370404 - 3 - Cancelado</t>
  </si>
  <si>
    <t>PIS/COFINS/CSLL-THYSSENKRUP ELEVADORES S/A-nf-46321</t>
  </si>
  <si>
    <t>Retenção Imp. Fonte - 356417 - 3 - Cancelado</t>
  </si>
  <si>
    <t>PIS/COFINS/CSLL-ELEVADORES ATLAS SHINDLER S/A-nf-106639</t>
  </si>
  <si>
    <t>PIS/COFINS/CSLL-CTIS TECNOLOGIA S/A-nf-67309</t>
  </si>
  <si>
    <t>10471 - 010928126 - IRRF</t>
  </si>
  <si>
    <t>Retenção Imp. Fonte - 354343 - 4 - Cancelado</t>
  </si>
  <si>
    <t>Retenção Imp. Fonte - 354343 - 3 - Cancelado</t>
  </si>
  <si>
    <t>Retenção Imp. Fonte - 354343 - 3</t>
  </si>
  <si>
    <t>6696 - 096647755 - IRRF</t>
  </si>
  <si>
    <t>Retenção Imp. Fonte - 354343 - 4</t>
  </si>
  <si>
    <t>Retenção Imp. Fonte - 354343 - 5</t>
  </si>
  <si>
    <t>Retenção Imp. Fonte - 357346 - 3 - Cancelado</t>
  </si>
  <si>
    <t>Retenção Imp. Fonte - 357346 - 4</t>
  </si>
  <si>
    <t>PIS/COFINS/CSLL-THYSSENKRUP ELEVADORES S/A-nf-314415#64818</t>
  </si>
  <si>
    <t>2748 - 009212711 - IRRF</t>
  </si>
  <si>
    <t>PIS/COFINS/CSLL-ARS ASSESSORIA E CONSULTORIA EMPRESARIAL LTDA-nf-51</t>
  </si>
  <si>
    <t>Retenção Imp. Fonte - 357346 - 3</t>
  </si>
  <si>
    <t>PIS/COFINS/CSLL-WORKS CONSTRUÇÕES E SERVIÇOS LTDA-nf-11691</t>
  </si>
  <si>
    <t>3539 - 009441321 - IRRF</t>
  </si>
  <si>
    <t>PIS/COFINS/CSLL-MAZZINI ADMINISTRAÇÃO E EMPREITADAS LTDA-nf-19134</t>
  </si>
  <si>
    <t>PIS/COFINS/CSLL-MAZZINI ADMINISTRAÇÃO E EMPREITADAS LTDA-nf-19133</t>
  </si>
  <si>
    <t>3575 - 009441321 - IRRF</t>
  </si>
  <si>
    <t>PIS/COFINS/CSLL-TB SERVIÇOS, TRANSPORTES, LIMPEZA, GERENCIAMENTO E RECURSOS HUMANOS S.A-nf-1604</t>
  </si>
  <si>
    <t>PIS/COFINS/CSLL-WORKS CONSTRUÇÕES E SERVIÇOS LTDA-nf-11694</t>
  </si>
  <si>
    <t>2781 - 009212711 - IRRF</t>
  </si>
  <si>
    <t>6735 - 096647755 - IRRF</t>
  </si>
  <si>
    <t>PIS/COFINS/CSLL-WORKS CONSTRUÇÕES E SERVIÇOS LTDA-nf-11689</t>
  </si>
  <si>
    <t>PIS/COFINS/CSLL-CONSTRUDAHER CONSTRUÇÕES LTDA-nf-3933</t>
  </si>
  <si>
    <t>PIS/COFINS/CSLL-CONSTRUDAHER CONSTRUÇÕES LTDA-nf-3934</t>
  </si>
  <si>
    <t>2027 - 068000199 - IRRF</t>
  </si>
  <si>
    <t>PIS/COFINS/CSLL-BK CONSULTORIA E SERVIÇOS LTDA-nf-29082</t>
  </si>
  <si>
    <t>5650 - 059057992 - IRRF</t>
  </si>
  <si>
    <t>PIS/COFINS/CSLL-TB SERVIÇOS, TRANSPORTES, LIMPEZA, GERENCIAMENTO E RECURSOS HUMANOS S.A-nf-1607</t>
  </si>
  <si>
    <t>1123 - 043316033 - INSS</t>
  </si>
  <si>
    <t>PIS/COFINS/CSLL-TERRACOM CONSTRUÇÕES LTDA-nf-6524</t>
  </si>
  <si>
    <t>PIS/COFINS/CSLL-TB SERVIÇOS, TRANSPORTES, LIMPEZA, GERENCIAMENTO E RECURSOS HUMANOS S.A-nf-1608</t>
  </si>
  <si>
    <t>29200 - 003022122 - INSS</t>
  </si>
  <si>
    <t>PIS/COFINS/CSLL-TERRACOM CONSTRUÇÕES LTDA-nf-6531</t>
  </si>
  <si>
    <t>PIS/COFINS/CSLL-TERRACOM CONSTRUÇÕES LTDA-nf-6530</t>
  </si>
  <si>
    <t>3565 - 009441321 - INSS</t>
  </si>
  <si>
    <t>01-112120611020-000-050501050001-2-NV006966-PRO006604-0-0-0</t>
  </si>
  <si>
    <t>PIS/COFINS/CSLL-TB SERVIÇOS, TRANSPORTES, LIMPEZA, GERENCIAMENTO E RECURSOS HUMANOS S.A-nf-1606</t>
  </si>
  <si>
    <t>6691 - 096647755 - INSS</t>
  </si>
  <si>
    <t>PIS/COFINS/CSLL-SOCICAM ADMINISTRAÇÃO PROJETOS E REPRESENTAÇÕES LTDA-nf-4382</t>
  </si>
  <si>
    <t>6708 - 096647755 - INSS</t>
  </si>
  <si>
    <t>PIS/COFINS/CSLL-PROJECTO ASSESSORIA E SERVIÇOS LTDA-nf-1125</t>
  </si>
  <si>
    <t>2770 - 009212711 - INSS</t>
  </si>
  <si>
    <t>396 - 068241900 - INSS</t>
  </si>
  <si>
    <t>PIS/COFINS/CSLL-TRAIL INFRAESTRUTURA LTDA-nf-11582</t>
  </si>
  <si>
    <t>3552 - 009441321 - INSS</t>
  </si>
  <si>
    <t>PIS/COFINS/CSLL-TRAIL INFRAESTRUTURA LTDA-nf-11580</t>
  </si>
  <si>
    <t>16980 - 067668194 - INSS</t>
  </si>
  <si>
    <t>PIS/COFINS/CSLL-SOCICAM ADMINISTRAÇÃO PROJETOS E REPRESENTAÇÕES LTDA-nf-4387</t>
  </si>
  <si>
    <t>29450 - 003022122 - INSS</t>
  </si>
  <si>
    <t>PIS/COFINS/CSLL-TRAIL INFRAESTRUTURA LTDA-nf-11585</t>
  </si>
  <si>
    <t>PIS/COFINS/CSLL-SOCICAM ADMINISTRAÇÃO PROJETOS E REPRESENTAÇÕES LTDA-nf-4386</t>
  </si>
  <si>
    <t>PIS/COFINS/CSLL-TRAIL INFRAESTRUTURA LTDA-nf-11583</t>
  </si>
  <si>
    <t>PIS/COFINS/CSLL-ATP TECNOLOGIA E PRODUTOS S/A-nf-200000420</t>
  </si>
  <si>
    <t>PIS/COFINS/CSLL-PROJECTO ASSESSORIA E SERVIÇOS LTDA-nf-1130</t>
  </si>
  <si>
    <t>PIS/COFINS/CSLL-PROJECTO ASSESSORIA E SERVIÇOS LTDA-nf-1134</t>
  </si>
  <si>
    <t>29200 - 003022122 - ISS</t>
  </si>
  <si>
    <t>PIS/COFINS/CSLL-PROJECTO ASSESSORIA E SERVIÇOS LTDA-nf-1132</t>
  </si>
  <si>
    <t>3565 - 009441321 - ISS</t>
  </si>
  <si>
    <t>PIS/COFINS/CSLL-BK CONSULTORIA E SERVIÇOS LTDA-nf-29060</t>
  </si>
  <si>
    <t>PIS/COFINS/CSLL-BK CONSULTORIA E SERVIÇOS LTDA-nf-29061</t>
  </si>
  <si>
    <t>2770 - 009212711 - ISS</t>
  </si>
  <si>
    <t>3552 - 009441321 - ISS</t>
  </si>
  <si>
    <t>PIS/COFINS/CSLL-TRAIL INFRAESTRUTURA LTDA-nf-11581</t>
  </si>
  <si>
    <t>16980 - 067668194 - ISS</t>
  </si>
  <si>
    <t>PIS/COFINS/CSLL-SOCICAM ADMINISTRAÇÃO PROJETOS E REPRESENTAÇÕES LTDA-nf-4384</t>
  </si>
  <si>
    <t>29450 - 003022122 - ISS</t>
  </si>
  <si>
    <t>PIS/COFINS/CSLL-SOCICAM ADMINISTRAÇÃO PROJETOS E REPRESENTAÇÕES LTDA-nf-4385</t>
  </si>
  <si>
    <t>PIS/COFINS/CSLL-TRAIL INFRAESTRUTURA LTDA-nf-11584</t>
  </si>
  <si>
    <t>1123 - 043316033 - ISS</t>
  </si>
  <si>
    <t>PIS/COFINS/CSLL-BK CONSULTORIA E SERVIÇOS LTDA-nf-29079</t>
  </si>
  <si>
    <t>PIS/COFINS/CSLL-CONSTRUDAHER CONSTRUÇÕES LTDA-nf-3928</t>
  </si>
  <si>
    <t>Retenção Imp. Fonte - 367409 - 3</t>
  </si>
  <si>
    <t>Retenção Imp. Fonte - 349276 - 3</t>
  </si>
  <si>
    <t>PIS/COFINS/CSLL-BK CONSULTORIA E SERVIÇOS LTDA-nf-29083</t>
  </si>
  <si>
    <t>Retenção Imp. Fonte - 367409 - 4</t>
  </si>
  <si>
    <t>PIS/COFINS/CSLL-TRAIL INFRAESTRUTURA LTDA-nf-11586</t>
  </si>
  <si>
    <t>Retenção Imp. Fonte - 349276 - 4</t>
  </si>
  <si>
    <t>PIS/COFINS/CSLL-EMPRESA TEJOFRAN SANEA. SERVIÇOS LTDA-nf-32240</t>
  </si>
  <si>
    <t>Retenção Imp. Fonte - 349276 - 3 - Cancelado</t>
  </si>
  <si>
    <t>Retenção Imp. Fonte - 367409 - 3 - Cancelado</t>
  </si>
  <si>
    <t>Retenção Imp. Fonte - 372190 - 3</t>
  </si>
  <si>
    <t>Retenção Imp. Fonte - 353225 - 3</t>
  </si>
  <si>
    <t>Retenção Imp. Fonte - 372190 - 4</t>
  </si>
  <si>
    <t>Retenção Imp. Fonte - 353225 - 4</t>
  </si>
  <si>
    <t>1123 - 043316033 - IRRF</t>
  </si>
  <si>
    <t>Retenção Imp. Fonte - 353225 - 3 - Cancelado</t>
  </si>
  <si>
    <t>Retenção Imp. Fonte - 372190 - 3 - Cancelado</t>
  </si>
  <si>
    <t>Retenção Imp. Fonte - 374103 - 3</t>
  </si>
  <si>
    <t>29200 - 003022122 - IRRF</t>
  </si>
  <si>
    <t>Retenção Imp. Fonte - 365337 - 4 - Cancelado</t>
  </si>
  <si>
    <t>Retenção Imp. Fonte - 365337 - 3 - Cancelado</t>
  </si>
  <si>
    <t>Retenção Imp. Fonte - 346145 - 3 - Cancelado</t>
  </si>
  <si>
    <t>Retenção Imp. Fonte - 346145 - 4 - Cancelado</t>
  </si>
  <si>
    <t>Retenção Imp. Fonte - 381153 - 3</t>
  </si>
  <si>
    <t>3565 - 009441321 - IRRF</t>
  </si>
  <si>
    <t>Retenção Imp. Fonte - 346145 - 3</t>
  </si>
  <si>
    <t>Retenção Imp. Fonte - 365337 - 3</t>
  </si>
  <si>
    <t>6691 - 096647755 - IRRF</t>
  </si>
  <si>
    <t>Retenção Imp. Fonte - 346145 - 4</t>
  </si>
  <si>
    <t>Retenção Imp. Fonte - 365337 - 4</t>
  </si>
  <si>
    <t>Retenção Imp. Fonte - 346145 - 5</t>
  </si>
  <si>
    <t>Retenção Imp. Fonte - 365337 - 5</t>
  </si>
  <si>
    <t>6708 - 096647755 - IRRF</t>
  </si>
  <si>
    <t>Retenção Imp. Fonte - 361079 - 3 - Cancelado</t>
  </si>
  <si>
    <t>Retenção Imp. Fonte - 361079 - 4</t>
  </si>
  <si>
    <t>Retenção Imp. Fonte - 361079 - 3</t>
  </si>
  <si>
    <t>159 - 018379306 - IRRF</t>
  </si>
  <si>
    <t>2770 - 009212711 - IRRF</t>
  </si>
  <si>
    <t>3552 - 009441321 - IRRF</t>
  </si>
  <si>
    <t>16980 - 067668194 - IRRF</t>
  </si>
  <si>
    <t>5633 - 059057992 - IRRF</t>
  </si>
  <si>
    <t>29450 - 003022122 - IRRF</t>
  </si>
  <si>
    <t>3508 - 009441321 - INSS</t>
  </si>
  <si>
    <t>1877 - 009168249 - INSS</t>
  </si>
  <si>
    <t>2691 - 009212711 - INSS</t>
  </si>
  <si>
    <t>29201 - 003022122 - INSS</t>
  </si>
  <si>
    <t>6682 - 096647755 - INSS</t>
  </si>
  <si>
    <t>399 - 068241900 - INSS</t>
  </si>
  <si>
    <t>29202 - 003022122 - INSS</t>
  </si>
  <si>
    <t>3508 - 009441321 - ISS</t>
  </si>
  <si>
    <t>1877 - 009168249 - ISS</t>
  </si>
  <si>
    <t>2691 - 009212711 - ISS</t>
  </si>
  <si>
    <t>29201 - 003022122 - ISS</t>
  </si>
  <si>
    <t>6682 - 096647755 - ISS</t>
  </si>
  <si>
    <t>399 - 068241900 - ISS</t>
  </si>
  <si>
    <t>29202 - 003022122 - ISS</t>
  </si>
  <si>
    <t>Retenção Imp. Fonte - 372225 - 3</t>
  </si>
  <si>
    <t>Retenção Imp. Fonte - 372225 - 4</t>
  </si>
  <si>
    <t>3508 - 009441321 - IRRF</t>
  </si>
  <si>
    <t>Retenção Imp. Fonte - 372225 - 3 - Cancelado</t>
  </si>
  <si>
    <t>Retenção Imp. Fonte - 354308 - 3</t>
  </si>
  <si>
    <t>1877 - 009168249 - IRRF</t>
  </si>
  <si>
    <t>Retenção Imp. Fonte - 373306 - 3</t>
  </si>
  <si>
    <t>IRRF-IS SERVIÇOS INTEGRADOS LTDA-ME-nf-3577</t>
  </si>
  <si>
    <t>2691 - 009212711 - IRRF</t>
  </si>
  <si>
    <t>INSS-IS SERVIÇOS INTEGRADOS LTDA-ME-nf-3577</t>
  </si>
  <si>
    <t>ISS-IS SERVIÇOS INTEGRADOS LTDA-ME-nf-3577</t>
  </si>
  <si>
    <t>29201 - 003022122 - IRRF</t>
  </si>
  <si>
    <t>PIS/COFINS/CSLL-SOCICAM ADMINISTRAÇÃO PROJETOS E REPRESENTAÇÕES LTDA-nf-4383</t>
  </si>
  <si>
    <t>PIS/COFINS/CSLL-PROJECTO ASSESSORIA E SERVIÇOS LTDA-nf-1135</t>
  </si>
  <si>
    <t>Retenção Imp. Fonte - 354415 - 4 - Cancelado</t>
  </si>
  <si>
    <t>PIS/COFINS/CSLL-PROJECTO ASSESSORIA E SERVIÇOS LTDA-nf-1129</t>
  </si>
  <si>
    <t>Retenção Imp. Fonte - 365324 - 4 - Cancelado</t>
  </si>
  <si>
    <t>PIS/COFINS/CSLL-SOFTPARK INFORMÁTICA LTDA-nf-654</t>
  </si>
  <si>
    <t>6682 - 096647755 - IRRF</t>
  </si>
  <si>
    <t>PIS/COFINS/CSLL-SOFTPARK INFORMÁTICA LTDA-nf-653</t>
  </si>
  <si>
    <t>Retenção Imp. Fonte - 354415 - 3 - Cancelado</t>
  </si>
  <si>
    <t>PIS/COFINS/CSLL-GOCIL SERVIÇOS GERAIS LTDA-nf-92458</t>
  </si>
  <si>
    <t>Retenção Imp. Fonte - 365324 - 3 - Cancelado</t>
  </si>
  <si>
    <t>Retenção Imp. Fonte - 346149 - 3 - Cancelado</t>
  </si>
  <si>
    <t>PIS/COFINS/CSLL-PROJECTO ASSESSORIA E SERVIÇOS LTDA-nf-1133</t>
  </si>
  <si>
    <t>PIS/COFINS/CSLL-PROJECTO ASSESSORIA E SERVIÇOS LTDA-nf-1124</t>
  </si>
  <si>
    <t>Retenção Imp. Fonte - 346149 - 4 - Cancelado</t>
  </si>
  <si>
    <t>PIS/COFINS/CSLL-SOCICAM ADMINISTRAÇÃO PROJETOS E REPRESENTAÇÕES LTDA-nf-4380</t>
  </si>
  <si>
    <t>PIS/COFINS/CSLL-TB SERVIÇOS, TRANSPORTES, LIMPEZA, GERENCIAMENTO E RECURSOS HUMANOS S.A-nf-1603</t>
  </si>
  <si>
    <t>Retenção Imp. Fonte - 381157 - 3</t>
  </si>
  <si>
    <t>PIS/COFINS/CSLL-PROJECTO ASSESSORIA E SERVIÇOS LTDA-nf-1137</t>
  </si>
  <si>
    <t>PIS/COFINS/CSLL-CALL TECNOLOGIA E SERVIÇOS LTDA-nf-1222</t>
  </si>
  <si>
    <t>Retenção Imp. Fonte - 354415 - 3</t>
  </si>
  <si>
    <t>Retenção Imp. Fonte - 346149 - 3</t>
  </si>
  <si>
    <t>Retenção Imp. Fonte - 365324 - 3</t>
  </si>
  <si>
    <t>Retenção Imp. Fonte - 354574 - 4</t>
  </si>
  <si>
    <t>Retenção Imp. Fonte - 354415 - 4</t>
  </si>
  <si>
    <t>Retenção Imp. Fonte - 346149 - 4</t>
  </si>
  <si>
    <t>Retenção Imp. Fonte - 365324 - 4</t>
  </si>
  <si>
    <t>Retenção Imp. Fonte - 354574 - 3</t>
  </si>
  <si>
    <t>Retenção Imp. Fonte - 354574 - 3 - Cancelado</t>
  </si>
  <si>
    <t>Retenção Imp. Fonte - 354415 - 5</t>
  </si>
  <si>
    <t>Retenção Imp. Fonte - 346149 - 5</t>
  </si>
  <si>
    <t>Retenção Imp. Fonte - 365324 - 5</t>
  </si>
  <si>
    <t>Retenção Imp. Fonte - 361320 - 3 - Cancelado</t>
  </si>
  <si>
    <t>Retenção Imp. Fonte - 361224 - 3 - Cancelado</t>
  </si>
  <si>
    <t>Retenção Imp. Fonte - 361320 - 3</t>
  </si>
  <si>
    <t>Retenção Imp. Fonte - 361224 - 3</t>
  </si>
  <si>
    <t>Retenção Imp. Fonte - 361224 - 4</t>
  </si>
  <si>
    <t>Retenção Imp. Fonte - 365330 - 3</t>
  </si>
  <si>
    <t>5656 - 059057992 - IRRF</t>
  </si>
  <si>
    <t>5647 - 059057992 - IRRF</t>
  </si>
  <si>
    <t>29202 - 003022122 - IRRF</t>
  </si>
  <si>
    <t>2693 - 009212711 - INSS</t>
  </si>
  <si>
    <t>2700 - 009212711 - INSS</t>
  </si>
  <si>
    <t>3517 - 009441321 - INSS</t>
  </si>
  <si>
    <t>3509 - 009441321 - INSS</t>
  </si>
  <si>
    <t>13740 - 006069276 - INSS</t>
  </si>
  <si>
    <t>6683 - 096647755 - INSS</t>
  </si>
  <si>
    <t>2025 - 068000199 - INSS</t>
  </si>
  <si>
    <t>01-112120602030-000-050501050001-2-NV006968-PRO006895-0-0-0</t>
  </si>
  <si>
    <t>394 - 068241900 - INSS</t>
  </si>
  <si>
    <t>2693 - 009212711 - ISS</t>
  </si>
  <si>
    <t>3509 - 009441321 - ISS</t>
  </si>
  <si>
    <t>13740 - 006069276 - ISS</t>
  </si>
  <si>
    <t>163 - 018379306 - ISS</t>
  </si>
  <si>
    <t>6683 - 096647755 - ISS</t>
  </si>
  <si>
    <t>161 - 018379306 - ISS</t>
  </si>
  <si>
    <t>2025 - 068000199 - ISS</t>
  </si>
  <si>
    <t>394 - 068241900 - ISS</t>
  </si>
  <si>
    <t>Retenção Imp. Fonte - 371241 - 3</t>
  </si>
  <si>
    <t>Retenção Imp. Fonte - 365394 - 3</t>
  </si>
  <si>
    <t>Retenção Imp. Fonte - 371241 - 4</t>
  </si>
  <si>
    <t>Retenção Imp. Fonte - 365394 - 4</t>
  </si>
  <si>
    <t>Retenção Imp. Fonte - 365394 - 3 - Cancelado</t>
  </si>
  <si>
    <t>Retenção Imp. Fonte - 371241 - 3 - Cancelado</t>
  </si>
  <si>
    <t>Retenção Imp. Fonte - 366312 - 3</t>
  </si>
  <si>
    <t>Retenção Imp. Fonte - 366312 - 4</t>
  </si>
  <si>
    <t>2693 - 009212711 - IRRF</t>
  </si>
  <si>
    <t>2700 - 009212711 - IRRF</t>
  </si>
  <si>
    <t>3509 - 009441321 - IRRF</t>
  </si>
  <si>
    <t>PIS/COFINS/CSLL-CALL TECNOLOGIA E SERVIÇOS LTDA-nf-1221</t>
  </si>
  <si>
    <t>3517 - 009441321 - IRRF</t>
  </si>
  <si>
    <t>Retenção Imp. Fonte - 366312 - 3 - Cancelado</t>
  </si>
  <si>
    <t>13740 - 006069276 - IRRF</t>
  </si>
  <si>
    <t>163 - 018379306 - IRRF</t>
  </si>
  <si>
    <t>Retenção Imp. Fonte - 352102 - 3</t>
  </si>
  <si>
    <t>Retenção Imp. Fonte - 354419 - 4 - Cancelado</t>
  </si>
  <si>
    <t>Retenção Imp. Fonte - 354419 - 3 - Cancelado</t>
  </si>
  <si>
    <t>6683 - 096647755 - IRRF</t>
  </si>
  <si>
    <t>Retenção Imp. Fonte - 354419 - 3</t>
  </si>
  <si>
    <t>Retenção Imp. Fonte - 354419 - 4</t>
  </si>
  <si>
    <t>Retenção Imp. Fonte - 354419 - 5</t>
  </si>
  <si>
    <t>Retenção Imp. Fonte - 361115 - 3 - Cancelado</t>
  </si>
  <si>
    <t>Retenção Imp. Fonte - 361115 - 4</t>
  </si>
  <si>
    <t>Retenção Imp. Fonte - 361115 - 3</t>
  </si>
  <si>
    <t>161 - 018379306 - IRRF</t>
  </si>
  <si>
    <t>2025 - 068000199 - IRRF</t>
  </si>
  <si>
    <t>5639 - 059057992 - IRRF</t>
  </si>
  <si>
    <t>01-112120611020-000-062501010001-2-NV006969-PRO006614-0-0-0</t>
  </si>
  <si>
    <t>6730 - 096647755 - INSS</t>
  </si>
  <si>
    <t>6730 - 096647755 - ISS</t>
  </si>
  <si>
    <t>6730 - 096647755 - IRRF</t>
  </si>
  <si>
    <t>3510 - 009441321 - INSS</t>
  </si>
  <si>
    <t>2692 - 009212711 - INSS</t>
  </si>
  <si>
    <t>6684 - 096647755 - INSS</t>
  </si>
  <si>
    <t>1599 - 060924040 - INSS</t>
  </si>
  <si>
    <t>17004 - 067668194 - INSS</t>
  </si>
  <si>
    <t>646 - 001259348 - INSS</t>
  </si>
  <si>
    <t>3510 - 009441321 - ISS</t>
  </si>
  <si>
    <t>2692 - 009212711 - ISS</t>
  </si>
  <si>
    <t>6684 - 096647755 - ISS</t>
  </si>
  <si>
    <t>1599 - 060924040 - ISS</t>
  </si>
  <si>
    <t>1600 - 060924040 - ISS</t>
  </si>
  <si>
    <t>17004 - 067668194 - ISS</t>
  </si>
  <si>
    <t>646 - 001259348 - ISS</t>
  </si>
  <si>
    <t>640 - 001259348 - ISS</t>
  </si>
  <si>
    <t>Retenção Imp. Fonte - 357254 - 3</t>
  </si>
  <si>
    <t>Retenção Imp. Fonte - 357254 - 4</t>
  </si>
  <si>
    <t>3510 - 009441321 - IRRF</t>
  </si>
  <si>
    <t>Retenção Imp. Fonte - 357254 - 3 - Cancelado</t>
  </si>
  <si>
    <t>2692 - 009212711 - IRRF</t>
  </si>
  <si>
    <t>Retenção Imp. Fonte - 354351 - 4 - Cancelado</t>
  </si>
  <si>
    <t>Retenção Imp. Fonte - 354351 - 3 - Cancelado</t>
  </si>
  <si>
    <t>6684 - 096647755 - IRRF</t>
  </si>
  <si>
    <t>Retenção Imp. Fonte - 354351 - 3</t>
  </si>
  <si>
    <t>Retenção Imp. Fonte - 354351 - 4</t>
  </si>
  <si>
    <t>Retenção Imp. Fonte - 354351 - 5</t>
  </si>
  <si>
    <t>1599 - 060924040 - IRRF</t>
  </si>
  <si>
    <t>1600 - 060924040 - IRRF</t>
  </si>
  <si>
    <t>Retenção Imp. Fonte - 361107 - 3 - Cancelado</t>
  </si>
  <si>
    <t>Retenção Imp. Fonte - 361107 - 4</t>
  </si>
  <si>
    <t>Retenção Imp. Fonte - 361107 - 3</t>
  </si>
  <si>
    <t>17004 - 067668194 - IRRF</t>
  </si>
  <si>
    <t>PIS/COFINS/CSLL-CALL TECNOLOGIA E SERVIÇOS LTDA-nf-1220</t>
  </si>
  <si>
    <t>Retenção Imp. Fonte - 383735 - 3</t>
  </si>
  <si>
    <t>Retenção Imp. Fonte - 383731 - 3</t>
  </si>
  <si>
    <t>Retenção Imp. Fonte - 372208 - 3</t>
  </si>
  <si>
    <t>Retenção Imp. Fonte - 372205 - 3</t>
  </si>
  <si>
    <t>646 - 001259348 - IRRF</t>
  </si>
  <si>
    <t>640 - 001259348 - IRRF</t>
  </si>
  <si>
    <t>19126 - 045517604 - INSS</t>
  </si>
  <si>
    <t>3569 - 009441321 - INSS</t>
  </si>
  <si>
    <t>6523 - 047497367 - INSS</t>
  </si>
  <si>
    <t>6712 - 096647755 - INSS</t>
  </si>
  <si>
    <t>2774 - 009212711 - INSS</t>
  </si>
  <si>
    <t>16990 - 067668194 - INSS</t>
  </si>
  <si>
    <t>645 - 001259348 - INSS</t>
  </si>
  <si>
    <t>19126 - 045517604 - ISS</t>
  </si>
  <si>
    <t>3569 - 009441321 - ISS</t>
  </si>
  <si>
    <t>6523 - 047497367 - ISS</t>
  </si>
  <si>
    <t>6712 - 096647755 - ISS</t>
  </si>
  <si>
    <t>2774 - 009212711 - ISS</t>
  </si>
  <si>
    <t>645 - 001259348 - ISS</t>
  </si>
  <si>
    <t>16990 - 067668194 - ISS</t>
  </si>
  <si>
    <t>Retenção Imp. Fonte - 354662 - 3</t>
  </si>
  <si>
    <t>Retenção Imp. Fonte - 354662 - 4</t>
  </si>
  <si>
    <t>Retenção Imp. Fonte - 354662 - 3 - Cancelado</t>
  </si>
  <si>
    <t>Retenção Imp. Fonte - 365250 - 4 - Cancelado</t>
  </si>
  <si>
    <t>Retenção Imp. Fonte - 365250 - 3 - Cancelado</t>
  </si>
  <si>
    <t>19126 - 045517604 - IRRF</t>
  </si>
  <si>
    <t>Retenção Imp. Fonte - 365250 - 3</t>
  </si>
  <si>
    <t>3569 - 009441321 - IRRF</t>
  </si>
  <si>
    <t>Retenção Imp. Fonte - 365250 - 4</t>
  </si>
  <si>
    <t>Retenção Imp. Fonte - 365250 - 5</t>
  </si>
  <si>
    <t>2774 - 009212711 - IRRF</t>
  </si>
  <si>
    <t>6523 - 047497367 - IRRF</t>
  </si>
  <si>
    <t>6712 - 096647755 - IRRF</t>
  </si>
  <si>
    <t>Retenção Imp. Fonte - 359094 - 3 - Cancelado</t>
  </si>
  <si>
    <t>Retenção Imp. Fonte - 359094 - 3</t>
  </si>
  <si>
    <t>Retenção Imp. Fonte - 359094 - 4</t>
  </si>
  <si>
    <t>16990 - 067668194 - IRRF</t>
  </si>
  <si>
    <t>Retenção Imp. Fonte - 384208 - 3</t>
  </si>
  <si>
    <t>Retenção Imp. Fonte - 381079 - 3</t>
  </si>
  <si>
    <t>Retenção Imp. Fonte - 370295 - 3</t>
  </si>
  <si>
    <t>645 - 001259348 - IRRF</t>
  </si>
  <si>
    <t>3928 - 003802330 - INSS</t>
  </si>
  <si>
    <t>29079 - 003022122 - INSS</t>
  </si>
  <si>
    <t>92456 - 000146889 - INSS</t>
  </si>
  <si>
    <t>6710 - 096647755 - INSS</t>
  </si>
  <si>
    <t>2772 - 009212711 - INSS</t>
  </si>
  <si>
    <t>3567 - 009441321 - INSS</t>
  </si>
  <si>
    <t>16985 - 067668194 - INSS</t>
  </si>
  <si>
    <t>3928 - 003802330 - ISS</t>
  </si>
  <si>
    <t>29079 - 003022122 - ISS</t>
  </si>
  <si>
    <t>PIS/COFINS/CSLL-TERRACOM CONSTRUÇÕES LTDA-nf-6525</t>
  </si>
  <si>
    <t>92456 - 000146889 - ISS</t>
  </si>
  <si>
    <t>PIS/COFINS/CSLL-GHS INDÚSTRIA E SERVIÇOS LTDA-nf-39945</t>
  </si>
  <si>
    <t>PIS/COFINS/CSLL-PROJECTO ASSESSORIA E SERVIÇOS LTDA-nf-1136</t>
  </si>
  <si>
    <t>6710 - 096647755 - ISS</t>
  </si>
  <si>
    <t>PIS/COFINS/CSLL-BK CONSULTORIA E SERVIÇOS LTDA-nf-29080</t>
  </si>
  <si>
    <t>2772 - 009212711 - ISS</t>
  </si>
  <si>
    <t>PIS/COFINS/CSLL-3P BRASIL-CONSULTORIA E PROJETOS DE ESTRUTURAÇÃO DE PARCERIAS PUBLICO-PRIVADAS E PARTICIPAÇÕES LTDA-nf-609</t>
  </si>
  <si>
    <t>3567 - 009441321 - ISS</t>
  </si>
  <si>
    <t>PIS/COFINS/CSLL-GOCIL SERVIÇOS GERAIS LTDA-nf-92462</t>
  </si>
  <si>
    <t>16985 - 067668194 - ISS</t>
  </si>
  <si>
    <t>PIS/COFINS/CSLL-GOCIL SERVIÇOS GERAIS LTDA-nf-92461</t>
  </si>
  <si>
    <t>Retenção Imp. Fonte - 357276 - 3</t>
  </si>
  <si>
    <t>PIS/COFINS/CSLL-GOCIL SERVIÇOS GERAIS LTDA-nf-92460</t>
  </si>
  <si>
    <t>Retenção Imp. Fonte - 357276 - 4</t>
  </si>
  <si>
    <t>PIS/COFINS/CSLL-GOCIL SERVIÇOS GERAIS LTDA-nf-92459</t>
  </si>
  <si>
    <t>Retenção Imp. Fonte - 357276 - 3 - Cancelado</t>
  </si>
  <si>
    <t>PIS/COFINS/CSLL-3P BRASIL-CONSULTORIA E PROJETOS DE ESTRUTURAÇÃO DE PARCERIAS PUBLICO-PRIVADAS E PARTICIPAÇÕES LTDA-nf-628</t>
  </si>
  <si>
    <t>3928 - 003802330 - IRRF</t>
  </si>
  <si>
    <t>PIS/COFINS/CSLL-3P BRASIL-CONSULTORIA E PROJETOS DE ESTRUTURAÇÃO DE PARCERIAS PUBLICO-PRIVADAS E PARTICIPAÇÕES LTDA-nf-621</t>
  </si>
  <si>
    <t>PIS/COFINS/CSLL-3P BRASIL-CONSULTORIA E PROJETOS DE ESTRUTURAÇÃO DE PARCERIAS PUBLICO-PRIVADAS E PARTICIPAÇÕES LTDA-nf-619</t>
  </si>
  <si>
    <t>29079 - 003022122 - IRRF</t>
  </si>
  <si>
    <t>PIS/COFINS/CSLL-3P BRASIL-CONSULTORIA E PROJETOS DE ESTRUTURAÇÃO DE PARCERIAS PUBLICO-PRIVADAS E PARTICIPAÇÕES LTDA-nf-610</t>
  </si>
  <si>
    <t>PIS/COFINS/CSLL-3P BRASIL-CONSULTORIA E PROJETOS DE ESTRUTURAÇÃO DE PARCERIAS PUBLICO-PRIVADAS E PARTICIPAÇÕES LTDA-nf-616</t>
  </si>
  <si>
    <t>Retenção Imp. Fonte - 366257 - 4 - Cancelado</t>
  </si>
  <si>
    <t>Retenção Imp. Fonte - 366257 - 3 - Cancelado</t>
  </si>
  <si>
    <t>92456 - 000146889 - IRRF</t>
  </si>
  <si>
    <t>PIS/COFINS/CSLL-3P BRASIL-CONSULTORIA E PROJETOS DE ESTRUTURAÇÃO DE PARCERIAS PUBLICO-PRIVADAS E PARTICIPAÇÕES LTDA-nf-617</t>
  </si>
  <si>
    <t>PIS/COFINS/CSLL-3P BRASIL-CONSULTORIA E PROJETOS DE ESTRUTURAÇÃO DE PARCERIAS PUBLICO-PRIVADAS E PARTICIPAÇÕES LTDA-nf-620</t>
  </si>
  <si>
    <t>Retenção Imp. Fonte - 366257 - 3</t>
  </si>
  <si>
    <t>Retenção Imp. Fonte - 366257 - 4</t>
  </si>
  <si>
    <t>PIS/COFINS/CSLL-3P BRASIL-CONSULTORIA E PROJETOS DE ESTRUTURAÇÃO DE PARCERIAS PUBLICO-PRIVADAS E PARTICIPAÇÕES LTDA-nf-615</t>
  </si>
  <si>
    <t>Retenção Imp. Fonte - 366257 - 5</t>
  </si>
  <si>
    <t>PIS/COFINS/CSLL-3P BRASIL-CONSULTORIA E PROJETOS DE ESTRUTURAÇÃO DE PARCERIAS PUBLICO-PRIVADAS E PARTICIPAÇÕES LTDA-nf-614</t>
  </si>
  <si>
    <t>6710 - 096647755 - IRRF</t>
  </si>
  <si>
    <t>PIS/COFINS/CSLL-3P BRASIL-CONSULTORIA E PROJETOS DE ESTRUTURAÇÃO DE PARCERIAS PUBLICO-PRIVADAS E PARTICIPAÇÕES LTDA-nf-618</t>
  </si>
  <si>
    <t>2772 - 009212711 - IRRF</t>
  </si>
  <si>
    <t>PIS/COFINS/CSLL-3P BRASIL-CONSULTORIA E PROJETOS DE ESTRUTURAÇÃO DE PARCERIAS PUBLICO-PRIVADAS E PARTICIPAÇÕES LTDA-nf-612</t>
  </si>
  <si>
    <t>Retenção Imp. Fonte - 363306 - 3 - Cancelado</t>
  </si>
  <si>
    <t>PIS/COFINS/CSLL-3P BRASIL-CONSULTORIA E PROJETOS DE ESTRUTURAÇÃO DE PARCERIAS PUBLICO-PRIVADAS E PARTICIPAÇÕES LTDA-nf-613</t>
  </si>
  <si>
    <t>Retenção Imp. Fonte - 363306 - 3</t>
  </si>
  <si>
    <t>Retenção Imp. Fonte - 363306 - 4</t>
  </si>
  <si>
    <t>3567 - 009441321 - IRRF</t>
  </si>
  <si>
    <t>16985 - 067668194 - IRRF</t>
  </si>
  <si>
    <t>Retenção Imp. Fonte - 380198 - 4</t>
  </si>
  <si>
    <t>Retenção Imp. Fonte - 380190 - 4</t>
  </si>
  <si>
    <t>Retenção Imp. Fonte - 380179 - 4</t>
  </si>
  <si>
    <t>4384 - 043217280 - INSS</t>
  </si>
  <si>
    <t>IRRF-3P BRASIL-CONSULTORIA E PROJETOS DE ESTRUTURAÇÃO DE PARCERIAS PUBLICO-PRIVADAS E PARTICIPAÇÕES LTDA-nf-632</t>
  </si>
  <si>
    <t>11581 - 005497348 - INSS</t>
  </si>
  <si>
    <t>INSS-3P BRASIL-CONSULTORIA E PROJETOS DE ESTRUTURAÇÃO DE PARCERIAS PUBLICO-PRIVADAS E PARTICIPAÇÕES LTDA-nf-632</t>
  </si>
  <si>
    <t>2742 - 009212711 - INSS</t>
  </si>
  <si>
    <t>ISS-3P BRASIL-CONSULTORIA E PROJETOS DE ESTRUTURAÇÃO DE PARCERIAS PUBLICO-PRIVADAS E PARTICIPAÇÕES LTDA-nf-632</t>
  </si>
  <si>
    <t>6673 - 096647755 - INSS</t>
  </si>
  <si>
    <t>IRRF-3P BRASIL-CONSULTORIA E PROJETOS DE ESTRUTURAÇÃO DE PARCERIAS PUBLICO-PRIVADAS E PARTICIPAÇÕES LTDA-nf-646</t>
  </si>
  <si>
    <t>3533 - 009441321 - INSS</t>
  </si>
  <si>
    <t>INSS-3P BRASIL-CONSULTORIA E PROJETOS DE ESTRUTURAÇÃO DE PARCERIAS PUBLICO-PRIVADAS E PARTICIPAÇÕES LTDA-nf-646</t>
  </si>
  <si>
    <t>17008 - 067668194 - INSS</t>
  </si>
  <si>
    <t>ISS-3P BRASIL-CONSULTORIA E PROJETOS DE ESTRUTURAÇÃO DE PARCERIAS PUBLICO-PRIVADAS E PARTICIPAÇÕES LTDA-nf-646</t>
  </si>
  <si>
    <t>1603 - 060924040 - INSS</t>
  </si>
  <si>
    <t>IRRF-3P BRASIL-CONSULTORIA E PROJETOS DE ESTRUTURAÇÃO DE PARCERIAS PUBLICO-PRIVADAS E PARTICIPAÇÕES LTDA-nf-640</t>
  </si>
  <si>
    <t>ISS-3P BRASIL-CONSULTORIA E PROJETOS DE ESTRUTURAÇÃO DE PARCERIAS PUBLICO-PRIVADAS E PARTICIPAÇÕES LTDA-nf-640</t>
  </si>
  <si>
    <t>4384 - 043217280 - ISS</t>
  </si>
  <si>
    <t>2742 - 009212711 - ISS</t>
  </si>
  <si>
    <t>6673 - 096647755 - ISS</t>
  </si>
  <si>
    <t>IRRF-LYNCRA LIMPEZA E SERVIÇOS GERAIS LTDA-nf-6752</t>
  </si>
  <si>
    <t>1603 - 060924040 - ISS</t>
  </si>
  <si>
    <t>INSS-LYNCRA LIMPEZA E SERVIÇOS GERAIS LTDA-nf-6752</t>
  </si>
  <si>
    <t>3533 - 009441321 - ISS</t>
  </si>
  <si>
    <t>ISS-LYNCRA LIMPEZA E SERVIÇOS GERAIS LTDA-nf-6752</t>
  </si>
  <si>
    <t>17008 - 067668194 - ISS</t>
  </si>
  <si>
    <t>11581 - 005497348 - ISS</t>
  </si>
  <si>
    <t>Retenção Imp. Fonte - 354667 - 3</t>
  </si>
  <si>
    <t>IRRF-LYNCRA LIMPEZA E SERVIÇOS GERAIS LTDA-nf-6753</t>
  </si>
  <si>
    <t>Retenção Imp. Fonte - 354667 - 4</t>
  </si>
  <si>
    <t>INSS-LYNCRA LIMPEZA E SERVIÇOS GERAIS LTDA-nf-6753</t>
  </si>
  <si>
    <t>Retenção Imp. Fonte - 354667 - 3 - Cancelado</t>
  </si>
  <si>
    <t>ISS-LYNCRA LIMPEZA E SERVIÇOS GERAIS LTDA-nf-6753</t>
  </si>
  <si>
    <t>4384 - 043217280 - IRRF</t>
  </si>
  <si>
    <t>IRRF-HIGIENIX HIGIENIZAÇÃO E SERVIÇOS-nf-2788</t>
  </si>
  <si>
    <t>11581 - 005497348 - IRRF</t>
  </si>
  <si>
    <t>INSS-HIGIENIX HIGIENIZAÇÃO E SERVIÇOS-nf-2788</t>
  </si>
  <si>
    <t>2742 - 009212711 - IRRF</t>
  </si>
  <si>
    <t>ISS-HIGIENIX HIGIENIZAÇÃO E SERVIÇOS-nf-2788</t>
  </si>
  <si>
    <t>Retenção Imp. Fonte - 354359 - 4 - Cancelado</t>
  </si>
  <si>
    <t>Retenção Imp. Fonte - 354359 - 3 - Cancelado</t>
  </si>
  <si>
    <t>Retenção Imp. Fonte - 354359 - 3</t>
  </si>
  <si>
    <t>Retenção Imp. Fonte - 354359 - 4</t>
  </si>
  <si>
    <t>IRRF-3P BRASIL-CONSULTORIA E PROJETOS DE ESTRUTURAÇÃO DE PARCERIAS PUBLICO-PRIVADAS E PARTICIPAÇÕES LTDA-nf-639</t>
  </si>
  <si>
    <t>6673 - 096647755 - IRRF</t>
  </si>
  <si>
    <t>INSS-3P BRASIL-CONSULTORIA E PROJETOS DE ESTRUTURAÇÃO DE PARCERIAS PUBLICO-PRIVADAS E PARTICIPAÇÕES LTDA-nf-639</t>
  </si>
  <si>
    <t>Retenção Imp. Fonte - 354359 - 5</t>
  </si>
  <si>
    <t>ISS-3P BRASIL-CONSULTORIA E PROJETOS DE ESTRUTURAÇÃO DE PARCERIAS PUBLICO-PRIVADAS E PARTICIPAÇÕES LTDA-nf-639</t>
  </si>
  <si>
    <t>1603 - 060924040 - IRRF</t>
  </si>
  <si>
    <t>Retenção Imp. Fonte - 361228 - 3 - Cancelado</t>
  </si>
  <si>
    <t>3533 - 009441321 - IRRF</t>
  </si>
  <si>
    <t>Retenção Imp. Fonte - 361228 - 3</t>
  </si>
  <si>
    <t>IRRF-3P BRASIL-CONSULTORIA E PROJETOS DE ESTRUTURAÇÃO DE PARCERIAS PUBLICO-PRIVADAS E PARTICIPAÇÕES LTDA-nf-633</t>
  </si>
  <si>
    <t>Retenção Imp. Fonte - 361228 - 4</t>
  </si>
  <si>
    <t>INSS-3P BRASIL-CONSULTORIA E PROJETOS DE ESTRUTURAÇÃO DE PARCERIAS PUBLICO-PRIVADAS E PARTICIPAÇÕES LTDA-nf-633</t>
  </si>
  <si>
    <t>ISS-3P BRASIL-CONSULTORIA E PROJETOS DE ESTRUTURAÇÃO DE PARCERIAS PUBLICO-PRIVADAS E PARTICIPAÇÕES LTDA-nf-633</t>
  </si>
  <si>
    <t>17008 - 067668194 - IRRF</t>
  </si>
  <si>
    <t>Retenção Imp. Fonte - 378131 - 3</t>
  </si>
  <si>
    <t>Retenção Imp. Fonte - 378125 - 3</t>
  </si>
  <si>
    <t>Retenção Imp. Fonte - 384152 - 3</t>
  </si>
  <si>
    <t>200000420 - 038.059.846 - INSS</t>
  </si>
  <si>
    <t>ISS-PROJECTO ASSESSORIA E SERVIÇOS LTDA-nf-1136</t>
  </si>
  <si>
    <t>6702 - 096647755 - INSS</t>
  </si>
  <si>
    <t>3545 - 009441321 - INSS</t>
  </si>
  <si>
    <t>ISS-CENTURION SEGURANÇA E VIGILÂNCIA LTDA-nf-16976</t>
  </si>
  <si>
    <t>2754 - 009212711 - INSS</t>
  </si>
  <si>
    <t>ISS-PROJECTO ASSESSORIA E SERVIÇOS LTDA-nf-1128</t>
  </si>
  <si>
    <t>16996 - 067668194 - INSS</t>
  </si>
  <si>
    <t>ISS-PROJECTO ASSESSORIA E SERVIÇOS LTDA-nf-1134</t>
  </si>
  <si>
    <t>ISS-VIENA SERVIÇOS TERCEIRIZADOS EIRELI-nf-115</t>
  </si>
  <si>
    <t>200000420 - 038.059.846 - ISS</t>
  </si>
  <si>
    <t>16996 - 067668194 - ISS</t>
  </si>
  <si>
    <t>6702 - 096647755 - ISS</t>
  </si>
  <si>
    <t>ISS-POLILIX TRIAGEM E CLASSIFICAÇÃO DE RESÍDUOS LTDA-nf-17057</t>
  </si>
  <si>
    <t>3545 - 009441321 - ISS</t>
  </si>
  <si>
    <t>ISS-POLILIX TRIAGEM E CLASSIFICAÇÃO DE RESÍDUOS LTDA-nf-17058</t>
  </si>
  <si>
    <t>2754 - 009212711 - ISS</t>
  </si>
  <si>
    <t>ISS-POLILIX TRIAGEM E CLASSIFICAÇÃO DE RESÍDUOS LTDA-nf-17056</t>
  </si>
  <si>
    <t>Retenção Imp. Fonte - 354607 - 3</t>
  </si>
  <si>
    <t>Retenção Imp. Fonte - 371215 - 3</t>
  </si>
  <si>
    <t>Retenção Imp. Fonte - 371215 - 3 - Cancelado</t>
  </si>
  <si>
    <t>Retenção Imp. Fonte - 371215 - 4</t>
  </si>
  <si>
    <t>200000420 - 038.059.846 - IRRF</t>
  </si>
  <si>
    <t>Retenção Imp. Fonte - 354406 - 4 - Cancelado</t>
  </si>
  <si>
    <t>Retenção Imp. Fonte - 354406 - 3 - Cancelado</t>
  </si>
  <si>
    <t>Retenção Imp. Fonte - 354406 - 3</t>
  </si>
  <si>
    <t>Retenção Imp. Fonte - 354406 - 4</t>
  </si>
  <si>
    <t>Retenção Imp. Fonte - 354406 - 5</t>
  </si>
  <si>
    <t>6702 - 096647755 - IRRF</t>
  </si>
  <si>
    <t>3545 - 009441321 - IRRF</t>
  </si>
  <si>
    <t>Retenção Imp. Fonte - 358158 - 3 - Cancelado</t>
  </si>
  <si>
    <t>Retenção Imp. Fonte - 358158 - 4</t>
  </si>
  <si>
    <t>IRRF-3P BRASIL-CONSULTORIA E PROJETOS DE ESTRUTURAÇÃO DE PARCERIAS PUBLICO-PRIVADAS E PARTICIPAÇÕES LTDA-nf-630</t>
  </si>
  <si>
    <t>2754 - 009212711 - IRRF</t>
  </si>
  <si>
    <t>INSS-3P BRASIL-CONSULTORIA E PROJETOS DE ESTRUTURAÇÃO DE PARCERIAS PUBLICO-PRIVADAS E PARTICIPAÇÕES LTDA-nf-630</t>
  </si>
  <si>
    <t>Retenção Imp. Fonte - 358158 - 3</t>
  </si>
  <si>
    <t>ISS-3P BRASIL-CONSULTORIA E PROJETOS DE ESTRUTURAÇÃO DE PARCERIAS PUBLICO-PRIVADAS E PARTICIPAÇÕES LTDA-nf-630</t>
  </si>
  <si>
    <t>IRRF-3P BRASIL-CONSULTORIA E PROJETOS DE ESTRUTURAÇÃO DE PARCERIAS PUBLICO-PRIVADAS E PARTICIPAÇÕES LTDA-nf-629</t>
  </si>
  <si>
    <t>INSS-3P BRASIL-CONSULTORIA E PROJETOS DE ESTRUTURAÇÃO DE PARCERIAS PUBLICO-PRIVADAS E PARTICIPAÇÕES LTDA-nf-629</t>
  </si>
  <si>
    <t>ISS-3P BRASIL-CONSULTORIA E PROJETOS DE ESTRUTURAÇÃO DE PARCERIAS PUBLICO-PRIVADAS E PARTICIPAÇÕES LTDA-nf-629</t>
  </si>
  <si>
    <t>16996 - 067668194 - IRRF</t>
  </si>
  <si>
    <t>IRRF-ATP TECNOLOGIA E PRODUTOS S/A-nf-5#64949</t>
  </si>
  <si>
    <t>Retenção Imp. Fonte - 380075 - 3</t>
  </si>
  <si>
    <t>INSS-ATP TECNOLOGIA E PRODUTOS S/A-nf-5#64949</t>
  </si>
  <si>
    <t>IRRF-ALTERNATIVA SERVIÇOS E TERCEIRIZAÇÃO EM GERAL LTDA-nf-2020</t>
  </si>
  <si>
    <t>INSS-ALTERNATIVA SERVIÇOS E TERCEIRIZAÇÃO EM GERAL LTDA-nf-2020</t>
  </si>
  <si>
    <t>3492 - 009441321 - INSS</t>
  </si>
  <si>
    <t>4382 - 043217280 - INSS</t>
  </si>
  <si>
    <t>ISS-ALTERNATIVA SERVIÇOS E TERCEIRIZAÇÃO EM GERAL LTDA-nf-2020</t>
  </si>
  <si>
    <t>16982 - 067668194 - INSS</t>
  </si>
  <si>
    <t>11584 - 005497348 - INSS</t>
  </si>
  <si>
    <t>IRRF-G&amp;P PROJETOS E SISTEMAS S/A-nf-5643</t>
  </si>
  <si>
    <t>1601 - 060924040 - INSS</t>
  </si>
  <si>
    <t>IRRF-ALTERNATIVA SERVIÇOS E TERCEIRIZAÇÃO EM GERAL LTDA-nf-2026</t>
  </si>
  <si>
    <t>6752 - 096647755 - INSS</t>
  </si>
  <si>
    <t>3580 - 009441321 - INSS</t>
  </si>
  <si>
    <t>INSS-ALTERNATIVA SERVIÇOS E TERCEIRIZAÇÃO EM GERAL LTDA-nf-2026</t>
  </si>
  <si>
    <t>2787 - 009212711 - INSS</t>
  </si>
  <si>
    <t>ISS-ALTERNATIVA SERVIÇOS E TERCEIRIZAÇÃO EM GERAL LTDA-nf-2026</t>
  </si>
  <si>
    <t>IRRF-ALTERNATIVA SERVIÇOS E TERCEIRIZAÇÃO EM GERAL LTDA-nf-2027</t>
  </si>
  <si>
    <t>3492 - 009441321 - ISS</t>
  </si>
  <si>
    <t>4382 - 043217280 - ISS</t>
  </si>
  <si>
    <t>INSS-ALTERNATIVA SERVIÇOS E TERCEIRIZAÇÃO EM GERAL LTDA-nf-2027</t>
  </si>
  <si>
    <t>16982 - 067668194 - ISS</t>
  </si>
  <si>
    <t>1601 - 060924040 - ISS</t>
  </si>
  <si>
    <t>ISS-ALTERNATIVA SERVIÇOS E TERCEIRIZAÇÃO EM GERAL LTDA-nf-2027</t>
  </si>
  <si>
    <t>6752 - 096647755 - ISS</t>
  </si>
  <si>
    <t>3580 - 009441321 - ISS</t>
  </si>
  <si>
    <t>2787 - 009212711 - ISS</t>
  </si>
  <si>
    <t>IRRF-ALTERNATIVA SERVIÇOS E TERCEIRIZAÇÃO EM GERAL LTDA-nf-2030</t>
  </si>
  <si>
    <t>11584 - 005497348 - ISS</t>
  </si>
  <si>
    <t>Retenção Imp. Fonte - 154981 - 3</t>
  </si>
  <si>
    <t>INSS-ALTERNATIVA SERVIÇOS E TERCEIRIZAÇÃO EM GERAL LTDA-nf-2030</t>
  </si>
  <si>
    <t>Retenção Imp. Fonte - 154974 - 3</t>
  </si>
  <si>
    <t>Retenção Imp. Fonte - 153457 - 4</t>
  </si>
  <si>
    <t>ISS-ALTERNATIVA SERVIÇOS E TERCEIRIZAÇÃO EM GERAL LTDA-nf-2030</t>
  </si>
  <si>
    <t>Retenção Imp. Fonte - 153495 - 5</t>
  </si>
  <si>
    <t>IRRF-HIGIENIX HIGIENIZAÇÃO E SERVIÇOS-nf-2786</t>
  </si>
  <si>
    <t>Retenção Imp. Fonte - 354559 - 3</t>
  </si>
  <si>
    <t>INSS-HIGIENIX HIGIENIZAÇÃO E SERVIÇOS-nf-2786</t>
  </si>
  <si>
    <t>Retenção Imp. Fonte - 354559 - 4</t>
  </si>
  <si>
    <t>ISS-HIGIENIX HIGIENIZAÇÃO E SERVIÇOS-nf-2786</t>
  </si>
  <si>
    <t>3492 - 009441321 - IRRF</t>
  </si>
  <si>
    <t>IRRF-CENTURION SEGURANÇA E VIGILÂNCIA LTDA-nf-17005</t>
  </si>
  <si>
    <t>Retenção Imp. Fonte - 354559 - 3 - Cancelado</t>
  </si>
  <si>
    <t>INSS-CENTURION SEGURANÇA E VIGILÂNCIA LTDA-nf-17005</t>
  </si>
  <si>
    <t>11584 - 005497348 - IRRF</t>
  </si>
  <si>
    <t>ISS-CENTURION SEGURANÇA E VIGILÂNCIA LTDA-nf-17005</t>
  </si>
  <si>
    <t>4382 - 043217280 - IRRF</t>
  </si>
  <si>
    <t>16982 - 067668194 - IRRF</t>
  </si>
  <si>
    <t>IRRF-G&amp;P PROJETOS E SISTEMAS S/A-nf-5667</t>
  </si>
  <si>
    <t>1601 - 060924040 - IRRF</t>
  </si>
  <si>
    <t>Retenção Imp. Fonte - 383215 - 3</t>
  </si>
  <si>
    <t>Retenção Imp. Fonte - 378294 - 3</t>
  </si>
  <si>
    <t>Retenção Imp. Fonte - 380194 - 3</t>
  </si>
  <si>
    <t>IRRF-G&amp;P PROJETOS E SISTEMAS S/A-nf-5631</t>
  </si>
  <si>
    <t>IRRF-G&amp;P PROJETOS E SISTEMAS S/A-nf-5633</t>
  </si>
  <si>
    <t>IRRF-G&amp;P PROJETOS E SISTEMAS S/A-nf-5639</t>
  </si>
  <si>
    <t>IRRF-G&amp;P PROJETOS E SISTEMAS S/A-nf-5640</t>
  </si>
  <si>
    <t>6752 - 096647755 - IRRF</t>
  </si>
  <si>
    <t>IRRF-G&amp;P PROJETOS E SISTEMAS S/A-nf-5647</t>
  </si>
  <si>
    <t>3580 - 009441321 - IRRF</t>
  </si>
  <si>
    <t>IRRF-G&amp;P PROJETOS E SISTEMAS S/A-nf-5650</t>
  </si>
  <si>
    <t>2787 - 009212711 - IRRF</t>
  </si>
  <si>
    <t>IRRF-G&amp;P PROJETOS E SISTEMAS S/A-nf-5652</t>
  </si>
  <si>
    <t>1124 - 043316033 - INSS</t>
  </si>
  <si>
    <t>2732 - 009212711 - INSS</t>
  </si>
  <si>
    <t>6680 - 096647755 - INSS</t>
  </si>
  <si>
    <t>3524 - 009441321 - INSS</t>
  </si>
  <si>
    <t>6528 - 047497367 - INSS</t>
  </si>
  <si>
    <t>16986 - 067668194 - INSS</t>
  </si>
  <si>
    <t>631 - 001259348 - INSS</t>
  </si>
  <si>
    <t>1124 - 043316033 - ISS</t>
  </si>
  <si>
    <t>2732 - 009212711 - ISS</t>
  </si>
  <si>
    <t>6680 - 096647755 - ISS</t>
  </si>
  <si>
    <t>3524 - 009441321 - ISS</t>
  </si>
  <si>
    <t>6528 - 047497367 - ISS</t>
  </si>
  <si>
    <t>16986 - 067668194 - ISS</t>
  </si>
  <si>
    <t>631 - 001259348 - ISS</t>
  </si>
  <si>
    <t>Retenção Imp. Fonte - 357197 - 3</t>
  </si>
  <si>
    <t>Retenção Imp. Fonte - 357197 - 4</t>
  </si>
  <si>
    <t>Retenção Imp. Fonte - 357197 - 3 - Cancelado</t>
  </si>
  <si>
    <t>1124 - 043316033 - IRRF</t>
  </si>
  <si>
    <t>IRRF-CENTURION SEGURANÇA E VIGILÂNCIA LTDA-nf-17009</t>
  </si>
  <si>
    <t>2732 - 009212711 - IRRF</t>
  </si>
  <si>
    <t>INSS-CENTURION SEGURANÇA E VIGILÂNCIA LTDA-nf-17009</t>
  </si>
  <si>
    <t>Retenção Imp. Fonte - 365342 - 4 - Cancelado</t>
  </si>
  <si>
    <t>ISS-CENTURION SEGURANÇA E VIGILÂNCIA LTDA-nf-17009</t>
  </si>
  <si>
    <t>Retenção Imp. Fonte - 365342 - 3 - Cancelado</t>
  </si>
  <si>
    <t>Retenção Imp. Fonte - 365342 - 3</t>
  </si>
  <si>
    <t>IRRF-CENTURION SEGURANÇA E VIGILÂNCIA LTDA-nf-17010</t>
  </si>
  <si>
    <t>Retenção Imp. Fonte - 365342 - 4</t>
  </si>
  <si>
    <t>INSS-CENTURION SEGURANÇA E VIGILÂNCIA LTDA-nf-17010</t>
  </si>
  <si>
    <t>6680 - 096647755 - IRRF</t>
  </si>
  <si>
    <t>ISS-CENTURION SEGURANÇA E VIGILÂNCIA LTDA-nf-17010</t>
  </si>
  <si>
    <t>Retenção Imp. Fonte - 365342 - 5</t>
  </si>
  <si>
    <t>3524 - 009441321 - IRRF</t>
  </si>
  <si>
    <t>Retenção Imp. Fonte - 365230 - 3 - Cancelado</t>
  </si>
  <si>
    <t>Retenção Imp. Fonte - 365230 - 4</t>
  </si>
  <si>
    <t>Retenção Imp. Fonte - 365230 - 3</t>
  </si>
  <si>
    <t>6528 - 047497367 - IRRF</t>
  </si>
  <si>
    <t>16986 - 067668194 - IRRF</t>
  </si>
  <si>
    <t>IRRF-3P BRASIL-CONSULTORIA E PROJETOS DE ESTRUTURAÇÃO DE PARCERIAS PUBLICO-PRIVADAS E PARTICIPAÇÕES LTDA-nf-645</t>
  </si>
  <si>
    <t>Retenção Imp. Fonte - 380101 - 3</t>
  </si>
  <si>
    <t>INSS-3P BRASIL-CONSULTORIA E PROJETOS DE ESTRUTURAÇÃO DE PARCERIAS PUBLICO-PRIVADAS E PARTICIPAÇÕES LTDA-nf-645</t>
  </si>
  <si>
    <t>ISS-3P BRASIL-CONSULTORIA E PROJETOS DE ESTRUTURAÇÃO DE PARCERIAS PUBLICO-PRIVADAS E PARTICIPAÇÕES LTDA-nf-645</t>
  </si>
  <si>
    <t>Retenção Imp. Fonte - 370303 - 3</t>
  </si>
  <si>
    <t>631 - 001259348 - IRRF</t>
  </si>
  <si>
    <t>2696 - 009212711 - INSS</t>
  </si>
  <si>
    <t>3513 - 009441321 - INSS</t>
  </si>
  <si>
    <t>11588 - 005497348 - INSS</t>
  </si>
  <si>
    <t>6687 - 096647755 - INSS</t>
  </si>
  <si>
    <t>17007 - 067668194 - INSS</t>
  </si>
  <si>
    <t>IRRF-3P BRASIL-CONSULTORIA E PROJETOS DE ESTRUTURAÇÃO DE PARCERIAS PUBLICO-PRIVADAS E PARTICIPAÇÕES LTDA-nf-631</t>
  </si>
  <si>
    <t>INSS-3P BRASIL-CONSULTORIA E PROJETOS DE ESTRUTURAÇÃO DE PARCERIAS PUBLICO-PRIVADAS E PARTICIPAÇÕES LTDA-nf-631</t>
  </si>
  <si>
    <t>2696 - 009212711 - ISS</t>
  </si>
  <si>
    <t>IRRF-IS SERVIÇOS INTEGRADOS LTDA-ME-nf-3581</t>
  </si>
  <si>
    <t>3513 - 009441321 - ISS</t>
  </si>
  <si>
    <t>ISS-3P BRASIL-CONSULTORIA E PROJETOS DE ESTRUTURAÇÃO DE PARCERIAS PUBLICO-PRIVADAS E PARTICIPAÇÕES LTDA-nf-631</t>
  </si>
  <si>
    <t>11588 - 005497348 - ISS</t>
  </si>
  <si>
    <t>INSS-IS SERVIÇOS INTEGRADOS LTDA-ME-nf-3581</t>
  </si>
  <si>
    <t>6687 - 096647755 - ISS</t>
  </si>
  <si>
    <t>ISS-IS SERVIÇOS INTEGRADOS LTDA-ME-nf-3581</t>
  </si>
  <si>
    <t>17007 - 067668194 - ISS</t>
  </si>
  <si>
    <t>IRRF-IS SERVIÇOS INTEGRADOS LTDA-ME-nf-3580</t>
  </si>
  <si>
    <t>Retenção Imp. Fonte - 363136 - 4</t>
  </si>
  <si>
    <t>INSS-IS SERVIÇOS INTEGRADOS LTDA-ME-nf-3580</t>
  </si>
  <si>
    <t>Retenção Imp. Fonte - 363136 - 5</t>
  </si>
  <si>
    <t>ISS-IS SERVIÇOS INTEGRADOS LTDA-ME-nf-3580</t>
  </si>
  <si>
    <t>Retenção Imp. Fonte - 363136 - 4 - Cancelado</t>
  </si>
  <si>
    <t>Retenção Imp. Fonte - 357258 - 3</t>
  </si>
  <si>
    <t>Retenção Imp. Fonte - 357258 - 4</t>
  </si>
  <si>
    <t>IRRF-3P BRASIL-CONSULTORIA E PROJETOS DE ESTRUTURAÇÃO DE PARCERIAS PUBLICO-PRIVADAS E PARTICIPAÇÕES LTDA-nf-638</t>
  </si>
  <si>
    <t>2696 - 009212711 - IRRF</t>
  </si>
  <si>
    <t>INSS-3P BRASIL-CONSULTORIA E PROJETOS DE ESTRUTURAÇÃO DE PARCERIAS PUBLICO-PRIVADAS E PARTICIPAÇÕES LTDA-nf-638</t>
  </si>
  <si>
    <t>Retenção Imp. Fonte - 357258 - 3 - Cancelado</t>
  </si>
  <si>
    <t>ISS-3P BRASIL-CONSULTORIA E PROJETOS DE ESTRUTURAÇÃO DE PARCERIAS PUBLICO-PRIVADAS E PARTICIPAÇÕES LTDA-nf-638</t>
  </si>
  <si>
    <t>Retenção Imp. Fonte - 354515 - 4 - Cancelado</t>
  </si>
  <si>
    <t>3513 - 009441321 - IRRF</t>
  </si>
  <si>
    <t>Retenção Imp. Fonte - 354515 - 3 - Cancelado</t>
  </si>
  <si>
    <t>Retenção Imp. Fonte - 356386 - 3 - Cancelado</t>
  </si>
  <si>
    <t>Retenção Imp. Fonte - 356386 - 4 - Cancelado</t>
  </si>
  <si>
    <t>IRRF-3P BRASIL-CONSULTORIA E PROJETOS DE ESTRUTURAÇÃO DE PARCERIAS PUBLICO-PRIVADAS E PARTICIPAÇÕES LTDA-nf-636</t>
  </si>
  <si>
    <t>11588 - 005497348 - IRRF</t>
  </si>
  <si>
    <t>INSS-3P BRASIL-CONSULTORIA E PROJETOS DE ESTRUTURAÇÃO DE PARCERIAS PUBLICO-PRIVADAS E PARTICIPAÇÕES LTDA-nf-636</t>
  </si>
  <si>
    <t>Retenção Imp. Fonte - 354515 - 3</t>
  </si>
  <si>
    <t>ISS-3P BRASIL-CONSULTORIA E PROJETOS DE ESTRUTURAÇÃO DE PARCERIAS PUBLICO-PRIVADAS E PARTICIPAÇÕES LTDA-nf-636</t>
  </si>
  <si>
    <t>Retenção Imp. Fonte - 356386 - 3</t>
  </si>
  <si>
    <t>6687 - 096647755 - IRRF</t>
  </si>
  <si>
    <t>Retenção Imp. Fonte - 354515 - 4</t>
  </si>
  <si>
    <t>Retenção Imp. Fonte - 356386 - 4</t>
  </si>
  <si>
    <t>Retenção Imp. Fonte - 354515 - 5</t>
  </si>
  <si>
    <t>Retenção Imp. Fonte - 356386 - 5</t>
  </si>
  <si>
    <t>Retenção Imp. Fonte - 363119 - 3 - Cancelado</t>
  </si>
  <si>
    <t>Retenção Imp. Fonte - 363119 - 3</t>
  </si>
  <si>
    <t>IRRF-CENTURION SEGURANÇA E VIGILÂNCIA LTDA-nf-17019</t>
  </si>
  <si>
    <t>Retenção Imp. Fonte - 363119 - 4</t>
  </si>
  <si>
    <t>INSS-CENTURION SEGURANÇA E VIGILÂNCIA LTDA-nf-17019</t>
  </si>
  <si>
    <t>ISS-CENTURION SEGURANÇA E VIGILÂNCIA LTDA-nf-17019</t>
  </si>
  <si>
    <t>IRRF-HIGIENIX HIGIENIZAÇÃO E SERVIÇOS-nf-2787</t>
  </si>
  <si>
    <t>17007 - 067668194 - IRRF</t>
  </si>
  <si>
    <t>IRRF-3P BRASIL-CONSULTORIA E PROJETOS DE ESTRUTURAÇÃO DE PARCERIAS PUBLICO-PRIVADAS E PARTICIPAÇÕES LTDA-nf-637</t>
  </si>
  <si>
    <t>INSS-HIGIENIX HIGIENIZAÇÃO E SERVIÇOS-nf-2787</t>
  </si>
  <si>
    <t>ISS-HIGIENIX HIGIENIZAÇÃO E SERVIÇOS-nf-2787</t>
  </si>
  <si>
    <t>INSS-3P BRASIL-CONSULTORIA E PROJETOS DE ESTRUTURAÇÃO DE PARCERIAS PUBLICO-PRIVADAS E PARTICIPAÇÕES LTDA-nf-637</t>
  </si>
  <si>
    <t>3511 - 009441321 - INSS</t>
  </si>
  <si>
    <t>ISS-3P BRASIL-CONSULTORIA E PROJETOS DE ESTRUTURAÇÃO DE PARCERIAS PUBLICO-PRIVADAS E PARTICIPAÇÕES LTDA-nf-637</t>
  </si>
  <si>
    <t>2694 - 009212711 - INSS</t>
  </si>
  <si>
    <t>IRRF-3P BRASIL-CONSULTORIA E PROJETOS DE ESTRUTURAÇÃO DE PARCERIAS PUBLICO-PRIVADAS E PARTICIPAÇÕES LTDA-nf-634</t>
  </si>
  <si>
    <t>6685 - 096647755 - INSS</t>
  </si>
  <si>
    <t>INSS-3P BRASIL-CONSULTORIA E PROJETOS DE ESTRUTURAÇÃO DE PARCERIAS PUBLICO-PRIVADAS E PARTICIPAÇÕES LTDA-nf-634</t>
  </si>
  <si>
    <t>5#64949 - 038.059.846 - INSS</t>
  </si>
  <si>
    <t>01-112120611010-000-062501260001-2-NV009955-PRO006878-0-0-0</t>
  </si>
  <si>
    <t>ISS-3P BRASIL-CONSULTORIA E PROJETOS DE ESTRUTURAÇÃO DE PARCERIAS PUBLICO-PRIVADAS E PARTICIPAÇÕES LTDA-nf-634</t>
  </si>
  <si>
    <t>17009 - 067668194 - INSS</t>
  </si>
  <si>
    <t>3511 - 009441321 - ISS</t>
  </si>
  <si>
    <t>6685 - 096647755 - ISS</t>
  </si>
  <si>
    <t>17009 - 067668194 - ISS</t>
  </si>
  <si>
    <t>2694 - 009212711 - ISS</t>
  </si>
  <si>
    <t>Retenção Imp. Fonte - 349438 - 3</t>
  </si>
  <si>
    <t>IRRF-REALEZA INFORMÁTICA LTDA-nf-103</t>
  </si>
  <si>
    <t>Retenção Imp. Fonte - 354238 - 3</t>
  </si>
  <si>
    <t>3511 - 009441321 - IRRF</t>
  </si>
  <si>
    <t>2694 - 009212711 - IRRF</t>
  </si>
  <si>
    <t>Retenção Imp. Fonte - 354355 - 4 - Cancelado</t>
  </si>
  <si>
    <t>Retenção Imp. Fonte - 354355 - 3 - Cancelado</t>
  </si>
  <si>
    <t>Retenção Imp. Fonte - 354242 - 3 - Cancelado</t>
  </si>
  <si>
    <t>Retenção Imp. Fonte - 354242 - 4 - Cancelado</t>
  </si>
  <si>
    <t>Retenção Imp. Fonte - 354355 - 3</t>
  </si>
  <si>
    <t>Retenção Imp. Fonte - 354242 - 3</t>
  </si>
  <si>
    <t>6685 - 096647755 - IRRF</t>
  </si>
  <si>
    <t>Retenção Imp. Fonte - 354355 - 4</t>
  </si>
  <si>
    <t>Retenção Imp. Fonte - 354242 - 4</t>
  </si>
  <si>
    <t>Retenção Imp. Fonte - 354355 - 5</t>
  </si>
  <si>
    <t>Retenção Imp. Fonte - 354242 - 5</t>
  </si>
  <si>
    <t>Retenção Imp. Fonte - 361087 - 3 - Cancelado</t>
  </si>
  <si>
    <t>Retenção Imp. Fonte - 361087 - 4</t>
  </si>
  <si>
    <t>Retenção Imp. Fonte - 361087 - 3</t>
  </si>
  <si>
    <t>5#64949 - 038.059.846 - IRRF</t>
  </si>
  <si>
    <t>17009 - 067668194 - IRRF</t>
  </si>
  <si>
    <t>2740 - 009212711 - INSS</t>
  </si>
  <si>
    <t>19135 - 045517604 - INSS</t>
  </si>
  <si>
    <t>6671 - 096647755 - INSS</t>
  </si>
  <si>
    <t>01-112120611010-000-062501200001-2-NV009956-PRO006879-0-0-0</t>
  </si>
  <si>
    <t>17010 - 067668194 - INSS</t>
  </si>
  <si>
    <t>ISS-DATASIST INFORMÁTICA S/C LTDA.-nf-5911</t>
  </si>
  <si>
    <t>2740 - 009212711 - ISS</t>
  </si>
  <si>
    <t>19135 - 045517604 - ISS</t>
  </si>
  <si>
    <t>6671 - 096647755 - ISS</t>
  </si>
  <si>
    <t>17010 - 067668194 - ISS</t>
  </si>
  <si>
    <t>2740 - 009212711 - IRRF</t>
  </si>
  <si>
    <t>Retenção Imp. Fonte - 354431 - 4 - Cancelado</t>
  </si>
  <si>
    <t>19135 - 045517604 - IRRF</t>
  </si>
  <si>
    <t>Retenção Imp. Fonte - 354431 - 3 - Cancelado</t>
  </si>
  <si>
    <t>Retenção Imp. Fonte - 354431 - 3</t>
  </si>
  <si>
    <t>Retenção Imp. Fonte - 354431 - 4</t>
  </si>
  <si>
    <t>6671 - 096647755 - IRRF</t>
  </si>
  <si>
    <t>Retenção Imp. Fonte - 354431 - 5</t>
  </si>
  <si>
    <t>Retenção Imp. Fonte - 361220 - 3 - Cancelado</t>
  </si>
  <si>
    <t>Retenção Imp. Fonte - 361220 - 3</t>
  </si>
  <si>
    <t>Retenção Imp. Fonte - 361220 - 4</t>
  </si>
  <si>
    <t>Retenção Imp. Fonte - 382209 - 3</t>
  </si>
  <si>
    <t>17010 - 067668194 - IRRF</t>
  </si>
  <si>
    <t>3515 - 009441321 - INSS</t>
  </si>
  <si>
    <t>2698 - 009212711 - INSS</t>
  </si>
  <si>
    <t>6 - 038.059.846 - INSS</t>
  </si>
  <si>
    <t>6689 - 096647755 - INSS</t>
  </si>
  <si>
    <t>01-112120611010-000-062501270001-2-NV009957-PRO006875-0-0-0</t>
  </si>
  <si>
    <t>1883 - 009168249 - INSS</t>
  </si>
  <si>
    <t>3515 - 009441321 - ISS</t>
  </si>
  <si>
    <t>ISS-BK CONSULTORIA E SERVIÇOS LTDA-nf-29059</t>
  </si>
  <si>
    <t>2698 - 009212711 - ISS</t>
  </si>
  <si>
    <t>ISS-CENTURION SEGURANÇA E VIGILÂNCIA LTDA-nf-16990</t>
  </si>
  <si>
    <t>6 - 038.059.846 - ISS</t>
  </si>
  <si>
    <t>ISS-CENTURION SEGURANÇA E VIGILÂNCIA LTDA-nf-16988</t>
  </si>
  <si>
    <t>6689 - 096647755 - ISS</t>
  </si>
  <si>
    <t>1883 - 009168249 - ISS</t>
  </si>
  <si>
    <t>Retenção Imp. Fonte - 357328 - 3</t>
  </si>
  <si>
    <t>3515 - 009441321 - IRRF</t>
  </si>
  <si>
    <t>2698 - 009212711 - IRRF</t>
  </si>
  <si>
    <t>6 - 038.059.846 - IRRF</t>
  </si>
  <si>
    <t>Retenção Imp. Fonte - 354439 - 4 - Cancelado</t>
  </si>
  <si>
    <t>Retenção Imp. Fonte - 354439 - 3 - Cancelado</t>
  </si>
  <si>
    <t>Retenção Imp. Fonte - 354439 - 3</t>
  </si>
  <si>
    <t>6689 - 096647755 - IRRF</t>
  </si>
  <si>
    <t>Retenção Imp. Fonte - 354439 - 4</t>
  </si>
  <si>
    <t>Retenção Imp. Fonte - 354439 - 5</t>
  </si>
  <si>
    <t>Retenção Imp. Fonte - 361091 - 3 - Cancelado</t>
  </si>
  <si>
    <t>Retenção Imp. Fonte - 361091 - 4</t>
  </si>
  <si>
    <t>Retenção Imp. Fonte - 361091 - 3</t>
  </si>
  <si>
    <t>1883 - 009168249 - IRRF</t>
  </si>
  <si>
    <t>Retenção Imp. Fonte - 378310 - 3</t>
  </si>
  <si>
    <t>3562 - 009441321 - INSS</t>
  </si>
  <si>
    <t>6705 - 096647755 - INSS</t>
  </si>
  <si>
    <t>9738 - 038.059.846 - INSS</t>
  </si>
  <si>
    <t>16975 - 067668194 - INSS</t>
  </si>
  <si>
    <t>2767 - 009212711 - INSS</t>
  </si>
  <si>
    <t>3562 - 009441321 - ISS</t>
  </si>
  <si>
    <t>6705 - 096647755 - ISS</t>
  </si>
  <si>
    <t>9738 - 038.059.846 - ISS</t>
  </si>
  <si>
    <t>16975 - 067668194 - ISS</t>
  </si>
  <si>
    <t>IRRF-3P BRASIL-CONSULTORIA E PROJETOS DE ESTRUTURAÇÃO DE PARCERIAS PUBLICO-PRIVADAS E PARTICIPAÇÕES LTDA-nf-647</t>
  </si>
  <si>
    <t>2767 - 009212711 - ISS</t>
  </si>
  <si>
    <t>INSS-3P BRASIL-CONSULTORIA E PROJETOS DE ESTRUTURAÇÃO DE PARCERIAS PUBLICO-PRIVADAS E PARTICIPAÇÕES LTDA-nf-647</t>
  </si>
  <si>
    <t>ISS-3P BRASIL-CONSULTORIA E PROJETOS DE ESTRUTURAÇÃO DE PARCERIAS PUBLICO-PRIVADAS E PARTICIPAÇÕES LTDA-nf-647</t>
  </si>
  <si>
    <t>Retenção Imp. Fonte - 361152 - 3</t>
  </si>
  <si>
    <t>Retenção Imp. Fonte - 352135 - 3</t>
  </si>
  <si>
    <t>Retenção Imp. Fonte - 352135 - 4</t>
  </si>
  <si>
    <t>Retenção Imp. Fonte - 352135 - 3 - Cancelado</t>
  </si>
  <si>
    <t>Retenção Imp. Fonte - 365237 - 4 - Cancelado</t>
  </si>
  <si>
    <t>Retenção Imp. Fonte - 365237 - 3 - Cancelado</t>
  </si>
  <si>
    <t>3562 - 009441321 - IRRF</t>
  </si>
  <si>
    <t>Retenção Imp. Fonte - 365237 - 3</t>
  </si>
  <si>
    <t>Retenção Imp. Fonte - 365237 - 4</t>
  </si>
  <si>
    <t>Retenção Imp. Fonte - 365237 - 5</t>
  </si>
  <si>
    <t>6705 - 096647755 - IRRF</t>
  </si>
  <si>
    <t>Retenção Imp. Fonte - 361083 - 3 - Cancelado</t>
  </si>
  <si>
    <t>IRRF-BK CONSULTORIA E SERVIÇOS LTDA-nf-29202</t>
  </si>
  <si>
    <t>Retenção Imp. Fonte - 361083 - 4</t>
  </si>
  <si>
    <t>9738 - 038.059.846 - IRRF</t>
  </si>
  <si>
    <t>INSS-BK CONSULTORIA E SERVIÇOS LTDA-nf-29202</t>
  </si>
  <si>
    <t>Retenção Imp. Fonte - 361083 - 3</t>
  </si>
  <si>
    <t>16975 - 067668194 - IRRF</t>
  </si>
  <si>
    <t>ISS-BK CONSULTORIA E SERVIÇOS LTDA-nf-29202</t>
  </si>
  <si>
    <t>2767 - 009212711 - IRRF</t>
  </si>
  <si>
    <t>Retenção Imp. Fonte - 383307 - 3</t>
  </si>
  <si>
    <t>2730 - 009212711 - INSS</t>
  </si>
  <si>
    <t>6678 - 096647755 - INSS</t>
  </si>
  <si>
    <t>1140 - 043316033 - INSS</t>
  </si>
  <si>
    <t>3522 - 009441321 - INSS</t>
  </si>
  <si>
    <t>16995 - 067668194 - INSS</t>
  </si>
  <si>
    <t>IRRF-ELEVADORES ATLAS SHINDLER S/A-nf-108461</t>
  </si>
  <si>
    <t>2730 - 009212711 - ISS</t>
  </si>
  <si>
    <t>6678 - 096647755 - ISS</t>
  </si>
  <si>
    <t>1140 - 043316033 - ISS</t>
  </si>
  <si>
    <t>3522 - 009441321 - ISS</t>
  </si>
  <si>
    <t>16995 - 067668194 - ISS</t>
  </si>
  <si>
    <t>Retenção Imp. Fonte - 354689 - 3</t>
  </si>
  <si>
    <t>Retenção Imp. Fonte - 354689 - 4</t>
  </si>
  <si>
    <t>Retenção Imp. Fonte - 354689 - 3 - Cancelado</t>
  </si>
  <si>
    <t>IRRF-BK CONSULTORIA E SERVIÇOS LTDA-nf-29450</t>
  </si>
  <si>
    <t>2730 - 009212711 - IRRF</t>
  </si>
  <si>
    <t>Retenção Imp. Fonte - 356200 - 4 - Cancelado</t>
  </si>
  <si>
    <t>INSS-BK CONSULTORIA E SERVIÇOS LTDA-nf-29450</t>
  </si>
  <si>
    <t>6678 - 096647755 - IRRF</t>
  </si>
  <si>
    <t>Retenção Imp. Fonte - 356200 - 3 - Cancelado</t>
  </si>
  <si>
    <t>ISS-BK CONSULTORIA E SERVIÇOS LTDA-nf-29450</t>
  </si>
  <si>
    <t>Retenção Imp. Fonte - 356200 - 3</t>
  </si>
  <si>
    <t>1140 - 043316033 - IRRF</t>
  </si>
  <si>
    <t>ISS-PROJECTO ASSESSORIA E SERVIÇOS LTDA-nf-1130</t>
  </si>
  <si>
    <t>Retenção Imp. Fonte - 356200 - 4</t>
  </si>
  <si>
    <t>ISS-CENTURION SEGURANÇA E VIGILÂNCIA LTDA-nf-16993</t>
  </si>
  <si>
    <t>Retenção Imp. Fonte - 356200 - 5</t>
  </si>
  <si>
    <t>3522 - 009441321 - IRRF</t>
  </si>
  <si>
    <t>Retenção Imp. Fonte - 361232 - 3 - Cancelado</t>
  </si>
  <si>
    <t>ISS-HIGIENIX HIGIENIZAÇÃO E SERVIÇOS-nf-2694</t>
  </si>
  <si>
    <t>Retenção Imp. Fonte - 361232 - 3</t>
  </si>
  <si>
    <t>ISS-CENTURION SEGURANÇA E VIGILÂNCIA LTDA-nf-16985</t>
  </si>
  <si>
    <t>Retenção Imp. Fonte - 361232 - 4</t>
  </si>
  <si>
    <t>16995 - 067668194 - IRRF</t>
  </si>
  <si>
    <t>Retenção Imp. Fonte - 383169 - 3</t>
  </si>
  <si>
    <t>2727 - 009212711 - INSS</t>
  </si>
  <si>
    <t>6675 - 096647755 - INSS</t>
  </si>
  <si>
    <t>16971 - 067668194 - INSS</t>
  </si>
  <si>
    <t>3519 - 009441321 - INSS</t>
  </si>
  <si>
    <t>1136 - 043316033 - INSS</t>
  </si>
  <si>
    <t>ISS-IS SERVIÇOS INTEGRADOS LTDA-ME-nf-3538</t>
  </si>
  <si>
    <t>2727 - 009212711 - ISS</t>
  </si>
  <si>
    <t>ISS-CENTURION SEGURANÇA E VIGILÂNCIA LTDA-nf-16970</t>
  </si>
  <si>
    <t>6675 - 096647755 - ISS</t>
  </si>
  <si>
    <t>ISS-BK CONSULTORIA E SERVIÇOS LTDA-nf-29080</t>
  </si>
  <si>
    <t>16971 - 067668194 - ISS</t>
  </si>
  <si>
    <t>ISS-TRAIL INFRAESTRUTURA LTDA-nf-11580</t>
  </si>
  <si>
    <t>3519 - 009441321 - ISS</t>
  </si>
  <si>
    <t>ISS-PROJECTO ASSESSORIA E SERVIÇOS LTDA-nf-1126</t>
  </si>
  <si>
    <t>1136 - 043316033 - ISS</t>
  </si>
  <si>
    <t>ISS-TRAIL INFRAESTRUTURA LTDA-nf-11586</t>
  </si>
  <si>
    <t>Retenção Imp. Fonte - 354603 - 3</t>
  </si>
  <si>
    <t>Retenção Imp. Fonte - 354603 - 4</t>
  </si>
  <si>
    <t>Retenção Imp. Fonte - 354603 - 3 - Cancelado</t>
  </si>
  <si>
    <t>2727 - 009212711 - IRRF</t>
  </si>
  <si>
    <t>Retenção Imp. Fonte - 356204 - 4 - Cancelado</t>
  </si>
  <si>
    <t>ISS-TRAIL INFRAESTRUTURA LTDA-nf-11581</t>
  </si>
  <si>
    <t>Retenção Imp. Fonte - 356204 - 3 - Cancelado</t>
  </si>
  <si>
    <t>ISS-PROJECTO ASSESSORIA E SERVIÇOS LTDA-nf-1131</t>
  </si>
  <si>
    <t>Retenção Imp. Fonte - 356204 - 3</t>
  </si>
  <si>
    <t>ISS-WORKS CONSTRUÇÕES E SERVIÇOS LTDA-nf-11691</t>
  </si>
  <si>
    <t>Retenção Imp. Fonte - 356204 - 4</t>
  </si>
  <si>
    <t>6675 - 096647755 - IRRF</t>
  </si>
  <si>
    <t>ISS-REAK SEG. E VIG. PATRIMONIAL LTDA-nf-10471</t>
  </si>
  <si>
    <t>Retenção Imp. Fonte - 356204 - 5</t>
  </si>
  <si>
    <t>IRRF-CIMAX COMÉRCIO INSTALAÇÃO E MANUTENÇÃO DE AR CONDICIONADO EIRELI-nf-162</t>
  </si>
  <si>
    <t>16971 - 067668194 - IRRF</t>
  </si>
  <si>
    <t>Retenção Imp. Fonte - 361095 - 3 - Cancelado</t>
  </si>
  <si>
    <t>3519 - 009441321 - IRRF</t>
  </si>
  <si>
    <t>ISS-WORKS CONSTRUÇÕES E SERVIÇOS LTDA-nf-11693</t>
  </si>
  <si>
    <t>Retenção Imp. Fonte - 361095 - 4</t>
  </si>
  <si>
    <t>ISS-WORKS CONSTRUÇÕES E SERVIÇOS LTDA-nf-11694</t>
  </si>
  <si>
    <t>1136 - 043316033 - IRRF</t>
  </si>
  <si>
    <t>Retenção Imp. Fonte - 361095 - 3</t>
  </si>
  <si>
    <t>ISS-BK CONSULTORIA E SERVIÇOS LTDA-nf-29060</t>
  </si>
  <si>
    <t>ISS-TRAIL INFRAESTRUTURA LTDA-nf-11584</t>
  </si>
  <si>
    <t>ISS-PROJECTO ASSESSORIA E SERVIÇOS LTDA-nf-1129</t>
  </si>
  <si>
    <t>ISS-PROJECTO ASSESSORIA E SERVIÇOS LTDA-nf-1123</t>
  </si>
  <si>
    <t>ISS-WORKS CONSTRUÇÕES E SERVIÇOS LTDA-nf-11689</t>
  </si>
  <si>
    <t>Retenção Imp. Fonte - 383316 - 3</t>
  </si>
  <si>
    <t>5386 P.1</t>
  </si>
  <si>
    <t>2025 P.1</t>
  </si>
  <si>
    <t>159 P.1</t>
  </si>
  <si>
    <t>160 P.1</t>
  </si>
  <si>
    <t>161 P.1</t>
  </si>
  <si>
    <t>92454 P.1</t>
  </si>
  <si>
    <t>48793070/10 P.1</t>
  </si>
  <si>
    <t>BOLSA AUXILIO MAR-16 P.1</t>
  </si>
  <si>
    <t>01-112120608100-000-016501060002-1-NV006961-PRO006605-0-0-0</t>
  </si>
  <si>
    <t>01-112120608100-000-016501060003-2-NV006960-PRO006605-0-0-0</t>
  </si>
  <si>
    <t>01-112120608100-000-044501040002-2-NV006960-PRO006605-0-0-0</t>
  </si>
  <si>
    <t>01-112120608100-000-047501090002-2-NV006965-PRO006605-0-0-0</t>
  </si>
  <si>
    <t>01-112120608100-000-049501110002-2-NV006967-PRO006605-0-0-0</t>
  </si>
  <si>
    <t>1436080500341 P.1</t>
  </si>
  <si>
    <t>91 P.1</t>
  </si>
  <si>
    <t>2019 P.1</t>
  </si>
  <si>
    <t>158 P.1</t>
  </si>
  <si>
    <t>163 P.1</t>
  </si>
  <si>
    <t>168 P.1</t>
  </si>
  <si>
    <t>1111 P.1</t>
  </si>
  <si>
    <t>1110 P.1</t>
  </si>
  <si>
    <t>1111 - GLOSA VALOR COBRADO A MAIOR 044597144 P.1</t>
  </si>
  <si>
    <t>51522 P.1</t>
  </si>
  <si>
    <t>32241 P.1</t>
  </si>
  <si>
    <t>5631 P.1</t>
  </si>
  <si>
    <t>5633 P.1</t>
  </si>
  <si>
    <t>5635 P.1</t>
  </si>
  <si>
    <t>5639 P.1</t>
  </si>
  <si>
    <t>5640 P.1</t>
  </si>
  <si>
    <t>5643 P.1</t>
  </si>
  <si>
    <t>5645 P.1</t>
  </si>
  <si>
    <t>5647 P.1</t>
  </si>
  <si>
    <t>5649 P.1</t>
  </si>
  <si>
    <t>5650 P.1</t>
  </si>
  <si>
    <t>5652 P.1</t>
  </si>
  <si>
    <t>5656 P.1</t>
  </si>
  <si>
    <t>5667 P.1</t>
  </si>
  <si>
    <t>5669 P.1</t>
  </si>
  <si>
    <t>5670 P.1</t>
  </si>
  <si>
    <t>2456 P.1</t>
  </si>
  <si>
    <t>1053 P.1</t>
  </si>
  <si>
    <t>1080,02 P.1</t>
  </si>
  <si>
    <t>1113 P.1</t>
  </si>
  <si>
    <t>10470 P.1</t>
  </si>
  <si>
    <t>10472 P.1</t>
  </si>
  <si>
    <t>10618 P.1</t>
  </si>
  <si>
    <t>10625 P.1</t>
  </si>
  <si>
    <t>10471 P.1</t>
  </si>
  <si>
    <t>1436084322981 P.1</t>
  </si>
  <si>
    <t>6528 P.1</t>
  </si>
  <si>
    <t>11587 P.1</t>
  </si>
  <si>
    <t>11588 P.1</t>
  </si>
  <si>
    <t>5#64949 P.1</t>
  </si>
  <si>
    <t>146 P.1</t>
  </si>
  <si>
    <t>01-112120201040-000-062501530001-2-NV003962-000000000-0-0-0</t>
  </si>
  <si>
    <t>44714 P.1</t>
  </si>
  <si>
    <t>106639#64951 P.1</t>
  </si>
  <si>
    <t>FFIXO_PTJ_009-16N P.1</t>
  </si>
  <si>
    <t>3293591/93 P.1</t>
  </si>
  <si>
    <t>ALUGUEL PPT SANTO AMARO REF. MARÇO/2016 P.1</t>
  </si>
  <si>
    <t>BOLSA AUXILIO MAR-16 COMPL P.1</t>
  </si>
  <si>
    <t>64350536925441 P.1</t>
  </si>
  <si>
    <t>FFIXOPTA008-16NV P.1</t>
  </si>
  <si>
    <t>FFIXOPTG006-16 NV P.1</t>
  </si>
  <si>
    <t>NOTES 05/04/16NV P.1</t>
  </si>
  <si>
    <t>1868 P.1</t>
  </si>
  <si>
    <t>1877 P.1</t>
  </si>
  <si>
    <t>1883 P.1</t>
  </si>
  <si>
    <t>RENATA BEZERRA BARBOSA</t>
  </si>
  <si>
    <t>PROC.TRAB.100007682201650206010RENATA B B P.1</t>
  </si>
  <si>
    <t>1436085339301 P.1</t>
  </si>
  <si>
    <t>735529/7 P.1</t>
  </si>
  <si>
    <t>115 P.1</t>
  </si>
  <si>
    <t>1262272 P.1</t>
  </si>
  <si>
    <t>20162849689921 P.1</t>
  </si>
  <si>
    <t>1154 P.1</t>
  </si>
  <si>
    <t>103 P.1</t>
  </si>
  <si>
    <t>1471 P.1</t>
  </si>
  <si>
    <t>1376 P.1</t>
  </si>
  <si>
    <t>FFIXO PTR 07-16N P.1</t>
  </si>
  <si>
    <t>ALUGUEL PPT CARAPICUÍBA REF. MAR/16 P.1</t>
  </si>
  <si>
    <t>ALUGUEL (50%) PPT ARARAQUARA REF. MAR/16 P.1</t>
  </si>
  <si>
    <t>ALUGUEL PPT TATUÍ REF. MAR/16 P.1</t>
  </si>
  <si>
    <t>ALUGUEL PPT RIO CLARO REF. MAR/16 P.1</t>
  </si>
  <si>
    <t>CONDOMÍNIO PPT RIO CLARO REF. MAR/16 P.1</t>
  </si>
  <si>
    <t>AGÚA (DETRAN) PPT CAMPINAS SHOPPING MAR/16 P.1</t>
  </si>
  <si>
    <t>ALUGUEL (DETRAN) PPT CAMPINAS SHOPPING MAR/16 P.1</t>
  </si>
  <si>
    <t>ALUGUEL PPT CAMPINAS SHOPPING REF. MAR/16 P.1</t>
  </si>
  <si>
    <t>CONDOMÍNIO PPT CAMPINAS SHOPPING REF. MAR/16 P.1</t>
  </si>
  <si>
    <t>8575 P.1</t>
  </si>
  <si>
    <t>ALUGUEL PPT S. J. DOS CAMPOS REF. MAR/16 P.1</t>
  </si>
  <si>
    <t>39944 P.1</t>
  </si>
  <si>
    <t>ALUGUEL (ALS) PPT CAMPINAS CENTRO REF. MAR/16 P.1</t>
  </si>
  <si>
    <t>27225/16 P.1</t>
  </si>
  <si>
    <t>888571-9 P.1</t>
  </si>
  <si>
    <t>01-112120801050-000-062501000001-1-NV006958-000000000-0-0-0</t>
  </si>
  <si>
    <t>FFIXO TESOURARIA 59/16 P.1</t>
  </si>
  <si>
    <t>952 P.1</t>
  </si>
  <si>
    <t>FFIXOPTA009-16NV P.1</t>
  </si>
  <si>
    <t>01-114040000000-000-048501100001-1-NV006966-000000000-0-0-0</t>
  </si>
  <si>
    <t>NOTES 11/04/16NV P.1</t>
  </si>
  <si>
    <t>FFIXO_PTB_006-16NV P.1</t>
  </si>
  <si>
    <t>16988 P.1</t>
  </si>
  <si>
    <t>1329470 P.1</t>
  </si>
  <si>
    <t>330164 P.1</t>
  </si>
  <si>
    <t>2078 P.1</t>
  </si>
  <si>
    <t>5457 P.1</t>
  </si>
  <si>
    <t>48657168/10 P.1</t>
  </si>
  <si>
    <t>3548 P.1</t>
  </si>
  <si>
    <t>SISTECNICA COMÉRCIO IMP. DE EQUIP. DE INF. LTDA</t>
  </si>
  <si>
    <t>16938 P.1</t>
  </si>
  <si>
    <t>380500002 P.1</t>
  </si>
  <si>
    <t>01-112120607060-000-050501050001-2-NV006968-PRO006374-0-0-0</t>
  </si>
  <si>
    <t>13740 P.1</t>
  </si>
  <si>
    <t>01-112120612120-000-050501050001-1-NV006968-PRO006102-0-0-0</t>
  </si>
  <si>
    <t>1776164 P.1</t>
  </si>
  <si>
    <t>ALUGUEL (BEL) PPT CAMPINAS CENTRO REF. MAR/16 P.1</t>
  </si>
  <si>
    <t>1978 P.1</t>
  </si>
  <si>
    <t>Condução/Transporte Coletivo</t>
  </si>
  <si>
    <t>FFIXO TESOURARIA 64/16 P.1</t>
  </si>
  <si>
    <t>FFIXO PTS 19 - 16NV P.1</t>
  </si>
  <si>
    <t>0230803846477 P.1</t>
  </si>
  <si>
    <t>0230804074124 P.1</t>
  </si>
  <si>
    <t>16/04/21001550-3 P.1</t>
  </si>
  <si>
    <t>CONDOMÍNIO PPT S. J. DOS CAMPOS REF. MAR/16 P.1</t>
  </si>
  <si>
    <t>109699 P.1</t>
  </si>
  <si>
    <t>01-112120502050-000-044501040001-2-NV006960-PRO006116-0-0-0</t>
  </si>
  <si>
    <t>ELIZEU HONORIO DE FREITAS</t>
  </si>
  <si>
    <t>DEP.JUDIC.TRAB.PROC.00015628720115150043E P.1</t>
  </si>
  <si>
    <t>01-112120502050-000-062501220001-2-NV009960-PRO006116-0-0-0</t>
  </si>
  <si>
    <t>FRANCISCO DE FARIA</t>
  </si>
  <si>
    <t>DEP.JUDIC.TRAB.PROC,00021776320135150025FCO P.1</t>
  </si>
  <si>
    <t>GUILGER COM PROD P MAN INDL E SERVICOS LTDA</t>
  </si>
  <si>
    <t>19471 P.1</t>
  </si>
  <si>
    <t>66009 P.1</t>
  </si>
  <si>
    <t>66010 P.1</t>
  </si>
  <si>
    <t>PEDRO SILVA DANTAS</t>
  </si>
  <si>
    <t>DEP.JUDIC.TRAB.PROC.00005812920125150106PEDR P.1</t>
  </si>
  <si>
    <t>143606855921 P.1</t>
  </si>
  <si>
    <t>667917829/10 P.1</t>
  </si>
  <si>
    <t>1339498/15 P.1</t>
  </si>
  <si>
    <t>STOCKTOTAL TELECOMUNICAÇÕES LTDA</t>
  </si>
  <si>
    <t>18217 P.1</t>
  </si>
  <si>
    <t>1500 P.1</t>
  </si>
  <si>
    <t>FFIXOPTG007-16 NV P.1</t>
  </si>
  <si>
    <t>150722739/1 P.1</t>
  </si>
  <si>
    <t>01-112120612120-000-049501110001-1-NV006967-PRO006099-0-0-0</t>
  </si>
  <si>
    <t>738833 P.1</t>
  </si>
  <si>
    <t>GLOBO FERRAMENTAS LTDA</t>
  </si>
  <si>
    <t>8136 P.1</t>
  </si>
  <si>
    <t>8136 - OP TARIFA BANCARIA P.1</t>
  </si>
  <si>
    <t>221260032016001 P.1</t>
  </si>
  <si>
    <t>FFIXO_PTJ_010-16N P.1</t>
  </si>
  <si>
    <t>FFIXO_PTJ_011-16N P.1</t>
  </si>
  <si>
    <t>FFIXO_PTJ_012-16N P.1</t>
  </si>
  <si>
    <t>ALEXSANDRA FRAGA DE SOUZA</t>
  </si>
  <si>
    <t>DEP.JUD.TRAB.PROC.00002758620105020043ALE P.1</t>
  </si>
  <si>
    <t>BETTA SISTEMAS ELETRÔNICOS LTDA</t>
  </si>
  <si>
    <t>2384 P.1</t>
  </si>
  <si>
    <t>11424800/3 P.1</t>
  </si>
  <si>
    <t>01-112120502050-000-047501090001-1-NV006965-PRO006224-0-0-0</t>
  </si>
  <si>
    <t>JOSEILDO DA CRUZ SANTOS</t>
  </si>
  <si>
    <t>DEP.JUD.TRAB.00015101520125020465JOSEILDO C P.1</t>
  </si>
  <si>
    <t>ROGERIO MACHADO PINTO</t>
  </si>
  <si>
    <t>DEP.JUD.TRAB.00027294720115020029ROGERIO M P.1</t>
  </si>
  <si>
    <t>01-112120502050-000-046501030001-2-NV006964-PRO006116-0-0-0</t>
  </si>
  <si>
    <t>SIMONE RODRIGUES DE LIMA</t>
  </si>
  <si>
    <t>DEP.JUD.TRAB.00011813920115020044SIMONE R P.1</t>
  </si>
  <si>
    <t>VALTER CARLOS DOS SANTOS</t>
  </si>
  <si>
    <t>DEP.JUD.TRAB.PROC,00016270620125020465VALTE P.1</t>
  </si>
  <si>
    <t>190579758 P.1</t>
  </si>
  <si>
    <t>201603005920501 P.1</t>
  </si>
  <si>
    <t>20537 P.1</t>
  </si>
  <si>
    <t>3492 P.1</t>
  </si>
  <si>
    <t>6655 P.1</t>
  </si>
  <si>
    <t>6753 P.1</t>
  </si>
  <si>
    <t>FFIXO_PTSI_30-16NV P.1</t>
  </si>
  <si>
    <t>01-112120612010-000-062501750003-1-NV006958-000000000-0-0-0</t>
  </si>
  <si>
    <t>MAXXI MALOTES COMERCIO E SERVIÇOS LTDA - EPP</t>
  </si>
  <si>
    <t>5658 P.1</t>
  </si>
  <si>
    <t>450146/11 P.1</t>
  </si>
  <si>
    <t>1436032599714 P.1</t>
  </si>
  <si>
    <t>01-112120612160-000-046501030001-1-NV006964-000000000-0-0-0</t>
  </si>
  <si>
    <t>TIAGO FELICIO DE OLIVEIRA - EPP</t>
  </si>
  <si>
    <t>5561 P.1</t>
  </si>
  <si>
    <t>ZELIA SONOHARA-EPP</t>
  </si>
  <si>
    <t>164 P.1</t>
  </si>
  <si>
    <t>98 P.1</t>
  </si>
  <si>
    <t>FFIXO PTR 08-16N P.1</t>
  </si>
  <si>
    <t>343 P.1</t>
  </si>
  <si>
    <t>2 - PPT VALOR COBR. A MAIOR 010687816 P.1</t>
  </si>
  <si>
    <t>2#65581 P.1</t>
  </si>
  <si>
    <t>3572 P.1</t>
  </si>
  <si>
    <t>3575 P.1</t>
  </si>
  <si>
    <t>01-112120301030-000-047501090001-1-NV006965-000000000-0-0-0</t>
  </si>
  <si>
    <t>20151000707430 P.1</t>
  </si>
  <si>
    <t>16008741684 P.1</t>
  </si>
  <si>
    <t>01-112120605020-000-016501060001-1-NV006961-000000000-0-0-0</t>
  </si>
  <si>
    <t>52282 P.1</t>
  </si>
  <si>
    <t>38216701/6 P.1</t>
  </si>
  <si>
    <t>38528460/3 P.1</t>
  </si>
  <si>
    <t>6735 P.1</t>
  </si>
  <si>
    <t>6736 P.1</t>
  </si>
  <si>
    <t>1435028860551 P.1</t>
  </si>
  <si>
    <t>11000-353.010/04/16 P.1</t>
  </si>
  <si>
    <t>150830609/3 P.1</t>
  </si>
  <si>
    <t>FFIXO_PTSI_33-16NV P.1</t>
  </si>
  <si>
    <t>FFIXO TESOURARIA 70/16 P.1</t>
  </si>
  <si>
    <t>01-112120612120-000-048501100001-1-NV006966-000000000-0-0-0</t>
  </si>
  <si>
    <t>16489/17 P.1</t>
  </si>
  <si>
    <t>COMERCIAL ELÉTRICA SÃO PAULO LTDA- EPP</t>
  </si>
  <si>
    <t>3372 P.1</t>
  </si>
  <si>
    <t>FFIXO_PTC_08-16NV P.1</t>
  </si>
  <si>
    <t>01-112120601060-000-062502030001-2-NV003976-000000000-0-0-0</t>
  </si>
  <si>
    <t>ENERGYA TRANSFORMADORES IND. E COM. EIRELI - ME</t>
  </si>
  <si>
    <t>8 P.1</t>
  </si>
  <si>
    <t>FFIXOPTA010-16NV P.1</t>
  </si>
  <si>
    <t>FFIXOPTG009-16 NV P.1</t>
  </si>
  <si>
    <t>9925 P.1</t>
  </si>
  <si>
    <t>5433 P.1</t>
  </si>
  <si>
    <t>37227319/1 P.1</t>
  </si>
  <si>
    <t>01-112120106000-000-047501090001-1-NV006965-000000000-0-0-0</t>
  </si>
  <si>
    <t>1284 P.1</t>
  </si>
  <si>
    <t>1468 P.1</t>
  </si>
  <si>
    <t>311875/40 P.1</t>
  </si>
  <si>
    <t>643041684251 P.1</t>
  </si>
  <si>
    <t>643075965961 P.1</t>
  </si>
  <si>
    <t>SOEDRAL SOCIEDADE ELÉTRICA HIDRÁULICA LTDA</t>
  </si>
  <si>
    <t>116101 P.1</t>
  </si>
  <si>
    <t>01-112120608100-000-062502030002-2-NV006958-PRO006605-0-0-0</t>
  </si>
  <si>
    <t>TATTYANA DA SILVA DIAS</t>
  </si>
  <si>
    <t>PHUP-IN-097/16 PGTO BOSA AUXILIO ABR-16 P.1</t>
  </si>
  <si>
    <t>632 P.1</t>
  </si>
  <si>
    <t>633 P.1</t>
  </si>
  <si>
    <t>634 P.1</t>
  </si>
  <si>
    <t>636 P.1</t>
  </si>
  <si>
    <t>637 P.1</t>
  </si>
  <si>
    <t>638 P.1</t>
  </si>
  <si>
    <t>639 P.1</t>
  </si>
  <si>
    <t>640 P.1</t>
  </si>
  <si>
    <t>645 P.1</t>
  </si>
  <si>
    <t>646 P.1</t>
  </si>
  <si>
    <t>629 P.1</t>
  </si>
  <si>
    <t>630 P.1</t>
  </si>
  <si>
    <t>01-114040000000-000-047501090001-1-NV006965-000000000-0-0-0</t>
  </si>
  <si>
    <t>NOTES 26/04/16NV P.1</t>
  </si>
  <si>
    <t>6#65291 P.1</t>
  </si>
  <si>
    <t>7 P.1</t>
  </si>
  <si>
    <t>29516 P.1</t>
  </si>
  <si>
    <t>29517 P.1</t>
  </si>
  <si>
    <t>29518 P.1</t>
  </si>
  <si>
    <t>29519 P.1</t>
  </si>
  <si>
    <t>29520 P.1</t>
  </si>
  <si>
    <t>29521 P.1</t>
  </si>
  <si>
    <t>29522 P.1</t>
  </si>
  <si>
    <t>29524 P.1</t>
  </si>
  <si>
    <t>29812 P.1</t>
  </si>
  <si>
    <t>29523 P.1</t>
  </si>
  <si>
    <t>29522 - GLOSA P.1</t>
  </si>
  <si>
    <t>3973 P.1</t>
  </si>
  <si>
    <t>3974 P.1</t>
  </si>
  <si>
    <t>3976 P.1</t>
  </si>
  <si>
    <t>3977 P.1</t>
  </si>
  <si>
    <t>3978 P.1</t>
  </si>
  <si>
    <t>3979 P.1</t>
  </si>
  <si>
    <t>3980 P.1</t>
  </si>
  <si>
    <t>3974 - GLOSA P.1</t>
  </si>
  <si>
    <t>60012846 P.1</t>
  </si>
  <si>
    <t>711654656/5 P.1</t>
  </si>
  <si>
    <t>32970 P.1</t>
  </si>
  <si>
    <t>32971 P.1</t>
  </si>
  <si>
    <t>17060 P.1</t>
  </si>
  <si>
    <t>17061 P.1</t>
  </si>
  <si>
    <t>93365 P.1</t>
  </si>
  <si>
    <t>93366 P.1</t>
  </si>
  <si>
    <t>93367 P.1</t>
  </si>
  <si>
    <t>93369 P.1</t>
  </si>
  <si>
    <t>93370 P.1</t>
  </si>
  <si>
    <t>93371 P.1</t>
  </si>
  <si>
    <t>93367 - GLOSA P.1</t>
  </si>
  <si>
    <t>LUMINUS COMERCIAL ELETRICA LTDA - EPP</t>
  </si>
  <si>
    <t>4431 P.1</t>
  </si>
  <si>
    <t>19398 P.1</t>
  </si>
  <si>
    <t>19399 P.1</t>
  </si>
  <si>
    <t>19400 P.1</t>
  </si>
  <si>
    <t>19401 P.1</t>
  </si>
  <si>
    <t>19402 P.1</t>
  </si>
  <si>
    <t>19403 P.1</t>
  </si>
  <si>
    <t>19404 P.1</t>
  </si>
  <si>
    <t>19405 P.1</t>
  </si>
  <si>
    <t>19406 P.1</t>
  </si>
  <si>
    <t>19407 P.1</t>
  </si>
  <si>
    <t>19408 P.1</t>
  </si>
  <si>
    <t>19418 P.1</t>
  </si>
  <si>
    <t>19397 P.1</t>
  </si>
  <si>
    <t>19409 P.1</t>
  </si>
  <si>
    <t>19410 P.1</t>
  </si>
  <si>
    <t>219 P.1</t>
  </si>
  <si>
    <t>1150 P.1</t>
  </si>
  <si>
    <t>1151 P.1</t>
  </si>
  <si>
    <t>1152 P.1</t>
  </si>
  <si>
    <t>1155 P.1</t>
  </si>
  <si>
    <t>1156 P.1</t>
  </si>
  <si>
    <t>1157 P.1</t>
  </si>
  <si>
    <t>1158 P.1</t>
  </si>
  <si>
    <t>1166 P.1</t>
  </si>
  <si>
    <t>1149 P.1</t>
  </si>
  <si>
    <t>1148 P.1</t>
  </si>
  <si>
    <t>1160 P.1</t>
  </si>
  <si>
    <t>1161 P.1</t>
  </si>
  <si>
    <t>1162 P.1</t>
  </si>
  <si>
    <t>1163 P.1</t>
  </si>
  <si>
    <t>1164 P.1</t>
  </si>
  <si>
    <t>RODRIGO SAMPAIO ALEXANDRINO</t>
  </si>
  <si>
    <t>BLOQUEIO JUD.TRAB PROC. 2306342013 RODRIG P.1</t>
  </si>
  <si>
    <t>6436022220261 P.1</t>
  </si>
  <si>
    <t>4398 P.1</t>
  </si>
  <si>
    <t>4402 P.1</t>
  </si>
  <si>
    <t>4403 P.1</t>
  </si>
  <si>
    <t>4404 P.1</t>
  </si>
  <si>
    <t>4405 P.1</t>
  </si>
  <si>
    <t>4401 P.1</t>
  </si>
  <si>
    <t>4399 P.1</t>
  </si>
  <si>
    <t>4400 P.1</t>
  </si>
  <si>
    <t>SOFTPARK INFORMÁTICA LTDA</t>
  </si>
  <si>
    <t>671 P.1</t>
  </si>
  <si>
    <t>673 P.1</t>
  </si>
  <si>
    <t>674 P.1</t>
  </si>
  <si>
    <t>675 P.1</t>
  </si>
  <si>
    <t>677 P.1</t>
  </si>
  <si>
    <t>1649 P.1</t>
  </si>
  <si>
    <t>1650 P.1</t>
  </si>
  <si>
    <t>1651 P.1</t>
  </si>
  <si>
    <t>1652 P.1</t>
  </si>
  <si>
    <t>1653 P.1</t>
  </si>
  <si>
    <t>1655 P.1</t>
  </si>
  <si>
    <t>1648 P.1</t>
  </si>
  <si>
    <t>1647 P.1</t>
  </si>
  <si>
    <t>1654 P.1</t>
  </si>
  <si>
    <t>6579 P.1</t>
  </si>
  <si>
    <t>6580 P.1</t>
  </si>
  <si>
    <t>6581 P.1</t>
  </si>
  <si>
    <t>6583 P.1</t>
  </si>
  <si>
    <t>6586 P.1</t>
  </si>
  <si>
    <t>6587 P.1</t>
  </si>
  <si>
    <t>6588 P.1</t>
  </si>
  <si>
    <t>6589 P.1</t>
  </si>
  <si>
    <t>6590 P.1</t>
  </si>
  <si>
    <t>6594 P.1</t>
  </si>
  <si>
    <t>6584 P.1</t>
  </si>
  <si>
    <t>6585 P.1</t>
  </si>
  <si>
    <t>FFIXO TESOURARIA 73/16 P.1</t>
  </si>
  <si>
    <t>11992 P.1</t>
  </si>
  <si>
    <t>11993 P.1</t>
  </si>
  <si>
    <t>11995 P.1</t>
  </si>
  <si>
    <t>11997 P.1</t>
  </si>
  <si>
    <t>12078 P.1</t>
  </si>
  <si>
    <t>11996 P.1</t>
  </si>
  <si>
    <t>11998 P.1</t>
  </si>
  <si>
    <t>11999 P.1</t>
  </si>
  <si>
    <t>12077 P.1</t>
  </si>
  <si>
    <t>12079 P.1</t>
  </si>
  <si>
    <t>12080 P.1</t>
  </si>
  <si>
    <t>12081 P.1</t>
  </si>
  <si>
    <t>1-112120608100-0-15000000003-1-NV006958-PRO006605-0-0-0</t>
  </si>
  <si>
    <t>1-112120608100-0-15501020001-1-NV006963-PRO006605-0-0-0</t>
  </si>
  <si>
    <t>1-112120608100-0-16501060001-1-NV006961-PRO006605-0-0-0</t>
  </si>
  <si>
    <t>1-112120608100-0-16501060002-2-NV006961-PRO006605-0-0-0</t>
  </si>
  <si>
    <t>1-112120608100-0-44501040002-2-NV006960-PRO006605-0-0-0</t>
  </si>
  <si>
    <t>1-112120608100-0-46501030001-1-NV006964-PRO006605-0-0-0</t>
  </si>
  <si>
    <t>1-112120608100-0-47501090003-2-NV006965-PRO006605-0-0-0</t>
  </si>
  <si>
    <t>1-112120608100-0-49501110002-2-NV006967-PRO006605-0-0-0</t>
  </si>
  <si>
    <t>1-112120608100-0-50501050001-2-NV006968-PRO006605-0-0-0</t>
  </si>
  <si>
    <t>1-112120608100-0-62501000001-1-NV006958-PRO006605-0-0-0</t>
  </si>
  <si>
    <t>PRO006605</t>
  </si>
  <si>
    <t>sem vecto em abr/16</t>
  </si>
  <si>
    <t>01.112120402010.000.017501020004.2.NV006959.PRO006491.0.0.0</t>
  </si>
  <si>
    <t>01.112120402010.000.048501100001.1.NV006966.PRO006491.0.0.0</t>
  </si>
  <si>
    <t>01.112120402010.000.046501030001.1.NV006964.PRO006491.0.0.0</t>
  </si>
  <si>
    <t>01.112120402010.000.045501070001.1.NV006962.PRO006491.0.0.0</t>
  </si>
  <si>
    <t>01.112120402010.000.044501040001.1.NV006960.PRO006491.0.0.0</t>
  </si>
  <si>
    <t>01.112120402010.000.047501090001.1.NV006965.PRO006491.0.0.0</t>
  </si>
  <si>
    <t>01.112120402010.000.050501050001.2.NV006968.PRO006491.0.0.0</t>
  </si>
  <si>
    <t>01.112120502040.000.050501050001.2.NV006968.PRO006570.0.0.0</t>
  </si>
  <si>
    <t>01.112120502030.000.050501050001.2.NV006968.PRO006570.0.0.0</t>
  </si>
  <si>
    <t>01.112120602020.000.044501040001.1.NV006960.PRO006745.0.0.0</t>
  </si>
  <si>
    <t>01.112120602020.000.050501050001.2.NV006968.PRO006745.0.0.0</t>
  </si>
  <si>
    <t>01.112120602020.000.048501100001.1.NV006966.PRO006791.0.0.0</t>
  </si>
  <si>
    <t>01.112120502030.000.016501060001.1.NV006961.PRO006340.0.0.0</t>
  </si>
  <si>
    <t>DATASIST INFORMATICA S/C LTDA.</t>
  </si>
  <si>
    <t>01.112120502030.000.044501040001.1.NV006960.PRO006341.0.0.0</t>
  </si>
  <si>
    <t>01.112120502040.000.016501060001.1.NV006961.PRO006340.0.0.0</t>
  </si>
  <si>
    <t>01.112120502040.000.044501040001.1.NV006960.PRO006341.0.0.0</t>
  </si>
  <si>
    <t>01.112120601050.000.048501100001.1.NV006966.000000000.0.0.0</t>
  </si>
  <si>
    <t>EDMARCAS REFRIGERACAO COMERCIAL LTDA</t>
  </si>
  <si>
    <t>01.112120601050.000.049501110001.1.NV006967.000000000.0.0.0</t>
  </si>
  <si>
    <t>01.112120502040.000.015501020001.1.NV006963.PRO006827.0.0.0</t>
  </si>
  <si>
    <t>01.112120502030.000.015501020001.1.NV006963.PRO006827.0.0.0</t>
  </si>
  <si>
    <t>01.112120502040.000.047501090001.1.NV006965.PRO006836.0.0.0</t>
  </si>
  <si>
    <t>01.112120502030.000.047501090001.1.NV006965.PRO006836.0.0.0</t>
  </si>
  <si>
    <t>01.112120502030.000.046501030001.1.NV006964.PRO006843.0.0.0</t>
  </si>
  <si>
    <t>01.112120502040.000.046501030001.1.NV006964.PRO006843.0.0.0</t>
  </si>
  <si>
    <t>01.112120502040.000.017501020004.2.NV006959.PRO006847.0.0.0</t>
  </si>
  <si>
    <t>01.112120502030.000.017501020004.2.NV006959.PRO006847.0.0.0</t>
  </si>
  <si>
    <t>2026 GLOSA REF.</t>
  </si>
  <si>
    <t>2027 GLOSA REF.</t>
  </si>
  <si>
    <t>5 - RESTITUICAO</t>
  </si>
  <si>
    <t>01.112120611020.000.062501310001.2.NV000957.PRO006604.0.0.0</t>
  </si>
  <si>
    <t>01.112120611020.000.062501290001.2.NV009959.PRO006604.0.0.0</t>
  </si>
  <si>
    <t>01.112120611020.000.062501190001.2.NV008123.PRO006604.0.0.0</t>
  </si>
  <si>
    <t>01.112120611020.000.044501040001.1.NV006960.PRO006604.0.0.0</t>
  </si>
  <si>
    <t>01.112120611020.000.062501460001.2.NV003953.PRO006604.0.0.0</t>
  </si>
  <si>
    <t>01.112120611020.000.061501150001.2.NV007123.PRO006604.0.0.0</t>
  </si>
  <si>
    <t>01.112120611020.000.062501520001.2.NV003960.PRO006604.0.0.0</t>
  </si>
  <si>
    <t>01.112120611020.000.047501090001.1.NV006965.PRO006604.0.0.0</t>
  </si>
  <si>
    <t>01.112120611020.000.015501020001.1.NV006963.PRO006604.0.0.0</t>
  </si>
  <si>
    <t>01.112120611020.000.062501160001.2.NV009954.PRO006604.0.0.0</t>
  </si>
  <si>
    <t>01.112120611020.000.062501430001.2.NV003981.PRO006604.0.0.0</t>
  </si>
  <si>
    <t>01.112120611020.000.046501030001.1.NV006964.PRO006604.0.0.0</t>
  </si>
  <si>
    <t>01.112120611020.000.062501660001.2.NV003984.PRO006604.0.0.0</t>
  </si>
  <si>
    <t>01.112120611020.000.062501530001.2.NV003962.PRO006604.0.0.0</t>
  </si>
  <si>
    <t>01.112120611020.000.017501020004.2.NV006959.PRO006604.0.0.0</t>
  </si>
  <si>
    <t>01.112120611020.000.045501070001.1.NV006962.PRO006604.0.0.0</t>
  </si>
  <si>
    <t>01.112120611020.000.065501180001.2.NV008121.PRO006604.0.0.0</t>
  </si>
  <si>
    <t>01.112120611020.000.016501060001.1.NV006961.PRO006604.0.0.0</t>
  </si>
  <si>
    <t>01.112120611020.000.062501240001.2.NV009958.PRO006604.0.0.0</t>
  </si>
  <si>
    <t>01.112120611020.000.062501380001.2.NV003964.PRO006604.0.0.0</t>
  </si>
  <si>
    <t>01.112120611020.000.048501100001.1.NV006966.PRO006604.0.0.0</t>
  </si>
  <si>
    <t>01.112120611020.000.060501120001.2.NV006978.PRO006604.0.0.0</t>
  </si>
  <si>
    <t>01.112120611020.000.062501320001.2.NV002951.PRO006604.0.0.0</t>
  </si>
  <si>
    <t>01.112120611020.000.062501540001.2.NV003965.PRO006604.0.0.0</t>
  </si>
  <si>
    <t>01.112120611020.000.062501130001.2.NV000956.PRO006604.0.0.0</t>
  </si>
  <si>
    <t>01.112120611020.000.059501080001.2.NV007121.PRO006604.0.0.0</t>
  </si>
  <si>
    <t>01.112120611020.000.062501420001.2.NV003980.PRO006604.0.0.0</t>
  </si>
  <si>
    <t>3550 - GLOSA FI</t>
  </si>
  <si>
    <t>01.112120611020.000.062501230001.2.NV000952.PRO006604.0.0.0</t>
  </si>
  <si>
    <t>01.112120611020.000.050501050001.2.NV006968.PRO006604.0.0.0</t>
  </si>
  <si>
    <t>01.112120611020.000.062501280001.2.NV000953.PRO006604.0.0.0</t>
  </si>
  <si>
    <t>01.112120611020.000.062501270001.2.NV009957.PRO006604.0.0.0</t>
  </si>
  <si>
    <t>01.112120611020.000.062501250001.2.NV000955.PRO006604.0.0.0</t>
  </si>
  <si>
    <t>01.112120611020.000.062501640001.2.NV003978.PRO006604.0.0.0</t>
  </si>
  <si>
    <t>01.112120611020.000.062501260001.2.NV009955.PRO006604.0.0.0</t>
  </si>
  <si>
    <t>01.112120611020.000.057501140001.2.NV006977.PRO006604.0.0.0</t>
  </si>
  <si>
    <t>01.112120611020.000.049501110001.1.NV006967.PRO006604.0.0.0</t>
  </si>
  <si>
    <t>01.112120611020.000.062501350001.2.NV003954.PRO006604.0.0.0</t>
  </si>
  <si>
    <t>01.112120611020.000.062501220001.2.NV009960.PRO006604.0.0.0</t>
  </si>
  <si>
    <t>01.112120611020.000.062501580001.2.NV003971.PRO006604.0.0.0</t>
  </si>
  <si>
    <t>01.112120201040.000.044501040002.2.NV006960.000000000.0.0.0</t>
  </si>
  <si>
    <t>ECMICRO COMERCIO E INFORMATICA LTDA EPP</t>
  </si>
  <si>
    <t>01.112120612030.000.048501100001.1.NV006966.000000000.0.0.0</t>
  </si>
  <si>
    <t>01.112120602030.000.045501070001.1.NV006962.PRO006304.0.0.0</t>
  </si>
  <si>
    <t>MRO SERVICOS EIRELI - EPP</t>
  </si>
  <si>
    <t>4209 - RETENCAO</t>
  </si>
  <si>
    <t>INSS-HIGIENIX HIGIENIZAÇÃO E SERVIÇOS-nf-2699</t>
  </si>
  <si>
    <t>INSS-IS SERVIÇOS INTEGRADOS LTDA-ME-nf-3516</t>
  </si>
  <si>
    <t>INSS-PROJECTO ASSESSORIA E SERVIÇOS LTDA-nf-1135</t>
  </si>
  <si>
    <t>INSS-HIGIENIX HIGIENIZAÇÃO E SERVIÇOS-nf-2697</t>
  </si>
  <si>
    <t>INSS-IS SERVIÇOS INTEGRADOS LTDA-ME-nf-3514</t>
  </si>
  <si>
    <t>INSS-EMPRESA TEJOFRAN SANEA. SERVIÇOS LTDA-nf-32241</t>
  </si>
  <si>
    <t>INSS-TRAIL INFRAESTRUTURA LTDA-nf-11587</t>
  </si>
  <si>
    <t>INSS-PROJECTO ASSESSORIA E SERVIÇOS LTDA-nf-1125</t>
  </si>
  <si>
    <t>INSS-HIGIENIX HIGIENIZAÇÃO E SERVIÇOS-nf-2729</t>
  </si>
  <si>
    <t>INSS-MAZZINI ADMINISTRAÇÃO E EMPREITADAS LTDA-nf-19122</t>
  </si>
  <si>
    <t>INSS-SOCICAM ADMINISTRAÇÃO PROJETOS E REPRESENTAÇÕES LTDA-nf-4383</t>
  </si>
  <si>
    <t>INSS-EMPRESA TEJOFRAN SANEA. SERVIÇOS LTDA-nf-32240</t>
  </si>
  <si>
    <t>INSS-REAK SEG. E VIG. PATRIMONIAL LTDA-nf-10618</t>
  </si>
  <si>
    <t>INSS-MAZZINI ADMINISTRAÇÃO E EMPREITADAS LTDA-nf-19134</t>
  </si>
  <si>
    <t>INSS-GOCIL SERVIÇOS GERAIS LTDA-nf-92459</t>
  </si>
  <si>
    <t>INSS-BK CONSULTORIA E SERVIÇOS LTDA-nf-29058</t>
  </si>
  <si>
    <t>INSS-HIGIENIX HIGIENIZAÇÃO E SERVIÇOS-nf-2741</t>
  </si>
  <si>
    <t>INSS-GOCIL SERVIÇOS GERAIS LTDA-nf-92460</t>
  </si>
  <si>
    <t>INSS-BK CONSULTORIA E SERVIÇOS LTDA-nf-29061</t>
  </si>
  <si>
    <t>INSS-HIGIENIX HIGIENIZAÇÃO E SERVIÇOS-nf-2726</t>
  </si>
  <si>
    <t>INSS-PROJECTO ASSESSORIA E SERVIÇOS LTDA-nf-1129</t>
  </si>
  <si>
    <t>INSS-WORKS CONSTRUÇÕES E SERVIÇOS LTDA-nf-11693</t>
  </si>
  <si>
    <t>INSS-SOFTPARK INFORMÁTICA LTDA-nf-653</t>
  </si>
  <si>
    <t>INSS-HIGIENIX HIGIENIZAÇÃO E SERVIÇOS-nf-2731</t>
  </si>
  <si>
    <t>INSS-PROJECTO ASSESSORIA E SERVIÇOS LTDA-nf-1130</t>
  </si>
  <si>
    <t>INSS-BK CONSULTORIA E SERVIÇOS LTDA-nf-29080</t>
  </si>
  <si>
    <t>INSS-GOCIL SERVIÇOS GERAIS LTDA-nf-92457</t>
  </si>
  <si>
    <t>INSS-CONSTRUDAHER CONSTRUÇÕES LTDA-nf-3929</t>
  </si>
  <si>
    <t>INSS-PROJECTO ASSESSORIA E SERVIÇOS LTDA-nf-1126</t>
  </si>
  <si>
    <t>INSS-MPE ENGENHARIA E SERVIÇOS S/A-nf-178</t>
  </si>
  <si>
    <t>INSS-SOCICAM ADMINISTRAÇÃO PROJETOS E REPRESENTAÇÕES LTDA-nf-4385</t>
  </si>
  <si>
    <t>INSS-TRAIL INFRAESTRUTURA LTDA-nf-11580</t>
  </si>
  <si>
    <t>INSS-GOCIL SERVIÇOS GERAIS LTDA-nf-92458</t>
  </si>
  <si>
    <t>INSS-BK CONSULTORIA E SERVIÇOS LTDA-nf-29081</t>
  </si>
  <si>
    <t>INSS-CONSTRUDAHER CONSTRUÇÕES LTDA-nf-3930</t>
  </si>
  <si>
    <t>INSS-TERRACOM CONSTRUÇÕES LTDA-nf-6527</t>
  </si>
  <si>
    <t>INSS-SOCICAM ADMINISTRAÇÃO PROJETOS E REPRESENTAÇÕES LTDA-nf-4386</t>
  </si>
  <si>
    <t>INSS-TRAIL INFRAESTRUTURA LTDA-nf-11582</t>
  </si>
  <si>
    <t>INSS-PROJECTO ASSESSORIA E SERVIÇOS LTDA-nf-1134</t>
  </si>
  <si>
    <t>INSS-SOFTPARK INFORMÁTICA LTDA-nf-656</t>
  </si>
  <si>
    <t>INSS-MAZZINI ADMINISTRAÇÃO E EMPREITADAS LTDA-nf-19136</t>
  </si>
  <si>
    <t>INSS-SOFTPARK INFORMÁTICA LTDA-nf-654</t>
  </si>
  <si>
    <t>INSS-PROJECTO ASSESSORIA E SERVIÇOS LTDA-nf-1131</t>
  </si>
  <si>
    <t>INSS-HIGIENIX HIGIENIZAÇÃO E SERVIÇOS-nf-2728</t>
  </si>
  <si>
    <t>INSS-TERRACOM CONSTRUÇÕES LTDA-nf-6532</t>
  </si>
  <si>
    <t>INSS-PROJECTO ASSESSORIA E SERVIÇOS LTDA-nf-1132</t>
  </si>
  <si>
    <t>INSS-SOFTPARK INFORMÁTICA LTDA-nf-655</t>
  </si>
  <si>
    <t>INSS-WORKS CONSTRUÇÕES E SERVIÇOS LTDA-nf-11691</t>
  </si>
  <si>
    <t>INSS-MPE MONTAGENS E PROJETOS ESPECIAIS LTDA-nf-1427</t>
  </si>
  <si>
    <t>INSS-MAZZINI ADMINISTRAÇÃO E EMPREITADAS LTDA-nf-19129</t>
  </si>
  <si>
    <t>INSS-GOCIL SERVIÇOS GERAIS LTDA-nf-92461</t>
  </si>
  <si>
    <t>INSS-BK CONSULTORIA E SERVIÇOS LTDA-nf-29060</t>
  </si>
  <si>
    <t>INSS-IS SERVIÇOS INTEGRADOS LTDA-ME-nf-3512</t>
  </si>
  <si>
    <t>INSS-HIGIENIX HIGIENIZAÇÃO E SERVIÇOS-nf-2695</t>
  </si>
  <si>
    <t>INSS-PROJECTO ASSESSORIA E SERVIÇOS LTDA-nf-1133</t>
  </si>
  <si>
    <t>INSS-SOFTPARK INFORMÁTICA LTDA-nf-657</t>
  </si>
  <si>
    <t>INSS-MAZZINI ADMINISTRAÇÃO E EMPREITADAS LTDA-nf-19128</t>
  </si>
  <si>
    <t>INSS-MAZZINI ADMINISTRAÇÃO E EMPREITADAS LTDA-nf-19127</t>
  </si>
  <si>
    <t>INSS-GOCIL SERVIÇOS GERAIS LTDA-nf-92462</t>
  </si>
  <si>
    <t>INSS-BK CONSULTORIA E SERVIÇOS LTDA-nf-29059</t>
  </si>
  <si>
    <t>INSS-BK CONSULTORIA E SERVIÇOS LTDA-nf-29083</t>
  </si>
  <si>
    <t>INSS-CONSTRUDAHER CONSTRUÇÕES LTDA-nf-3935</t>
  </si>
  <si>
    <t>INSS-TRAIL INFRAESTRUTURA LTDA-nf-11583</t>
  </si>
  <si>
    <t>INSS-SOCICAM ADMINISTRAÇÃO PROJETOS E REPRESENTAÇÕES LTDA-nf-4387</t>
  </si>
  <si>
    <t>INSS-BK CONSULTORIA E SERVIÇOS LTDA-nf-29062</t>
  </si>
  <si>
    <t>INSS-CONSTRUDAHER CONSTRUÇÕES LTDA-nf-3936</t>
  </si>
  <si>
    <t>INSS-TERRACOM CONSTRUÇÕES LTDA-nf-6533</t>
  </si>
  <si>
    <t>INSS-TERRACOM CONSTRUÇÕES LTDA-nf-6534</t>
  </si>
  <si>
    <t>INSS-TRAIL INFRAESTRUTURA LTDA-nf-11586</t>
  </si>
  <si>
    <t>INSS-SOCICAM ADMINISTRAÇÃO PROJETOS E REPRESENTAÇÕES LTDA-nf-4381</t>
  </si>
  <si>
    <t>INSS-SOCICAM ADMINISTRAÇÃO PROJETOS E REPRESENTAÇÕES LTDA-nf-4380</t>
  </si>
  <si>
    <t>INSS-TRAIL INFRAESTRUTURA LTDA-nf-11585</t>
  </si>
  <si>
    <t>INSS-HIGIENIX HIGIENIZAÇÃO E SERVIÇOS-nf-2733</t>
  </si>
  <si>
    <t>INSS-REAK SEG. E VIG. PATRIMONIAL LTDA-nf-10625</t>
  </si>
  <si>
    <t>INSS-REAK SEG. E VIG. PATRIMONIAL LTDA-nf-10472</t>
  </si>
  <si>
    <t>INSS-MRO SERVIÇOS EIRELI - EPP-nf-4209</t>
  </si>
  <si>
    <t>INSS-MRO SERVIÇOS EIRELI - EPP-nf-4208</t>
  </si>
  <si>
    <t>INSS-COMERCIAL BARCELOS EIRELI - EPP-nf-1110</t>
  </si>
  <si>
    <t>INSS-REAK SEG. E VIG. PATRIMONIAL LTDA-nf-10470</t>
  </si>
  <si>
    <t>INSS-REAK SEG. E VIG. PATRIMONIAL LTDA-nf-10471</t>
  </si>
  <si>
    <t>INSS-PROJECTO ASSESSORIA E SERVIÇOS LTDA-nf-1123</t>
  </si>
  <si>
    <t>INSS-BK CONSULTORIA E SERVIÇOS LTDA-nf-29200</t>
  </si>
  <si>
    <t>INSS-IS SERVIÇOS INTEGRADOS LTDA-ME-nf-3508</t>
  </si>
  <si>
    <t>INSS-GATTO &amp; SILVA SEG. E VIG. PATRIMONIAL LTDA- EPP-nf-1877</t>
  </si>
  <si>
    <t>INSS-HIGIENIX HIGIENIZAÇÃO E SERVIÇOS-nf-2691</t>
  </si>
  <si>
    <t>INSS-BK CONSULTORIA E SERVIÇOS LTDA-nf-29201</t>
  </si>
  <si>
    <t>INSS-LYNCRA LIMPEZA E SERVIÇOS GERAIS LTDA-nf-6682</t>
  </si>
  <si>
    <t>INSS-HIGIENIX HIGIENIZAÇÃO E SERVIÇOS-nf-2693</t>
  </si>
  <si>
    <t>INSS-HIGIENIX HIGIENIZAÇÃO E SERVIÇOS-nf-2700</t>
  </si>
  <si>
    <t>INSS-IS SERVIÇOS INTEGRADOS LTDA-ME-nf-3517</t>
  </si>
  <si>
    <t>INSS-IS SERVIÇOS INTEGRADOS LTDA-ME-nf-3509</t>
  </si>
  <si>
    <t>INSS-ATENTO SÃO PAULO SERV. DE SEGURANÇA PATRIMONIAL EIRELI-nf-13740</t>
  </si>
  <si>
    <t>INSS-IS SERVIÇOS INTEGRADOS LTDA-ME-nf-3510</t>
  </si>
  <si>
    <t>INSS-HIGIENIX HIGIENIZAÇÃO E SERVIÇOS-nf-2692</t>
  </si>
  <si>
    <t>INSS-MAZZINI ADMINISTRAÇÃO E EMPREITADAS LTDA-nf-19126</t>
  </si>
  <si>
    <t>INSS-CONSTRUDAHER CONSTRUÇÕES LTDA-nf-3928</t>
  </si>
  <si>
    <t>INSS-BK CONSULTORIA E SERVIÇOS LTDA-nf-29079</t>
  </si>
  <si>
    <t>INSS-GOCIL SERVIÇOS GERAIS LTDA-nf-92456</t>
  </si>
  <si>
    <t>INSS-SOCICAM ADMINISTRAÇÃO PROJETOS E REPRESENTAÇÕES LTDA-nf-4384</t>
  </si>
  <si>
    <t>INSS-TRAIL INFRAESTRUTURA LTDA-nf-11581</t>
  </si>
  <si>
    <t>INSS-HIGIENIX HIGIENIZAÇÃO E SERVIÇOS-nf-2742</t>
  </si>
  <si>
    <t>INSS-ATP TECNOLOGIA E PRODUTOS S/A-nf-200000420</t>
  </si>
  <si>
    <t>INSS-IS SERVIÇOS INTEGRADOS LTDA-ME-nf-3492</t>
  </si>
  <si>
    <t>INSS-SOCICAM ADMINISTRAÇÃO PROJETOS E REPRESENTAÇÕES LTDA-nf-4382</t>
  </si>
  <si>
    <t>INSS-CENTURION SEGURANÇA E VIGILÂNCIA LTDA-nf-16982</t>
  </si>
  <si>
    <t>INSS-TRAIL INFRAESTRUTURA LTDA-nf-11584</t>
  </si>
  <si>
    <t>INSS-PROJECTO ASSESSORIA E SERVIÇOS LTDA-nf-1124</t>
  </si>
  <si>
    <t>INSS-HIGIENIX HIGIENIZAÇÃO E SERVIÇOS-nf-2732</t>
  </si>
  <si>
    <t>INSS-HIGIENIX HIGIENIZAÇÃO E SERVIÇOS-nf-2696</t>
  </si>
  <si>
    <t>INSS-IS SERVIÇOS INTEGRADOS LTDA-ME-nf-3513</t>
  </si>
  <si>
    <t>INSS-TRAIL INFRAESTRUTURA LTDA-nf-11588</t>
  </si>
  <si>
    <t>INSS-IS SERVIÇOS INTEGRADOS LTDA-ME-nf-3511</t>
  </si>
  <si>
    <t>INSS-HIGIENIX HIGIENIZAÇÃO E SERVIÇOS-nf-2694</t>
  </si>
  <si>
    <t>INSS-HIGIENIX HIGIENIZAÇÃO E SERVIÇOS-nf-2740</t>
  </si>
  <si>
    <t>INSS-MAZZINI ADMINISTRAÇÃO E EMPREITADAS LTDA-nf-19135</t>
  </si>
  <si>
    <t>INSS-IS SERVIÇOS INTEGRADOS LTDA-ME-nf-3515</t>
  </si>
  <si>
    <t>INSS-HIGIENIX HIGIENIZAÇÃO E SERVIÇOS-nf-2698</t>
  </si>
  <si>
    <t>INSS-ATP TECNOLOGIA E PRODUTOS S/A-nf-6</t>
  </si>
  <si>
    <t>INSS-HIGIENIX HIGIENIZAÇÃO E SERVIÇOS-nf-2730</t>
  </si>
  <si>
    <t>INSS-LYNCRA LIMPEZA E SERVIÇOS GERAIS LTDA-nf-6678</t>
  </si>
  <si>
    <t>INSS-HIGIENIX HIGIENIZAÇÃO E SERVIÇOS-nf-2727</t>
  </si>
  <si>
    <t>ISS-SOCICAM ADMINISTRAÇÃO PROJETOS E REPRESENTAÇÕES LTDA-nf-4380</t>
  </si>
  <si>
    <t>ISS-TRAIL INFRAESTRUTURA LTDA-nf-11585</t>
  </si>
  <si>
    <t>ISS-REAK SEG. E VIG. PATRIMONIAL LTDA-nf-10472</t>
  </si>
  <si>
    <t>ISS-GHS INDÚSTRIA E SERVIÇOS LTDA-nf-39944</t>
  </si>
  <si>
    <t>ISS-REAK SEG. E VIG. PATRIMONIAL LTDA-nf-10470</t>
  </si>
  <si>
    <t>ISS-BK CONSULTORIA E SERVIÇOS LTDA-nf-29083</t>
  </si>
  <si>
    <t>ISS-CONSTRUDAHER CONSTRUÇÕES LTDA-nf-3935</t>
  </si>
  <si>
    <t>ISS-GOCIL SERVIÇOS GERAIS LTDA-nf-92459</t>
  </si>
  <si>
    <t>ISS-HIGIENIX HIGIENIZAÇÃO E SERVIÇOS-nf-2741</t>
  </si>
  <si>
    <t>ISS-HIGIENIX HIGIENIZAÇÃO E SERVIÇOS-nf-2740</t>
  </si>
  <si>
    <t>ISS-MAZZINI ADMINISTRAÇÃO E EMPREITADAS LTDA-nf-19135</t>
  </si>
  <si>
    <t>ISS-PROJECTO ASSESSORIA E SERVIÇOS LTDA-nf-1135</t>
  </si>
  <si>
    <t>ISS-GOCIL SERVIÇOS GERAIS LTDA-nf-92460</t>
  </si>
  <si>
    <t>ISS-BK CONSULTORIA E SERVIÇOS LTDA-nf-29061</t>
  </si>
  <si>
    <t>ISS-HIGIENIX HIGIENIZAÇÃO E SERVIÇOS-nf-2726</t>
  </si>
  <si>
    <t>ISS-IS SERVIÇOS INTEGRADOS LTDA-ME-nf-3510</t>
  </si>
  <si>
    <t>ISS-HIGIENIX HIGIENIZAÇÃO E SERVIÇOS-nf-2692</t>
  </si>
  <si>
    <t>ISS-HIGIENIX HIGIENIZAÇÃO E SERVIÇOS-nf-2727</t>
  </si>
  <si>
    <t>ISS-SOFTPARK INFORMÁTICA LTDA-nf-653</t>
  </si>
  <si>
    <t>ISS-HIGIENIX HIGIENIZAÇÃO E SERVIÇOS-nf-2731</t>
  </si>
  <si>
    <t>ISS-GOCIL SERVIÇOS GERAIS LTDA-nf-92457</t>
  </si>
  <si>
    <t>ISS-CONSTRUDAHER CONSTRUÇÕES LTDA-nf-3929</t>
  </si>
  <si>
    <t>ISS-HIGIENIX HIGIENIZAÇÃO E SERVIÇOS-nf-2733</t>
  </si>
  <si>
    <t>ISS-REAK SEG. E VIG. PATRIMONIAL LTDA-nf-10625</t>
  </si>
  <si>
    <t>ISS-HIGIENIX HIGIENIZAÇÃO E SERVIÇOS-nf-2693</t>
  </si>
  <si>
    <t>ISS-IS SERVIÇOS INTEGRADOS LTDA-ME-nf-3509</t>
  </si>
  <si>
    <t>ISS-ATENTO SÃO PAULO SERV. DE SEGURANÇA PATRIMONIAL EIRELI-nf-13740</t>
  </si>
  <si>
    <t>ISS-CIMAX COMÉRCIO INSTALAÇÃO E MANUTENÇÃO DE AR CONDICIONADO EIRELI-nf-163</t>
  </si>
  <si>
    <t>ISS-MPE ENGENHARIA E SERVIÇOS S/A-nf-178</t>
  </si>
  <si>
    <t>ISS-SOCICAM ADMINISTRAÇÃO PROJETOS E REPRESENTAÇÕES LTDA-nf-4385</t>
  </si>
  <si>
    <t>ISS-GOCIL SERVIÇOS GERAIS LTDA-nf-92458</t>
  </si>
  <si>
    <t>ISS-BK CONSULTORIA E SERVIÇOS LTDA-nf-29081</t>
  </si>
  <si>
    <t>ISS-CONSTRUDAHER CONSTRUÇÕES LTDA-nf-3930</t>
  </si>
  <si>
    <t>ISS-TERRACOM CONSTRUÇÕES LTDA-nf-6527</t>
  </si>
  <si>
    <t>ISS-SOCICAM ADMINISTRAÇÃO PROJETOS E REPRESENTAÇÕES LTDA-nf-4386</t>
  </si>
  <si>
    <t>ISS-TRAIL INFRAESTRUTURA LTDA-nf-11582</t>
  </si>
  <si>
    <t>ISS-HIGIENIX HIGIENIZAÇÃO E SERVIÇOS-nf-2697</t>
  </si>
  <si>
    <t>ISS-IS SERVIÇOS INTEGRADOS LTDA-ME-nf-3514</t>
  </si>
  <si>
    <t>ISS-EMPRESA TEJOFRAN SANEA. SERVIÇOS LTDA-nf-32241</t>
  </si>
  <si>
    <t>ISS-TRAIL INFRAESTRUTURA LTDA-nf-11587</t>
  </si>
  <si>
    <t>ISS-SOFTPARK INFORMÁTICA LTDA-nf-656</t>
  </si>
  <si>
    <t>ISS-MAZZINI ADMINISTRAÇÃO E EMPREITADAS LTDA-nf-19136</t>
  </si>
  <si>
    <t>ISS-BK CONSULTORIA E SERVIÇOS LTDA-nf-29200</t>
  </si>
  <si>
    <t>ISS-SOFTPARK INFORMÁTICA LTDA-nf-654</t>
  </si>
  <si>
    <t>ISS-HIGIENIX HIGIENIZAÇÃO E SERVIÇOS-nf-2728</t>
  </si>
  <si>
    <t>ISS-TERRACOM CONSTRUÇÕES LTDA-nf-6532</t>
  </si>
  <si>
    <t>ISS-SOCICAM ADMINISTRAÇÃO PROJETOS E REPRESENTAÇÕES LTDA-nf-4381</t>
  </si>
  <si>
    <t>ISS-PROJECTO ASSESSORIA E SERVIÇOS LTDA-nf-1132</t>
  </si>
  <si>
    <t>ISS-SOFTPARK INFORMÁTICA LTDA-nf-655</t>
  </si>
  <si>
    <t>ISS-IS SERVIÇOS INTEGRADOS LTDA-ME-nf-3492</t>
  </si>
  <si>
    <t>ISS-SOCICAM ADMINISTRAÇÃO PROJETOS E REPRESENTAÇÕES LTDA-nf-4382</t>
  </si>
  <si>
    <t>ISS-CENTURION SEGURANÇA E VIGILÂNCIA LTDA-nf-16982</t>
  </si>
  <si>
    <t>ISS-BK CONSULTORIA E SERVIÇOS LTDA-nf-29062</t>
  </si>
  <si>
    <t>ISS-CONSTRUDAHER CONSTRUÇÕES LTDA-nf-3936</t>
  </si>
  <si>
    <t>ISS-MPE MONTAGENS E PROJETOS ESPECIAIS LTDA-nf-1427</t>
  </si>
  <si>
    <t>ISS-MAZZINI ADMINISTRAÇÃO E EMPREITADAS LTDA-nf-19129</t>
  </si>
  <si>
    <t>ISS-IS SERVIÇOS INTEGRADOS LTDA-ME-nf-3511</t>
  </si>
  <si>
    <t>ISS-SOCICAM ADMINISTRAÇÃO PROJETOS E REPRESENTAÇÕES LTDA-nf-4383</t>
  </si>
  <si>
    <t>ISS-EMPRESA TEJOFRAN SANEA. SERVIÇOS LTDA-nf-32240</t>
  </si>
  <si>
    <t>ISS-REAK SEG. E VIG. PATRIMONIAL LTDA-nf-10618</t>
  </si>
  <si>
    <t>ISS-GOCIL SERVIÇOS GERAIS LTDA-nf-92461</t>
  </si>
  <si>
    <t>ISS-CONSTRUDAHER CONSTRUÇÕES LTDA-nf-3928</t>
  </si>
  <si>
    <t>ISS-BK CONSULTORIA E SERVIÇOS LTDA-nf-29079</t>
  </si>
  <si>
    <t>ISS-GOCIL SERVIÇOS GERAIS LTDA-nf-92456</t>
  </si>
  <si>
    <t>ISS-IS SERVIÇOS INTEGRADOS LTDA-ME-nf-3512</t>
  </si>
  <si>
    <t>ISS-HIGIENIX HIGIENIZAÇÃO E SERVIÇOS-nf-2695</t>
  </si>
  <si>
    <t>ISS-TERRACOM CONSTRUÇÕES LTDA-nf-6533</t>
  </si>
  <si>
    <t>ISS-PROJECTO ASSESSORIA E SERVIÇOS LTDA-nf-1133</t>
  </si>
  <si>
    <t>ISS-SOFTPARK INFORMÁTICA LTDA-nf-657</t>
  </si>
  <si>
    <t>ISS-PROJECTO ASSESSORIA E SERVIÇOS LTDA-nf-1124</t>
  </si>
  <si>
    <t>ISS-HIGIENIX HIGIENIZAÇÃO E SERVIÇOS-nf-2732</t>
  </si>
  <si>
    <t>ISS-MAZZINI ADMINISTRAÇÃO E EMPREITADAS LTDA-nf-19128</t>
  </si>
  <si>
    <t>ISS-HIGIENIX HIGIENIZAÇÃO E SERVIÇOS-nf-2696</t>
  </si>
  <si>
    <t>ISS-IS SERVIÇOS INTEGRADOS LTDA-ME-nf-3513</t>
  </si>
  <si>
    <t>ISS-TRAIL INFRAESTRUTURA LTDA-nf-11588</t>
  </si>
  <si>
    <t>ISS-MAZZINI ADMINISTRAÇÃO E EMPREITADAS LTDA-nf-19127</t>
  </si>
  <si>
    <t>ISS-IS SERVIÇOS INTEGRADOS LTDA-ME-nf-3508</t>
  </si>
  <si>
    <t>ISS-GATTO &amp; SILVA SEG. E VIG. PATRIMONIAL LTDA- EPP-nf-1877</t>
  </si>
  <si>
    <t>ISS-HIGIENIX HIGIENIZAÇÃO E SERVIÇOS-nf-2691</t>
  </si>
  <si>
    <t>ISS-BK CONSULTORIA E SERVIÇOS LTDA-nf-29201</t>
  </si>
  <si>
    <t>ISS-LYNCRA LIMPEZA E SERVIÇOS GERAIS LTDA-nf-6682</t>
  </si>
  <si>
    <t>ISS-IS SERVIÇOS INTEGRADOS LTDA-ME-nf-3515</t>
  </si>
  <si>
    <t>ISS-HIGIENIX HIGIENIZAÇÃO E SERVIÇOS-nf-2698</t>
  </si>
  <si>
    <t>ISS-ATP TECNOLOGIA E PRODUTOS S/A-nf-6</t>
  </si>
  <si>
    <t>ISS-MAZZINI ADMINISTRAÇÃO E EMPREITADAS LTDA-nf-19134</t>
  </si>
  <si>
    <t>ISS-MAZZINI ADMINISTRAÇÃO E EMPREITADAS LTDA-nf-19126</t>
  </si>
  <si>
    <t>ISS-HIGIENIX HIGIENIZAÇÃO E SERVIÇOS-nf-2699</t>
  </si>
  <si>
    <t>ISS-IS SERVIÇOS INTEGRADOS LTDA-ME-nf-3516</t>
  </si>
  <si>
    <t>ISS-GOCIL SERVIÇOS GERAIS LTDA-nf-92462</t>
  </si>
  <si>
    <t>ISS-SOCICAM ADMINISTRAÇÃO PROJETOS E REPRESENTAÇÕES LTDA-nf-4384</t>
  </si>
  <si>
    <t>ISS-HIGIENIX HIGIENIZAÇÃO E SERVIÇOS-nf-2742</t>
  </si>
  <si>
    <t>ISS-TERRACOM CONSTRUÇÕES LTDA-nf-6534</t>
  </si>
  <si>
    <t>ISS-MRO SERVIÇOS EIRELI - EPP-nf-4209</t>
  </si>
  <si>
    <t>ISS-MRO SERVIÇOS EIRELI - EPP-nf-4208</t>
  </si>
  <si>
    <t>ISS-PROJECTO ASSESSORIA E SERVIÇOS LTDA-nf-1125</t>
  </si>
  <si>
    <t>ISS-HIGIENIX HIGIENIZAÇÃO E SERVIÇOS-nf-2729</t>
  </si>
  <si>
    <t>ISS-MAZZINI ADMINISTRAÇÃO E EMPREITADAS LTDA-nf-19122</t>
  </si>
  <si>
    <t>ISS-HIGIENIX HIGIENIZAÇÃO E SERVIÇOS-nf-2730</t>
  </si>
  <si>
    <t>ISS-LYNCRA LIMPEZA E SERVIÇOS GERAIS LTDA-nf-6678</t>
  </si>
  <si>
    <t>ISS-ATP TECNOLOGIA E PRODUTOS S/A-nf-200000420</t>
  </si>
  <si>
    <t>ISS-TRAIL INFRAESTRUTURA LTDA-nf-11583</t>
  </si>
  <si>
    <t>ISS-SOCICAM ADMINISTRAÇÃO PROJETOS E REPRESENTAÇÕES LTDA-nf-4387</t>
  </si>
  <si>
    <t>PIS/COFINS/CSLL-HIGIENIX HIGIENIZAÇÃO E SERVIÇOS-nf-2635</t>
  </si>
  <si>
    <t>PIS/COFINS/CSLL-CENTURION SEGURANÇA E VIGILÂNCIA LTDA-nf-16860</t>
  </si>
  <si>
    <t>PIS/COFINS/CSLL-G4S INTERATIVA SERVICE LTDA-nf-5478</t>
  </si>
  <si>
    <t>PIS/COFINS/CSLL-TELAR ENGENHARIA E COMÉRCIO LTDA-nf-417</t>
  </si>
  <si>
    <t>PIS/COFINS/CSLL-MAZZINI ADMINISTRAÇÃO E EMPREITADAS LTDA-nf-17774</t>
  </si>
  <si>
    <t>PIS/COFINS/CSLL-LIMPECOM SERVIÇOS LTDA - ME-nf-2415</t>
  </si>
  <si>
    <t>IRRF-HIGIENIX HIGIENIZAÇÃO E SERVIÇOS-nf-2699</t>
  </si>
  <si>
    <t>IRRF-IS SERVIÇOS INTEGRADOS LTDA-ME-nf-3516</t>
  </si>
  <si>
    <t>PIS/COFINS/CSLL-GATTO &amp; SILVA SEG. E VIG. PATRIMONIAL LTDA- EPP-nf-1844</t>
  </si>
  <si>
    <t>PIS/COFINS/CSLL-PROJECTO ASSESSORIA E SERVIÇOS LTDA-nf-1109</t>
  </si>
  <si>
    <t>PIS/COFINS/CSLL-LIMPECOM SERVIÇOS LTDA - ME-nf-2414</t>
  </si>
  <si>
    <t>IRRF-PROJECTO ASSESSORIA E SERVIÇOS LTDA-nf-1135</t>
  </si>
  <si>
    <t>PIS/COFINS/CSLL-CENTURION SEGURANÇA E VIGILÂNCIA LTDA-nf-16864</t>
  </si>
  <si>
    <t>IRRF-HIGIENIX HIGIENIZAÇÃO E SERVIÇOS-nf-2697</t>
  </si>
  <si>
    <t>IRRF-IS SERVIÇOS INTEGRADOS LTDA-ME-nf-3514</t>
  </si>
  <si>
    <t>IRRF-EMPRESA TEJOFRAN SANEA. SERVIÇOS LTDA-nf-32241</t>
  </si>
  <si>
    <t>IRRF-TRAIL INFRAESTRUTURA LTDA-nf-11587</t>
  </si>
  <si>
    <t>PIS/COFINS/CSLL-CENTURION SEGURANÇA E VIGILÂNCIA LTDA-nf-16841</t>
  </si>
  <si>
    <t>PIS/COFINS/CSLL-CENTURION SEGURANÇA E VIGILÂNCIA LTDA-nf-16873</t>
  </si>
  <si>
    <t>IRRF-PROJECTO ASSESSORIA E SERVIÇOS LTDA-nf-1125</t>
  </si>
  <si>
    <t>IRRF-HIGIENIX HIGIENIZAÇÃO E SERVIÇOS-nf-2729</t>
  </si>
  <si>
    <t>IRRF-MAZZINI ADMINISTRAÇÃO E EMPREITADAS LTDA-nf-19122</t>
  </si>
  <si>
    <t>PIS/COFINS/CSLL-REAK SEG. E VIG. PATRIMONIAL LTDA-nf-10352</t>
  </si>
  <si>
    <t>IRRF-SOCICAM ADMINISTRAÇÃO PROJETOS E REPRESENTAÇÕES LTDA-nf-4383</t>
  </si>
  <si>
    <t>IRRF-EMPRESA TEJOFRAN SANEA. SERVIÇOS LTDA-nf-32240</t>
  </si>
  <si>
    <t>IRRF-REAK SEG. E VIG. PATRIMONIAL LTDA-nf-10618</t>
  </si>
  <si>
    <t>PIS/COFINS/CSLL-CENTURION SEGURANÇA E VIGILÂNCIA LTDA-nf-16888</t>
  </si>
  <si>
    <t>PIS/COFINS/CSLL-IS SERVIÇOS INTEGRADOS LTDA-ME-nf-3402</t>
  </si>
  <si>
    <t>IRRF-MAZZINI ADMINISTRAÇÃO E EMPREITADAS LTDA-nf-19134</t>
  </si>
  <si>
    <t>IRRF-GOCIL SERVIÇOS GERAIS LTDA-nf-92459</t>
  </si>
  <si>
    <t>IRRF-BK CONSULTORIA E SERVIÇOS LTDA-nf-29058</t>
  </si>
  <si>
    <t>PIS/COFINS/CSLL-CENTURION SEGURANÇA E VIGILÂNCIA LTDA-nf-16854,02</t>
  </si>
  <si>
    <t>IRRF-HIGIENIX HIGIENIZAÇÃO E SERVIÇOS-nf-2741</t>
  </si>
  <si>
    <t>PIS/COFINS/CSLL-CENTURION SEGURANÇA E VIGILÂNCIA LTDA-nf-16855,02</t>
  </si>
  <si>
    <t>IRRF-GOCIL SERVIÇOS GERAIS LTDA-nf-92460</t>
  </si>
  <si>
    <t>IRRF-BK CONSULTORIA E SERVIÇOS LTDA-nf-29061</t>
  </si>
  <si>
    <t>IRRF-HIGIENIX HIGIENIZAÇÃO E SERVIÇOS-nf-2726</t>
  </si>
  <si>
    <t>IRRF-PROJECTO ASSESSORIA E SERVIÇOS LTDA-nf-1129</t>
  </si>
  <si>
    <t>IRRF-WORKS CONSTRUÇÕES E SERVIÇOS LTDA-nf-11693</t>
  </si>
  <si>
    <t>PIS/COFINS/CSLL-CENTURION SEGURANÇA E VIGILÂNCIA LTDA-nf-16856</t>
  </si>
  <si>
    <t>PIS/COFINS/CSLL-CENTURION SEGURANÇA E VIGILÂNCIA LTDA-nf-16858</t>
  </si>
  <si>
    <t>IRRF-SOFTPARK INFORMÁTICA LTDA-nf-653</t>
  </si>
  <si>
    <t>IRRF-HIGIENIX HIGIENIZAÇÃO E SERVIÇOS-nf-2731</t>
  </si>
  <si>
    <t>IRRF-PROJECTO ASSESSORIA E SERVIÇOS LTDA-nf-1130</t>
  </si>
  <si>
    <t>IRRF-BK CONSULTORIA E SERVIÇOS LTDA-nf-29080</t>
  </si>
  <si>
    <t>IRRF-GOCIL SERVIÇOS GERAIS LTDA-nf-92457</t>
  </si>
  <si>
    <t>IRRF-CONSTRUDAHER CONSTRUÇÕES LTDA-nf-3929</t>
  </si>
  <si>
    <t>PIS/COFINS/CSLL-CENTURION SEGURANÇA E VIGILÂNCIA LTDA-nf-16861</t>
  </si>
  <si>
    <t>IRRF-PROJECTO ASSESSORIA E SERVIÇOS LTDA-nf-1126</t>
  </si>
  <si>
    <t>IRRF-MPE ENGENHARIA E SERVIÇOS S/A-nf-178</t>
  </si>
  <si>
    <t>IRRF-SOCICAM ADMINISTRAÇÃO PROJETOS E REPRESENTAÇÕES LTDA-nf-4385</t>
  </si>
  <si>
    <t>IRRF-TRAIL INFRAESTRUTURA LTDA-nf-11580</t>
  </si>
  <si>
    <t>PIS/COFINS/CSLL-CENTURION SEGURANÇA E VIGILÂNCIA LTDA-nf-16862</t>
  </si>
  <si>
    <t>IRRF-GOCIL SERVIÇOS GERAIS LTDA-nf-92458</t>
  </si>
  <si>
    <t>IRRF-BK CONSULTORIA E SERVIÇOS LTDA-nf-29081</t>
  </si>
  <si>
    <t>IRRF-CONSTRUDAHER CONSTRUÇÕES LTDA-nf-3930</t>
  </si>
  <si>
    <t>PIS/COFINS/CSLL-CENTURION SEGURANÇA E VIGILÂNCIA LTDA-nf-16863</t>
  </si>
  <si>
    <t>IRRF-TERRACOM CONSTRUÇÕES LTDA-nf-6527</t>
  </si>
  <si>
    <t>IRRF-SOCICAM ADMINISTRAÇÃO PROJETOS E REPRESENTAÇÕES LTDA-nf-4386</t>
  </si>
  <si>
    <t>IRRF-TRAIL INFRAESTRUTURA LTDA-nf-11582</t>
  </si>
  <si>
    <t>IRRF-PROJECTO ASSESSORIA E SERVIÇOS LTDA-nf-1134</t>
  </si>
  <si>
    <t>IRRF-SOFTPARK INFORMÁTICA LTDA-nf-656</t>
  </si>
  <si>
    <t>PIS/COFINS/CSLL-CENTURION SEGURANÇA E VIGILÂNCIA LTDA-nf-16865</t>
  </si>
  <si>
    <t>IRRF-MAZZINI ADMINISTRAÇÃO E EMPREITADAS LTDA-nf-19136</t>
  </si>
  <si>
    <t>IRRF-SOFTPARK INFORMÁTICA LTDA-nf-654</t>
  </si>
  <si>
    <t>IRRF-PROJECTO ASSESSORIA E SERVIÇOS LTDA-nf-1131</t>
  </si>
  <si>
    <t>PIS/COFINS/CSLL-CENTURION SEGURANÇA E VIGILÂNCIA LTDA-nf-16866</t>
  </si>
  <si>
    <t>IRRF-HIGIENIX HIGIENIZAÇÃO E SERVIÇOS-nf-2728</t>
  </si>
  <si>
    <t>IRRF-TERRACOM CONSTRUÇÕES LTDA-nf-6532</t>
  </si>
  <si>
    <t>IRRF-PROJECTO ASSESSORIA E SERVIÇOS LTDA-nf-1132</t>
  </si>
  <si>
    <t>IRRF-SOFTPARK INFORMÁTICA LTDA-nf-655</t>
  </si>
  <si>
    <t>PIS/COFINS/CSLL-CENTURION SEGURANÇA E VIGILÂNCIA LTDA-nf-16835</t>
  </si>
  <si>
    <t>IRRF-WORKS CONSTRUÇÕES E SERVIÇOS LTDA-nf-11691</t>
  </si>
  <si>
    <t>IRRF-MPE MONTAGENS E PROJETOS ESPECIAIS LTDA-nf-1427</t>
  </si>
  <si>
    <t>IRRF-MAZZINI ADMINISTRAÇÃO E EMPREITADAS LTDA-nf-19129</t>
  </si>
  <si>
    <t>PIS/COFINS/CSLL-CENTURION SEGURANÇA E VIGILÂNCIA LTDA-nf-16836</t>
  </si>
  <si>
    <t>IRRF-GOCIL SERVIÇOS GERAIS LTDA-nf-92461</t>
  </si>
  <si>
    <t>IRRF-BK CONSULTORIA E SERVIÇOS LTDA-nf-29060</t>
  </si>
  <si>
    <t>PIS/COFINS/CSLL-PROJECTO ASSESSORIA E SERVIÇOS LTDA-nf-1102</t>
  </si>
  <si>
    <t>PIS/COFINS/CSLL-CENTURION SEGURANÇA E VIGILÂNCIA LTDA-nf-16837</t>
  </si>
  <si>
    <t>IRRF-IS SERVIÇOS INTEGRADOS LTDA-ME-nf-3512</t>
  </si>
  <si>
    <t>IRRF-HIGIENIX HIGIENIZAÇÃO E SERVIÇOS-nf-2695</t>
  </si>
  <si>
    <t>IRRF-PROJECTO ASSESSORIA E SERVIÇOS LTDA-nf-1133</t>
  </si>
  <si>
    <t>IRRF-SOFTPARK INFORMÁTICA LTDA-nf-657</t>
  </si>
  <si>
    <t>PIS/COFINS/CSLL-CENTURION SEGURANÇA E VIGILÂNCIA LTDA-nf-16869</t>
  </si>
  <si>
    <t>IRRF-MAZZINI ADMINISTRAÇÃO E EMPREITADAS LTDA-nf-19128</t>
  </si>
  <si>
    <t>PIS/COFINS/CSLL-CENTURION SEGURANÇA E VIGILÂNCIA LTDA-nf-16870</t>
  </si>
  <si>
    <t>IRRF-MAZZINI ADMINISTRAÇÃO E EMPREITADAS LTDA-nf-19127</t>
  </si>
  <si>
    <t>IRRF-GOCIL SERVIÇOS GERAIS LTDA-nf-92462</t>
  </si>
  <si>
    <t>IRRF-BK CONSULTORIA E SERVIÇOS LTDA-nf-29059</t>
  </si>
  <si>
    <t>PIS/COFINS/CSLL-CENTURION SEGURANÇA E VIGILÂNCIA LTDA-nf-16889</t>
  </si>
  <si>
    <t>IRRF-BK CONSULTORIA E SERVIÇOS LTDA-nf-29083</t>
  </si>
  <si>
    <t>IRRF-CONSTRUDAHER CONSTRUÇÕES LTDA-nf-3935</t>
  </si>
  <si>
    <t>IRRF-TRAIL INFRAESTRUTURA LTDA-nf-11583</t>
  </si>
  <si>
    <t>IRRF-SOCICAM ADMINISTRAÇÃO PROJETOS E REPRESENTAÇÕES LTDA-nf-4387</t>
  </si>
  <si>
    <t>IRRF-BK CONSULTORIA E SERVIÇOS LTDA-nf-29062</t>
  </si>
  <si>
    <t>IRRF-CONSTRUDAHER CONSTRUÇÕES LTDA-nf-3936</t>
  </si>
  <si>
    <t>IRRF-TERRACOM CONSTRUÇÕES LTDA-nf-6533</t>
  </si>
  <si>
    <t>IRRF-TERRACOM CONSTRUÇÕES LTDA-nf-6534</t>
  </si>
  <si>
    <t>IRRF-TRAIL INFRAESTRUTURA LTDA-nf-11586</t>
  </si>
  <si>
    <t>IRRF-SOCICAM ADMINISTRAÇÃO PROJETOS E REPRESENTAÇÕES LTDA-nf-4381</t>
  </si>
  <si>
    <t>IRRF-TB SERVIÇOS, TRANSPORTES, LIMPEZA, GERENCIAMENTO E RECURSOS HUMANOS S.A-nf-1609</t>
  </si>
  <si>
    <t>IRRF-SOCICAM ADMINISTRAÇÃO PROJETOS E REPRESENTAÇÕES LTDA-nf-4380</t>
  </si>
  <si>
    <t>IRRF-TRAIL INFRAESTRUTURA LTDA-nf-11585</t>
  </si>
  <si>
    <t>PIS/COFINS/CSLL-G&amp;P PROJETOS E SISTEMAS S/A-nf-5498</t>
  </si>
  <si>
    <t>PIS/COFINS/CSLL-G&amp;P PROJETOS E SISTEMAS S/A-nf-5495</t>
  </si>
  <si>
    <t>PIS/COFINS/CSLL-GHS INDÚSTRIA E SERVIÇOS LTDA-nf-39641</t>
  </si>
  <si>
    <t>PIS/COFINS/CSLL-REALEZA INFORMÁTICA LTDA-nf-20837</t>
  </si>
  <si>
    <t>PIS/COFINS/CSLL-REALEZA INFORMÁTICA LTDA-nf-20833</t>
  </si>
  <si>
    <t>PIS/COFINS/CSLL-REALEZA INFORMÁTICA LTDA-nf-20836</t>
  </si>
  <si>
    <t>PIS/COFINS/CSLL-REALEZA INFORMÁTICA LTDA-nf-20835</t>
  </si>
  <si>
    <t>PIS/COFINS/CSLL-REALEZA INFORMÁTICA LTDA-nf-20838</t>
  </si>
  <si>
    <t>PIS/COFINS/CSLL-3CORP TECHNOLOGY S/A INFRAESTRUTURA DE TELECOM-nf-5350</t>
  </si>
  <si>
    <t>PIS/COFINS/CSLL-G&amp;P PROJETOS E SISTEMAS S/A-nf-5490</t>
  </si>
  <si>
    <t>PIS/COFINS/CSLL-PROJECTO ASSESSORIA E SERVIÇOS LTDA-nf-1117</t>
  </si>
  <si>
    <t>PIS/COFINS/CSLL-ALTERNATIVA SERVIÇOS E TERCEIRIZAÇÃO EM GERAL LTDA-nf-1988</t>
  </si>
  <si>
    <t>PIS/COFINS/CSLL-CTIS TECNOLOGIA S/A-nf-66429</t>
  </si>
  <si>
    <t>PIS/COFINS/CSLL-DATASIST INFORMÁTICA S/C LTDA.-nf-5835</t>
  </si>
  <si>
    <t>PIS/COFINS/CSLL-G&amp;P PROJETOS E SISTEMAS S/A-nf-5465</t>
  </si>
  <si>
    <t>PIS/COFINS/CSLL-CIMAX COMÉRCIO INSTALAÇÃO E MANUTENÇÃO DE AR CONDICIONADO EIRELI-nf-155</t>
  </si>
  <si>
    <t>PIS/COFINS/CSLL-REAK SEG. E VIG. PATRIMONIAL LTDA-nf-10211</t>
  </si>
  <si>
    <t>IRRF-LYNCRA LIMPEZA E SERVIÇOS GERAIS LTDA-nf-6434</t>
  </si>
  <si>
    <t>IRRF-HIGIENIX HIGIENIZAÇÃO E SERVIÇOS-nf-2733</t>
  </si>
  <si>
    <t>PIS/COFINS/CSLL-LYNCRA LIMPEZA E SERVIÇOS GERAIS LTDA-nf-6434</t>
  </si>
  <si>
    <t>IRRF-REAK SEG. E VIG. PATRIMONIAL LTDA-nf-10625</t>
  </si>
  <si>
    <t>PIS/COFINS/CSLL-ARS ASSESSORIA E CONSULTORIA EMPRESARIAL LTDA-nf-50</t>
  </si>
  <si>
    <t>PIS/COFINS/CSLL-CREL ELEVADORES LTDA.-nf-91704</t>
  </si>
  <si>
    <t>PIS/COFINS/CSLL-DATASIST INFORMÁTICA S/C LTDA.-nf-5834</t>
  </si>
  <si>
    <t>PIS/COFINS/CSLL-G&amp;P PROJETOS E SISTEMAS S/A-nf-5504</t>
  </si>
  <si>
    <t>PIS/COFINS/CSLL-REAK SEG. E VIG. PATRIMONIAL LTDA-nf-10171</t>
  </si>
  <si>
    <t>IRRF-REAK SEG. E VIG. PATRIMONIAL LTDA-nf-10472</t>
  </si>
  <si>
    <t>IRRF-ARS ASSESSORIA E CONSULTORIA EMPRESARIAL LTDA-nf-51</t>
  </si>
  <si>
    <t>PIS/COFINS/CSLL-ALTERNATIVA SERVIÇOS E TERCEIRIZAÇÃO EM GERAL LTDA-nf-1979</t>
  </si>
  <si>
    <t>PIS/COFINS/CSLL-G&amp;P PROJETOS E SISTEMAS S/A-nf-5493</t>
  </si>
  <si>
    <t>PIS/COFINS/CSLL-CENTURION SEGURANÇA E VIGILÂNCIA LTDA-nf-16838</t>
  </si>
  <si>
    <t>IRRF-MRO SERVIÇOS EIRELI - EPP-nf-4209</t>
  </si>
  <si>
    <t>IRRF-MRO SERVIÇOS EIRELI - EPP-nf-4208</t>
  </si>
  <si>
    <t>PIS/COFINS/CSLL-G&amp;P PROJETOS E SISTEMAS S/A-nf-5494</t>
  </si>
  <si>
    <t>PIS/COFINS/CSLL-CENTURION SEGURANÇA E VIGILÂNCIA LTDA-nf-16839</t>
  </si>
  <si>
    <t>PIS/COFINS/CSLL-ALTERNATIVA SERVIÇOS E TERCEIRIZAÇÃO EM GERAL LTDA-nf-1986</t>
  </si>
  <si>
    <t>PIS/COFINS/CSLL-G&amp;P PROJETOS E SISTEMAS S/A-nf-5488</t>
  </si>
  <si>
    <t>PIS/COFINS/CSLL-REAK SEG. E VIG. PATRIMONIAL LTDA-nf-10351</t>
  </si>
  <si>
    <t>PIS/COFINS/CSLL-PROJECTO ASSESSORIA E SERVIÇOS LTDA-nf-1118</t>
  </si>
  <si>
    <t>IRRF-REAK SEG. E VIG. PATRIMONIAL LTDA-nf-10470</t>
  </si>
  <si>
    <t>PIS/COFINS/CSLL-ALTERNATIVA SERVIÇOS E TERCEIRIZAÇÃO EM GERAL LTDA-nf-1975</t>
  </si>
  <si>
    <t>PIS/COFINS/CSLL-G&amp;P PROJETOS E SISTEMAS S/A-nf-5492</t>
  </si>
  <si>
    <t>PIS/COFINS/CSLL-REAK SEG. E VIG. PATRIMONIAL LTDA-nf-10150</t>
  </si>
  <si>
    <t>IRRF-REAK SEG. E VIG. PATRIMONIAL LTDA-nf-10471</t>
  </si>
  <si>
    <t>PIS/COFINS/CSLL-CIMAX COMÉRCIO INSTALAÇÃO E MANUTENÇÃO DE AR CONDICIONADO EIRELI-nf-153,02</t>
  </si>
  <si>
    <t>PIS/COFINS/CSLL-CIA PAULISTA DE OBRAS E SERVICOS-CPOS-nf-9281</t>
  </si>
  <si>
    <t>PIS/COFINS/CSLL-G&amp;P PROJETOS E SISTEMAS S/A-nf-5489</t>
  </si>
  <si>
    <t>PIS/COFINS/CSLL-CENTURION SEGURANÇA E VIGILÂNCIA LTDA-nf-16834</t>
  </si>
  <si>
    <t>IRRF-PROJECTO ASSESSORIA E SERVIÇOS LTDA-nf-1123</t>
  </si>
  <si>
    <t>PIS/COFINS/CSLL-PROJECTO ASSESSORIA E SERVIÇOS LTDA-nf-1123</t>
  </si>
  <si>
    <t>IRRF-BK CONSULTORIA E SERVIÇOS LTDA-nf-29200</t>
  </si>
  <si>
    <t>PIS/COFINS/CSLL-G&amp;P PROJETOS E SISTEMAS S/A-nf-5491</t>
  </si>
  <si>
    <t>IRRF-IS SERVIÇOS INTEGRADOS LTDA-ME-nf-3508</t>
  </si>
  <si>
    <t>PIS/COFINS/CSLL-GATTO &amp; SILVA SEG. E VIG. PATRIMONIAL LTDA- EPP-nf-1843</t>
  </si>
  <si>
    <t>IRRF-GATTO &amp; SILVA SEG. E VIG. PATRIMONIAL LTDA- EPP-nf-1877</t>
  </si>
  <si>
    <t>PIS/COFINS/CSLL-PROJECTO ASSESSORIA E SERVIÇOS LTDA-nf-1115</t>
  </si>
  <si>
    <t>IRRF-HIGIENIX HIGIENIZAÇÃO E SERVIÇOS-nf-2691</t>
  </si>
  <si>
    <t>IRRF-BK CONSULTORIA E SERVIÇOS LTDA-nf-29201</t>
  </si>
  <si>
    <t>IRRF-LYNCRA LIMPEZA E SERVIÇOS GERAIS LTDA-nf-6682</t>
  </si>
  <si>
    <t>PIS/COFINS/CSLL-G&amp;P PROJETOS E SISTEMAS S/A-nf-5466</t>
  </si>
  <si>
    <t>PIS/COFINS/CSLL-CIMAX COMÉRCIO INSTALAÇÃO E MANUTENÇÃO DE AR CONDICIONADO EIRELI-nf-154</t>
  </si>
  <si>
    <t>PIS/COFINS/CSLL-ALTERNATIVA SERVIÇOS E TERCEIRIZAÇÃO EM GERAL LTDA-nf-1982</t>
  </si>
  <si>
    <t>IRRF-HIGIENIX HIGIENIZAÇÃO E SERVIÇOS-nf-2693</t>
  </si>
  <si>
    <t>IRRF-HIGIENIX HIGIENIZAÇÃO E SERVIÇOS-nf-2700</t>
  </si>
  <si>
    <t>IRRF-IS SERVIÇOS INTEGRADOS LTDA-ME-nf-3509</t>
  </si>
  <si>
    <t>IRRF-IS SERVIÇOS INTEGRADOS LTDA-ME-nf-3517</t>
  </si>
  <si>
    <t>IRRF-ATENTO SÃO PAULO SERV. DE SEGURANÇA PATRIMONIAL EIRELI-nf-13740</t>
  </si>
  <si>
    <t>IRRF-CIMAX COMÉRCIO INSTALAÇÃO E MANUTENÇÃO DE AR CONDICIONADO EIRELI-nf-163</t>
  </si>
  <si>
    <t>PIS/COFINS/CSLL-ATENTO SÃO PAULO SERV. DE SEGURANÇA PATRIMONIAL EIRELI-nf-13355</t>
  </si>
  <si>
    <t>PIS/COFINS/CSLL-CENTURION SEGURANÇA E VIGILÂNCIA LTDA-nf-16885</t>
  </si>
  <si>
    <t>IRRF-IS SERVIÇOS INTEGRADOS LTDA-ME-nf-3510</t>
  </si>
  <si>
    <t>IRRF-HIGIENIX HIGIENIZAÇÃO E SERVIÇOS-nf-2692</t>
  </si>
  <si>
    <t>PIS/COFINS/CSLL-CENTURION SEGURANÇA E VIGILÂNCIA LTDA-nf-16871</t>
  </si>
  <si>
    <t>IRRF-MAZZINI ADMINISTRAÇÃO E EMPREITADAS LTDA-nf-19126</t>
  </si>
  <si>
    <t>PIS/COFINS/CSLL-CENTURION SEGURANÇA E VIGILÂNCIA LTDA-nf-16887</t>
  </si>
  <si>
    <t>IRRF-CONSTRUDAHER CONSTRUÇÕES LTDA-nf-3928</t>
  </si>
  <si>
    <t>IRRF-BK CONSULTORIA E SERVIÇOS LTDA-nf-29079</t>
  </si>
  <si>
    <t>IRRF-GOCIL SERVIÇOS GERAIS LTDA-nf-92456</t>
  </si>
  <si>
    <t>PIS/COFINS/CSLL-CENTURION SEGURANÇA E VIGILÂNCIA LTDA-nf-16872</t>
  </si>
  <si>
    <t>IRRF-SOCICAM ADMINISTRAÇÃO PROJETOS E REPRESENTAÇÕES LTDA-nf-4384</t>
  </si>
  <si>
    <t>IRRF-TRAIL INFRAESTRUTURA LTDA-nf-11581</t>
  </si>
  <si>
    <t>IRRF-HIGIENIX HIGIENIZAÇÃO E SERVIÇOS-nf-2742</t>
  </si>
  <si>
    <t>PIS/COFINS/CSLL-ATP TECNOLOGIA E PRODUTOS S/A-nf-200000404</t>
  </si>
  <si>
    <t>PIS/COFINS/CSLL-CENTURION SEGURANÇA E VIGILÂNCIA LTDA-nf-16896</t>
  </si>
  <si>
    <t>IRRF-ATP TECNOLOGIA E PRODUTOS S/A-nf-200000420</t>
  </si>
  <si>
    <t>PIS/COFINS/CSLL-TB SERVIÇOS, TRANSPORTES, LIMPEZA, GERENCIAMENTO E RECURSOS HUMANOS S.A-nf-624</t>
  </si>
  <si>
    <t>PIS/COFINS/CSLL-TB SERVIÇOS, TRANSPORTES, LIMPEZA, GERENCIAMENTO E RECURSOS HUMANOS S.A-nf-625</t>
  </si>
  <si>
    <t>PIS/COFINS/CSLL-SOCICAM ADMINISTRAÇÃO PROJETOS E REPRESENTAÇÕES LTDA-nf-3550</t>
  </si>
  <si>
    <t>PIS/COFINS/CSLL-SOCICAM ADMINISTRAÇÃO PROJETOS E REPRESENTAÇÕES LTDA-nf-3551</t>
  </si>
  <si>
    <t>PIS/COFINS/CSLL-CENTURION SEGURANÇA E VIGILÂNCIA LTDA-nf-16867</t>
  </si>
  <si>
    <t>IRRF-IS SERVIÇOS INTEGRADOS LTDA-ME-nf-3492</t>
  </si>
  <si>
    <t>IRRF-TRAIL INFRAESTRUTURA LTDA-nf-11584</t>
  </si>
  <si>
    <t>IRRF-SOCICAM ADMINISTRAÇÃO PROJETOS E REPRESENTAÇÕES LTDA-nf-4382</t>
  </si>
  <si>
    <t>IRRF-CENTURION SEGURANÇA E VIGILÂNCIA LTDA-nf-16982</t>
  </si>
  <si>
    <t>PIS/COFINS/CSLL-CENTURION SEGURANÇA E VIGILÂNCIA LTDA-nf-16868</t>
  </si>
  <si>
    <t>IRRF-PROJECTO ASSESSORIA E SERVIÇOS LTDA-nf-1124</t>
  </si>
  <si>
    <t>IRRF-HIGIENIX HIGIENIZAÇÃO E SERVIÇOS-nf-2732</t>
  </si>
  <si>
    <t>PIS/COFINS/CSLL-CENTURION SEGURANÇA E VIGILÂNCIA LTDA-nf-16886</t>
  </si>
  <si>
    <t>IRRF-HIGIENIX HIGIENIZAÇÃO E SERVIÇOS-nf-2696</t>
  </si>
  <si>
    <t>IRRF-IS SERVIÇOS INTEGRADOS LTDA-ME-nf-3513</t>
  </si>
  <si>
    <t>IRRF-TRAIL INFRAESTRUTURA LTDA-nf-11588</t>
  </si>
  <si>
    <t>PIS/COFINS/CSLL-ATP TECNOLOGIA E PRODUTOS S/A-nf-3#62393</t>
  </si>
  <si>
    <t>PIS/COFINS/CSLL-MAZZINI ADMINISTRAÇÃO E EMPREITADAS LTDA-nf-18774</t>
  </si>
  <si>
    <t>IRRF-IS SERVIÇOS INTEGRADOS LTDA-ME-nf-3511</t>
  </si>
  <si>
    <t>IRRF-HIGIENIX HIGIENIZAÇÃO E SERVIÇOS-nf-2694</t>
  </si>
  <si>
    <t>IRRF-HIGIENIX HIGIENIZAÇÃO E SERVIÇOS-nf-2740</t>
  </si>
  <si>
    <t>IRRF-MAZZINI ADMINISTRAÇÃO E EMPREITADAS LTDA-nf-19135</t>
  </si>
  <si>
    <t>PIS/COFINS/CSLL-ATP TECNOLOGIA E PRODUTOS S/A-nf-4</t>
  </si>
  <si>
    <t>IRRF-IS SERVIÇOS INTEGRADOS LTDA-ME-nf-3515</t>
  </si>
  <si>
    <t>IRRF-HIGIENIX HIGIENIZAÇÃO E SERVIÇOS-nf-2698</t>
  </si>
  <si>
    <t>IRRF-ATP TECNOLOGIA E PRODUTOS S/A-nf-6</t>
  </si>
  <si>
    <t>PIS/COFINS/CSLL-ATP TECNOLOGIA E PRODUTOS S/A-nf-9671</t>
  </si>
  <si>
    <t>PIS/COFINS/CSLL-CENTURION SEGURANÇA E VIGILÂNCIA LTDA-nf-16840</t>
  </si>
  <si>
    <t>PIS/COFINS/CSLL-CENTURION SEGURANÇA E VIGILÂNCIA LTDA-nf-16874</t>
  </si>
  <si>
    <t>IRRF-HIGIENIX HIGIENIZAÇÃO E SERVIÇOS-nf-2730</t>
  </si>
  <si>
    <t>IRRF-LYNCRA LIMPEZA E SERVIÇOS GERAIS LTDA-nf-6678</t>
  </si>
  <si>
    <t>PIS/COFINS/CSLL-CENTURION SEGURANÇA E VIGILÂNCIA LTDA-nf-16857</t>
  </si>
  <si>
    <t>IRRF-HIGIENIX HIGIENIZAÇÃO E SERVIÇOS-nf-2727</t>
  </si>
  <si>
    <t>01.112120601060.000.015501020001.1.NV006963.PRO006461.0.0.0</t>
  </si>
  <si>
    <t>01.112120601060.000.045501070001.1.NV006962.PRO006461.0.0.0</t>
  </si>
  <si>
    <t>01.112120601060.000.048501100001.1.NV006966.PRO006461.0.0.0</t>
  </si>
  <si>
    <t>610 Restituicao</t>
  </si>
  <si>
    <t>3P BRASIL-CONSULT E PROJ ESTRUTURACAO DE PAR</t>
  </si>
  <si>
    <t>01.112120801020.000.062502000001.1.NV006958.000000000.0.0.0</t>
  </si>
  <si>
    <t>PREF SAO JOAO DA BOA VISTA - PREFEITURA MUNICIPAL DE SA</t>
  </si>
  <si>
    <t>TAXA BOLETO ISS</t>
  </si>
  <si>
    <t>108461 - 000028</t>
  </si>
  <si>
    <t>ISS-ELEVADORES ATLAS SHINDLER S/A-nf-108461</t>
  </si>
  <si>
    <t>162 - 018379306 - ISS</t>
  </si>
  <si>
    <t>ISS-CIMAX COMÉRCIO INSTALAÇÃO E MANUTENÇÃO DE AR CONDICIONADO EIRELI-nf-162</t>
  </si>
  <si>
    <t>01.112120611010.000.062501520001.2.NV003960.PRO006602.0.0.0</t>
  </si>
  <si>
    <t>01.112120611010.000.062501530001.2.NV003962.PRO006602.0.0.0</t>
  </si>
  <si>
    <t>01.112120611010.000.062501350001.2.NV003954.PRO006602.0.0.0</t>
  </si>
  <si>
    <t>01.112120611010.000.062501220001.2.NV009960.PRO006602.0.0.0</t>
  </si>
  <si>
    <t>01.112120611010.000.062501230001.2.NV000952.PRO006602.0.0.0</t>
  </si>
  <si>
    <t>01.112120611010.000.062501380001.2.NV003964.PRO006602.0.0.0</t>
  </si>
  <si>
    <t>01.112120611010.000.062501240001.2.NV009958.PRO006602.0.0.0</t>
  </si>
  <si>
    <t>01.112120611010.000.062501540001.2.NV003965.PRO006602.0.0.0</t>
  </si>
  <si>
    <t>01.112120611010.000.062501400001.2.NV003969.PRO006602.0.0.0</t>
  </si>
  <si>
    <t>01.112120611010.000.064501170001.2.NV008122.PRO006602.0.0.0</t>
  </si>
  <si>
    <t>01.112120611010.000.062501130001.2.NV000956.PRO006602.0.0.0</t>
  </si>
  <si>
    <t>01.112120611010.000.062501250001.2.NV000955.PRO006602.0.0.0</t>
  </si>
  <si>
    <t>01.112120611010.000.048501100001.1.NV006966.PRO006602.0.0.0</t>
  </si>
  <si>
    <t>01.112120611010.000.062501580001.2.NV003971.PRO006602.0.0.0</t>
  </si>
  <si>
    <t>01.112120611010.000.059501080001.2.NV007121.PRO006602.0.0.0</t>
  </si>
  <si>
    <t>01.112120611010.000.062501420001.2.NV003980.PRO006602.0.0.0</t>
  </si>
  <si>
    <t>01.112120611010.000.062501330001.2.NV002952.PRO006602.0.0.0</t>
  </si>
  <si>
    <t>01.112120611010.000.060501120001.2.NV006978.PRO006602.0.0.0</t>
  </si>
  <si>
    <t>01.112120611010.000.045501070001.1.NV006962.PRO006602.0.0.0</t>
  </si>
  <si>
    <t>01.112120611010.000.015501020001.1.NV006963.PRO006602.0.0.0</t>
  </si>
  <si>
    <t>01.112120611010.000.062501310001.2.NV000957.PRO006602.0.0.0</t>
  </si>
  <si>
    <t>01.112120611010.000.062501660001.2.NV003984.PRO006602.0.0.0</t>
  </si>
  <si>
    <t>01.112120611010.000.062501290001.2.NV009959.PRO006602.0.0.0</t>
  </si>
  <si>
    <t>01.112120611010.000.065501180001.2.NV008121.PRO006602.0.0.0</t>
  </si>
  <si>
    <t>01.112120611010.000.062501430001.2.NV003981.PRO006602.0.0.0</t>
  </si>
  <si>
    <t>01.112120611010.000.062501190001.2.NV008123.PRO006602.0.0.0</t>
  </si>
  <si>
    <t>TAXA DO BOLETO</t>
  </si>
  <si>
    <t>01.112120611010.000.062501510001.2.NV003959.PRO006602.0.0.0</t>
  </si>
  <si>
    <t>01.112120611010.000.057501140001.2.NV006977.PRO006602.0.0.0</t>
  </si>
  <si>
    <t>01.112120611010.000.062501640001.2.NV003978.PRO006602.0.0.0</t>
  </si>
  <si>
    <t>01.112120611010.000.062501160001.2.NV009954.PRO006602.0.0.0</t>
  </si>
  <si>
    <t>01.112120611010.000.061501150001.2.NV007123.PRO006602.0.0.0</t>
  </si>
  <si>
    <t>01.112120611010.000.062501460001.2.NV003953.PRO006602.0.0.0</t>
  </si>
  <si>
    <t>01.112120611010.000.062501620001.2.NV003975.PRO006602.0.0.0</t>
  </si>
  <si>
    <t>01.112120611010.000.062501260001.2.NV009955.PRO006878.0.0.0</t>
  </si>
  <si>
    <t>01.112120611010.000.062501200001.2.NV009956.PRO006879.0.0.0</t>
  </si>
  <si>
    <t>01.112120611020.000.050501050001.2.NV006966.PRO006604.0.0.0</t>
  </si>
  <si>
    <t>01.112120611020.000.062501200001.2.NV009956.PRO006604.0.0.0</t>
  </si>
  <si>
    <t>6733 - GLOSA FI</t>
  </si>
  <si>
    <t>EDILAR EMPREENDIMENTOS IMOBILIARIOS LTDA</t>
  </si>
  <si>
    <t xml:space="preserve">ALUGUEL GALPAO </t>
  </si>
  <si>
    <t>01-112120601010-000-062501010001-2-NV006969-PRO006846-0-0-0</t>
  </si>
  <si>
    <t>HIGIENIX HIGIENIZACAO E SERVICOS</t>
  </si>
  <si>
    <t>2620 - GLOSA FI</t>
  </si>
  <si>
    <t>01.112120611020.000.064501170001.2.NV008122.PRO006604.0.0.0</t>
  </si>
  <si>
    <t>01.112120611020.000.062501300001.2.NV000958.PRO006604.0.0.0</t>
  </si>
  <si>
    <t>2676 - GLOSA FI</t>
  </si>
  <si>
    <t>01.112120611030.000.049501110001.1.NV006967.PRO006173.0.0.0</t>
  </si>
  <si>
    <t>01.112120611030.000.045501070001.1.NV006962.PRO006173.0.0.0</t>
  </si>
  <si>
    <t>01.112120611030.000.062501410001.2.NV003977.PRO006173.0.0.0</t>
  </si>
  <si>
    <t>01.112120611030.000.062501520001.2.NV003960.PRO006173.0.0.0</t>
  </si>
  <si>
    <t>01.112120611030.000.044501040001.1.NV006960.PRO006173.0.0.0</t>
  </si>
  <si>
    <t>01.112120611030.000.062501710001.2.NV004959.PRO006173.0.0.0</t>
  </si>
  <si>
    <t>01.112120611030.000.050501050001.2.NV006968.PRO006173.0.0.0</t>
  </si>
  <si>
    <t>01.112120611030.000.062501340001.2.NV003952.PRO006173.0.0.0</t>
  </si>
  <si>
    <t>343 GLOSA P.1</t>
  </si>
  <si>
    <t>ELETROPAULO METROPOLITANA ELETRICIDADE DE SAO PAULO S/A</t>
  </si>
  <si>
    <t>01.112120612120.000.062501010001.2.NV006969.PRO006846.0.0.0</t>
  </si>
  <si>
    <t>TAXA BOLETO</t>
  </si>
  <si>
    <t>01.112120502030.000.048501100001.1.NV006966.PRO006838.0.0.0</t>
  </si>
  <si>
    <t>01.112120601060.000.044501040001.1.NV006960.000000000.0.0.0</t>
  </si>
  <si>
    <t>01.112120203010.000.050501050001.2.NV006968.000000000.0.0.0</t>
  </si>
  <si>
    <t>01.112120203010.000.015501020001.1.NV006963.000000000.0.0.0</t>
  </si>
  <si>
    <t>17057 P.1</t>
  </si>
  <si>
    <t>17058 P.1</t>
  </si>
  <si>
    <t>17056 P.1</t>
  </si>
  <si>
    <t>INSS-VIENA SERVIÇO-nf-100</t>
  </si>
  <si>
    <t>100 - 20811381 - INSS</t>
  </si>
  <si>
    <t>INSS-VIENA SERVIÇO-nf-115</t>
  </si>
  <si>
    <t>115 - 20811381 - INSS</t>
  </si>
  <si>
    <t>01-134010100000-000-001500000005-1-IN005951-PRO006566-0-0-0</t>
  </si>
  <si>
    <t>PYXISINFO TECNOLOGIA LTDA</t>
  </si>
  <si>
    <t>2004 P.1</t>
  </si>
  <si>
    <t>12501 P.1</t>
  </si>
  <si>
    <t>01-112120203010-000-015501020001-1-IN001338-000000000-0-0-0</t>
  </si>
  <si>
    <t>112120203010</t>
  </si>
  <si>
    <t>590 P.1</t>
  </si>
  <si>
    <t>MAR-16</t>
  </si>
  <si>
    <t>57205 P.1</t>
  </si>
  <si>
    <t>01-132050100000-000-001500000005-1-IN005951-PRO006849-0-0-0</t>
  </si>
  <si>
    <t>6115 P.1</t>
  </si>
  <si>
    <t>01-132070100000-000-015501020001-1-IN001338-PRO006870-0-0-0</t>
  </si>
  <si>
    <t>132070100000</t>
  </si>
  <si>
    <t>MM LOCAÇÕES E CONSTRUÇÃO LTDA - EPP</t>
  </si>
  <si>
    <t>Benfeitorias em Propriedades Alheias/Valor Corrigido</t>
  </si>
  <si>
    <t>187 P.1</t>
  </si>
  <si>
    <t>01-132050100000-000-049501110001-1-IN001342-000000000-0-0-0</t>
  </si>
  <si>
    <t>BPS MANUTENÇÃO ELÉTRICA LTDA-ME</t>
  </si>
  <si>
    <t>182,02 P.1</t>
  </si>
  <si>
    <t>6078 P.1</t>
  </si>
  <si>
    <t>HEWLLEX COM. DE PRODUTOS ELETRO ELETRÔNICOS LTDA</t>
  </si>
  <si>
    <t>8482 P.1</t>
  </si>
  <si>
    <t>6082 P.1</t>
  </si>
  <si>
    <t>6077 P.1</t>
  </si>
  <si>
    <t>13406 P.1</t>
  </si>
  <si>
    <t>590 TARIFA OP P.1</t>
  </si>
  <si>
    <t>ISS-MM LOCAÇÕES E CONSTRUÇÃO LTDA EPP-nf-187</t>
  </si>
  <si>
    <t>187 - 012941023 - ISS</t>
  </si>
  <si>
    <t>IRRF-G&amp;P PROJETOS E SISTEMAS S/A-nf-5710</t>
  </si>
  <si>
    <t>5710 - 059057992 - IRRF</t>
  </si>
  <si>
    <t>IRRF-MAGNA SISTEMAS CONSULTORIA S.A-nf-6078</t>
  </si>
  <si>
    <t>6078 - 001165671 - IRRF</t>
  </si>
  <si>
    <t>IRRF-ORACLE DO BRASIL SISTEMAS LTDA.-nf-156247</t>
  </si>
  <si>
    <t>156247 - 059456277 - IRRF</t>
  </si>
  <si>
    <t>PIS/COFINS/CSLL-AÇÃO INFORMÁTICA BRASIL LTDA.-nf-13176</t>
  </si>
  <si>
    <t>Retenção Imp. Fonte - 368086 - 2</t>
  </si>
  <si>
    <t>PIS/COFINS/CSLL-AÇÃO INFORMÁTICA BRASIL LTDA.-nf-13283</t>
  </si>
  <si>
    <t>Retenção Imp. Fonte - 370530 - 2</t>
  </si>
  <si>
    <t>PIS/COFINS/CSLL-AÇÃO INFORMÁTICA BRASIL LTDA.-nf-13284</t>
  </si>
  <si>
    <t>Retenção Imp. Fonte - 370531 - 2</t>
  </si>
  <si>
    <t>PIS/COFINS/CSLL-G&amp;P PROJETOS E SISTEMAS S/A-nf-5566</t>
  </si>
  <si>
    <t>Retenção Imp. Fonte - 371222 - 3</t>
  </si>
  <si>
    <t>PIS/COFINS/CSLL-MAGNA SISTEMAS CONSULTORIA S.A-nf-5979</t>
  </si>
  <si>
    <t>Retenção Imp. Fonte - 364177 - 3</t>
  </si>
  <si>
    <t>PIS/COFINS/CSLL-ORACLE DO BRASIL SISTEMAS LTDA.-nf-153916</t>
  </si>
  <si>
    <t>Retenção Imp. Fonte - 370278 - 3</t>
  </si>
  <si>
    <t>12501 - 036542025 - IRRF</t>
  </si>
  <si>
    <t>2004 - 004486744 - IRRF</t>
  </si>
  <si>
    <t>6077 - 001165671 - IRRF</t>
  </si>
  <si>
    <t>6082 - 001165671 - IRRF</t>
  </si>
  <si>
    <t>6115 - 001165671 - IRRF</t>
  </si>
  <si>
    <t>IRRF-BRQ SOLUÇÕES EM INFORMATICA S/A-nf-12501</t>
  </si>
  <si>
    <t>IRRF-PYXISINFO TECNOLOGIA LTDA-nf-2004</t>
  </si>
  <si>
    <t>IRRF-MAGNA SISTEMAS CONSULTORIA S.A-nf-6077</t>
  </si>
  <si>
    <t>IRRF-MAGNA SISTEMAS CONSULTORIA S.A-nf-6082</t>
  </si>
  <si>
    <t>IRRF-MAGNA SISTEMAS CONSULTORIA S.A-nf-6115</t>
  </si>
  <si>
    <t>01-134010100000-000-001500000005-1-IN005951-PRO006849-0-0-0</t>
  </si>
  <si>
    <t>57205 - 059456277 - IRRF</t>
  </si>
  <si>
    <t>IRRF-STEFANINI CONSULTORIA E ASSESSORIA EM INFORMATICA LTDA-nf-57205</t>
  </si>
  <si>
    <t>Retenção Imp. Fonte - 365110 - 3</t>
  </si>
  <si>
    <t>Retenção Imp. Fonte - 352179 - 3</t>
  </si>
  <si>
    <t>Retenção Imp. Fonte - 353229 - 3</t>
  </si>
  <si>
    <t>ORACLE DO BRASIL SISTEMAS LTDA.</t>
  </si>
  <si>
    <t>Retenção Imp. Fonte - 364087 - 3</t>
  </si>
  <si>
    <t>PIS/COFINS/CSLL-MAGNA SISTEMAS CONSULTORIA S.A-nf-5978</t>
  </si>
  <si>
    <t>PIS/COFINS/CSLL-BRQ - SOLUÇÕES EM INFORMATICA S/A-nf-12193</t>
  </si>
  <si>
    <t>PIS/COFINS/CSLL-STEFANINI CONSULTORIA E ASSESSORIA EM INFORMATICA LTDA-nf-55626</t>
  </si>
  <si>
    <t>PIS/COFINS/CSLL-MAGNA SISTEMAS CONSULTORIA S.A-nf-5992</t>
  </si>
  <si>
    <t>01-134010100000-000-001500000005-1-IN005951-PRO006538-0-0-0</t>
  </si>
  <si>
    <t>01-134010100000-000-001500000005-1-IN005951-PRO006486-0-0-0</t>
  </si>
  <si>
    <t>156247 P.1</t>
  </si>
  <si>
    <t>INSS-MM LOCAÇÕES E CONSTRUÇÃO LTDA - EPP -nf-187</t>
  </si>
  <si>
    <t>187 - 012941023 - INSS</t>
  </si>
  <si>
    <t>205 - 012941023 - INSS</t>
  </si>
  <si>
    <t>INSS-MM LOCAÇÕES E CONSTRUÇÃO LTDA - EPP -nf-205</t>
  </si>
  <si>
    <t>205 - 012941023 - ISS</t>
  </si>
  <si>
    <t>ISS-MM LOCAÇÕES E CONSTRUÇÃO LTDA - EPP -nf-205</t>
  </si>
  <si>
    <t>ASSIS</t>
  </si>
  <si>
    <t>ARAÇATUBA</t>
  </si>
  <si>
    <t>ARARAQUARA</t>
  </si>
  <si>
    <t>CAIEIRAS</t>
  </si>
  <si>
    <t>CARAGUATATUBA</t>
  </si>
  <si>
    <t>FERNANDÓPOLIS</t>
  </si>
  <si>
    <t>FRANCA</t>
  </si>
  <si>
    <t>LIMEIRA</t>
  </si>
  <si>
    <t>LINS</t>
  </si>
  <si>
    <t>MARÍLIA</t>
  </si>
  <si>
    <t>MOGI DAS CRUZES</t>
  </si>
  <si>
    <t>PRESIDENTE PRUDENTE</t>
  </si>
  <si>
    <t>RIO CLARO</t>
  </si>
  <si>
    <t>SÃO CARLOS</t>
  </si>
  <si>
    <t>SOROCABA</t>
  </si>
  <si>
    <t>TATUÍ</t>
  </si>
  <si>
    <t>SANTO ANDRÉ</t>
  </si>
  <si>
    <t>AMERICANA</t>
  </si>
  <si>
    <t>BARRETOS</t>
  </si>
  <si>
    <t>BEBEDOURO</t>
  </si>
  <si>
    <t>CATANDUVA</t>
  </si>
  <si>
    <t>INDAIATUBA</t>
  </si>
  <si>
    <t>ITAPETININGA</t>
  </si>
  <si>
    <t>JACAREÍ</t>
  </si>
  <si>
    <t>OURINHOS</t>
  </si>
  <si>
    <t>SÃO JOÃO DA BOA VISTA</t>
  </si>
  <si>
    <t>ARARAS</t>
  </si>
  <si>
    <t>ITAPEVA</t>
  </si>
  <si>
    <t>ANDRADINA</t>
  </si>
  <si>
    <t>DRACENA</t>
  </si>
  <si>
    <t>PINDAMONHANGABA</t>
  </si>
  <si>
    <t>PENÁPOLIS</t>
  </si>
  <si>
    <t>VOTUPORANGA</t>
  </si>
  <si>
    <t>CARAPICUÍBA</t>
  </si>
  <si>
    <t>JUNDIAÍ</t>
  </si>
  <si>
    <t>SUPERINTENDÊNCIA</t>
  </si>
  <si>
    <t>UNIDADE GRANDE SP 1</t>
  </si>
  <si>
    <t>BIRIGUÍ</t>
  </si>
  <si>
    <t>BRAGANÇA PAULISTA</t>
  </si>
  <si>
    <t>ITU</t>
  </si>
  <si>
    <t>MAUÁ</t>
  </si>
  <si>
    <t>MOGI-GUAÇU</t>
  </si>
  <si>
    <t>PRAIAGRANDE</t>
  </si>
  <si>
    <t>SÃOJOÃODABOAVISTA</t>
  </si>
  <si>
    <t>TABOÃODASERRA</t>
  </si>
  <si>
    <t>JAÚ</t>
  </si>
  <si>
    <t>PRESIDENTEPRUDENTE</t>
  </si>
  <si>
    <t>RIOCLARO</t>
  </si>
  <si>
    <t>CIDADEADEMAR</t>
  </si>
  <si>
    <t>SÃOCARLOS</t>
  </si>
  <si>
    <t>MOGIDASCRUZES</t>
  </si>
  <si>
    <t>SANTOAMARO</t>
  </si>
  <si>
    <t>RIBEIRÃOPRETO</t>
  </si>
  <si>
    <t>SANTOANDRÉ</t>
  </si>
  <si>
    <t>MÓVEL INTERIOR 3-MARÍLIA</t>
  </si>
  <si>
    <t>POSTO SAVANÇADOS</t>
  </si>
  <si>
    <t>201611910 P.1</t>
  </si>
  <si>
    <t>201611911 P.1</t>
  </si>
  <si>
    <t>201611912 P.1</t>
  </si>
  <si>
    <t>201611913 P.1</t>
  </si>
  <si>
    <t>201611914 P.1</t>
  </si>
  <si>
    <t>201611915 P.1</t>
  </si>
  <si>
    <t>201611916 P.1</t>
  </si>
  <si>
    <t>201611917 P.1</t>
  </si>
  <si>
    <t>201615857 P.1</t>
  </si>
  <si>
    <t>201615858 P.1</t>
  </si>
  <si>
    <t>201615859 P.1</t>
  </si>
  <si>
    <t>201615860 P.1</t>
  </si>
  <si>
    <t>201615861 P.1</t>
  </si>
  <si>
    <t>201615862 P.1</t>
  </si>
  <si>
    <t>201615863 P.1</t>
  </si>
  <si>
    <t>201615864 P.1</t>
  </si>
  <si>
    <t>DV SCN 40/16 P.1</t>
  </si>
  <si>
    <t>TITO FRANCA DE OLIVEIRA</t>
  </si>
  <si>
    <t>DV SCN 36/16 P.1</t>
  </si>
  <si>
    <t>DV SCN 37/16 P.1</t>
  </si>
  <si>
    <t>01-112120612160-000-049501110001-1-CD001322-000000000-0-0-0</t>
  </si>
  <si>
    <t>5562 P.1</t>
  </si>
  <si>
    <t>01-112120702010-000-062501350001-2-CD003954-000000000-0-0-0</t>
  </si>
  <si>
    <t>FFIXO TESOURARIA 58/16 P.1</t>
  </si>
  <si>
    <t>01-112120702010-000-062501230001-2-CD000979-000000000-0-0-0</t>
  </si>
  <si>
    <t>01-112120702010-000-062501010016-2-CD004951-000000000-0-0-0</t>
  </si>
  <si>
    <t>FFIXO TESOURARIA 72/16 P.1</t>
  </si>
  <si>
    <t>DV SCO 24/16 P.1</t>
  </si>
  <si>
    <t>DV SCO 29/16 P.1</t>
  </si>
  <si>
    <t>DV SCO 30/16 P.1</t>
  </si>
  <si>
    <t>DV SCO 31/16 P.1</t>
  </si>
  <si>
    <t>DV SCO 41/16 P.1</t>
  </si>
  <si>
    <t>DV SCO 42/16 P.1</t>
  </si>
  <si>
    <t>DV SCO 47/16 P.1</t>
  </si>
  <si>
    <t>DV SCO 48/16 P.1</t>
  </si>
  <si>
    <t>DV SCO 49/16 P.1</t>
  </si>
  <si>
    <t>DV SCO 44/16 P.1</t>
  </si>
  <si>
    <t>01-112120608040-000-062502030001-2-CD003968-000000000-0-0-0</t>
  </si>
  <si>
    <t>SPAT CONSULTORIA E TREINAMENTOS LTDA - ME</t>
  </si>
  <si>
    <t>Serviços de Terceiros - Funcionarios</t>
  </si>
  <si>
    <t>150 P.1</t>
  </si>
  <si>
    <t>01-112120608040-000-062502030001-2-CD003969-000000000-0-0-0</t>
  </si>
  <si>
    <t>01-112120608040-000-062502030001-2-CD004959-000000000-0-0-0</t>
  </si>
  <si>
    <t>150 - OP TARIFA BANCARIA P.1</t>
  </si>
  <si>
    <t>FFIXOPTA008-16CD P.1</t>
  </si>
  <si>
    <t>01-453030100000-000-016501060002-2-CD001316-000000000-0-0-0</t>
  </si>
  <si>
    <t>FFIXOPTA009-16CD P.1</t>
  </si>
  <si>
    <t>FFIXOPTA010-16CD P.1</t>
  </si>
  <si>
    <t>5322 P.1</t>
  </si>
  <si>
    <t>Serviços de Terceiros Funcionários</t>
  </si>
  <si>
    <t>5323 P.1</t>
  </si>
  <si>
    <t>5324 P.1</t>
  </si>
  <si>
    <t>5328 P.1</t>
  </si>
  <si>
    <t>DV SCO 46/16 P.1</t>
  </si>
  <si>
    <t>01-112120301010-000-049501110001-1-CD001317-000000000-0-0-0</t>
  </si>
  <si>
    <t>RR DONNELLEY EDITORA E GRÁFICA LTDA</t>
  </si>
  <si>
    <t>258353 P.1</t>
  </si>
  <si>
    <t>ROSEMEIRE MARONEZI</t>
  </si>
  <si>
    <t>DV PTR 19/16 P.1</t>
  </si>
  <si>
    <t>7255 P.1</t>
  </si>
  <si>
    <t>7257 P.1</t>
  </si>
  <si>
    <t>DV SCN 34/16 P.1</t>
  </si>
  <si>
    <t>RBC COMÉRCIO E RECUPERADORA DE BALANÇAS CAIERAS LTDA - ME</t>
  </si>
  <si>
    <t>PEDIDO DE COMPRA 34118 P.1</t>
  </si>
  <si>
    <t>01-112120203010-000-044501040001-1-CD001315-000000000-0-0-0</t>
  </si>
  <si>
    <t>594 P.1</t>
  </si>
  <si>
    <t>594 - OP TARIFA BANCARIA P.1</t>
  </si>
  <si>
    <t>6646 P.1</t>
  </si>
  <si>
    <t>6647 P.1</t>
  </si>
  <si>
    <t>6651 P.1</t>
  </si>
  <si>
    <t>6652 P.1</t>
  </si>
  <si>
    <t>6653 P.1</t>
  </si>
  <si>
    <t>11103 P.1</t>
  </si>
  <si>
    <t>FFIXO_PTJ_024-16C P.1</t>
  </si>
  <si>
    <t>FFIXO_PTJ_025-16C P.1</t>
  </si>
  <si>
    <t>FFIXO_PTJ_026-16C P.1</t>
  </si>
  <si>
    <t>FFIXO_PTJ_027-16C P.1</t>
  </si>
  <si>
    <t>FFIXO_PTJ_028-16C P.1</t>
  </si>
  <si>
    <t>FFIXO_PTJ_029-16C P.1</t>
  </si>
  <si>
    <t>1298 ISS COMETA (04080068) PTB 06/16CD) P.1</t>
  </si>
  <si>
    <t>TAXAS PPT PRES. PRUDENTE 2016 - PARC. 03/10 P.1</t>
  </si>
  <si>
    <t>126 ISS 10741328 GP P.1</t>
  </si>
  <si>
    <t>2376 ISS DIGITAL 07866695 (PTG 005/16CD) P.1</t>
  </si>
  <si>
    <t>2385 ISS DIGITAL (07866695) PTG 06/16CD P.1</t>
  </si>
  <si>
    <t>01-112120702010-000-048501100001-1-CD001321-000000000-0-0-0</t>
  </si>
  <si>
    <t>TAXA PPT GUARULHOS REF. 2016 - 02/02 P.1</t>
  </si>
  <si>
    <t>01-112120610030-000-062501000001-1-CD001313-PRO006852-0-0-0</t>
  </si>
  <si>
    <t>PRAXIAN CONSULTORIA LTDA-EPP</t>
  </si>
  <si>
    <t>368 P.1</t>
  </si>
  <si>
    <t>DV PTC 12/16 P.1</t>
  </si>
  <si>
    <t>DV PTC 14/16 P.1</t>
  </si>
  <si>
    <t>DV PTC 15/16 P.1</t>
  </si>
  <si>
    <t>DV PTC 16/16 P.1</t>
  </si>
  <si>
    <t>DV PTC 17/16 P.1</t>
  </si>
  <si>
    <t>DV PTPC 19/16 P.1</t>
  </si>
  <si>
    <t>DV PTC 18/16 P.1</t>
  </si>
  <si>
    <t>OFOS TECNOLOGIA, COMÉRCIO E SERVIÇOS CONTRA A INCÊNDIO LTDA - EPP</t>
  </si>
  <si>
    <t>5821 P.1</t>
  </si>
  <si>
    <t>NEUSA VELTRI</t>
  </si>
  <si>
    <t>DV SCO 43/16 P.1</t>
  </si>
  <si>
    <t>2670 P.1</t>
  </si>
  <si>
    <t>MILENIUM DESIGN COMUNICAÇÃO VISUAL LTDA-ME</t>
  </si>
  <si>
    <t>602 P.1</t>
  </si>
  <si>
    <t>01-112120106000-000-044501040001-1-CD001315-000000000-0-0-0</t>
  </si>
  <si>
    <t>1464 P.1</t>
  </si>
  <si>
    <t>01-112120106000-000-017501020004-2-CD001314-000000000-0-0-0</t>
  </si>
  <si>
    <t>1288 P.1</t>
  </si>
  <si>
    <t>1472 P.1</t>
  </si>
  <si>
    <t>1473 P.1</t>
  </si>
  <si>
    <t>MCP IND. E COM. DE ARTEFATOS PLÁSTICOS LTDA</t>
  </si>
  <si>
    <t>2354 P.1</t>
  </si>
  <si>
    <t>MASTER CRYL IND. COM. DE ARTEFATOS PLASTICOS LTDA</t>
  </si>
  <si>
    <t>7178 P.1</t>
  </si>
  <si>
    <t>FFIXO_PTSI_28-16CD P.1</t>
  </si>
  <si>
    <t>FFIXO_PTSI_29-16CD P.1</t>
  </si>
  <si>
    <t>01-112120612150-000-017501020004-2-CD001314-000000000-0-0-0</t>
  </si>
  <si>
    <t>01-112120801030-000-017501020004-2-CD001314-000000000-0-0-0</t>
  </si>
  <si>
    <t>FFIXO_PTSI_31-16CD P.1</t>
  </si>
  <si>
    <t>FFIXO_PTSI_32-16CD P.1</t>
  </si>
  <si>
    <t>DV PTR 11/16R P.1</t>
  </si>
  <si>
    <t>DV PTR 16/16 P.1</t>
  </si>
  <si>
    <t>DV PTR 17/16 P.1</t>
  </si>
  <si>
    <t>DV PTR 23/16 P.1</t>
  </si>
  <si>
    <t>DV PTR 16/16R P.1</t>
  </si>
  <si>
    <t>DV PTR 24/16 P.1</t>
  </si>
  <si>
    <t>DV PTR 17/16R P.1</t>
  </si>
  <si>
    <t>6656 P.1</t>
  </si>
  <si>
    <t>6657 P.1</t>
  </si>
  <si>
    <t>6658 P.1</t>
  </si>
  <si>
    <t>6659 P.1</t>
  </si>
  <si>
    <t>6660 P.1</t>
  </si>
  <si>
    <t>6661 P.1</t>
  </si>
  <si>
    <t>6662 P.1</t>
  </si>
  <si>
    <t>6663 P.1</t>
  </si>
  <si>
    <t>6664 P.1</t>
  </si>
  <si>
    <t>6665 P.1</t>
  </si>
  <si>
    <t>6666 P.1</t>
  </si>
  <si>
    <t>6667 P.1</t>
  </si>
  <si>
    <t>6668 P.1</t>
  </si>
  <si>
    <t>6669 P.1</t>
  </si>
  <si>
    <t>6670 P.1</t>
  </si>
  <si>
    <t>6703 P.1</t>
  </si>
  <si>
    <t>6704 P.1</t>
  </si>
  <si>
    <t>6714 P.1</t>
  </si>
  <si>
    <t>6715 P.1</t>
  </si>
  <si>
    <t>6716 P.1</t>
  </si>
  <si>
    <t>6718 P.1</t>
  </si>
  <si>
    <t>6719 P.1</t>
  </si>
  <si>
    <t>6720 P.1</t>
  </si>
  <si>
    <t>6721 P.1</t>
  </si>
  <si>
    <t>6722 P.1</t>
  </si>
  <si>
    <t>6723 P.1</t>
  </si>
  <si>
    <t>6724 P.1</t>
  </si>
  <si>
    <t>6731 P.1</t>
  </si>
  <si>
    <t>6732 P.1</t>
  </si>
  <si>
    <t>6734 P.1</t>
  </si>
  <si>
    <t>6748 P.1</t>
  </si>
  <si>
    <t>6750 P.1</t>
  </si>
  <si>
    <t>DV SCN 57/16 P.1</t>
  </si>
  <si>
    <t>DV SCO 58/16 P.1</t>
  </si>
  <si>
    <t>DV SCO 59/16 P.1</t>
  </si>
  <si>
    <t>DV PTR 18/16 P.1</t>
  </si>
  <si>
    <t>DV PTR 20/16 P.1</t>
  </si>
  <si>
    <t>DV PTR 22/16 P.1</t>
  </si>
  <si>
    <t>FFIXO PTI 033 16C P.1</t>
  </si>
  <si>
    <t>FFIXO PTI 035 16C P.1</t>
  </si>
  <si>
    <t>FFIXO PTI 036 16C P.1</t>
  </si>
  <si>
    <t>01-112120612100-000-046501030002-2-CD001319-000000000-0-0-0</t>
  </si>
  <si>
    <t>FFIXO PTI 037 16C P.1</t>
  </si>
  <si>
    <t>01-112120612110-000-046501030002-2-CD001319-000000000-0-0-0</t>
  </si>
  <si>
    <t>FFIXO PTI 038 16C P.1</t>
  </si>
  <si>
    <t>JANE MATIE ISHISAKI</t>
  </si>
  <si>
    <t>DV SCN 35/16 P.1</t>
  </si>
  <si>
    <t>3501 P.1</t>
  </si>
  <si>
    <t>3502 P.1</t>
  </si>
  <si>
    <t>3503 P.1</t>
  </si>
  <si>
    <t>3504 P.1</t>
  </si>
  <si>
    <t>3505 P.1</t>
  </si>
  <si>
    <t>3506 P.1</t>
  </si>
  <si>
    <t>3507 P.1</t>
  </si>
  <si>
    <t>3526 P.1</t>
  </si>
  <si>
    <t>3527 P.1</t>
  </si>
  <si>
    <t>3528 P.1</t>
  </si>
  <si>
    <t>3529 P.1</t>
  </si>
  <si>
    <t>3530 P.1</t>
  </si>
  <si>
    <t>3531 P.1</t>
  </si>
  <si>
    <t>3534 P.1</t>
  </si>
  <si>
    <t>3535 P.1</t>
  </si>
  <si>
    <t>3536 P.1</t>
  </si>
  <si>
    <t>3546 P.1</t>
  </si>
  <si>
    <t>3547 P.1</t>
  </si>
  <si>
    <t>3549 P.1</t>
  </si>
  <si>
    <t>3551 P.1</t>
  </si>
  <si>
    <t>3553 P.1</t>
  </si>
  <si>
    <t>3554 P.1</t>
  </si>
  <si>
    <t>3555 P.1</t>
  </si>
  <si>
    <t>3556 P.1</t>
  </si>
  <si>
    <t>3557 P.1</t>
  </si>
  <si>
    <t>3558 P.1</t>
  </si>
  <si>
    <t>3559 P.1</t>
  </si>
  <si>
    <t>3560 P.1</t>
  </si>
  <si>
    <t>3561 P.1</t>
  </si>
  <si>
    <t>3573 P.1</t>
  </si>
  <si>
    <t>3576 P.1</t>
  </si>
  <si>
    <t>01-112120101060-000-015501020001-1-CD001318-PRO006084-0-0-0</t>
  </si>
  <si>
    <t>8282,02 P.1</t>
  </si>
  <si>
    <t>1004962 P.1</t>
  </si>
  <si>
    <t>1006154 P.1</t>
  </si>
  <si>
    <t>1006550 P.1</t>
  </si>
  <si>
    <t>1007127 P.1</t>
  </si>
  <si>
    <t>01-112120612060-000-045501070001-1-CD001317-PRO006470-0-0-0</t>
  </si>
  <si>
    <t>1008282 P.1</t>
  </si>
  <si>
    <t>1009059 P.1</t>
  </si>
  <si>
    <t>01-112120612060-000-062501300001-2-CD000985-PRO006470-0-0-0</t>
  </si>
  <si>
    <t>01-112120612060-000-062501330001-2-CD002952-PRO006470-0-0-0</t>
  </si>
  <si>
    <t>01-112120612060-000-062501460001-2-CD003953-PRO006470-0-0-0</t>
  </si>
  <si>
    <t>01-112120612060-000-062501530001-2-CD003962-PRO006470-0-0-0</t>
  </si>
  <si>
    <t>01-112120612060-000-062501570001-2-CD003970-PRO006470-0-0-0</t>
  </si>
  <si>
    <t>01-112120612060-000-062501600001-2-CD003973-PRO006470-0-0-0</t>
  </si>
  <si>
    <t>01-112120612060-000-062501660001-2-CD003984-PRO006470-0-0-0</t>
  </si>
  <si>
    <t>01-112120612060-000-062501700001-2-CD004958-PRO006470-0-0-0</t>
  </si>
  <si>
    <t>01-112120612060-000-062501710001-2-CD004959-PRO006470-0-0-0</t>
  </si>
  <si>
    <t>1010047 P.1</t>
  </si>
  <si>
    <t>1010627 P.1</t>
  </si>
  <si>
    <t>1011772 P.1</t>
  </si>
  <si>
    <t>01-112120612060-000-062501540001-2-CD003965-PRO006470-0-0-0</t>
  </si>
  <si>
    <t>01-112120612060-000-062501630001-2-CD003976-PRO006470-0-0-0</t>
  </si>
  <si>
    <t>01-112120612060-000-062501720001-2-CD004960-PRO006470-0-0-0</t>
  </si>
  <si>
    <t>01-112120612060-000-062501730001-2-CD004961-PRO006470-0-0-0</t>
  </si>
  <si>
    <t>CD004961</t>
  </si>
  <si>
    <t>1012413 P.1</t>
  </si>
  <si>
    <t>01-112120612060-000-062501670001-2-CD003985-PRO006470-0-0-0</t>
  </si>
  <si>
    <t>CD003985</t>
  </si>
  <si>
    <t>1012944 P.1</t>
  </si>
  <si>
    <t>1013686 P.1</t>
  </si>
  <si>
    <t>1014807 P.1</t>
  </si>
  <si>
    <t>1016183 P.1</t>
  </si>
  <si>
    <t>NOTES 06/04/16CD P.1</t>
  </si>
  <si>
    <t>2599 P.1</t>
  </si>
  <si>
    <t>2600 P.1</t>
  </si>
  <si>
    <t>2601 P.1</t>
  </si>
  <si>
    <t>2602 P.1</t>
  </si>
  <si>
    <t>2603 P.1</t>
  </si>
  <si>
    <t>2604 P.1</t>
  </si>
  <si>
    <t>2605 P.1</t>
  </si>
  <si>
    <t>2606 P.1</t>
  </si>
  <si>
    <t>2607 P.1</t>
  </si>
  <si>
    <t>2608 P.1</t>
  </si>
  <si>
    <t>2624 P.1</t>
  </si>
  <si>
    <t>2625 P.1</t>
  </si>
  <si>
    <t>2633 P.1</t>
  </si>
  <si>
    <t>2636 P.1</t>
  </si>
  <si>
    <t>2637 P.1</t>
  </si>
  <si>
    <t>2638 P.1</t>
  </si>
  <si>
    <t>2639 P.1</t>
  </si>
  <si>
    <t>2640 P.1</t>
  </si>
  <si>
    <t>2641 P.1</t>
  </si>
  <si>
    <t>2642 P.1</t>
  </si>
  <si>
    <t>2643 P.1</t>
  </si>
  <si>
    <t>2650 P.1</t>
  </si>
  <si>
    <t>2651 P.1</t>
  </si>
  <si>
    <t>2652 P.1</t>
  </si>
  <si>
    <t>2658 P.1</t>
  </si>
  <si>
    <t>2661 P.1</t>
  </si>
  <si>
    <t>2662 P.1</t>
  </si>
  <si>
    <t>2663 P.1</t>
  </si>
  <si>
    <t>2664,02 P.1</t>
  </si>
  <si>
    <t>2665 P.1</t>
  </si>
  <si>
    <t>2666 P.1</t>
  </si>
  <si>
    <t>2673 P.1</t>
  </si>
  <si>
    <t>2674 P.1</t>
  </si>
  <si>
    <t>GOMAQ MÁQUINAS PARA ESCRITÓRIO LTDA</t>
  </si>
  <si>
    <t>155031 P.1</t>
  </si>
  <si>
    <t>DV SCO 45/16 P.1</t>
  </si>
  <si>
    <t>DV SCN 33/16 P.1</t>
  </si>
  <si>
    <t>FFIXO_PTC_07-16CD P.1</t>
  </si>
  <si>
    <t>DV SCN 26/16R P.1</t>
  </si>
  <si>
    <t>ELIANE MARETTI MARTINS DE CARVALHO</t>
  </si>
  <si>
    <t>DV SCO 35/16 P.1</t>
  </si>
  <si>
    <t>DV SCO 36/16 P.1</t>
  </si>
  <si>
    <t>DV SCO 56/16 P.1</t>
  </si>
  <si>
    <t>DV PTC 13/16 P.1</t>
  </si>
  <si>
    <t>DV PTC 19/16 P.1</t>
  </si>
  <si>
    <t>DV PTC 20/16 P.1</t>
  </si>
  <si>
    <t>DV PTC 21/16 P.1</t>
  </si>
  <si>
    <t>01-112120605020-000-045501070001-1-CD001317-000000000-0-0-0</t>
  </si>
  <si>
    <t>DV SCO 38/16 P.1</t>
  </si>
  <si>
    <t>DV SCO 39/16 P.1</t>
  </si>
  <si>
    <t>DV SCO 40/16 P.1</t>
  </si>
  <si>
    <t>DV SCO 50/16 P.1</t>
  </si>
  <si>
    <t>955 P.1</t>
  </si>
  <si>
    <t>959 P.1</t>
  </si>
  <si>
    <t>960 P.1</t>
  </si>
  <si>
    <t>961 P.1</t>
  </si>
  <si>
    <t>965 P.1</t>
  </si>
  <si>
    <t>975 P.1</t>
  </si>
  <si>
    <t>980 P.1</t>
  </si>
  <si>
    <t>981 P.1</t>
  </si>
  <si>
    <t>982 P.1</t>
  </si>
  <si>
    <t>983 P.1</t>
  </si>
  <si>
    <t>993 P.1</t>
  </si>
  <si>
    <t>DATASUPRI DISTRIBUIDORA EIRELI</t>
  </si>
  <si>
    <t>538698 P.1</t>
  </si>
  <si>
    <t>19977 P.1</t>
  </si>
  <si>
    <t>19979 P.1</t>
  </si>
  <si>
    <t>3992 P.1</t>
  </si>
  <si>
    <t>3993 P.1</t>
  </si>
  <si>
    <t>01-112120103040-000-045501070001-1-CD001317-000000000-0-0-0</t>
  </si>
  <si>
    <t>DV PTJ 11/16 P.1</t>
  </si>
  <si>
    <t>DV PTJ 08/16 P.1</t>
  </si>
  <si>
    <t>CLAUDETE DE JESUS RIBEIRO ROSARIO</t>
  </si>
  <si>
    <t>DV PTPC 20/16 P.1</t>
  </si>
  <si>
    <t>DV PTPC 21/16 P.1</t>
  </si>
  <si>
    <t>DV SCO 14/16 P.1</t>
  </si>
  <si>
    <t>DV SCO 51/16 P.1</t>
  </si>
  <si>
    <t>DV SCO 52/16 P.1</t>
  </si>
  <si>
    <t>DV SCO 53/16 P.1</t>
  </si>
  <si>
    <t>DV SCO 54/16 P.1</t>
  </si>
  <si>
    <t>DV SCO 55/16 P.1</t>
  </si>
  <si>
    <t>FFIXO PTS 18 -16CD P.1</t>
  </si>
  <si>
    <t>01-112120103030-000-015501020001-1-CD001318-000000000-0-0-0</t>
  </si>
  <si>
    <t>01-112120104000-000-015501020001-1-CD001318-000000000-0-0-0</t>
  </si>
  <si>
    <t>01-112120612020-000-015501020003-2-CD001318-000000000-0-0-0</t>
  </si>
  <si>
    <t>B DE JESUS MANINI ALVES - ME</t>
  </si>
  <si>
    <t>ARTCARDS CARTÕES E ACESSO LTDA</t>
  </si>
  <si>
    <t>7712 P.1</t>
  </si>
  <si>
    <t>FFIXO PTR 07-16C P.1</t>
  </si>
  <si>
    <t>01-112120301030-000-049501110003-2-CD001322-000000000-0-0-0</t>
  </si>
  <si>
    <t>01-112120612030-000-049501110003-2-CD001322-000000000-0-0-0</t>
  </si>
  <si>
    <t>FFIXO PTR 08-16C P.1</t>
  </si>
  <si>
    <t>FFIXO_PTB_006-16CD P.1</t>
  </si>
  <si>
    <t>01-112120103020-000-047501090001-1-CD001320-000000000-0-0-0</t>
  </si>
  <si>
    <t>01-112120606020-000-047501090001-1-CD001320-000000000-0-0-0</t>
  </si>
  <si>
    <t>DV PTD 03/16 P.1</t>
  </si>
  <si>
    <t>DV SCO 33/16 P.1</t>
  </si>
  <si>
    <t>DV SCO 37/16 P.1</t>
  </si>
  <si>
    <t>FFIXO PTG006-16CD P.1</t>
  </si>
  <si>
    <t>FFIXO PTG007-16CD P.1</t>
  </si>
  <si>
    <t>FFIXO PTG009-16CD P.1</t>
  </si>
  <si>
    <t>DV PTR 14/16R P.1</t>
  </si>
  <si>
    <t>DV PTR 13/16R P.1</t>
  </si>
  <si>
    <t>dv ptr 21/16 P.1</t>
  </si>
  <si>
    <t>AETRONIC SOLUCOES LTDA. ME</t>
  </si>
  <si>
    <t>1392 P.1</t>
  </si>
  <si>
    <t>DV PTI 19/16 P.1</t>
  </si>
  <si>
    <t>DV PTI 20/16 P.1</t>
  </si>
  <si>
    <t>DV PTI 21/16 P.1</t>
  </si>
  <si>
    <t>DV PTJ 03/16 P.1</t>
  </si>
  <si>
    <t>DV PTI 22/16 P.1</t>
  </si>
  <si>
    <t>DV PTI 23/16 P.1</t>
  </si>
  <si>
    <t>DV PTJ 09/16 P.1</t>
  </si>
  <si>
    <t>DV PTI 024/16 P.1</t>
  </si>
  <si>
    <t>DV PTJ 10/16 P.1</t>
  </si>
  <si>
    <t>DV PTJ 07/16 P.1</t>
  </si>
  <si>
    <t>ADALBERTO AUGUSTO FERREIRA</t>
  </si>
  <si>
    <t>DV SCN 38/16 P.1</t>
  </si>
  <si>
    <t>DV SCN 39/16 P.1</t>
  </si>
  <si>
    <t>DV SCN 27/16R P.1</t>
  </si>
  <si>
    <t>01-112120612010-000-060501120001-2-CD001172-000000000-0-0-0</t>
  </si>
  <si>
    <t>01-112120106000-000-049501110001-1-CD001322-000000000-0-0-0</t>
  </si>
  <si>
    <t>112120612010</t>
  </si>
  <si>
    <t>112120612110</t>
  </si>
  <si>
    <t>112120106000</t>
  </si>
  <si>
    <t>INSS-HIGIENIX HIGIENIZAÇÃO E SERVIÇOS-nf-2703</t>
  </si>
  <si>
    <t>2703 - 009212711 - INSS</t>
  </si>
  <si>
    <t>INSS-IS SERVIÇOS INTEGRADOS LTDA-ME-nf-3503</t>
  </si>
  <si>
    <t>3503 - 009441321 - INSS</t>
  </si>
  <si>
    <t>INSS-LYNCRA LIMPEZA E SERVIÇOS GERAIS LTDA-nf-6658</t>
  </si>
  <si>
    <t>6658 - 096647755 - INSS</t>
  </si>
  <si>
    <t>INSS-IS SERVIÇOS INTEGRADOS LTDA-ME-nf-3502</t>
  </si>
  <si>
    <t>3502 - 009441321 - INSS</t>
  </si>
  <si>
    <t>INSS-HIGIENIX HIGIENIZAÇÃO E SERVIÇOS-nf-2702</t>
  </si>
  <si>
    <t>2702 - 009212711 - INSS</t>
  </si>
  <si>
    <t>INSS-LYNCRA LIMPEZA E SERVIÇOS GERAIS LTDA-nf-6657</t>
  </si>
  <si>
    <t>6657 - 096647755 - INSS</t>
  </si>
  <si>
    <t>INSS-HIGIENIX HIGIENIZAÇÃO E SERVIÇOS-nf-2737</t>
  </si>
  <si>
    <t>2737 - 009212711 - INSS</t>
  </si>
  <si>
    <t>INSS-LYNCRA LIMPEZA E SERVIÇOS GERAIS LTDA-nf-6668</t>
  </si>
  <si>
    <t>6668 - 096647755 - INSS</t>
  </si>
  <si>
    <t>INSS-IS SERVIÇOS INTEGRADOS LTDA-ME-nf-3534</t>
  </si>
  <si>
    <t>3534 - 009441321 - INSS</t>
  </si>
  <si>
    <t>INSS-IS SERVIÇOS INTEGRADOS LTDA-ME-nf-3531</t>
  </si>
  <si>
    <t>3531 - 009441321 - INSS</t>
  </si>
  <si>
    <t>INSS-IS SERVIÇOS INTEGRADOS LTDA-ME-nf-3505</t>
  </si>
  <si>
    <t>3505 - 009441321 - INSS</t>
  </si>
  <si>
    <t>INSS-HIGIENIX HIGIENIZAÇÃO E SERVIÇOS-nf-2705</t>
  </si>
  <si>
    <t>2705 - 009212711 - INSS</t>
  </si>
  <si>
    <t>INSS-LYNCRA LIMPEZA E SERVIÇOS GERAIS LTDA-nf-6660</t>
  </si>
  <si>
    <t>6660 - 096647755 - INSS</t>
  </si>
  <si>
    <t>INSS-IS SERVIÇOS INTEGRADOS LTDA-ME-nf-3551</t>
  </si>
  <si>
    <t>3551 - 009441321 - INSS</t>
  </si>
  <si>
    <t>INSS-LYNCRA LIMPEZA E SERVIÇOS GERAIS LTDA-nf-6714</t>
  </si>
  <si>
    <t>6714 - 096647755 - INSS</t>
  </si>
  <si>
    <t>INSS-HIGIENIX HIGIENIZAÇÃO E SERVIÇOS-nf-2756</t>
  </si>
  <si>
    <t>2756 - 009212711 - INSS</t>
  </si>
  <si>
    <t>INSS-IS SERVIÇOS INTEGRADOS LTDA-ME-nf-3549</t>
  </si>
  <si>
    <t>3549 - 009441321 - INSS</t>
  </si>
  <si>
    <t>INSS-HIGIENIX HIGIENIZAÇÃO E SERVIÇOS-nf-2755</t>
  </si>
  <si>
    <t>2755 - 009212711 - INSS</t>
  </si>
  <si>
    <t>INSS-LYNCRA LIMPEZA E SERVIÇOS GERAIS LTDA-nf-6732</t>
  </si>
  <si>
    <t>6732 - 096647755 - INSS</t>
  </si>
  <si>
    <t>INSS-HIGIENIX HIGIENIZAÇÃO E SERVIÇOS-nf-2722</t>
  </si>
  <si>
    <t>2722 - 009212711 - INSS</t>
  </si>
  <si>
    <t>INSS-LYNCRA LIMPEZA E SERVIÇOS GERAIS LTDA-nf-6664</t>
  </si>
  <si>
    <t>6664 - 096647755 - INSS</t>
  </si>
  <si>
    <t>INSS-IS SERVIÇOS INTEGRADOS LTDA-ME-nf-3527</t>
  </si>
  <si>
    <t>3527 - 009441321 - INSS</t>
  </si>
  <si>
    <t>INSS-IS SERVIÇOS INTEGRADOS LTDA-ME-nf-3576</t>
  </si>
  <si>
    <t>3576 - 009441321 - INSS</t>
  </si>
  <si>
    <t>INSS-LYNCRA LIMPEZA E SERVIÇOS GERAIS LTDA-nf-6748</t>
  </si>
  <si>
    <t>6748 - 096647755 - INSS</t>
  </si>
  <si>
    <t>INSS-HIGIENIX HIGIENIZAÇÃO E SERVIÇOS-nf-2782</t>
  </si>
  <si>
    <t>2782 - 009212711 - INSS</t>
  </si>
  <si>
    <t>INSS-IS SERVIÇOS INTEGRADOS LTDA-ME-nf-3507</t>
  </si>
  <si>
    <t>3507 - 009441321 - INSS</t>
  </si>
  <si>
    <t>INSS-HIGIENIX HIGIENIZAÇÃO E SERVIÇOS-nf-2707</t>
  </si>
  <si>
    <t>2707 - 009212711 - INSS</t>
  </si>
  <si>
    <t>INSS-LYNCRA LIMPEZA E SERVIÇOS GERAIS LTDA-nf-6662</t>
  </si>
  <si>
    <t>6662 - 096647755 - INSS</t>
  </si>
  <si>
    <t>INSS-HIGIENIX HIGIENIZAÇÃO E SERVIÇOS-nf-2721</t>
  </si>
  <si>
    <t>2721 - 009212711 - INSS</t>
  </si>
  <si>
    <t>INSS-LYNCRA LIMPEZA E SERVIÇOS GERAIS LTDA-nf-6663</t>
  </si>
  <si>
    <t>6663 - 096647755 - INSS</t>
  </si>
  <si>
    <t>INSS-IS SERVIÇOS INTEGRADOS LTDA-ME-nf-3526</t>
  </si>
  <si>
    <t>3526 - 009441321 - INSS</t>
  </si>
  <si>
    <t>INSS-IS SERVIÇOS INTEGRADOS LTDA-ME-nf-3506</t>
  </si>
  <si>
    <t>3506 - 009441321 - INSS</t>
  </si>
  <si>
    <t>INSS-HIGIENIX HIGIENIZAÇÃO E SERVIÇOS-nf-2706</t>
  </si>
  <si>
    <t>2706 - 009212711 - INSS</t>
  </si>
  <si>
    <t>INSS-LYNCRA LIMPEZA E SERVIÇOS GERAIS LTDA-nf-6661</t>
  </si>
  <si>
    <t>6661 - 096647755 - INSS</t>
  </si>
  <si>
    <t>INSS-HIGIENIX HIGIENIZAÇÃO E SERVIÇOS-nf-2760</t>
  </si>
  <si>
    <t>2760 - 009212711 - INSS</t>
  </si>
  <si>
    <t>INSS-LYNCRA LIMPEZA E SERVIÇOS GERAIS LTDA-nf-6718</t>
  </si>
  <si>
    <t>6718 - 096647755 - INSS</t>
  </si>
  <si>
    <t>INSS-IS SERVIÇOS INTEGRADOS LTDA-ME-nf-3555</t>
  </si>
  <si>
    <t>3555 - 009441321 - INSS</t>
  </si>
  <si>
    <t>INSS-HIGIENIX HIGIENIZAÇÃO E SERVIÇOS-nf-2723</t>
  </si>
  <si>
    <t>2723 - 009212711 - INSS</t>
  </si>
  <si>
    <t>INSS-LYNCRA LIMPEZA E SERVIÇOS GERAIS LTDA-nf-6665</t>
  </si>
  <si>
    <t>6665 - 096647755 - INSS</t>
  </si>
  <si>
    <t>INSS-IS SERVIÇOS INTEGRADOS LTDA-ME-nf-3528</t>
  </si>
  <si>
    <t>3528 - 009441321 - INSS</t>
  </si>
  <si>
    <t>INSS-IS SERVIÇOS INTEGRADOS LTDA-ME-nf-3579</t>
  </si>
  <si>
    <t>3579 - 009441321 - INSS</t>
  </si>
  <si>
    <t>INSS-HIGIENIX HIGIENIZAÇÃO E SERVIÇOS-nf-2789</t>
  </si>
  <si>
    <t>2789 - 009212711 - INSS</t>
  </si>
  <si>
    <t>INSS-LYNCRA LIMPEZA E SERVIÇOS GERAIS LTDA-nf-6750</t>
  </si>
  <si>
    <t>6750 - 096647755 - INSS</t>
  </si>
  <si>
    <t>INSS-HIGIENIX HIGIENIZAÇÃO E SERVIÇOS-nf-2759</t>
  </si>
  <si>
    <t>2759 - 009212711 - INSS</t>
  </si>
  <si>
    <t>INSS-IS SERVIÇOS INTEGRADOS LTDA-ME-nf-3554</t>
  </si>
  <si>
    <t>3554 - 009441321 - INSS</t>
  </si>
  <si>
    <t>INSS-LYNCRA LIMPEZA E SERVIÇOS GERAIS LTDA-nf-6731</t>
  </si>
  <si>
    <t>6731 - 096647755 - INSS</t>
  </si>
  <si>
    <t>INSS-HIGIENIX HIGIENIZAÇÃO E SERVIÇOS-nf-2724</t>
  </si>
  <si>
    <t>2724 - 009212711 - INSS</t>
  </si>
  <si>
    <t>INSS-LYNCRA LIMPEZA E SERVIÇOS GERAIS LTDA-nf-6666</t>
  </si>
  <si>
    <t>6666 - 096647755 - INSS</t>
  </si>
  <si>
    <t>INSS-IS SERVIÇOS INTEGRADOS LTDA-ME-nf-3529</t>
  </si>
  <si>
    <t>3529 - 009441321 - INSS</t>
  </si>
  <si>
    <t>INSS-HIGIENIX HIGIENIZAÇÃO E SERVIÇOS-nf-2745</t>
  </si>
  <si>
    <t>2745 - 009212711 - INSS</t>
  </si>
  <si>
    <t>INSS-IS SERVIÇOS INTEGRADOS LTDA-ME-nf-3547</t>
  </si>
  <si>
    <t>3547 - 009441321 - INSS</t>
  </si>
  <si>
    <t>INSS-LYNCRA LIMPEZA E SERVIÇOS GERAIS LTDA-nf-6704</t>
  </si>
  <si>
    <t>6704 - 096647755 - INSS</t>
  </si>
  <si>
    <t>INSS-HIGIENIX HIGIENIZAÇÃO E SERVIÇOS-nf-2764</t>
  </si>
  <si>
    <t>2764 - 009212711 - INSS</t>
  </si>
  <si>
    <t>INSS-IS SERVIÇOS INTEGRADOS LTDA-ME-nf-3559</t>
  </si>
  <si>
    <t>3559 - 009441321 - INSS</t>
  </si>
  <si>
    <t>INSS-LYNCRA LIMPEZA E SERVIÇOS GERAIS LTDA-nf-6722</t>
  </si>
  <si>
    <t>6722 - 096647755 - INSS</t>
  </si>
  <si>
    <t>INSS-HIGIENIX HIGIENIZAÇÃO E SERVIÇOS-nf-2762</t>
  </si>
  <si>
    <t>2762 - 009212711 - INSS</t>
  </si>
  <si>
    <t>INSS-IS SERVIÇOS INTEGRADOS LTDA-ME-nf-3557</t>
  </si>
  <si>
    <t>3557 - 009441321 - INSS</t>
  </si>
  <si>
    <t>INSS-LYNCRA LIMPEZA E SERVIÇOS GERAIS LTDA-nf-6720</t>
  </si>
  <si>
    <t>6720 - 096647755 - INSS</t>
  </si>
  <si>
    <t>INSS-HIGIENIX HIGIENIZAÇÃO E SERVIÇOS-nf-2761</t>
  </si>
  <si>
    <t>2761 - 009212711 - INSS</t>
  </si>
  <si>
    <t>INSS-LYNCRA LIMPEZA E SERVIÇOS GERAIS LTDA-nf-6719</t>
  </si>
  <si>
    <t>6719 - 096647755 - INSS</t>
  </si>
  <si>
    <t>INSS-IS SERVIÇOS INTEGRADOS LTDA-ME-nf-3556</t>
  </si>
  <si>
    <t>3556 - 009441321 - INSS</t>
  </si>
  <si>
    <t>INSS-LYNCRA LIMPEZA E SERVIÇOS GERAIS LTDA-nf-6667</t>
  </si>
  <si>
    <t>6667 - 096647755 - INSS</t>
  </si>
  <si>
    <t>INSS-HIGIENIX HIGIENIZAÇÃO E SERVIÇOS-nf-2725</t>
  </si>
  <si>
    <t>2725 - 009212711 - INSS</t>
  </si>
  <si>
    <t>INSS-IS SERVIÇOS INTEGRADOS LTDA-ME-nf-3530</t>
  </si>
  <si>
    <t>3530 - 009441321 - INSS</t>
  </si>
  <si>
    <t>INSS-HIGIENIX HIGIENIZAÇÃO E SERVIÇOS-nf-2763</t>
  </si>
  <si>
    <t>2763 - 009212711 - INSS</t>
  </si>
  <si>
    <t>INSS-IS SERVIÇOS INTEGRADOS LTDA-ME-nf-3558</t>
  </si>
  <si>
    <t>3558 - 009441321 - INSS</t>
  </si>
  <si>
    <t>INSS-LYNCRA LIMPEZA E SERVIÇOS GERAIS LTDA-nf-6721</t>
  </si>
  <si>
    <t>6721 - 096647755 - INSS</t>
  </si>
  <si>
    <t>INSS-IS SERVIÇOS INTEGRADOS LTDA-ME-nf-3546</t>
  </si>
  <si>
    <t>3546 - 009441321 - INSS</t>
  </si>
  <si>
    <t>INSS-HIGIENIX HIGIENIZAÇÃO E SERVIÇOS-nf-2744</t>
  </si>
  <si>
    <t>2744 - 009212711 - INSS</t>
  </si>
  <si>
    <t>INSS-LYNCRA LIMPEZA E SERVIÇOS GERAIS LTDA-nf-6703</t>
  </si>
  <si>
    <t>6703 - 096647755 - INSS</t>
  </si>
  <si>
    <t>INSS-HIGIENIX HIGIENIZAÇÃO E SERVIÇOS-nf-2765</t>
  </si>
  <si>
    <t>2765 - 009212711 - INSS</t>
  </si>
  <si>
    <t>INSS-IS SERVIÇOS INTEGRADOS LTDA-ME-nf-3560</t>
  </si>
  <si>
    <t>3560 - 009441321 - INSS</t>
  </si>
  <si>
    <t>INSS-LYNCRA LIMPEZA E SERVIÇOS GERAIS LTDA-nf-6723</t>
  </si>
  <si>
    <t>6723 - 096647755 - INSS</t>
  </si>
  <si>
    <t>INSS-LYNCRA LIMPEZA E SERVIÇOS GERAIS LTDA-nf-6716</t>
  </si>
  <si>
    <t>6716 - 096647755 - INSS</t>
  </si>
  <si>
    <t>INSS-HIGIENIX HIGIENIZAÇÃO E SERVIÇOS-nf-2758</t>
  </si>
  <si>
    <t>2758 - 009212711 - INSS</t>
  </si>
  <si>
    <t>INSS-IS SERVIÇOS INTEGRADOS LTDA-ME-nf-3553</t>
  </si>
  <si>
    <t>3553 - 009441321 - INSS</t>
  </si>
  <si>
    <t>INSS-HIGIENIX HIGIENIZAÇÃO E SERVIÇOS-nf-2777</t>
  </si>
  <si>
    <t>2777 - 009212711 - INSS</t>
  </si>
  <si>
    <t>INSS-LYNCRA LIMPEZA E SERVIÇOS GERAIS LTDA-nf-6734</t>
  </si>
  <si>
    <t>6734 - 096647755 - INSS</t>
  </si>
  <si>
    <t>INSS-IS SERVIÇOS INTEGRADOS LTDA-ME-nf-3573</t>
  </si>
  <si>
    <t>3573 - 009441321 - INSS</t>
  </si>
  <si>
    <t>INSS-LYNCRA LIMPEZA E SERVIÇOS GERAIS LTDA-nf-6715</t>
  </si>
  <si>
    <t>6715 - 096647755 - INSS</t>
  </si>
  <si>
    <t>INSS-HIGIENIX HIGIENIZAÇÃO E SERVIÇOS-nf-2757</t>
  </si>
  <si>
    <t>2757 - 009212711 - INSS</t>
  </si>
  <si>
    <t>INSS-HIGIENIX HIGIENIZAÇÃO E SERVIÇOS-nf-2701</t>
  </si>
  <si>
    <t>2701 - 009212711 - INSS</t>
  </si>
  <si>
    <t>INSS-IS SERVIÇOS INTEGRADOS LTDA-ME-nf-3501</t>
  </si>
  <si>
    <t>3501 - 009441321 - INSS</t>
  </si>
  <si>
    <t>INSS-LYNCRA LIMPEZA E SERVIÇOS GERAIS LTDA-nf-6656</t>
  </si>
  <si>
    <t>6656 - 096647755 - INSS</t>
  </si>
  <si>
    <t>INSS-IS SERVIÇOS INTEGRADOS LTDA-ME-nf-3504</t>
  </si>
  <si>
    <t>3504 - 009441321 - INSS</t>
  </si>
  <si>
    <t>INSS-HIGIENIX HIGIENIZAÇÃO E SERVIÇOS-nf-2704</t>
  </si>
  <si>
    <t>2704 - 009212711 - INSS</t>
  </si>
  <si>
    <t>INSS-LYNCRA LIMPEZA E SERVIÇOS GERAIS LTDA-nf-6659</t>
  </si>
  <si>
    <t>6659 - 096647755 - INSS</t>
  </si>
  <si>
    <t>INSS-HIGIENIX HIGIENIZAÇÃO E SERVIÇOS-nf-2738</t>
  </si>
  <si>
    <t>2738 - 009212711 - INSS</t>
  </si>
  <si>
    <t>INSS-LYNCRA LIMPEZA E SERVIÇOS GERAIS LTDA-nf-6669</t>
  </si>
  <si>
    <t>6669 - 096647755 - INSS</t>
  </si>
  <si>
    <t>INSS-IS SERVIÇOS INTEGRADOS LTDA-ME-nf-3535</t>
  </si>
  <si>
    <t>3535 - 009441321 - INSS</t>
  </si>
  <si>
    <t>INSS-HIGIENIX HIGIENIZAÇÃO E SERVIÇOS-nf-2766</t>
  </si>
  <si>
    <t>2766 - 009212711 - INSS</t>
  </si>
  <si>
    <t>INSS-IS SERVIÇOS INTEGRADOS LTDA-ME-nf-3561</t>
  </si>
  <si>
    <t>3561 - 009441321 - INSS</t>
  </si>
  <si>
    <t>INSS-LYNCRA LIMPEZA E SERVIÇOS GERAIS LTDA-nf-6724</t>
  </si>
  <si>
    <t>6724 - 096647755 - INSS</t>
  </si>
  <si>
    <t>INSS-HIGIENIX HIGIENIZAÇÃO E SERVIÇOS-nf-2739</t>
  </si>
  <si>
    <t>2739 - 009212711 - INSS</t>
  </si>
  <si>
    <t>INSS-LYNCRA LIMPEZA E SERVIÇOS GERAIS LTDA-nf-6670</t>
  </si>
  <si>
    <t>6670 - 096647755 - INSS</t>
  </si>
  <si>
    <t>INSS-IS SERVIÇOS INTEGRADOS LTDA-ME-nf-3536</t>
  </si>
  <si>
    <t>3536 - 009441321 - INSS</t>
  </si>
  <si>
    <t>ISS-IS SERVIÇOS INTEGRADOS LTDA-ME-nf-3551</t>
  </si>
  <si>
    <t>3551 - 009441321 - ISS</t>
  </si>
  <si>
    <t>ISS-LYNCRA LIMPEZA E SERVIÇOS GERAIS LTDA-nf-6714</t>
  </si>
  <si>
    <t>6714 - 096647755 - ISS</t>
  </si>
  <si>
    <t>ISS-HIGIENIX HIGIENIZAÇÃO E SERVIÇOS-nf-2756</t>
  </si>
  <si>
    <t>2756 - 009212711 - ISS</t>
  </si>
  <si>
    <t>ISS-HIGIENIX HIGIENIZAÇÃO E SERVIÇOS-nf-2760</t>
  </si>
  <si>
    <t>2760 - 009212711 - ISS</t>
  </si>
  <si>
    <t>ISS-LYNCRA LIMPEZA E SERVIÇOS GERAIS LTDA-nf-6718</t>
  </si>
  <si>
    <t>6718 - 096647755 - ISS</t>
  </si>
  <si>
    <t>ISS-IS SERVIÇOS INTEGRADOS LTDA-ME-nf-3555</t>
  </si>
  <si>
    <t>3555 - 009441321 - ISS</t>
  </si>
  <si>
    <t>ISS-HIGIENIX HIGIENIZAÇÃO E SERVIÇOS-nf-2761</t>
  </si>
  <si>
    <t>2761 - 009212711 - ISS</t>
  </si>
  <si>
    <t>ISS-LYNCRA LIMPEZA E SERVIÇOS GERAIS LTDA-nf-6719</t>
  </si>
  <si>
    <t>6719 - 096647755 - ISS</t>
  </si>
  <si>
    <t>ISS-IS SERVIÇOS INTEGRADOS LTDA-ME-nf-3556</t>
  </si>
  <si>
    <t>3556 - 009441321 - ISS</t>
  </si>
  <si>
    <t>ISS-HIGIENIX HIGIENIZAÇÃO E SERVIÇOS-nf-2763</t>
  </si>
  <si>
    <t>2763 - 009212711 - ISS</t>
  </si>
  <si>
    <t>ISS-IS SERVIÇOS INTEGRADOS LTDA-ME-nf-3558</t>
  </si>
  <si>
    <t>3558 - 009441321 - ISS</t>
  </si>
  <si>
    <t>ISS-LYNCRA LIMPEZA E SERVIÇOS GERAIS LTDA-nf-6721</t>
  </si>
  <si>
    <t>6721 - 096647755 - ISS</t>
  </si>
  <si>
    <t>ISS-IS SERVIÇOS INTEGRADOS LTDA-ME-nf-3560</t>
  </si>
  <si>
    <t>3560 - 009441321 - ISS</t>
  </si>
  <si>
    <t>ISS-LYNCRA LIMPEZA E SERVIÇOS GERAIS LTDA-nf-6723</t>
  </si>
  <si>
    <t>6723 - 096647755 - ISS</t>
  </si>
  <si>
    <t>ISS-HIGIENIX HIGIENIZAÇÃO E SERVIÇOS-nf-2765</t>
  </si>
  <si>
    <t>2765 - 009212711 - ISS</t>
  </si>
  <si>
    <t>ISS-LYNCRA LIMPEZA E SERVIÇOS GERAIS LTDA-nf-6716</t>
  </si>
  <si>
    <t>6716 - 096647755 - ISS</t>
  </si>
  <si>
    <t>ISS-HIGIENIX HIGIENIZAÇÃO E SERVIÇOS-nf-2758</t>
  </si>
  <si>
    <t>2758 - 009212711 - ISS</t>
  </si>
  <si>
    <t>ISS-IS SERVIÇOS INTEGRADOS LTDA-ME-nf-3553</t>
  </si>
  <si>
    <t>3553 - 009441321 - ISS</t>
  </si>
  <si>
    <t>ISS-HIGIENIX HIGIENIZAÇÃO E SERVIÇOS-nf-2737</t>
  </si>
  <si>
    <t>2737 - 009212711 - ISS</t>
  </si>
  <si>
    <t>ISS-LYNCRA LIMPEZA E SERVIÇOS GERAIS LTDA-nf-6668</t>
  </si>
  <si>
    <t>6668 - 096647755 - ISS</t>
  </si>
  <si>
    <t>ISS-IS SERVIÇOS INTEGRADOS LTDA-ME-nf-3534</t>
  </si>
  <si>
    <t>3534 - 009441321 - ISS</t>
  </si>
  <si>
    <t>ISS-IS SERVIÇOS INTEGRADOS LTDA-ME-nf-3531</t>
  </si>
  <si>
    <t>3531 - 009441321 - ISS</t>
  </si>
  <si>
    <t>ISS-HIGIENIX HIGIENIZAÇÃO E SERVIÇOS-nf-2721</t>
  </si>
  <si>
    <t>2721 - 009212711 - ISS</t>
  </si>
  <si>
    <t>ISS-LYNCRA LIMPEZA E SERVIÇOS GERAIS LTDA-nf-6663</t>
  </si>
  <si>
    <t>6663 - 096647755 - ISS</t>
  </si>
  <si>
    <t>ISS-IS SERVIÇOS INTEGRADOS LTDA-ME-nf-3526</t>
  </si>
  <si>
    <t>3526 - 009441321 - ISS</t>
  </si>
  <si>
    <t>ISS-HIGIENIX HIGIENIZAÇÃO E SERVIÇOS-nf-2738</t>
  </si>
  <si>
    <t>2738 - 009212711 - ISS</t>
  </si>
  <si>
    <t>ISS-LYNCRA LIMPEZA E SERVIÇOS GERAIS LTDA-nf-6669</t>
  </si>
  <si>
    <t>6669 - 096647755 - ISS</t>
  </si>
  <si>
    <t>ISS-IS SERVIÇOS INTEGRADOS LTDA-ME-nf-3535</t>
  </si>
  <si>
    <t>3535 - 009441321 - ISS</t>
  </si>
  <si>
    <t>ISS-LYNCRA LIMPEZA E SERVIÇOS GERAIS LTDA-nf-6664</t>
  </si>
  <si>
    <t>6664 - 096647755 - ISS</t>
  </si>
  <si>
    <t>ISS-IS SERVIÇOS INTEGRADOS LTDA-ME-nf-3527</t>
  </si>
  <si>
    <t>3527 - 009441321 - ISS</t>
  </si>
  <si>
    <t>ISS-HIGIENIX HIGIENIZAÇÃO E SERVIÇOS-nf-2722</t>
  </si>
  <si>
    <t>2722 - 009212711 - ISS</t>
  </si>
  <si>
    <t>ISS-LYNCRA LIMPEZA E SERVIÇOS GERAIS LTDA-nf-6667</t>
  </si>
  <si>
    <t>6667 - 096647755 - ISS</t>
  </si>
  <si>
    <t>ISS-IS SERVIÇOS INTEGRADOS LTDA-ME-nf-3530</t>
  </si>
  <si>
    <t>3530 - 009441321 - ISS</t>
  </si>
  <si>
    <t>ISS-HIGIENIX HIGIENIZAÇÃO E SERVIÇOS-nf-2725</t>
  </si>
  <si>
    <t>2725 - 009212711 - ISS</t>
  </si>
  <si>
    <t>ISS-IS SERVIÇOS INTEGRADOS LTDA-ME-nf-3504</t>
  </si>
  <si>
    <t>3504 - 009441321 - ISS</t>
  </si>
  <si>
    <t>ISS-HIGIENIX HIGIENIZAÇÃO E SERVIÇOS-nf-2704</t>
  </si>
  <si>
    <t>2704 - 009212711 - ISS</t>
  </si>
  <si>
    <t>ISS-LYNCRA LIMPEZA E SERVIÇOS GERAIS LTDA-nf-6659</t>
  </si>
  <si>
    <t>6659 - 096647755 - ISS</t>
  </si>
  <si>
    <t>ISS-IS SERVIÇOS INTEGRADOS LTDA-ME-nf-3576</t>
  </si>
  <si>
    <t>3576 - 009441321 - ISS</t>
  </si>
  <si>
    <t>ISS-LYNCRA LIMPEZA E SERVIÇOS GERAIS LTDA-nf-6748</t>
  </si>
  <si>
    <t>6748 - 096647755 - ISS</t>
  </si>
  <si>
    <t>ISS-HIGIENIX HIGIENIZAÇÃO E SERVIÇOS-nf-2782</t>
  </si>
  <si>
    <t>2782 - 009212711 - ISS</t>
  </si>
  <si>
    <t>ISS-IS SERVIÇOS INTEGRADOS LTDA-ME-nf-3506</t>
  </si>
  <si>
    <t>3506 - 009441321 - ISS</t>
  </si>
  <si>
    <t>ISS-HIGIENIX HIGIENIZAÇÃO E SERVIÇOS-nf-2706</t>
  </si>
  <si>
    <t>2706 - 009212711 - ISS</t>
  </si>
  <si>
    <t>ISS-LYNCRA LIMPEZA E SERVIÇOS GERAIS LTDA-nf-6661</t>
  </si>
  <si>
    <t>6661 - 096647755 - ISS</t>
  </si>
  <si>
    <t>ISS-LYNCRA LIMPEZA E SERVIÇOS GERAIS LTDA-nf-6715</t>
  </si>
  <si>
    <t>6715 - 096647755 - ISS</t>
  </si>
  <si>
    <t>ISS-HIGIENIX HIGIENIZAÇÃO E SERVIÇOS-nf-2757</t>
  </si>
  <si>
    <t>2757 - 009212711 - ISS</t>
  </si>
  <si>
    <t>ISS-HIGIENIX HIGIENIZAÇÃO E SERVIÇOS-nf-2759</t>
  </si>
  <si>
    <t>2759 - 009212711 - ISS</t>
  </si>
  <si>
    <t>ISS-IS SERVIÇOS INTEGRADOS LTDA-ME-nf-3554</t>
  </si>
  <si>
    <t>3554 - 009441321 - ISS</t>
  </si>
  <si>
    <t>ISS-LYNCRA LIMPEZA E SERVIÇOS GERAIS LTDA-nf-6731</t>
  </si>
  <si>
    <t>6731 - 096647755 - ISS</t>
  </si>
  <si>
    <t>ISS-IS SERVIÇOS INTEGRADOS LTDA-ME-nf-3502</t>
  </si>
  <si>
    <t>3502 - 009441321 - ISS</t>
  </si>
  <si>
    <t>ISS-LYNCRA LIMPEZA E SERVIÇOS GERAIS LTDA-nf-6657</t>
  </si>
  <si>
    <t>6657 - 096647755 - ISS</t>
  </si>
  <si>
    <t>ISS-HIGIENIX HIGIENIZAÇÃO E SERVIÇOS-nf-2702</t>
  </si>
  <si>
    <t>2702 - 009212711 - ISS</t>
  </si>
  <si>
    <t>ISS-IS SERVIÇOS INTEGRADOS LTDA-ME-nf-3579</t>
  </si>
  <si>
    <t>3579 - 009441321 - ISS</t>
  </si>
  <si>
    <t>ISS-HIGIENIX HIGIENIZAÇÃO E SERVIÇOS-nf-2789</t>
  </si>
  <si>
    <t>2789 - 009212711 - ISS</t>
  </si>
  <si>
    <t>ISS-LYNCRA LIMPEZA E SERVIÇOS GERAIS LTDA-nf-6750</t>
  </si>
  <si>
    <t>6750 - 096647755 - ISS</t>
  </si>
  <si>
    <t>ISS-HIGIENIX HIGIENIZAÇÃO E SERVIÇOS-nf-2762</t>
  </si>
  <si>
    <t>2762 - 009212711 - ISS</t>
  </si>
  <si>
    <t>ISS-IS SERVIÇOS INTEGRADOS LTDA-ME-nf-3557</t>
  </si>
  <si>
    <t>3557 - 009441321 - ISS</t>
  </si>
  <si>
    <t>ISS-LYNCRA LIMPEZA E SERVIÇOS GERAIS LTDA-nf-6720</t>
  </si>
  <si>
    <t>6720 - 096647755 - ISS</t>
  </si>
  <si>
    <t>ISS-HIGIENIX HIGIENIZAÇÃO E SERVIÇOS-nf-2724</t>
  </si>
  <si>
    <t>2724 - 009212711 - ISS</t>
  </si>
  <si>
    <t>ISS-LYNCRA LIMPEZA E SERVIÇOS GERAIS LTDA-nf-6666</t>
  </si>
  <si>
    <t>6666 - 096647755 - ISS</t>
  </si>
  <si>
    <t>ISS-IS SERVIÇOS INTEGRADOS LTDA-ME-nf-3529</t>
  </si>
  <si>
    <t>3529 - 009441321 - ISS</t>
  </si>
  <si>
    <t>ISS-HIGIENIX HIGIENIZAÇÃO E SERVIÇOS-nf-2703</t>
  </si>
  <si>
    <t>2703 - 009212711 - ISS</t>
  </si>
  <si>
    <t>ISS-IS SERVIÇOS INTEGRADOS LTDA-ME-nf-3503</t>
  </si>
  <si>
    <t>3503 - 009441321 - ISS</t>
  </si>
  <si>
    <t>ISS-LYNCRA LIMPEZA E SERVIÇOS GERAIS LTDA-nf-6658</t>
  </si>
  <si>
    <t>6658 - 096647755 - ISS</t>
  </si>
  <si>
    <t>ISS-HIGIENIX HIGIENIZAÇÃO E SERVIÇOS-nf-2701</t>
  </si>
  <si>
    <t>2701 - 009212711 - ISS</t>
  </si>
  <si>
    <t>ISS-IS SERVIÇOS INTEGRADOS LTDA-ME-nf-3501</t>
  </si>
  <si>
    <t>3501 - 009441321 - ISS</t>
  </si>
  <si>
    <t>ISS-LYNCRA LIMPEZA E SERVIÇOS GERAIS LTDA-nf-6656</t>
  </si>
  <si>
    <t>6656 - 096647755 - ISS</t>
  </si>
  <si>
    <t>ISS-IS SERVIÇOS INTEGRADOS LTDA-ME-nf-3505</t>
  </si>
  <si>
    <t>3505 - 009441321 - ISS</t>
  </si>
  <si>
    <t>ISS-HIGIENIX HIGIENIZAÇÃO E SERVIÇOS-nf-2705</t>
  </si>
  <si>
    <t>2705 - 009212711 - ISS</t>
  </si>
  <si>
    <t>ISS-LYNCRA LIMPEZA E SERVIÇOS GERAIS LTDA-nf-6660</t>
  </si>
  <si>
    <t>6660 - 096647755 - ISS</t>
  </si>
  <si>
    <t>ISS-HIGIENIX HIGIENIZAÇÃO E SERVIÇOS-nf-2764</t>
  </si>
  <si>
    <t>2764 - 009212711 - ISS</t>
  </si>
  <si>
    <t>ISS-IS SERVIÇOS INTEGRADOS LTDA-ME-nf-3559</t>
  </si>
  <si>
    <t>3559 - 009441321 - ISS</t>
  </si>
  <si>
    <t>ISS-LYNCRA LIMPEZA E SERVIÇOS GERAIS LTDA-nf-6722</t>
  </si>
  <si>
    <t>6722 - 096647755 - ISS</t>
  </si>
  <si>
    <t>ISS-HIGIENIX HIGIENIZAÇÃO E SERVIÇOS-nf-2777</t>
  </si>
  <si>
    <t>2777 - 009212711 - ISS</t>
  </si>
  <si>
    <t>ISS-LYNCRA LIMPEZA E SERVIÇOS GERAIS LTDA-nf-6734</t>
  </si>
  <si>
    <t>6734 - 096647755 - ISS</t>
  </si>
  <si>
    <t>ISS-IS SERVIÇOS INTEGRADOS LTDA-ME-nf-3573</t>
  </si>
  <si>
    <t>3573 - 009441321 - ISS</t>
  </si>
  <si>
    <t>ISS-IS SERVIÇOS INTEGRADOS LTDA-ME-nf-3507</t>
  </si>
  <si>
    <t>3507 - 009441321 - ISS</t>
  </si>
  <si>
    <t>ISS-HIGIENIX HIGIENIZAÇÃO E SERVIÇOS-nf-2707</t>
  </si>
  <si>
    <t>2707 - 009212711 - ISS</t>
  </si>
  <si>
    <t>ISS-LYNCRA LIMPEZA E SERVIÇOS GERAIS LTDA-nf-6662</t>
  </si>
  <si>
    <t>6662 - 096647755 - ISS</t>
  </si>
  <si>
    <t>ISS-HIGIENIX HIGIENIZAÇÃO E SERVIÇOS-nf-2739</t>
  </si>
  <si>
    <t>2739 - 009212711 - ISS</t>
  </si>
  <si>
    <t>ISS-LYNCRA LIMPEZA E SERVIÇOS GERAIS LTDA-nf-6670</t>
  </si>
  <si>
    <t>6670 - 096647755 - ISS</t>
  </si>
  <si>
    <t>ISS-IS SERVIÇOS INTEGRADOS LTDA-ME-nf-3536</t>
  </si>
  <si>
    <t>3536 - 009441321 - ISS</t>
  </si>
  <si>
    <t>ISS-IS SERVIÇOS INTEGRADOS LTDA-ME-nf-3546</t>
  </si>
  <si>
    <t>3546 - 009441321 - ISS</t>
  </si>
  <si>
    <t>ISS-HIGIENIX HIGIENIZAÇÃO E SERVIÇOS-nf-2744</t>
  </si>
  <si>
    <t>2744 - 009212711 - ISS</t>
  </si>
  <si>
    <t>ISS-LYNCRA LIMPEZA E SERVIÇOS GERAIS LTDA-nf-6703</t>
  </si>
  <si>
    <t>6703 - 096647755 - ISS</t>
  </si>
  <si>
    <t>ISS-LYNCRA LIMPEZA E SERVIÇOS GERAIS LTDA-nf-6665</t>
  </si>
  <si>
    <t>6665 - 096647755 - ISS</t>
  </si>
  <si>
    <t>ISS-IS SERVIÇOS INTEGRADOS LTDA-ME-nf-3528</t>
  </si>
  <si>
    <t>3528 - 009441321 - ISS</t>
  </si>
  <si>
    <t>ISS-HIGIENIX HIGIENIZAÇÃO E SERVIÇOS-nf-2723</t>
  </si>
  <si>
    <t>2723 - 009212711 - ISS</t>
  </si>
  <si>
    <t>ISS-HIGIENIX HIGIENIZAÇÃO E SERVIÇOS-nf-2766</t>
  </si>
  <si>
    <t>2766 - 009212711 - ISS</t>
  </si>
  <si>
    <t>ISS-IS SERVIÇOS INTEGRADOS LTDA-ME-nf-3561</t>
  </si>
  <si>
    <t>3561 - 009441321 - ISS</t>
  </si>
  <si>
    <t>ISS-LYNCRA LIMPEZA E SERVIÇOS GERAIS LTDA-nf-6724</t>
  </si>
  <si>
    <t>6724 - 096647755 - ISS</t>
  </si>
  <si>
    <t>ISS-IS SERVIÇOS INTEGRADOS LTDA-ME-nf-3549</t>
  </si>
  <si>
    <t>3549 - 009441321 - ISS</t>
  </si>
  <si>
    <t>ISS-HIGIENIX HIGIENIZAÇÃO E SERVIÇOS-nf-2755</t>
  </si>
  <si>
    <t>2755 - 009212711 - ISS</t>
  </si>
  <si>
    <t>ISS-LYNCRA LIMPEZA E SERVIÇOS GERAIS LTDA-nf-6732</t>
  </si>
  <si>
    <t>6732 - 096647755 - ISS</t>
  </si>
  <si>
    <t>ISS-HIGIENIX HIGIENIZAÇÃO E SERVIÇOS-nf-2745</t>
  </si>
  <si>
    <t>2745 - 009212711 - ISS</t>
  </si>
  <si>
    <t>ISS-IS SERVIÇOS INTEGRADOS LTDA-ME-nf-3547</t>
  </si>
  <si>
    <t>3547 - 009441321 - ISS</t>
  </si>
  <si>
    <t>ISS-LYNCRA LIMPEZA E SERVIÇOS GERAIS LTDA-nf-6704</t>
  </si>
  <si>
    <t>6704 - 096647755 - ISS</t>
  </si>
  <si>
    <t>IRRF-HIGIENIX HIGIENIZAÇÃO E SERVIÇOS-nf-2701</t>
  </si>
  <si>
    <t>2701 - 009212711 - IRRF</t>
  </si>
  <si>
    <t>IRRF-HIGIENIX HIGIENIZAÇÃO E SERVIÇOS-nf-2702</t>
  </si>
  <si>
    <t>2702 - 009212711 - IRRF</t>
  </si>
  <si>
    <t>IRRF-HIGIENIX HIGIENIZAÇÃO E SERVIÇOS-nf-2703</t>
  </si>
  <si>
    <t>2703 - 009212711 - IRRF</t>
  </si>
  <si>
    <t>IRRF-HIGIENIX HIGIENIZAÇÃO E SERVIÇOS-nf-2704</t>
  </si>
  <si>
    <t>2704 - 009212711 - IRRF</t>
  </si>
  <si>
    <t>IRRF-HIGIENIX HIGIENIZAÇÃO E SERVIÇOS-nf-2705</t>
  </si>
  <si>
    <t>2705 - 009212711 - IRRF</t>
  </si>
  <si>
    <t>IRRF-HIGIENIX HIGIENIZAÇÃO E SERVIÇOS-nf-2706</t>
  </si>
  <si>
    <t>2706 - 009212711 - IRRF</t>
  </si>
  <si>
    <t>IRRF-HIGIENIX HIGIENIZAÇÃO E SERVIÇOS-nf-2707</t>
  </si>
  <si>
    <t>2707 - 009212711 - IRRF</t>
  </si>
  <si>
    <t>IRRF-HIGIENIX HIGIENIZAÇÃO E SERVIÇOS-nf-2721</t>
  </si>
  <si>
    <t>2721 - 009212711 - IRRF</t>
  </si>
  <si>
    <t>IRRF-HIGIENIX HIGIENIZAÇÃO E SERVIÇOS-nf-2722</t>
  </si>
  <si>
    <t>2722 - 009212711 - IRRF</t>
  </si>
  <si>
    <t>IRRF-HIGIENIX HIGIENIZAÇÃO E SERVIÇOS-nf-2723</t>
  </si>
  <si>
    <t>2723 - 009212711 - IRRF</t>
  </si>
  <si>
    <t>IRRF-HIGIENIX HIGIENIZAÇÃO E SERVIÇOS-nf-2724</t>
  </si>
  <si>
    <t>2724 - 009212711 - IRRF</t>
  </si>
  <si>
    <t>IRRF-HIGIENIX HIGIENIZAÇÃO E SERVIÇOS-nf-2725</t>
  </si>
  <si>
    <t>2725 - 009212711 - IRRF</t>
  </si>
  <si>
    <t>IRRF-HIGIENIX HIGIENIZAÇÃO E SERVIÇOS-nf-2737</t>
  </si>
  <si>
    <t>2737 - 009212711 - IRRF</t>
  </si>
  <si>
    <t>IRRF-HIGIENIX HIGIENIZAÇÃO E SERVIÇOS-nf-2738</t>
  </si>
  <si>
    <t>2738 - 009212711 - IRRF</t>
  </si>
  <si>
    <t>IRRF-HIGIENIX HIGIENIZAÇÃO E SERVIÇOS-nf-2739</t>
  </si>
  <si>
    <t>2739 - 009212711 - IRRF</t>
  </si>
  <si>
    <t>IRRF-HIGIENIX HIGIENIZAÇÃO E SERVIÇOS-nf-2744</t>
  </si>
  <si>
    <t>2744 - 009212711 - IRRF</t>
  </si>
  <si>
    <t>IRRF-HIGIENIX HIGIENIZAÇÃO E SERVIÇOS-nf-2745</t>
  </si>
  <si>
    <t>2745 - 009212711 - IRRF</t>
  </si>
  <si>
    <t>IRRF-HIGIENIX HIGIENIZAÇÃO E SERVIÇOS-nf-2755</t>
  </si>
  <si>
    <t>2755 - 009212711 - IRRF</t>
  </si>
  <si>
    <t>IRRF-HIGIENIX HIGIENIZAÇÃO E SERVIÇOS-nf-2756</t>
  </si>
  <si>
    <t>2756 - 009212711 - IRRF</t>
  </si>
  <si>
    <t>IRRF-HIGIENIX HIGIENIZAÇÃO E SERVIÇOS-nf-2757</t>
  </si>
  <si>
    <t>2757 - 009212711 - IRRF</t>
  </si>
  <si>
    <t>IRRF-HIGIENIX HIGIENIZAÇÃO E SERVIÇOS-nf-2758</t>
  </si>
  <si>
    <t>2758 - 009212711 - IRRF</t>
  </si>
  <si>
    <t>IRRF-HIGIENIX HIGIENIZAÇÃO E SERVIÇOS-nf-2759</t>
  </si>
  <si>
    <t>2759 - 009212711 - IRRF</t>
  </si>
  <si>
    <t>IRRF-HIGIENIX HIGIENIZAÇÃO E SERVIÇOS-nf-2760</t>
  </si>
  <si>
    <t>2760 - 009212711 - IRRF</t>
  </si>
  <si>
    <t>IRRF-HIGIENIX HIGIENIZAÇÃO E SERVIÇOS-nf-2761</t>
  </si>
  <si>
    <t>2761 - 009212711 - IRRF</t>
  </si>
  <si>
    <t>IRRF-HIGIENIX HIGIENIZAÇÃO E SERVIÇOS-nf-2762</t>
  </si>
  <si>
    <t>2762 - 009212711 - IRRF</t>
  </si>
  <si>
    <t>IRRF-HIGIENIX HIGIENIZAÇÃO E SERVIÇOS-nf-2763</t>
  </si>
  <si>
    <t>2763 - 009212711 - IRRF</t>
  </si>
  <si>
    <t>IRRF-HIGIENIX HIGIENIZAÇÃO E SERVIÇOS-nf-2764</t>
  </si>
  <si>
    <t>2764 - 009212711 - IRRF</t>
  </si>
  <si>
    <t>IRRF-HIGIENIX HIGIENIZAÇÃO E SERVIÇOS-nf-2765</t>
  </si>
  <si>
    <t>2765 - 009212711 - IRRF</t>
  </si>
  <si>
    <t>IRRF-HIGIENIX HIGIENIZAÇÃO E SERVIÇOS-nf-2766</t>
  </si>
  <si>
    <t>2766 - 009212711 - IRRF</t>
  </si>
  <si>
    <t>IRRF-HIGIENIX HIGIENIZAÇÃO E SERVIÇOS-nf-2777</t>
  </si>
  <si>
    <t>2777 - 009212711 - IRRF</t>
  </si>
  <si>
    <t>IRRF-HIGIENIX HIGIENIZAÇÃO E SERVIÇOS-nf-2782</t>
  </si>
  <si>
    <t>2782 - 009212711 - IRRF</t>
  </si>
  <si>
    <t>IRRF-HIGIENIX HIGIENIZAÇÃO E SERVIÇOS-nf-2789</t>
  </si>
  <si>
    <t>2789 - 009212711 - IRRF</t>
  </si>
  <si>
    <t>IRRF-INSTITUTO NACIONAL DE ANÁLISES E PESQUISAS S/C LTDA-nf-8282,02</t>
  </si>
  <si>
    <t>8282,02 - 004248764 - IRRF</t>
  </si>
  <si>
    <t>IRRF-IS SERVIÇOS INTEGRADOS LTDA-ME-nf-3501</t>
  </si>
  <si>
    <t>3501 - 009441321 - IRRF</t>
  </si>
  <si>
    <t>IRRF-IS SERVIÇOS INTEGRADOS LTDA-ME-nf-3502</t>
  </si>
  <si>
    <t>3502 - 009441321 - IRRF</t>
  </si>
  <si>
    <t>IRRF-IS SERVIÇOS INTEGRADOS LTDA-ME-nf-3503</t>
  </si>
  <si>
    <t>3503 - 009441321 - IRRF</t>
  </si>
  <si>
    <t>IRRF-IS SERVIÇOS INTEGRADOS LTDA-ME-nf-3504</t>
  </si>
  <si>
    <t>3504 - 009441321 - IRRF</t>
  </si>
  <si>
    <t>IRRF-IS SERVIÇOS INTEGRADOS LTDA-ME-nf-3505</t>
  </si>
  <si>
    <t>3505 - 009441321 - IRRF</t>
  </si>
  <si>
    <t>IRRF-IS SERVIÇOS INTEGRADOS LTDA-ME-nf-3506</t>
  </si>
  <si>
    <t>3506 - 009441321 - IRRF</t>
  </si>
  <si>
    <t>IRRF-IS SERVIÇOS INTEGRADOS LTDA-ME-nf-3507</t>
  </si>
  <si>
    <t>3507 - 009441321 - IRRF</t>
  </si>
  <si>
    <t>IRRF-IS SERVIÇOS INTEGRADOS LTDA-ME-nf-3526</t>
  </si>
  <si>
    <t>3526 - 009441321 - IRRF</t>
  </si>
  <si>
    <t>IRRF-IS SERVIÇOS INTEGRADOS LTDA-ME-nf-3527</t>
  </si>
  <si>
    <t>3527 - 009441321 - IRRF</t>
  </si>
  <si>
    <t>IRRF-IS SERVIÇOS INTEGRADOS LTDA-ME-nf-3528</t>
  </si>
  <si>
    <t>3528 - 009441321 - IRRF</t>
  </si>
  <si>
    <t>IRRF-IS SERVIÇOS INTEGRADOS LTDA-ME-nf-3529</t>
  </si>
  <si>
    <t>3529 - 009441321 - IRRF</t>
  </si>
  <si>
    <t>IRRF-IS SERVIÇOS INTEGRADOS LTDA-ME-nf-3530</t>
  </si>
  <si>
    <t>3530 - 009441321 - IRRF</t>
  </si>
  <si>
    <t>IRRF-IS SERVIÇOS INTEGRADOS LTDA-ME-nf-3531</t>
  </si>
  <si>
    <t>3531 - 009441321 - IRRF</t>
  </si>
  <si>
    <t>IRRF-IS SERVIÇOS INTEGRADOS LTDA-ME-nf-3534</t>
  </si>
  <si>
    <t>3534 - 009441321 - IRRF</t>
  </si>
  <si>
    <t>IRRF-IS SERVIÇOS INTEGRADOS LTDA-ME-nf-3535</t>
  </si>
  <si>
    <t>3535 - 009441321 - IRRF</t>
  </si>
  <si>
    <t>IRRF-IS SERVIÇOS INTEGRADOS LTDA-ME-nf-3536</t>
  </si>
  <si>
    <t>3536 - 009441321 - IRRF</t>
  </si>
  <si>
    <t>IRRF-IS SERVIÇOS INTEGRADOS LTDA-ME-nf-3546</t>
  </si>
  <si>
    <t>3546 - 009441321 - IRRF</t>
  </si>
  <si>
    <t>IRRF-IS SERVIÇOS INTEGRADOS LTDA-ME-nf-3547</t>
  </si>
  <si>
    <t>3547 - 009441321 - IRRF</t>
  </si>
  <si>
    <t>IRRF-IS SERVIÇOS INTEGRADOS LTDA-ME-nf-3549</t>
  </si>
  <si>
    <t>3549 - 009441321 - IRRF</t>
  </si>
  <si>
    <t>IRRF-IS SERVIÇOS INTEGRADOS LTDA-ME-nf-3551</t>
  </si>
  <si>
    <t>3551 - 009441321 - IRRF</t>
  </si>
  <si>
    <t>IRRF-IS SERVIÇOS INTEGRADOS LTDA-ME-nf-3553</t>
  </si>
  <si>
    <t>3553 - 009441321 - IRRF</t>
  </si>
  <si>
    <t>IRRF-IS SERVIÇOS INTEGRADOS LTDA-ME-nf-3554</t>
  </si>
  <si>
    <t>3554 - 009441321 - IRRF</t>
  </si>
  <si>
    <t>IRRF-IS SERVIÇOS INTEGRADOS LTDA-ME-nf-3555</t>
  </si>
  <si>
    <t>3555 - 009441321 - IRRF</t>
  </si>
  <si>
    <t>IRRF-IS SERVIÇOS INTEGRADOS LTDA-ME-nf-3556</t>
  </si>
  <si>
    <t>3556 - 009441321 - IRRF</t>
  </si>
  <si>
    <t>IRRF-IS SERVIÇOS INTEGRADOS LTDA-ME-nf-3557</t>
  </si>
  <si>
    <t>3557 - 009441321 - IRRF</t>
  </si>
  <si>
    <t>IRRF-IS SERVIÇOS INTEGRADOS LTDA-ME-nf-3558</t>
  </si>
  <si>
    <t>3558 - 009441321 - IRRF</t>
  </si>
  <si>
    <t>IRRF-IS SERVIÇOS INTEGRADOS LTDA-ME-nf-3559</t>
  </si>
  <si>
    <t>3559 - 009441321 - IRRF</t>
  </si>
  <si>
    <t>IRRF-IS SERVIÇOS INTEGRADOS LTDA-ME-nf-3560</t>
  </si>
  <si>
    <t>3560 - 009441321 - IRRF</t>
  </si>
  <si>
    <t>IRRF-IS SERVIÇOS INTEGRADOS LTDA-ME-nf-3561</t>
  </si>
  <si>
    <t>3561 - 009441321 - IRRF</t>
  </si>
  <si>
    <t>IRRF-IS SERVIÇOS INTEGRADOS LTDA-ME-nf-3573</t>
  </si>
  <si>
    <t>3573 - 009441321 - IRRF</t>
  </si>
  <si>
    <t>IRRF-IS SERVIÇOS INTEGRADOS LTDA-ME-nf-3576</t>
  </si>
  <si>
    <t>3576 - 009441321 - IRRF</t>
  </si>
  <si>
    <t>IRRF-IS SERVIÇOS INTEGRADOS LTDA-ME-nf-3579</t>
  </si>
  <si>
    <t>3579 - 009441321 - IRRF</t>
  </si>
  <si>
    <t>IRRF-LYNCRA LIMPEZA E SERVIÇOS GERAIS LTDA-nf-6656</t>
  </si>
  <si>
    <t>6656 - 096647755 - IRRF</t>
  </si>
  <si>
    <t>IRRF-LYNCRA LIMPEZA E SERVIÇOS GERAIS LTDA-nf-6657</t>
  </si>
  <si>
    <t>6657 - 096647755 - IRRF</t>
  </si>
  <si>
    <t>IRRF-LYNCRA LIMPEZA E SERVIÇOS GERAIS LTDA-nf-6658</t>
  </si>
  <si>
    <t>6658 - 096647755 - IRRF</t>
  </si>
  <si>
    <t>IRRF-LYNCRA LIMPEZA E SERVIÇOS GERAIS LTDA-nf-6659</t>
  </si>
  <si>
    <t>6659 - 096647755 - IRRF</t>
  </si>
  <si>
    <t>IRRF-LYNCRA LIMPEZA E SERVIÇOS GERAIS LTDA-nf-6660</t>
  </si>
  <si>
    <t>6660 - 096647755 - IRRF</t>
  </si>
  <si>
    <t>IRRF-LYNCRA LIMPEZA E SERVIÇOS GERAIS LTDA-nf-6661</t>
  </si>
  <si>
    <t>6661 - 096647755 - IRRF</t>
  </si>
  <si>
    <t>IRRF-LYNCRA LIMPEZA E SERVIÇOS GERAIS LTDA-nf-6662</t>
  </si>
  <si>
    <t>6662 - 096647755 - IRRF</t>
  </si>
  <si>
    <t>IRRF-LYNCRA LIMPEZA E SERVIÇOS GERAIS LTDA-nf-6663</t>
  </si>
  <si>
    <t>6663 - 096647755 - IRRF</t>
  </si>
  <si>
    <t>IRRF-LYNCRA LIMPEZA E SERVIÇOS GERAIS LTDA-nf-6664</t>
  </si>
  <si>
    <t>6664 - 096647755 - IRRF</t>
  </si>
  <si>
    <t>IRRF-LYNCRA LIMPEZA E SERVIÇOS GERAIS LTDA-nf-6665</t>
  </si>
  <si>
    <t>6665 - 096647755 - IRRF</t>
  </si>
  <si>
    <t>IRRF-LYNCRA LIMPEZA E SERVIÇOS GERAIS LTDA-nf-6666</t>
  </si>
  <si>
    <t>6666 - 096647755 - IRRF</t>
  </si>
  <si>
    <t>IRRF-LYNCRA LIMPEZA E SERVIÇOS GERAIS LTDA-nf-6667</t>
  </si>
  <si>
    <t>6667 - 096647755 - IRRF</t>
  </si>
  <si>
    <t>IRRF-LYNCRA LIMPEZA E SERVIÇOS GERAIS LTDA-nf-6668</t>
  </si>
  <si>
    <t>6668 - 096647755 - IRRF</t>
  </si>
  <si>
    <t>IRRF-LYNCRA LIMPEZA E SERVIÇOS GERAIS LTDA-nf-6669</t>
  </si>
  <si>
    <t>6669 - 096647755 - IRRF</t>
  </si>
  <si>
    <t>IRRF-LYNCRA LIMPEZA E SERVIÇOS GERAIS LTDA-nf-6670</t>
  </si>
  <si>
    <t>6670 - 096647755 - IRRF</t>
  </si>
  <si>
    <t>IRRF-LYNCRA LIMPEZA E SERVIÇOS GERAIS LTDA-nf-6703</t>
  </si>
  <si>
    <t>6703 - 096647755 - IRRF</t>
  </si>
  <si>
    <t>IRRF-LYNCRA LIMPEZA E SERVIÇOS GERAIS LTDA-nf-6704</t>
  </si>
  <si>
    <t>6704 - 096647755 - IRRF</t>
  </si>
  <si>
    <t>IRRF-LYNCRA LIMPEZA E SERVIÇOS GERAIS LTDA-nf-6714</t>
  </si>
  <si>
    <t>6714 - 096647755 - IRRF</t>
  </si>
  <si>
    <t>IRRF-LYNCRA LIMPEZA E SERVIÇOS GERAIS LTDA-nf-6715</t>
  </si>
  <si>
    <t>6715 - 096647755 - IRRF</t>
  </si>
  <si>
    <t>IRRF-LYNCRA LIMPEZA E SERVIÇOS GERAIS LTDA-nf-6716</t>
  </si>
  <si>
    <t>6716 - 096647755 - IRRF</t>
  </si>
  <si>
    <t>IRRF-LYNCRA LIMPEZA E SERVIÇOS GERAIS LTDA-nf-6718</t>
  </si>
  <si>
    <t>6718 - 096647755 - IRRF</t>
  </si>
  <si>
    <t>IRRF-LYNCRA LIMPEZA E SERVIÇOS GERAIS LTDA-nf-6719</t>
  </si>
  <si>
    <t>6719 - 096647755 - IRRF</t>
  </si>
  <si>
    <t>IRRF-LYNCRA LIMPEZA E SERVIÇOS GERAIS LTDA-nf-6720</t>
  </si>
  <si>
    <t>6720 - 096647755 - IRRF</t>
  </si>
  <si>
    <t>IRRF-LYNCRA LIMPEZA E SERVIÇOS GERAIS LTDA-nf-6721</t>
  </si>
  <si>
    <t>6721 - 096647755 - IRRF</t>
  </si>
  <si>
    <t>IRRF-LYNCRA LIMPEZA E SERVIÇOS GERAIS LTDA-nf-6722</t>
  </si>
  <si>
    <t>6722 - 096647755 - IRRF</t>
  </si>
  <si>
    <t>IRRF-LYNCRA LIMPEZA E SERVIÇOS GERAIS LTDA-nf-6723</t>
  </si>
  <si>
    <t>6723 - 096647755 - IRRF</t>
  </si>
  <si>
    <t>IRRF-LYNCRA LIMPEZA E SERVIÇOS GERAIS LTDA-nf-6724</t>
  </si>
  <si>
    <t>6724 - 096647755 - IRRF</t>
  </si>
  <si>
    <t>IRRF-LYNCRA LIMPEZA E SERVIÇOS GERAIS LTDA-nf-6731</t>
  </si>
  <si>
    <t>6731 - 096647755 - IRRF</t>
  </si>
  <si>
    <t>IRRF-LYNCRA LIMPEZA E SERVIÇOS GERAIS LTDA-nf-6732</t>
  </si>
  <si>
    <t>6732 - 096647755 - IRRF</t>
  </si>
  <si>
    <t>IRRF-LYNCRA LIMPEZA E SERVIÇOS GERAIS LTDA-nf-6734</t>
  </si>
  <si>
    <t>6734 - 096647755 - IRRF</t>
  </si>
  <si>
    <t>IRRF-LYNCRA LIMPEZA E SERVIÇOS GERAIS LTDA-nf-6748</t>
  </si>
  <si>
    <t>6748 - 096647755 - IRRF</t>
  </si>
  <si>
    <t>IRRF-LYNCRA LIMPEZA E SERVIÇOS GERAIS LTDA-nf-6750</t>
  </si>
  <si>
    <t>6750 - 096647755 - IRRF</t>
  </si>
  <si>
    <t>IRRF-OFOS TECNOLOGIA, COMÉRCIO E SERVIÇOS CONTRA A INCÊNDIO LTDA - EPP-nf-5821</t>
  </si>
  <si>
    <t>5821 - 072024599000104 - IRRF</t>
  </si>
  <si>
    <t>IRRF-PRAXIAN CONSULTORIA LTDA-EPP-nf-368</t>
  </si>
  <si>
    <t>368 - 007717171 - IRRF</t>
  </si>
  <si>
    <t>IRRF-SETEC CONSULTING GROUP CONSULTORIA E DITORA LTDA-nf-5322</t>
  </si>
  <si>
    <t>5322 - 007615386 - IRRF</t>
  </si>
  <si>
    <t>IRRF-SETEC CONSULTING GROUP CONSULTORIA E DITORA LTDA-nf-5323</t>
  </si>
  <si>
    <t>5323 - 007615386 - IRRF</t>
  </si>
  <si>
    <t>IRRF-SETEC CONSULTING GROUP CONSULTORIA E DITORA LTDA-nf-5324</t>
  </si>
  <si>
    <t>5324 - 007615386 - IRRF</t>
  </si>
  <si>
    <t>IRRF-SETEC CONSULTING GROUP CONSULTORIA E DITORA LTDA-nf-5328</t>
  </si>
  <si>
    <t>5328 - 007615386 - IRRF</t>
  </si>
  <si>
    <t>PIS/COFINS/CSLL-ABX TELECOM LTDA-nf-13025</t>
  </si>
  <si>
    <t>Retenção Imp. Fonte - 365094 - 2</t>
  </si>
  <si>
    <t>PIS/COFINS/CSLL-ABX TELECOM LTDA-nf-13138</t>
  </si>
  <si>
    <t>Retenção Imp. Fonte - 384309 - 2</t>
  </si>
  <si>
    <t>PIS/COFINS/CSLL-CIA PAULISTA DE OBRAS E SERVICOS-CPOS-nf-9342</t>
  </si>
  <si>
    <t>Retenção Imp. Fonte - 365373 - 3</t>
  </si>
  <si>
    <t>PIS/COFINS/CSLL-DAMOVO DO BRASIL S.A-nf-19506</t>
  </si>
  <si>
    <t>Retenção Imp. Fonte - 370091 - 2</t>
  </si>
  <si>
    <t>PIS/COFINS/CSLL-DAMOVO DO BRASIL S.A-nf-19635</t>
  </si>
  <si>
    <t>Retenção Imp. Fonte - 370092 - 2</t>
  </si>
  <si>
    <t>PIS/COFINS/CSLL-HIGIENIX HIGIENIZAÇÃO E SERVIÇOS-nf-2634</t>
  </si>
  <si>
    <t>Retenção Imp. Fonte - 354475 - 3</t>
  </si>
  <si>
    <t>PIS/COFINS/CSLL-IS SERVIÇOS INTEGRADOS LTDA-ME-nf-3398</t>
  </si>
  <si>
    <t>Retenção Imp. Fonte - 354716 - 3</t>
  </si>
  <si>
    <t>PIS/COFINS/CSLL-IS SERVIÇOS INTEGRADOS LTDA-ME-nf-3399</t>
  </si>
  <si>
    <t>Retenção Imp. Fonte - 354710 - 3</t>
  </si>
  <si>
    <t>PIS/COFINS/CSLL-IS SERVIÇOS INTEGRADOS LTDA-ME-nf-3417,02</t>
  </si>
  <si>
    <t>Retenção Imp. Fonte - 356158 - 3</t>
  </si>
  <si>
    <t>PIS/COFINS/CSLL-IS SERVIÇOS INTEGRADOS LTDA-ME-nf-3418</t>
  </si>
  <si>
    <t>Retenção Imp. Fonte - 356212 - 3</t>
  </si>
  <si>
    <t>PIS/COFINS/CSLL-IS SERVIÇOS INTEGRADOS LTDA-ME-nf-3419</t>
  </si>
  <si>
    <t>Retenção Imp. Fonte - 356216 - 3</t>
  </si>
  <si>
    <t>PIS/COFINS/CSLL-IS SERVIÇOS INTEGRADOS LTDA-ME-nf-3420</t>
  </si>
  <si>
    <t>Retenção Imp. Fonte - 356163 - 3</t>
  </si>
  <si>
    <t>PIS/COFINS/CSLL-IS SERVIÇOS INTEGRADOS LTDA-ME-nf-3421</t>
  </si>
  <si>
    <t>Retenção Imp. Fonte - 356167 - 3</t>
  </si>
  <si>
    <t>PIS/COFINS/CSLL-IS SERVIÇOS INTEGRADOS LTDA-ME-nf-3422</t>
  </si>
  <si>
    <t>Retenção Imp. Fonte - 356220 - 3</t>
  </si>
  <si>
    <t>PIS/COFINS/CSLL-IS SERVIÇOS INTEGRADOS LTDA-ME-nf-3423</t>
  </si>
  <si>
    <t>Retenção Imp. Fonte - 356171 - 3</t>
  </si>
  <si>
    <t>PIS/COFINS/CSLL-IS SERVIÇOS INTEGRADOS LTDA-ME-nf-3424</t>
  </si>
  <si>
    <t>Retenção Imp. Fonte - 356175 - 3</t>
  </si>
  <si>
    <t>PIS/COFINS/CSLL-IS SERVIÇOS INTEGRADOS LTDA-ME-nf-3425</t>
  </si>
  <si>
    <t>Retenção Imp. Fonte - 356179 - 3</t>
  </si>
  <si>
    <t>PIS/COFINS/CSLL-IS SERVIÇOS INTEGRADOS LTDA-ME-nf-3426</t>
  </si>
  <si>
    <t>Retenção Imp. Fonte - 356225 - 3</t>
  </si>
  <si>
    <t>PIS/COFINS/CSLL-IS SERVIÇOS INTEGRADOS LTDA-ME-nf-3434</t>
  </si>
  <si>
    <t>Retenção Imp. Fonte - 365190 - 3</t>
  </si>
  <si>
    <t>PIS/COFINS/CSLL-IS SERVIÇOS INTEGRADOS LTDA-ME-nf-3435</t>
  </si>
  <si>
    <t>Retenção Imp. Fonte - 365272 - 3</t>
  </si>
  <si>
    <t>PIS/COFINS/CSLL-IS SERVIÇOS INTEGRADOS LTDA-ME-nf-3436</t>
  </si>
  <si>
    <t>Retenção Imp. Fonte - 365276 - 3</t>
  </si>
  <si>
    <t>PIS/COFINS/CSLL-IS SERVIÇOS INTEGRADOS LTDA-ME-nf-3437</t>
  </si>
  <si>
    <t>Retenção Imp. Fonte - 365211 - 3</t>
  </si>
  <si>
    <t>PIS/COFINS/CSLL-IS SERVIÇOS INTEGRADOS LTDA-ME-nf-3439</t>
  </si>
  <si>
    <t>Retenção Imp. Fonte - 365215 - 3</t>
  </si>
  <si>
    <t>PIS/COFINS/CSLL-IS SERVIÇOS INTEGRADOS LTDA-ME-nf-3440</t>
  </si>
  <si>
    <t>Retenção Imp. Fonte - 365280 - 3</t>
  </si>
  <si>
    <t>PIS/COFINS/CSLL-IS SERVIÇOS INTEGRADOS LTDA-ME-nf-3441</t>
  </si>
  <si>
    <t>Retenção Imp. Fonte - 365219 - 3</t>
  </si>
  <si>
    <t>PIS/COFINS/CSLL-IS SERVIÇOS INTEGRADOS LTDA-ME-nf-3442</t>
  </si>
  <si>
    <t>Retenção Imp. Fonte - 365284 - 3</t>
  </si>
  <si>
    <t>PIS/COFINS/CSLL-IS SERVIÇOS INTEGRADOS LTDA-ME-nf-3443</t>
  </si>
  <si>
    <t>Retenção Imp. Fonte - 365288 - 3</t>
  </si>
  <si>
    <t>PIS/COFINS/CSLL-IS SERVIÇOS INTEGRADOS LTDA-ME-nf-3444</t>
  </si>
  <si>
    <t>Retenção Imp. Fonte - 365224 - 3</t>
  </si>
  <si>
    <t>PIS/COFINS/CSLL-IS SERVIÇOS INTEGRADOS LTDA-ME-nf-3445</t>
  </si>
  <si>
    <t>Retenção Imp. Fonte - 365292 - 3</t>
  </si>
  <si>
    <t>PIS/COFINS/CSLL-IS SERVIÇOS INTEGRADOS LTDA-ME-nf-3446,02</t>
  </si>
  <si>
    <t>Retenção Imp. Fonte - 365310 - 3</t>
  </si>
  <si>
    <t>PIS/COFINS/CSLL-IS SERVIÇOS INTEGRADOS LTDA-ME-nf-3454</t>
  </si>
  <si>
    <t>Retenção Imp. Fonte - 363416 - 3</t>
  </si>
  <si>
    <t>PIS/COFINS/CSLL-IS SERVIÇOS INTEGRADOS LTDA-ME-nf-3455</t>
  </si>
  <si>
    <t>Retenção Imp. Fonte - 363334 - 3</t>
  </si>
  <si>
    <t>PIS/COFINS/CSLL-IS SERVIÇOS INTEGRADOS LTDA-ME-nf-3460</t>
  </si>
  <si>
    <t>Retenção Imp. Fonte - 366237 - 3</t>
  </si>
  <si>
    <t>PIS/COFINS/CSLL-IS SERVIÇOS INTEGRADOS LTDA-ME-nf-3461</t>
  </si>
  <si>
    <t>Retenção Imp. Fonte - 366287 - 3</t>
  </si>
  <si>
    <t>PIS/COFINS/CSLL-IS SERVIÇOS INTEGRADOS LTDA-ME-nf-3462</t>
  </si>
  <si>
    <t>Retenção Imp. Fonte - 366279 - 3</t>
  </si>
  <si>
    <t>PIS/COFINS/CSLL-IS SERVIÇOS INTEGRADOS LTDA-ME-nf-3468</t>
  </si>
  <si>
    <t>Retenção Imp. Fonte - 366233 - 3</t>
  </si>
  <si>
    <t>PIS/COFINS/CSLL-IS SERVIÇOS INTEGRADOS LTDA-ME-nf-3469</t>
  </si>
  <si>
    <t>Retenção Imp. Fonte - 366229 - 3</t>
  </si>
  <si>
    <t>PIS/COFINS/CSLL-IS SERVIÇOS INTEGRADOS LTDA-ME-nf-3470</t>
  </si>
  <si>
    <t>Retenção Imp. Fonte - 366275 - 3</t>
  </si>
  <si>
    <t>PIS/COFINS/CSLL-LYNCRA LIMPEZA E SERVIÇOS GERAIS LTDA-nf-6567</t>
  </si>
  <si>
    <t>Retenção Imp. Fonte - 358162 - 3</t>
  </si>
  <si>
    <t>PIS/COFINS/CSLL-LYNCRA LIMPEZA E SERVIÇOS GERAIS LTDA-nf-6568</t>
  </si>
  <si>
    <t>Retenção Imp. Fonte - 361327 - 3</t>
  </si>
  <si>
    <t>PIS/COFINS/CSLL-LYNCRA LIMPEZA E SERVIÇOS GERAIS LTDA-nf-6584</t>
  </si>
  <si>
    <t>Retenção Imp. Fonte - 361140 - 3</t>
  </si>
  <si>
    <t>PIS/COFINS/CSLL-LYNCRA LIMPEZA E SERVIÇOS GERAIS LTDA-nf-6585</t>
  </si>
  <si>
    <t>Retenção Imp. Fonte - 361136 - 3</t>
  </si>
  <si>
    <t>PIS/COFINS/CSLL-LYNCRA LIMPEZA E SERVIÇOS GERAIS LTDA-nf-6587</t>
  </si>
  <si>
    <t>Retenção Imp. Fonte - 361132 - 3</t>
  </si>
  <si>
    <t>PIS/COFINS/CSLL-LYNCRA LIMPEZA E SERVIÇOS GERAIS LTDA-nf-6588</t>
  </si>
  <si>
    <t>Retenção Imp. Fonte - 361127 - 3</t>
  </si>
  <si>
    <t>PIS/COFINS/CSLL-LYNCRA LIMPEZA E SERVIÇOS GERAIS LTDA-nf-6589</t>
  </si>
  <si>
    <t>Retenção Imp. Fonte - 361123 - 3</t>
  </si>
  <si>
    <t>PIS/COFINS/CSLL-LYNCRA LIMPEZA E SERVIÇOS GERAIS LTDA-nf-6590</t>
  </si>
  <si>
    <t>Retenção Imp. Fonte - 361240 - 3</t>
  </si>
  <si>
    <t>PIS/COFINS/CSLL-LYNCRA LIMPEZA E SERVIÇOS GERAIS LTDA-nf-6591</t>
  </si>
  <si>
    <t>Retenção Imp. Fonte - 361236 - 3</t>
  </si>
  <si>
    <t>PIS/COFINS/CSLL-LYNCRA LIMPEZA E SERVIÇOS GERAIS LTDA-nf-6592</t>
  </si>
  <si>
    <t>Retenção Imp. Fonte - 363164 - 3</t>
  </si>
  <si>
    <t>PIS/COFINS/CSLL-LYNCRA LIMPEZA E SERVIÇOS GERAIS LTDA-nf-6593</t>
  </si>
  <si>
    <t>Retenção Imp. Fonte - 361119 - 3</t>
  </si>
  <si>
    <t>PIS/COFINS/CSLL-LYNCRA LIMPEZA E SERVIÇOS GERAIS LTDA-nf-6594</t>
  </si>
  <si>
    <t>Retenção Imp. Fonte - 361313 - 3</t>
  </si>
  <si>
    <t>PIS/COFINS/CSLL-LYNCRA LIMPEZA E SERVIÇOS GERAIS LTDA-nf-6597</t>
  </si>
  <si>
    <t>Retenção Imp. Fonte - 361323 - 3</t>
  </si>
  <si>
    <t>PIS/COFINS/CSLL-LYNCRA LIMPEZA E SERVIÇOS GERAIS LTDA-nf-6598</t>
  </si>
  <si>
    <t>Retenção Imp. Fonte - 361256 - 3</t>
  </si>
  <si>
    <t>PIS/COFINS/CSLL-LYNCRA LIMPEZA E SERVIÇOS GERAIS LTDA-nf-6599</t>
  </si>
  <si>
    <t>Retenção Imp. Fonte - 361252 - 3</t>
  </si>
  <si>
    <t>PIS/COFINS/CSLL-LYNCRA LIMPEZA E SERVIÇOS GERAIS LTDA-nf-6600</t>
  </si>
  <si>
    <t>Retenção Imp. Fonte - 361248 - 3</t>
  </si>
  <si>
    <t>PIS/COFINS/CSLL-LYNCRA LIMPEZA E SERVIÇOS GERAIS LTDA-nf-6601</t>
  </si>
  <si>
    <t>Retenção Imp. Fonte - 361148 - 3</t>
  </si>
  <si>
    <t>PIS/COFINS/CSLL-LYNCRA LIMPEZA E SERVIÇOS GERAIS LTDA-nf-6602</t>
  </si>
  <si>
    <t>Retenção Imp. Fonte - 361144 - 3</t>
  </si>
  <si>
    <t>PIS/COFINS/CSLL-LYNCRA LIMPEZA E SERVIÇOS GERAIS LTDA-nf-6603</t>
  </si>
  <si>
    <t>Retenção Imp. Fonte - 361244 - 3</t>
  </si>
  <si>
    <t>PIS/COFINS/CSLL-LYNCRA LIMPEZA E SERVIÇOS GERAIS LTDA-nf-6604</t>
  </si>
  <si>
    <t>Retenção Imp. Fonte - 364079 - 3</t>
  </si>
  <si>
    <t>PIS/COFINS/CSLL-LYNCRA LIMPEZA E SERVIÇOS GERAIS LTDA-nf-6617</t>
  </si>
  <si>
    <t>Retenção Imp. Fonte - 365186 - 3</t>
  </si>
  <si>
    <t>PIS/COFINS/CSLL-LYNCRA LIMPEZA E SERVIÇOS GERAIS LTDA-nf-6618</t>
  </si>
  <si>
    <t>Retenção Imp. Fonte - 365182 - 3</t>
  </si>
  <si>
    <t>PIS/COFINS/CSLL-LYNCRA LIMPEZA E SERVIÇOS GERAIS LTDA-nf-6619</t>
  </si>
  <si>
    <t>Retenção Imp. Fonte - 365178 - 3</t>
  </si>
  <si>
    <t>PIS/COFINS/CSLL-LYNCRA LIMPEZA E SERVIÇOS GERAIS LTDA-nf-6620</t>
  </si>
  <si>
    <t>Retenção Imp. Fonte - 365174 - 3</t>
  </si>
  <si>
    <t>PIS/COFINS/CSLL-LYNCRA LIMPEZA E SERVIÇOS GERAIS LTDA-nf-6630</t>
  </si>
  <si>
    <t>Retenção Imp. Fonte - 363326 - 3</t>
  </si>
  <si>
    <t>PIS/COFINS/CSLL-LYNCRA LIMPEZA E SERVIÇOS GERAIS LTDA-nf-6631</t>
  </si>
  <si>
    <t>Retenção Imp. Fonte - 363330 - 3</t>
  </si>
  <si>
    <t>PIS/COFINS/CSLL-LYNCRA LIMPEZA E SERVIÇOS GERAIS LTDA-nf-6632</t>
  </si>
  <si>
    <t>Retenção Imp. Fonte - 363408 - 3</t>
  </si>
  <si>
    <t>PIS/COFINS/CSLL-LYNCRA LIMPEZA E SERVIÇOS GERAIS LTDA-nf-6633</t>
  </si>
  <si>
    <t>Retenção Imp. Fonte - 363412 - 3</t>
  </si>
  <si>
    <t>PIS/COFINS/CSLL-LYNCRA LIMPEZA E SERVIÇOS GERAIS LTDA-nf-6639</t>
  </si>
  <si>
    <t>Retenção Imp. Fonte - 363400 - 3</t>
  </si>
  <si>
    <t>PIS/COFINS/CSLL-LYNCRA LIMPEZA E SERVIÇOS GERAIS LTDA-nf-6640</t>
  </si>
  <si>
    <t>Retenção Imp. Fonte - 363404 - 3</t>
  </si>
  <si>
    <t>PIS/COFINS/CSLL-LYNCRA LIMPEZA E SERVIÇOS GERAIS LTDA-nf-6643</t>
  </si>
  <si>
    <t>Retenção Imp. Fonte - 366283 - 3</t>
  </si>
  <si>
    <t>PIS/COFINS/CSLL-LYNCRA LIMPEZA E SERVIÇOS GERAIS LTDA-nf-6644</t>
  </si>
  <si>
    <t>Retenção Imp. Fonte - 366225 - 3</t>
  </si>
  <si>
    <t>PIS/COFINS/CSLL-OFOS TECNOLOGIA, COMÉRCIO E SERVIÇOS CONTRA A INCÊNDIO LTDA - EPP-nf-5796</t>
  </si>
  <si>
    <t>Retenção Imp. Fonte - 370579 - 3</t>
  </si>
  <si>
    <t>PIS/COFINS/CSLL-SETEC CONSULTING GROUP CONSULTORIA E DITORA LTDA-nf-5302</t>
  </si>
  <si>
    <t>Retenção Imp. Fonte - 370553 - 3</t>
  </si>
  <si>
    <t>Retenção Imp. Fonte - 370553 - 4</t>
  </si>
  <si>
    <t>PIS/COFINS/CSLL-SETEC CONSULTING GROUP CONSULTORIA E DITORA LTDA-nf-5312</t>
  </si>
  <si>
    <t>Retenção Imp. Fonte - 381150 - 3</t>
  </si>
  <si>
    <t>Retenção Imp. Fonte - 381150 - 4</t>
  </si>
  <si>
    <t>112120611040</t>
  </si>
  <si>
    <t>3576 GLOSA P.1</t>
  </si>
  <si>
    <t>01-112120605020-000-050501050001-2-CD001323-000000000-0-0-0</t>
  </si>
  <si>
    <t>NF 206 - PEDIDO DE COMPRA 34140 P.1</t>
  </si>
  <si>
    <t>6748 GLOSA P.1</t>
  </si>
  <si>
    <t>PREFEIRURA DE CAMPINAS</t>
  </si>
  <si>
    <t>PREFEITURA MUNICIPAL DE CAMPINAS</t>
  </si>
  <si>
    <t>Tecnologia Bancária S/A - 1ª MAQ - Banco 24 horas (PC 23431)</t>
  </si>
  <si>
    <t>Tecnologia Bancária S/A - 1ª MAQ - Banco 24 horas (PC 3377)</t>
  </si>
  <si>
    <t>Tecnologia Bancária S/A - 1ª MAQ - Banco 24 horas (PC 5008)</t>
  </si>
  <si>
    <t>Tecnologia Bancária S/A - 1ª MAQ - Banco Bradesco S/A Dia e Noite (PC 2995)</t>
  </si>
  <si>
    <t>Tecnologia Bancária S/A - 2ª MAQ - Banco 24 horas (PC 14084)</t>
  </si>
  <si>
    <t>Tecnologia Bancária S/A - 2ª MAQ - Banco 24 horas (PC 207)</t>
  </si>
  <si>
    <t>Tecnologia Bancária S/A - 2ª MAQ - Banco 24 horas (PC 3018)</t>
  </si>
  <si>
    <t>Tecnologia Bancária S/A - 2ª MAQ - Banco 24 horas (PC 6175)</t>
  </si>
  <si>
    <t>Tecnologia Bancária S/A - 3ª MAQ - Banco 24 horas (PC 10095)</t>
  </si>
  <si>
    <t>Tecnologia Bancária S/A - 3ª MAQ - Banco 24 horas (PC 2995)</t>
  </si>
  <si>
    <t>Tecnologia Bancária S/A - 5ª MAQ - Banco 24 horas (PC 6685)</t>
  </si>
  <si>
    <t>TOTAL GERAL  ABRIL-16</t>
  </si>
  <si>
    <t>ZENVIA MOBILE SERV DIGITAL S/A (fatura 201611915  )</t>
  </si>
  <si>
    <t>ZENVIA MOBILE SERV DIGITAL S/A ( 201615857  E  201615860)</t>
  </si>
  <si>
    <t>PREF ARAÇATUBA - ISS- IS SERVIÇOS -NF-3531</t>
  </si>
  <si>
    <t>PREF ARAÇATUBA - ISS- HIGIENIX -NF-2737</t>
  </si>
  <si>
    <t>PREF ARAÇATUBA - ISS- lyncra -NF-6668</t>
  </si>
  <si>
    <t>PREF ARAÇATUBA - ISS- IS SERVIÇOS -NF-3534</t>
  </si>
  <si>
    <t>PREF GUARULHOS - ISS 126 ISS 10741328 GP</t>
  </si>
  <si>
    <t>PREF GUARULHOS - ISS  2385 ISS DIGITAL (07866695) PTG 06/16CD</t>
  </si>
  <si>
    <t>PREF S.B.CAMPO - 1298 ISS COMETA (04080068) PTB 06/16CD</t>
  </si>
  <si>
    <t>PREF GUARULHOS - ISS  376 ISS DIGITAL 07866695 (PTG 005/16CD)</t>
  </si>
  <si>
    <t>CONTA 108    CONDOMÍNIO</t>
  </si>
  <si>
    <t>ALMOXARIFADO REF. ABRIL/16</t>
  </si>
  <si>
    <t>ZENVIA MOBILE SERV DIGITAL S/A (Diversas faturas )</t>
  </si>
  <si>
    <t>IMESP NF's1008282 e 1009059</t>
  </si>
  <si>
    <t>IMESP NF's 1012413</t>
  </si>
  <si>
    <t>IMESP NF's 1012944 e 1013686</t>
  </si>
  <si>
    <t>IMESP NF's 1014807</t>
  </si>
  <si>
    <t>IMESP NF's 1010047</t>
  </si>
  <si>
    <t>IMESP NF's 1011772</t>
  </si>
  <si>
    <t>IMESP NF's1016183</t>
  </si>
  <si>
    <t>IMESP NF's 1010627</t>
  </si>
  <si>
    <t>TESOURARIA - SEDE/FFIXO (FFIXO TESOURARIA 72 E 73/16  )</t>
  </si>
  <si>
    <t>IMESP NF1006154</t>
  </si>
  <si>
    <t>IMESP NF1006550</t>
  </si>
  <si>
    <t>IRRF-OFOS TECNOLOGIA, COM E SERV NF 5821</t>
  </si>
  <si>
    <t>TESOURARIA - SEDE/FFIXO (FFIXO TESOURARIA 58/16 )</t>
  </si>
  <si>
    <t xml:space="preserve">IRRF 8202,02 - INST NAC DE ANÁLISES E PESQUISAS </t>
  </si>
  <si>
    <t>TESOURARIA  SEDE/FFIXO (FFIXO TESOURARIA 70/16  )</t>
  </si>
  <si>
    <t>INSS-IS SERVIÇOS INTEGRADOS LTDA-ME-nf-3552 ( classif NV E PGTO CD)</t>
  </si>
  <si>
    <t>PREF GUARULHOS - ISS  NF 3552 IS SERVIÇOS</t>
  </si>
  <si>
    <t>RODRIGUES CRUZ TELEC. ELETRIC. LTDA. NF 7256</t>
  </si>
  <si>
    <t>SETEC - NF 5328 ( vlr ref dif cobrada a maior- VLR CORRETO r$ 101,46 )</t>
  </si>
  <si>
    <t>AÇÃO INFORMÁTICA BRASIL LTDA.NF 13284</t>
  </si>
  <si>
    <t>Transferência efetuada para conta Convênio referente acerto Março/16</t>
  </si>
  <si>
    <t>Transferência efetuada da conta Convênio referente acerto Março/16</t>
  </si>
  <si>
    <t>Transferência efetuada para conta Condomínio referente acerto de Março/16</t>
  </si>
  <si>
    <t>Transferência efetuada da conta Condomínio referente acerto de Março/16</t>
  </si>
  <si>
    <t>Transferência a ser efetuada da conta Condomínio referente acerto de Abril/16</t>
  </si>
  <si>
    <t>Transferência a ser efetuada para conta Condomínio referente acerto de Abril/16</t>
  </si>
  <si>
    <t>Transferência a ser efetuada para conta Exploração Comercial referente acerto de Abril/16</t>
  </si>
  <si>
    <t>Transferência a ser efetuada em Maio/16 para a Conta Movimento Prodesp ref. Recebimento indevido na conta de  diversas fatura da SECRETARIA DE PLANEJAMENTO E GESTAO  em Abr/16</t>
  </si>
  <si>
    <t>Devolução a ser efetuada em Maio/16 para a Conselho Regional de Corretores de Imóveis 2º Região SP - CRECI ref. A credito indevido em Abr/16</t>
  </si>
  <si>
    <t>01-112120612130-000-062501010001-2-NV006969-PRO006846-0-0-0</t>
  </si>
  <si>
    <t>6436042507001 P.1</t>
  </si>
  <si>
    <t>BK CONSULTORIA E SERVICOS LTDA</t>
  </si>
  <si>
    <t>01.112120502030.000.049501110001.1.NV006967.PRO006851.0.0.0</t>
  </si>
  <si>
    <t>01.112120502040.000.048501100001.1.NV006966.PRO006838.0.0.0</t>
  </si>
  <si>
    <t>01.112120502040.000.049501110001.1.NV006967.PRO006851.0.0.0</t>
  </si>
  <si>
    <t>ZENVIA MOBILE SERV DIGITAL S/A (fatura 201611912  )</t>
  </si>
  <si>
    <t>IS SERVIÇOS INTEGRADOS  NF 3531</t>
  </si>
  <si>
    <t>IS SERVIÇOS INTEGRADOS  NF 3552</t>
  </si>
  <si>
    <t>INST NAC DE ANÁLISES E PESQUISAS - NF 8282,02</t>
  </si>
  <si>
    <t>INSS-IS SERVIÇOS INTEGRADOS LTDA-ME-nf-3531( classif CD E PGTO NV)</t>
  </si>
  <si>
    <t>ISS-VANOLI INSTALAÇÕES LTDA - EPP-nf-396</t>
  </si>
  <si>
    <t>396 - 068241900 - ISS</t>
  </si>
  <si>
    <t>ISS-LYNCRA LIMPEZA E SERVIÇOS GERAIS LTDA-nf-6708</t>
  </si>
  <si>
    <t>6708 - 096647755 - ISS</t>
  </si>
  <si>
    <t>PREF SÃO B.CAMPO  ( NF 1298 ISS COMETA )</t>
  </si>
  <si>
    <t>INST NAC ANALISES NF 8202,02</t>
  </si>
  <si>
    <t>Fornec  IS SERVERVIÇOS INTEGRADOS  NF 3531</t>
  </si>
  <si>
    <t>ISS PREF GUARULHOS NF'S 126, 2376 E 2385</t>
  </si>
  <si>
    <t>PREF ARAÇATUBA - ISS- LYNCRA -NF-6668</t>
  </si>
  <si>
    <t>ZENVIA MOBILE ( FATURA 201615857 vlr total R$ 1.129,34)</t>
  </si>
  <si>
    <t>ZENVIA MOBILE ( FATURA 201615860)</t>
  </si>
  <si>
    <t>ZENVIA MOBILE ( FATURAS 201611912 E 201611915)</t>
  </si>
  <si>
    <t>ECMICRO COM E INF  NF 3363</t>
  </si>
  <si>
    <t>UNIFOGO SIST NF 1460</t>
  </si>
  <si>
    <t>SABESP ( ACESSA SP - VLR PARCIAL R$ 23,21 - FATURA 6436042507001)</t>
  </si>
  <si>
    <t>FACAR FATURA 2#65581</t>
  </si>
  <si>
    <t>ELETROPAULO FATURA 3173</t>
  </si>
  <si>
    <t xml:space="preserve">CPC -CTIS TECNOLOGIA S/A-nf-66429 E 67309 Vlr total CPC a menor </t>
  </si>
  <si>
    <t>ESTAGIÁRIOS BOLSA AUXILIO E VAL. TRANP. REF MAR/16 P.1</t>
  </si>
  <si>
    <t>REALEZA NF 103</t>
  </si>
  <si>
    <t>TESOURARIA - SEDE/FFIXO (FFIXO TESOURARIA 59/16)</t>
  </si>
  <si>
    <t>TESOURARIA - SEDE/FFIXO (FFIXO TESOURARIA 64/16)</t>
  </si>
  <si>
    <t>PREF TABOAO DA SERRA -CTIS ISS NF 67309</t>
  </si>
  <si>
    <t>PREF TABOAO DA SERRA - LYNCRA ISS  NF 6730</t>
  </si>
  <si>
    <t>CPC -REALEZA INFORMÁTICA LTDA-nf-20833 e 20835 a 20838</t>
  </si>
  <si>
    <t>IRRF-3P BRASIL-CONSULTORIA E PROJETOS - NF 631</t>
  </si>
  <si>
    <t>IRRF-LYNCRA LIMPEZA E SERVIÇOS GERAIS LTDA- Diversas NF's</t>
  </si>
  <si>
    <t>TESOURARIA - SEDE/FFIXO (FFIXO TESOURARIA 70/16)</t>
  </si>
  <si>
    <t>ALLEN RIO NF 9925</t>
  </si>
  <si>
    <t>TATTYANA S. DIAS (PHUP-IN-097/16 PGTO BOSA AUXILIO ABR-16 )</t>
  </si>
  <si>
    <t>LEANDRO DE JOSE SANTANA - BLOQUEIO JUDICAL ( c/c 8252-x)</t>
  </si>
  <si>
    <t>TESOURARIA - SEDE/FFIXO ( FFIXO TESOURARIA 73/16 )</t>
  </si>
  <si>
    <t>xxx</t>
  </si>
  <si>
    <t>IRRF-IS SERVIÇOS INTEGRADOS LTDA-ME-nf-3552 ( classif NV E PGTO CD)</t>
  </si>
  <si>
    <t>59</t>
  </si>
  <si>
    <t>(Quarenta e cinco milhões, quatrocentos e vinte e sete mil, novecentos e setenta e seis reais, três centavos. )</t>
  </si>
  <si>
    <t>Descrição do Débito : Ref. Abril-2016</t>
  </si>
  <si>
    <t>“Conforme   item  7 -  Cronograma   de   desembolso   do  Anexo I   do   Convênio  Programa  Poupatempo - Central  de Atendimento  ao Cidadão,  assinado  em  01 de  dezembro  de  2014,   Termo 01 -  Processo    CC 162.130/201,  Convênio   nº 076/2014 e, de acordo com detalhe contante do Anexo 'A' desta Nota de Débito, o valor  total  a  ser  cobrado    é   de R$ 45.427.976,03 (Quarenta  e  cinco  milhões, quatrocentos  e  vinte e sete mil, novecentos e setenta e seis reais, três centavos).</t>
  </si>
  <si>
    <t xml:space="preserve">            COMPOSIÇÃO DA NOTA DE DÉBITO Nº 59/2016</t>
  </si>
  <si>
    <t>Transferência em 28/04/16 para conta corrente 9049-2 / Convênio PPT ( horas dedicadas e gerenciamento ppt )</t>
  </si>
  <si>
    <t>Recebimento em 28/04/16 - Nota de Débito 59 ref. Abril ( valor empenhado)</t>
  </si>
  <si>
    <t xml:space="preserve">Transferência a ser efetuada para a conta Convênio referente acerto Abril/16 </t>
  </si>
  <si>
    <t>Transferência a ser efetuada da conta Convênio referente acerto Abril/16</t>
  </si>
  <si>
    <t>Para Conta Movimento Prodesp (Obs.: R$ Vlr R$ 3.494,03 ref bloqueio jud.  Na 8252-X)</t>
  </si>
  <si>
    <t>NFE 572211/RPS 64888</t>
  </si>
  <si>
    <t>xx</t>
  </si>
  <si>
    <t>xx/xx/xx</t>
  </si>
  <si>
    <t>Transferência em 28/04/16 para conta de Aplic SIAFEM  - Fundo de Invest UG 513191</t>
  </si>
  <si>
    <t>Transferência em xx/xx/xx para conta corrente 9049-2 / Convênio PPT</t>
  </si>
  <si>
    <t xml:space="preserve">EDUARDO THEODORA DA SILVA - AUX FUNERAL </t>
  </si>
  <si>
    <t>Recebimento ref. multa contratual  parc 02/12 PRO 6291( Marcelo de Jesus Construções)</t>
  </si>
  <si>
    <t xml:space="preserve">Da Conta Movimento Prodesp </t>
  </si>
  <si>
    <t>Para Conta Condomínio</t>
  </si>
  <si>
    <t>01-132050100000-000-049501110001-1-GE002960-000000000-0-0-0</t>
  </si>
  <si>
    <t>v</t>
  </si>
  <si>
    <t>TOTAL POUPATEMPO SÃO VICENTE</t>
  </si>
  <si>
    <t>01-112120605020-000-062501360001-2-CD003961-000000000-0-0-0</t>
  </si>
  <si>
    <t>TOTAL POUPATEMPO TUPÃ</t>
  </si>
  <si>
    <t xml:space="preserve"> ASSIS</t>
  </si>
  <si>
    <t>112120611010</t>
  </si>
  <si>
    <t>112120611020</t>
  </si>
  <si>
    <t>112120503040</t>
  </si>
  <si>
    <t>112120502010</t>
  </si>
  <si>
    <t>112120502050</t>
  </si>
  <si>
    <t>112120601010</t>
  </si>
  <si>
    <t>112120201040</t>
  </si>
  <si>
    <t>112120611030</t>
  </si>
  <si>
    <t>112120612130</t>
  </si>
  <si>
    <t>112120612120</t>
  </si>
  <si>
    <t>112120601060</t>
  </si>
  <si>
    <t>112120503020</t>
  </si>
  <si>
    <t>112120611050</t>
  </si>
  <si>
    <t>112120608100</t>
  </si>
  <si>
    <t>112120503030</t>
  </si>
  <si>
    <t>112120801020</t>
  </si>
  <si>
    <t>112120801030</t>
  </si>
  <si>
    <t>112120801050</t>
  </si>
  <si>
    <t>112120402010</t>
  </si>
  <si>
    <t>112120502040</t>
  </si>
  <si>
    <t>112120502030</t>
  </si>
  <si>
    <t>112120612090</t>
  </si>
  <si>
    <t>112120602030</t>
  </si>
  <si>
    <t>112120301060</t>
  </si>
  <si>
    <t>112120301050</t>
  </si>
  <si>
    <t>112120503060</t>
  </si>
  <si>
    <t>112120602020</t>
  </si>
  <si>
    <t>112120602010</t>
  </si>
  <si>
    <t>112120601040</t>
  </si>
  <si>
    <t>112120607060</t>
  </si>
  <si>
    <t>112120605020</t>
  </si>
  <si>
    <t>112120503010</t>
  </si>
  <si>
    <t>112120601020</t>
  </si>
  <si>
    <t>114040000000</t>
  </si>
  <si>
    <t>112120612160</t>
  </si>
  <si>
    <t>112120301030</t>
  </si>
  <si>
    <t>112120612030</t>
  </si>
  <si>
    <t>112120601050</t>
  </si>
  <si>
    <t>112120610020</t>
  </si>
  <si>
    <t>9 a 11</t>
  </si>
  <si>
    <t>12 a 142</t>
  </si>
  <si>
    <t>143 a 148</t>
  </si>
  <si>
    <t>149 e 150</t>
  </si>
  <si>
    <t>151 e 152</t>
  </si>
  <si>
    <t>153 e 154</t>
  </si>
  <si>
    <t>156 a 159</t>
  </si>
  <si>
    <t>160 a  164</t>
  </si>
  <si>
    <t>165 a 170</t>
  </si>
  <si>
    <t>171 a 172</t>
  </si>
  <si>
    <t>173 a 174</t>
  </si>
  <si>
    <t>175 a 176</t>
  </si>
  <si>
    <t>178 a 182</t>
  </si>
  <si>
    <t>183 a 201</t>
  </si>
  <si>
    <t>202 a 207</t>
  </si>
  <si>
    <t>208 a 209</t>
  </si>
  <si>
    <t>210 a 211</t>
  </si>
  <si>
    <t>Emitido por: Gerência Financeira - AGF
                         Divisão Financeira - GFF                                                                                                           Data da Emissão: 24/05/2016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</si>
</sst>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&quot;R$&quot;#,##0.00_);[Red]\(&quot;R$&quot;#,##0.00\)"/>
    <numFmt numFmtId="167" formatCode="#,##0.00_ ;\-#,##0.00\ "/>
    <numFmt numFmtId="168" formatCode="dd/mm/yy"/>
    <numFmt numFmtId="169" formatCode="&quot;R$ &quot;#,##0.00_);[Red]\(&quot;R$ &quot;#,##0.00\)"/>
    <numFmt numFmtId="170" formatCode="mmm/yyyy"/>
    <numFmt numFmtId="171" formatCode="_([$€-2]* #,##0.00_);_([$€-2]* \(#,##0.00\);_([$€-2]* &quot;-&quot;??_)"/>
    <numFmt numFmtId="172" formatCode="[$-416]mmm\-yy;@"/>
    <numFmt numFmtId="173" formatCode="dd/mm/yy;@"/>
  </numFmts>
  <fonts count="16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indexed="8"/>
      <name val="Arial"/>
      <family val="2"/>
    </font>
    <font>
      <sz val="10"/>
      <name val="Tahoma"/>
      <family val="2"/>
    </font>
    <font>
      <b/>
      <sz val="24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b/>
      <u/>
      <sz val="20"/>
      <name val="Arial"/>
      <family val="2"/>
    </font>
    <font>
      <b/>
      <u/>
      <sz val="14"/>
      <name val="Tahoma"/>
      <family val="2"/>
    </font>
    <font>
      <b/>
      <sz val="14"/>
      <name val="Arial"/>
      <family val="2"/>
    </font>
    <font>
      <sz val="14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26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b/>
      <sz val="12"/>
      <color indexed="8"/>
      <name val="Arial"/>
      <family val="2"/>
    </font>
    <font>
      <b/>
      <u val="singleAccounting"/>
      <sz val="12"/>
      <color indexed="8"/>
      <name val="Arial"/>
      <family val="2"/>
    </font>
    <font>
      <b/>
      <u val="singleAccounting"/>
      <sz val="12"/>
      <name val="Arial"/>
      <family val="2"/>
    </font>
    <font>
      <b/>
      <sz val="12"/>
      <color indexed="12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81"/>
      <name val="Arial"/>
      <family val="2"/>
    </font>
    <font>
      <sz val="12"/>
      <name val="Tahoma"/>
      <family val="2"/>
    </font>
    <font>
      <b/>
      <sz val="28"/>
      <name val="Arial"/>
      <family val="2"/>
    </font>
    <font>
      <b/>
      <u/>
      <sz val="36"/>
      <name val="Arial"/>
      <family val="2"/>
    </font>
    <font>
      <b/>
      <sz val="10"/>
      <name val="Arial"/>
      <family val="2"/>
    </font>
    <font>
      <b/>
      <u/>
      <sz val="14"/>
      <name val="Arial"/>
      <family val="2"/>
    </font>
    <font>
      <b/>
      <sz val="10"/>
      <name val="Tahoma"/>
      <family val="2"/>
    </font>
    <font>
      <sz val="18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b/>
      <sz val="18"/>
      <color indexed="8"/>
      <name val="Arial"/>
      <family val="2"/>
    </font>
    <font>
      <sz val="16"/>
      <name val="Tahoma"/>
      <family val="2"/>
    </font>
    <font>
      <sz val="12"/>
      <name val="Arial"/>
      <family val="2"/>
    </font>
    <font>
      <b/>
      <sz val="22"/>
      <name val="Arial"/>
      <family val="2"/>
    </font>
    <font>
      <sz val="20"/>
      <name val="Arial"/>
      <family val="2"/>
    </font>
    <font>
      <sz val="11"/>
      <color indexed="8"/>
      <name val="Arial"/>
      <family val="2"/>
    </font>
    <font>
      <sz val="11"/>
      <color theme="1"/>
      <name val="Arial"/>
      <family val="2"/>
    </font>
    <font>
      <b/>
      <sz val="26"/>
      <color indexed="8"/>
      <name val="Arial"/>
      <family val="2"/>
    </font>
    <font>
      <b/>
      <sz val="18"/>
      <color indexed="12"/>
      <name val="Arial"/>
      <family val="2"/>
    </font>
    <font>
      <b/>
      <sz val="24"/>
      <color indexed="8"/>
      <name val="Arial"/>
      <family val="2"/>
    </font>
    <font>
      <b/>
      <sz val="20"/>
      <color indexed="12"/>
      <name val="Arial"/>
      <family val="2"/>
    </font>
    <font>
      <b/>
      <sz val="20"/>
      <color indexed="8"/>
      <name val="Arial"/>
      <family val="2"/>
    </font>
    <font>
      <b/>
      <sz val="16"/>
      <color indexed="8"/>
      <name val="Arial"/>
      <family val="2"/>
    </font>
    <font>
      <sz val="10"/>
      <color indexed="8"/>
      <name val="Tahoma"/>
      <family val="2"/>
    </font>
    <font>
      <sz val="12"/>
      <color indexed="8"/>
      <name val="Arial"/>
      <family val="2"/>
    </font>
    <font>
      <b/>
      <sz val="22"/>
      <color indexed="8"/>
      <name val="Arial"/>
      <family val="2"/>
    </font>
    <font>
      <sz val="10"/>
      <name val="MS Sans Serif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8"/>
      <name val="Arial"/>
      <family val="2"/>
    </font>
    <font>
      <sz val="14"/>
      <name val="Tahoma"/>
      <family val="2"/>
    </font>
    <font>
      <sz val="12"/>
      <name val="Bookman Old Style"/>
      <family val="1"/>
    </font>
    <font>
      <b/>
      <sz val="11"/>
      <color indexed="8"/>
      <name val="Arial"/>
      <family val="2"/>
    </font>
    <font>
      <u/>
      <sz val="14"/>
      <name val="Arial"/>
      <family val="2"/>
    </font>
    <font>
      <sz val="13"/>
      <name val="Tahoma"/>
      <family val="2"/>
    </font>
    <font>
      <sz val="10"/>
      <name val="Courier"/>
      <family val="3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0"/>
      <name val="MS Sans Serif"/>
      <family val="2"/>
    </font>
    <font>
      <sz val="10"/>
      <color theme="1"/>
      <name val="Tahoma"/>
      <family val="2"/>
    </font>
    <font>
      <sz val="16"/>
      <color theme="1"/>
      <name val="Arial"/>
      <family val="2"/>
    </font>
    <font>
      <sz val="12"/>
      <color theme="1"/>
      <name val="Tahoma"/>
      <family val="2"/>
    </font>
    <font>
      <b/>
      <sz val="18"/>
      <color theme="1"/>
      <name val="Arial"/>
      <family val="2"/>
    </font>
    <font>
      <sz val="16"/>
      <color theme="1"/>
      <name val="Tahoma"/>
      <family val="2"/>
    </font>
    <font>
      <sz val="22"/>
      <color theme="1"/>
      <name val="Tahoma"/>
      <family val="2"/>
    </font>
    <font>
      <b/>
      <sz val="36"/>
      <color theme="1"/>
      <name val="Arial"/>
      <family val="2"/>
    </font>
    <font>
      <b/>
      <sz val="2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Tahom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4"/>
      <name val="Tahoma"/>
      <family val="2"/>
    </font>
    <font>
      <b/>
      <sz val="12"/>
      <name val="Tahoma"/>
      <family val="2"/>
    </font>
    <font>
      <b/>
      <sz val="12"/>
      <color theme="1"/>
      <name val="Tahoma"/>
      <family val="2"/>
    </font>
    <font>
      <sz val="20"/>
      <color theme="1"/>
      <name val="Tahoma"/>
      <family val="2"/>
    </font>
    <font>
      <sz val="22"/>
      <name val="Tahoma"/>
      <family val="2"/>
    </font>
    <font>
      <sz val="18"/>
      <color theme="1"/>
      <name val="Tahoma"/>
      <family val="2"/>
    </font>
    <font>
      <sz val="18"/>
      <name val="Tahoma"/>
      <family val="2"/>
    </font>
    <font>
      <b/>
      <sz val="18"/>
      <name val="Tahoma"/>
      <family val="2"/>
    </font>
    <font>
      <b/>
      <sz val="18"/>
      <color indexed="8"/>
      <name val="Tahoma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sz val="9"/>
      <color indexed="63"/>
      <name val="Arial"/>
      <family val="2"/>
    </font>
    <font>
      <b/>
      <sz val="9"/>
      <color indexed="63"/>
      <name val="Arial"/>
      <family val="2"/>
    </font>
    <font>
      <b/>
      <u/>
      <sz val="8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b/>
      <i/>
      <u/>
      <sz val="12"/>
      <name val="Arial"/>
      <family val="2"/>
    </font>
    <font>
      <b/>
      <u/>
      <sz val="10"/>
      <name val="Arial"/>
      <family val="2"/>
    </font>
    <font>
      <i/>
      <sz val="11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u/>
      <sz val="8"/>
      <name val="Arial"/>
      <family val="2"/>
    </font>
    <font>
      <b/>
      <sz val="10"/>
      <name val="Tempus Sans ITC"/>
      <family val="5"/>
    </font>
    <font>
      <sz val="11"/>
      <name val="Tahoma"/>
      <family val="2"/>
    </font>
    <font>
      <sz val="10"/>
      <color rgb="FFFF0000"/>
      <name val="Tahoma"/>
      <family val="2"/>
    </font>
    <font>
      <b/>
      <sz val="11"/>
      <name val="Tahoma"/>
      <family val="2"/>
    </font>
    <font>
      <sz val="16"/>
      <color rgb="FFFF0000"/>
      <name val="Arial"/>
      <family val="2"/>
    </font>
    <font>
      <sz val="12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12"/>
      <name val="Arial"/>
      <family val="2"/>
    </font>
    <font>
      <b/>
      <sz val="11"/>
      <color theme="1"/>
      <name val="Tahoma"/>
      <family val="2"/>
    </font>
    <font>
      <sz val="11"/>
      <color rgb="FFFF0000"/>
      <name val="Tahoma"/>
      <family val="2"/>
    </font>
    <font>
      <sz val="10"/>
      <color rgb="FFFF0000"/>
      <name val="Arial"/>
      <family val="2"/>
    </font>
    <font>
      <i/>
      <sz val="14"/>
      <color indexed="8"/>
      <name val="Arial"/>
      <family val="2"/>
    </font>
    <font>
      <sz val="18"/>
      <color rgb="FFFF0000"/>
      <name val="Tahoma"/>
      <family val="2"/>
    </font>
    <font>
      <sz val="12"/>
      <color rgb="FFFF0000"/>
      <name val="Tahoma"/>
      <family val="2"/>
    </font>
    <font>
      <b/>
      <sz val="10"/>
      <color indexed="8"/>
      <name val="Bookman Old Style"/>
      <family val="1"/>
    </font>
    <font>
      <b/>
      <sz val="12"/>
      <color indexed="8"/>
      <name val="Bookman Old Style"/>
      <family val="1"/>
    </font>
    <font>
      <b/>
      <sz val="11"/>
      <color theme="1"/>
      <name val="Arial"/>
      <family val="2"/>
    </font>
    <font>
      <sz val="11"/>
      <name val="Calibri"/>
      <family val="2"/>
      <scheme val="minor"/>
    </font>
    <font>
      <b/>
      <sz val="18"/>
      <color indexed="8"/>
      <name val="Bookman Old Style"/>
      <family val="1"/>
    </font>
    <font>
      <sz val="12"/>
      <color indexed="8"/>
      <name val="Bookman Old Style"/>
      <family val="1"/>
    </font>
    <font>
      <sz val="14"/>
      <name val="Bookman Old Style"/>
      <family val="1"/>
    </font>
    <font>
      <b/>
      <sz val="14"/>
      <name val="Bookman Old Style"/>
      <family val="1"/>
    </font>
    <font>
      <sz val="10"/>
      <name val="Bookman Old Style"/>
      <family val="1"/>
    </font>
    <font>
      <b/>
      <sz val="10"/>
      <name val="Bookman Old Style"/>
      <family val="1"/>
    </font>
    <font>
      <b/>
      <sz val="12"/>
      <name val="Bookman Old Style"/>
      <family val="1"/>
    </font>
    <font>
      <sz val="10"/>
      <color indexed="8"/>
      <name val="Bookman Old Style"/>
      <family val="1"/>
    </font>
    <font>
      <b/>
      <sz val="22"/>
      <name val="Tahoma"/>
      <family val="2"/>
    </font>
    <font>
      <b/>
      <sz val="26"/>
      <name val="Tahoma"/>
      <family val="2"/>
    </font>
    <font>
      <b/>
      <sz val="16"/>
      <name val="Tahoma"/>
      <family val="2"/>
    </font>
    <font>
      <sz val="11"/>
      <name val="Arial Unicode MS"/>
      <family val="2"/>
    </font>
    <font>
      <sz val="11"/>
      <name val="MS Sans Serif"/>
      <family val="2"/>
    </font>
    <font>
      <b/>
      <sz val="11"/>
      <name val="Calibri"/>
      <family val="2"/>
      <scheme val="minor"/>
    </font>
    <font>
      <i/>
      <sz val="14"/>
      <name val="Tahoma"/>
      <family val="2"/>
    </font>
    <font>
      <i/>
      <sz val="10"/>
      <name val="Tahoma"/>
      <family val="2"/>
    </font>
  </fonts>
  <fills count="6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gray125"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298">
    <xf numFmtId="0" fontId="0" fillId="0" borderId="0"/>
    <xf numFmtId="164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43" fontId="24" fillId="0" borderId="0" applyFont="0" applyFill="0" applyBorder="0" applyAlignment="0" applyProtection="0">
      <alignment vertical="top"/>
    </xf>
    <xf numFmtId="0" fontId="52" fillId="0" borderId="0"/>
    <xf numFmtId="0" fontId="24" fillId="0" borderId="0">
      <alignment vertical="top"/>
    </xf>
    <xf numFmtId="0" fontId="24" fillId="0" borderId="0">
      <alignment vertical="top"/>
    </xf>
    <xf numFmtId="164" fontId="16" fillId="0" borderId="0" applyFont="0" applyFill="0" applyBorder="0" applyAlignment="0" applyProtection="0"/>
    <xf numFmtId="39" fontId="61" fillId="0" borderId="0"/>
    <xf numFmtId="171" fontId="16" fillId="0" borderId="0" applyFont="0" applyFill="0" applyBorder="0" applyAlignment="0" applyProtection="0"/>
    <xf numFmtId="0" fontId="61" fillId="0" borderId="0"/>
    <xf numFmtId="0" fontId="24" fillId="0" borderId="0">
      <alignment vertical="top"/>
    </xf>
    <xf numFmtId="39" fontId="61" fillId="0" borderId="0"/>
    <xf numFmtId="0" fontId="24" fillId="0" borderId="0">
      <alignment vertical="top"/>
    </xf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64" fillId="0" borderId="0" applyFont="0" applyFill="0" applyBorder="0" applyAlignment="0" applyProtection="0"/>
    <xf numFmtId="0" fontId="65" fillId="3" borderId="0" applyNumberFormat="0" applyBorder="0" applyAlignment="0" applyProtection="0"/>
    <xf numFmtId="0" fontId="65" fillId="4" borderId="0" applyNumberFormat="0" applyBorder="0" applyAlignment="0" applyProtection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65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65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65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65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65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6" borderId="0" applyNumberFormat="0" applyBorder="0" applyAlignment="0" applyProtection="0"/>
    <xf numFmtId="0" fontId="65" fillId="9" borderId="0" applyNumberFormat="0" applyBorder="0" applyAlignment="0" applyProtection="0"/>
    <xf numFmtId="0" fontId="65" fillId="12" borderId="0" applyNumberFormat="0" applyBorder="0" applyAlignment="0" applyProtection="0"/>
    <xf numFmtId="0" fontId="65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65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65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65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65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65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67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67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67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67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67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67" fillId="17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20" borderId="0" applyNumberFormat="0" applyBorder="0" applyAlignment="0" applyProtection="0"/>
    <xf numFmtId="0" fontId="68" fillId="4" borderId="0" applyNumberFormat="0" applyBorder="0" applyAlignment="0" applyProtection="0"/>
    <xf numFmtId="0" fontId="69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70" fillId="21" borderId="60" applyNumberFormat="0" applyAlignment="0" applyProtection="0"/>
    <xf numFmtId="0" fontId="70" fillId="21" borderId="60" applyNumberFormat="0" applyAlignment="0" applyProtection="0"/>
    <xf numFmtId="0" fontId="16" fillId="21" borderId="60" applyNumberFormat="0" applyAlignment="0" applyProtection="0"/>
    <xf numFmtId="0" fontId="16" fillId="21" borderId="60" applyNumberFormat="0" applyAlignment="0" applyProtection="0"/>
    <xf numFmtId="0" fontId="71" fillId="22" borderId="61" applyNumberFormat="0" applyAlignment="0" applyProtection="0"/>
    <xf numFmtId="0" fontId="16" fillId="22" borderId="61" applyNumberFormat="0" applyAlignment="0" applyProtection="0"/>
    <xf numFmtId="0" fontId="16" fillId="22" borderId="61" applyNumberFormat="0" applyAlignment="0" applyProtection="0"/>
    <xf numFmtId="0" fontId="72" fillId="0" borderId="62" applyNumberFormat="0" applyFill="0" applyAlignment="0" applyProtection="0"/>
    <xf numFmtId="0" fontId="16" fillId="0" borderId="62" applyNumberFormat="0" applyFill="0" applyAlignment="0" applyProtection="0"/>
    <xf numFmtId="0" fontId="16" fillId="0" borderId="62" applyNumberFormat="0" applyFill="0" applyAlignment="0" applyProtection="0"/>
    <xf numFmtId="0" fontId="71" fillId="22" borderId="61" applyNumberFormat="0" applyAlignment="0" applyProtection="0"/>
    <xf numFmtId="0" fontId="67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67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67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67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67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67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73" fillId="8" borderId="60" applyNumberFormat="0" applyAlignment="0" applyProtection="0"/>
    <xf numFmtId="0" fontId="16" fillId="8" borderId="60" applyNumberFormat="0" applyAlignment="0" applyProtection="0"/>
    <xf numFmtId="0" fontId="16" fillId="8" borderId="60" applyNumberFormat="0" applyAlignment="0" applyProtection="0"/>
    <xf numFmtId="0" fontId="74" fillId="0" borderId="0" applyNumberFormat="0" applyFill="0" applyBorder="0" applyAlignment="0" applyProtection="0"/>
    <xf numFmtId="0" fontId="69" fillId="5" borderId="0" applyNumberFormat="0" applyBorder="0" applyAlignment="0" applyProtection="0"/>
    <xf numFmtId="0" fontId="75" fillId="0" borderId="63" applyNumberFormat="0" applyFill="0" applyAlignment="0" applyProtection="0"/>
    <xf numFmtId="0" fontId="76" fillId="0" borderId="64" applyNumberFormat="0" applyFill="0" applyAlignment="0" applyProtection="0"/>
    <xf numFmtId="0" fontId="77" fillId="0" borderId="65" applyNumberFormat="0" applyFill="0" applyAlignment="0" applyProtection="0"/>
    <xf numFmtId="0" fontId="77" fillId="0" borderId="0" applyNumberFormat="0" applyFill="0" applyBorder="0" applyAlignment="0" applyProtection="0"/>
    <xf numFmtId="0" fontId="68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73" fillId="8" borderId="60" applyNumberFormat="0" applyAlignment="0" applyProtection="0"/>
    <xf numFmtId="0" fontId="72" fillId="0" borderId="62" applyNumberFormat="0" applyFill="0" applyAlignment="0" applyProtection="0"/>
    <xf numFmtId="165" fontId="16" fillId="0" borderId="0" applyFont="0" applyFill="0" applyBorder="0" applyAlignment="0" applyProtection="0"/>
    <xf numFmtId="0" fontId="78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78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6" fillId="0" borderId="0"/>
    <xf numFmtId="0" fontId="16" fillId="0" borderId="0"/>
    <xf numFmtId="0" fontId="41" fillId="0" borderId="0"/>
    <xf numFmtId="0" fontId="65" fillId="24" borderId="66" applyNumberFormat="0" applyFont="0" applyAlignment="0" applyProtection="0"/>
    <xf numFmtId="0" fontId="65" fillId="24" borderId="66" applyNumberFormat="0" applyFont="0" applyAlignment="0" applyProtection="0"/>
    <xf numFmtId="0" fontId="65" fillId="24" borderId="66" applyNumberFormat="0" applyFont="0" applyAlignment="0" applyProtection="0"/>
    <xf numFmtId="0" fontId="65" fillId="24" borderId="66" applyNumberFormat="0" applyFont="0" applyAlignment="0" applyProtection="0"/>
    <xf numFmtId="0" fontId="65" fillId="24" borderId="66" applyNumberFormat="0" applyFont="0" applyAlignment="0" applyProtection="0"/>
    <xf numFmtId="0" fontId="65" fillId="24" borderId="66" applyNumberFormat="0" applyFont="0" applyAlignment="0" applyProtection="0"/>
    <xf numFmtId="0" fontId="65" fillId="24" borderId="66" applyNumberFormat="0" applyFont="0" applyAlignment="0" applyProtection="0"/>
    <xf numFmtId="0" fontId="65" fillId="24" borderId="66" applyNumberFormat="0" applyFont="0" applyAlignment="0" applyProtection="0"/>
    <xf numFmtId="0" fontId="65" fillId="24" borderId="66" applyNumberFormat="0" applyFont="0" applyAlignment="0" applyProtection="0"/>
    <xf numFmtId="0" fontId="65" fillId="24" borderId="66" applyNumberFormat="0" applyFont="0" applyAlignment="0" applyProtection="0"/>
    <xf numFmtId="0" fontId="16" fillId="24" borderId="66" applyNumberFormat="0" applyFont="0" applyAlignment="0" applyProtection="0"/>
    <xf numFmtId="0" fontId="65" fillId="24" borderId="66" applyNumberFormat="0" applyFont="0" applyAlignment="0" applyProtection="0"/>
    <xf numFmtId="0" fontId="65" fillId="24" borderId="66" applyNumberFormat="0" applyFont="0" applyAlignment="0" applyProtection="0"/>
    <xf numFmtId="0" fontId="65" fillId="24" borderId="66" applyNumberFormat="0" applyFont="0" applyAlignment="0" applyProtection="0"/>
    <xf numFmtId="0" fontId="65" fillId="24" borderId="66" applyNumberFormat="0" applyFont="0" applyAlignment="0" applyProtection="0"/>
    <xf numFmtId="0" fontId="65" fillId="24" borderId="66" applyNumberFormat="0" applyFont="0" applyAlignment="0" applyProtection="0"/>
    <xf numFmtId="0" fontId="65" fillId="24" borderId="66" applyNumberFormat="0" applyFont="0" applyAlignment="0" applyProtection="0"/>
    <xf numFmtId="0" fontId="65" fillId="24" borderId="66" applyNumberFormat="0" applyFont="0" applyAlignment="0" applyProtection="0"/>
    <xf numFmtId="0" fontId="65" fillId="24" borderId="66" applyNumberFormat="0" applyFont="0" applyAlignment="0" applyProtection="0"/>
    <xf numFmtId="0" fontId="65" fillId="24" borderId="66" applyNumberFormat="0" applyFont="0" applyAlignment="0" applyProtection="0"/>
    <xf numFmtId="0" fontId="16" fillId="24" borderId="66" applyNumberFormat="0" applyFont="0" applyAlignment="0" applyProtection="0"/>
    <xf numFmtId="0" fontId="79" fillId="21" borderId="67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79" fillId="21" borderId="67" applyNumberFormat="0" applyAlignment="0" applyProtection="0"/>
    <xf numFmtId="0" fontId="16" fillId="21" borderId="67" applyNumberFormat="0" applyAlignment="0" applyProtection="0"/>
    <xf numFmtId="0" fontId="16" fillId="21" borderId="67" applyNumberFormat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5" fillId="0" borderId="63" applyNumberFormat="0" applyFill="0" applyAlignment="0" applyProtection="0"/>
    <xf numFmtId="0" fontId="16" fillId="0" borderId="63" applyNumberFormat="0" applyFill="0" applyAlignment="0" applyProtection="0"/>
    <xf numFmtId="0" fontId="16" fillId="0" borderId="63" applyNumberFormat="0" applyFill="0" applyAlignment="0" applyProtection="0"/>
    <xf numFmtId="0" fontId="76" fillId="0" borderId="64" applyNumberFormat="0" applyFill="0" applyAlignment="0" applyProtection="0"/>
    <xf numFmtId="0" fontId="16" fillId="0" borderId="64" applyNumberFormat="0" applyFill="0" applyAlignment="0" applyProtection="0"/>
    <xf numFmtId="0" fontId="16" fillId="0" borderId="64" applyNumberFormat="0" applyFill="0" applyAlignment="0" applyProtection="0"/>
    <xf numFmtId="0" fontId="77" fillId="0" borderId="65" applyNumberFormat="0" applyFill="0" applyAlignment="0" applyProtection="0"/>
    <xf numFmtId="0" fontId="16" fillId="0" borderId="65" applyNumberFormat="0" applyFill="0" applyAlignment="0" applyProtection="0"/>
    <xf numFmtId="0" fontId="16" fillId="0" borderId="65" applyNumberFormat="0" applyFill="0" applyAlignment="0" applyProtection="0"/>
    <xf numFmtId="0" fontId="7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6" fillId="0" borderId="68" applyNumberFormat="0" applyFill="0" applyAlignment="0" applyProtection="0"/>
    <xf numFmtId="0" fontId="16" fillId="0" borderId="68" applyNumberFormat="0" applyFill="0" applyAlignment="0" applyProtection="0"/>
    <xf numFmtId="0" fontId="16" fillId="0" borderId="68" applyNumberFormat="0" applyFill="0" applyAlignment="0" applyProtection="0"/>
    <xf numFmtId="0" fontId="80" fillId="0" borderId="0" applyNumberFormat="0" applyFill="0" applyBorder="0" applyAlignment="0" applyProtection="0"/>
    <xf numFmtId="0" fontId="16" fillId="0" borderId="0"/>
    <xf numFmtId="0" fontId="24" fillId="0" borderId="0">
      <alignment vertical="top"/>
    </xf>
    <xf numFmtId="0" fontId="93" fillId="0" borderId="0" applyNumberFormat="0" applyFill="0" applyBorder="0" applyAlignment="0" applyProtection="0"/>
    <xf numFmtId="0" fontId="94" fillId="0" borderId="71" applyNumberFormat="0" applyFill="0" applyAlignment="0" applyProtection="0"/>
    <xf numFmtId="0" fontId="95" fillId="0" borderId="72" applyNumberFormat="0" applyFill="0" applyAlignment="0" applyProtection="0"/>
    <xf numFmtId="0" fontId="96" fillId="0" borderId="73" applyNumberFormat="0" applyFill="0" applyAlignment="0" applyProtection="0"/>
    <xf numFmtId="0" fontId="96" fillId="0" borderId="0" applyNumberFormat="0" applyFill="0" applyBorder="0" applyAlignment="0" applyProtection="0"/>
    <xf numFmtId="0" fontId="97" fillId="25" borderId="0" applyNumberFormat="0" applyBorder="0" applyAlignment="0" applyProtection="0"/>
    <xf numFmtId="0" fontId="98" fillId="26" borderId="0" applyNumberFormat="0" applyBorder="0" applyAlignment="0" applyProtection="0"/>
    <xf numFmtId="0" fontId="99" fillId="27" borderId="0" applyNumberFormat="0" applyBorder="0" applyAlignment="0" applyProtection="0"/>
    <xf numFmtId="0" fontId="100" fillId="28" borderId="74" applyNumberFormat="0" applyAlignment="0" applyProtection="0"/>
    <xf numFmtId="0" fontId="101" fillId="29" borderId="75" applyNumberFormat="0" applyAlignment="0" applyProtection="0"/>
    <xf numFmtId="0" fontId="102" fillId="29" borderId="74" applyNumberFormat="0" applyAlignment="0" applyProtection="0"/>
    <xf numFmtId="0" fontId="103" fillId="0" borderId="76" applyNumberFormat="0" applyFill="0" applyAlignment="0" applyProtection="0"/>
    <xf numFmtId="0" fontId="104" fillId="30" borderId="77" applyNumberFormat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79" applyNumberFormat="0" applyFill="0" applyAlignment="0" applyProtection="0"/>
    <xf numFmtId="0" fontId="108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108" fillId="35" borderId="0" applyNumberFormat="0" applyBorder="0" applyAlignment="0" applyProtection="0"/>
    <xf numFmtId="0" fontId="108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108" fillId="39" borderId="0" applyNumberFormat="0" applyBorder="0" applyAlignment="0" applyProtection="0"/>
    <xf numFmtId="0" fontId="108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108" fillId="43" borderId="0" applyNumberFormat="0" applyBorder="0" applyAlignment="0" applyProtection="0"/>
    <xf numFmtId="0" fontId="108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6" borderId="0" applyNumberFormat="0" applyBorder="0" applyAlignment="0" applyProtection="0"/>
    <xf numFmtId="0" fontId="108" fillId="47" borderId="0" applyNumberFormat="0" applyBorder="0" applyAlignment="0" applyProtection="0"/>
    <xf numFmtId="0" fontId="108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108" fillId="51" borderId="0" applyNumberFormat="0" applyBorder="0" applyAlignment="0" applyProtection="0"/>
    <xf numFmtId="0" fontId="108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108" fillId="55" borderId="0" applyNumberFormat="0" applyBorder="0" applyAlignment="0" applyProtection="0"/>
    <xf numFmtId="0" fontId="3" fillId="0" borderId="0"/>
    <xf numFmtId="0" fontId="3" fillId="31" borderId="7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6" fillId="0" borderId="0"/>
  </cellStyleXfs>
  <cellXfs count="1129">
    <xf numFmtId="0" fontId="0" fillId="0" borderId="0" xfId="0"/>
    <xf numFmtId="0" fontId="4" fillId="0" borderId="0" xfId="0" quotePrefix="1" applyFont="1" applyBorder="1" applyAlignment="1" applyProtection="1">
      <alignment horizontal="left" vertical="center"/>
    </xf>
    <xf numFmtId="0" fontId="5" fillId="0" borderId="0" xfId="0" applyFont="1"/>
    <xf numFmtId="4" fontId="5" fillId="0" borderId="0" xfId="0" applyNumberFormat="1" applyFont="1"/>
    <xf numFmtId="0" fontId="11" fillId="0" borderId="0" xfId="0" applyFont="1" applyFill="1" applyAlignment="1">
      <alignment vertical="center"/>
    </xf>
    <xf numFmtId="0" fontId="0" fillId="0" borderId="0" xfId="0" applyFill="1"/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justify" vertical="center" wrapText="1"/>
    </xf>
    <xf numFmtId="0" fontId="14" fillId="0" borderId="0" xfId="0" applyNumberFormat="1" applyFont="1" applyAlignment="1">
      <alignment horizontal="left" vertical="center" wrapText="1"/>
    </xf>
    <xf numFmtId="0" fontId="14" fillId="0" borderId="0" xfId="0" applyNumberFormat="1" applyFont="1" applyAlignment="1">
      <alignment vertical="center" wrapText="1"/>
    </xf>
    <xf numFmtId="0" fontId="15" fillId="0" borderId="0" xfId="0" applyNumberFormat="1" applyFont="1" applyAlignment="1">
      <alignment horizontal="left" vertical="center" wrapText="1"/>
    </xf>
    <xf numFmtId="0" fontId="14" fillId="0" borderId="0" xfId="0" applyNumberFormat="1" applyFont="1" applyAlignment="1">
      <alignment horizontal="justify" vertical="center" wrapText="1"/>
    </xf>
    <xf numFmtId="0" fontId="16" fillId="0" borderId="0" xfId="0" applyFont="1"/>
    <xf numFmtId="17" fontId="6" fillId="0" borderId="0" xfId="0" quotePrefix="1" applyNumberFormat="1" applyFont="1" applyAlignment="1"/>
    <xf numFmtId="0" fontId="16" fillId="0" borderId="0" xfId="0" applyFont="1" applyAlignment="1">
      <alignment vertical="center"/>
    </xf>
    <xf numFmtId="164" fontId="16" fillId="0" borderId="0" xfId="0" applyNumberFormat="1" applyFont="1"/>
    <xf numFmtId="164" fontId="13" fillId="0" borderId="0" xfId="1" applyFont="1" applyAlignment="1">
      <alignment vertical="center"/>
    </xf>
    <xf numFmtId="0" fontId="27" fillId="0" borderId="0" xfId="3" applyFont="1" applyAlignment="1">
      <alignment vertical="center"/>
    </xf>
    <xf numFmtId="164" fontId="29" fillId="0" borderId="0" xfId="1" applyFont="1" applyAlignment="1">
      <alignment vertical="center"/>
    </xf>
    <xf numFmtId="164" fontId="6" fillId="0" borderId="0" xfId="1" applyFont="1" applyAlignment="1">
      <alignment horizontal="right" vertical="center"/>
    </xf>
    <xf numFmtId="17" fontId="6" fillId="0" borderId="0" xfId="1" applyNumberFormat="1" applyFont="1" applyAlignment="1">
      <alignment vertical="center"/>
    </xf>
    <xf numFmtId="0" fontId="5" fillId="0" borderId="0" xfId="3" applyFont="1" applyAlignment="1">
      <alignment vertical="center"/>
    </xf>
    <xf numFmtId="0" fontId="32" fillId="0" borderId="0" xfId="3" applyFont="1" applyAlignment="1">
      <alignment vertical="center"/>
    </xf>
    <xf numFmtId="0" fontId="13" fillId="2" borderId="3" xfId="3" applyFont="1" applyFill="1" applyBorder="1" applyAlignment="1">
      <alignment horizontal="center" vertical="center"/>
    </xf>
    <xf numFmtId="0" fontId="13" fillId="2" borderId="4" xfId="3" quotePrefix="1" applyFont="1" applyFill="1" applyBorder="1" applyAlignment="1">
      <alignment horizontal="left" vertical="center"/>
    </xf>
    <xf numFmtId="0" fontId="34" fillId="0" borderId="0" xfId="3" applyFont="1" applyFill="1" applyBorder="1" applyAlignment="1">
      <alignment vertical="center"/>
    </xf>
    <xf numFmtId="0" fontId="5" fillId="0" borderId="0" xfId="3" applyFont="1" applyFill="1" applyAlignment="1">
      <alignment vertical="center"/>
    </xf>
    <xf numFmtId="0" fontId="34" fillId="0" borderId="12" xfId="3" quotePrefix="1" applyFont="1" applyFill="1" applyBorder="1" applyAlignment="1">
      <alignment vertical="center"/>
    </xf>
    <xf numFmtId="0" fontId="34" fillId="0" borderId="13" xfId="3" quotePrefix="1" applyFont="1" applyFill="1" applyBorder="1" applyAlignment="1">
      <alignment vertical="center"/>
    </xf>
    <xf numFmtId="0" fontId="34" fillId="0" borderId="13" xfId="3" applyFont="1" applyFill="1" applyBorder="1" applyAlignment="1">
      <alignment vertical="center"/>
    </xf>
    <xf numFmtId="164" fontId="34" fillId="0" borderId="11" xfId="1" applyFont="1" applyFill="1" applyBorder="1" applyAlignment="1">
      <alignment vertical="center"/>
    </xf>
    <xf numFmtId="0" fontId="5" fillId="0" borderId="0" xfId="3" applyFont="1" applyFill="1"/>
    <xf numFmtId="164" fontId="34" fillId="0" borderId="14" xfId="1" applyFont="1" applyFill="1" applyBorder="1" applyAlignment="1">
      <alignment vertical="center"/>
    </xf>
    <xf numFmtId="164" fontId="34" fillId="0" borderId="15" xfId="1" applyFont="1" applyFill="1" applyBorder="1" applyAlignment="1">
      <alignment vertical="center"/>
    </xf>
    <xf numFmtId="164" fontId="34" fillId="0" borderId="16" xfId="1" applyFont="1" applyFill="1" applyBorder="1" applyAlignment="1">
      <alignment vertical="center"/>
    </xf>
    <xf numFmtId="0" fontId="34" fillId="0" borderId="17" xfId="3" applyFont="1" applyFill="1" applyBorder="1" applyAlignment="1">
      <alignment vertical="center"/>
    </xf>
    <xf numFmtId="164" fontId="34" fillId="0" borderId="9" xfId="1" applyFont="1" applyFill="1" applyBorder="1" applyAlignment="1">
      <alignment vertical="center"/>
    </xf>
    <xf numFmtId="164" fontId="34" fillId="0" borderId="10" xfId="1" applyFont="1" applyFill="1" applyBorder="1" applyAlignment="1" applyProtection="1">
      <alignment vertical="center"/>
    </xf>
    <xf numFmtId="0" fontId="34" fillId="0" borderId="26" xfId="3" applyFont="1" applyFill="1" applyBorder="1" applyAlignment="1">
      <alignment horizontal="left" vertical="center"/>
    </xf>
    <xf numFmtId="164" fontId="34" fillId="0" borderId="27" xfId="1" applyFont="1" applyFill="1" applyBorder="1" applyAlignment="1">
      <alignment vertical="center"/>
    </xf>
    <xf numFmtId="164" fontId="34" fillId="0" borderId="28" xfId="1" applyFont="1" applyFill="1" applyBorder="1" applyAlignment="1">
      <alignment vertical="center"/>
    </xf>
    <xf numFmtId="164" fontId="34" fillId="0" borderId="29" xfId="1" applyFont="1" applyFill="1" applyBorder="1" applyAlignment="1">
      <alignment vertical="center"/>
    </xf>
    <xf numFmtId="164" fontId="34" fillId="0" borderId="31" xfId="1" applyFont="1" applyFill="1" applyBorder="1" applyAlignment="1">
      <alignment vertical="center"/>
    </xf>
    <xf numFmtId="164" fontId="34" fillId="0" borderId="32" xfId="1" applyFont="1" applyFill="1" applyBorder="1" applyAlignment="1">
      <alignment vertical="center"/>
    </xf>
    <xf numFmtId="164" fontId="34" fillId="0" borderId="33" xfId="1" applyFont="1" applyFill="1" applyBorder="1" applyAlignment="1">
      <alignment vertical="center"/>
    </xf>
    <xf numFmtId="0" fontId="34" fillId="0" borderId="20" xfId="3" quotePrefix="1" applyFont="1" applyFill="1" applyBorder="1" applyAlignment="1">
      <alignment horizontal="left" vertical="center"/>
    </xf>
    <xf numFmtId="164" fontId="34" fillId="0" borderId="10" xfId="1" applyFont="1" applyFill="1" applyBorder="1" applyAlignment="1">
      <alignment vertical="center"/>
    </xf>
    <xf numFmtId="164" fontId="13" fillId="2" borderId="39" xfId="1" applyFont="1" applyFill="1" applyBorder="1" applyAlignment="1">
      <alignment vertical="center"/>
    </xf>
    <xf numFmtId="164" fontId="34" fillId="0" borderId="23" xfId="1" applyFont="1" applyFill="1" applyBorder="1" applyAlignment="1">
      <alignment vertical="center"/>
    </xf>
    <xf numFmtId="164" fontId="13" fillId="2" borderId="38" xfId="1" applyFont="1" applyFill="1" applyBorder="1" applyAlignment="1">
      <alignment vertical="center"/>
    </xf>
    <xf numFmtId="0" fontId="5" fillId="0" borderId="0" xfId="3" applyFont="1" applyAlignment="1">
      <alignment horizontal="left" vertical="center"/>
    </xf>
    <xf numFmtId="164" fontId="34" fillId="0" borderId="0" xfId="1" applyFont="1" applyFill="1" applyAlignment="1">
      <alignment vertical="center"/>
    </xf>
    <xf numFmtId="164" fontId="18" fillId="0" borderId="0" xfId="1" applyFont="1" applyFill="1" applyBorder="1" applyAlignment="1">
      <alignment vertical="center"/>
    </xf>
    <xf numFmtId="164" fontId="38" fillId="0" borderId="0" xfId="1" applyFont="1" applyFill="1" applyBorder="1" applyAlignment="1">
      <alignment vertical="center"/>
    </xf>
    <xf numFmtId="17" fontId="17" fillId="0" borderId="0" xfId="1" applyNumberFormat="1" applyFont="1" applyAlignment="1">
      <alignment vertical="center"/>
    </xf>
    <xf numFmtId="17" fontId="17" fillId="0" borderId="0" xfId="1" applyNumberFormat="1" applyFont="1" applyAlignment="1">
      <alignment horizontal="left" vertical="center"/>
    </xf>
    <xf numFmtId="17" fontId="6" fillId="0" borderId="0" xfId="1" applyNumberFormat="1" applyFont="1" applyAlignment="1">
      <alignment horizontal="left" vertical="center"/>
    </xf>
    <xf numFmtId="17" fontId="39" fillId="0" borderId="0" xfId="1" applyNumberFormat="1" applyFont="1" applyAlignment="1">
      <alignment vertical="center"/>
    </xf>
    <xf numFmtId="164" fontId="11" fillId="0" borderId="0" xfId="1" applyFont="1" applyAlignment="1">
      <alignment vertical="center" wrapText="1"/>
    </xf>
    <xf numFmtId="0" fontId="40" fillId="0" borderId="0" xfId="0" applyFont="1"/>
    <xf numFmtId="0" fontId="8" fillId="0" borderId="47" xfId="0" applyFont="1" applyBorder="1" applyAlignment="1">
      <alignment horizontal="center" vertical="center" wrapText="1"/>
    </xf>
    <xf numFmtId="164" fontId="15" fillId="0" borderId="44" xfId="1" quotePrefix="1" applyFont="1" applyFill="1" applyBorder="1" applyAlignment="1" applyProtection="1">
      <alignment horizontal="center" vertical="center" wrapText="1"/>
    </xf>
    <xf numFmtId="164" fontId="15" fillId="0" borderId="32" xfId="1" quotePrefix="1" applyFont="1" applyFill="1" applyBorder="1" applyAlignment="1" applyProtection="1">
      <alignment horizontal="center" vertical="center" wrapText="1"/>
    </xf>
    <xf numFmtId="164" fontId="15" fillId="0" borderId="32" xfId="1" quotePrefix="1" applyFont="1" applyFill="1" applyBorder="1" applyAlignment="1">
      <alignment horizontal="center" vertical="center" wrapText="1"/>
    </xf>
    <xf numFmtId="164" fontId="14" fillId="0" borderId="1" xfId="1" applyFont="1" applyFill="1" applyBorder="1" applyAlignment="1">
      <alignment horizontal="center" vertical="center" wrapText="1"/>
    </xf>
    <xf numFmtId="164" fontId="15" fillId="0" borderId="2" xfId="1" quotePrefix="1" applyFont="1" applyFill="1" applyBorder="1" applyAlignment="1">
      <alignment horizontal="center" vertical="center" wrapText="1"/>
    </xf>
    <xf numFmtId="164" fontId="14" fillId="2" borderId="47" xfId="1" applyFont="1" applyFill="1" applyBorder="1" applyAlignment="1" applyProtection="1">
      <alignment vertical="center" wrapText="1"/>
    </xf>
    <xf numFmtId="0" fontId="0" fillId="0" borderId="47" xfId="0" applyBorder="1"/>
    <xf numFmtId="164" fontId="15" fillId="0" borderId="44" xfId="1" applyFont="1" applyFill="1" applyBorder="1" applyAlignment="1" applyProtection="1">
      <alignment horizontal="center" vertical="center" wrapText="1"/>
    </xf>
    <xf numFmtId="164" fontId="15" fillId="0" borderId="44" xfId="1" applyFont="1" applyBorder="1" applyAlignment="1">
      <alignment vertical="center"/>
    </xf>
    <xf numFmtId="164" fontId="15" fillId="0" borderId="32" xfId="1" applyFont="1" applyFill="1" applyBorder="1" applyAlignment="1" applyProtection="1">
      <alignment horizontal="center" vertical="center" wrapText="1"/>
    </xf>
    <xf numFmtId="164" fontId="42" fillId="0" borderId="32" xfId="1" applyFont="1" applyFill="1" applyBorder="1" applyAlignment="1" applyProtection="1">
      <alignment vertical="center"/>
    </xf>
    <xf numFmtId="43" fontId="0" fillId="0" borderId="0" xfId="0" applyNumberFormat="1"/>
    <xf numFmtId="164" fontId="42" fillId="0" borderId="44" xfId="1" applyFont="1" applyFill="1" applyBorder="1" applyAlignment="1" applyProtection="1">
      <alignment vertical="center"/>
    </xf>
    <xf numFmtId="0" fontId="45" fillId="0" borderId="0" xfId="0" applyFont="1" applyAlignment="1"/>
    <xf numFmtId="0" fontId="46" fillId="0" borderId="0" xfId="0" applyFont="1" applyAlignment="1">
      <alignment horizontal="center"/>
    </xf>
    <xf numFmtId="0" fontId="24" fillId="0" borderId="0" xfId="0" applyFont="1" applyAlignment="1" applyProtection="1">
      <alignment vertical="center"/>
    </xf>
    <xf numFmtId="166" fontId="14" fillId="0" borderId="0" xfId="0" applyNumberFormat="1" applyFont="1" applyAlignment="1">
      <alignment horizontal="right"/>
    </xf>
    <xf numFmtId="0" fontId="48" fillId="2" borderId="38" xfId="0" applyFont="1" applyFill="1" applyBorder="1" applyAlignment="1" applyProtection="1">
      <alignment horizontal="center" vertical="center"/>
    </xf>
    <xf numFmtId="0" fontId="48" fillId="2" borderId="50" xfId="0" applyFont="1" applyFill="1" applyBorder="1" applyAlignment="1" applyProtection="1">
      <alignment horizontal="center" vertical="center" wrapText="1"/>
    </xf>
    <xf numFmtId="0" fontId="24" fillId="0" borderId="0" xfId="0" applyFont="1" applyAlignment="1" applyProtection="1">
      <alignment horizontal="center" vertical="center"/>
    </xf>
    <xf numFmtId="164" fontId="35" fillId="0" borderId="51" xfId="1" quotePrefix="1" applyFont="1" applyBorder="1" applyAlignment="1" applyProtection="1">
      <alignment vertical="center"/>
    </xf>
    <xf numFmtId="164" fontId="35" fillId="0" borderId="33" xfId="1" quotePrefix="1" applyFont="1" applyBorder="1" applyAlignment="1" applyProtection="1">
      <alignment vertical="center"/>
    </xf>
    <xf numFmtId="0" fontId="35" fillId="0" borderId="31" xfId="0" applyFont="1" applyBorder="1" applyAlignment="1" applyProtection="1">
      <alignment horizontal="left" vertical="center"/>
    </xf>
    <xf numFmtId="0" fontId="5" fillId="0" borderId="0" xfId="5" applyNumberFormat="1" applyFont="1" applyFill="1" applyBorder="1" applyAlignment="1" applyProtection="1">
      <alignment horizontal="center" vertical="center"/>
    </xf>
    <xf numFmtId="0" fontId="5" fillId="0" borderId="0" xfId="5" applyNumberFormat="1" applyFont="1" applyFill="1" applyBorder="1" applyAlignment="1" applyProtection="1">
      <alignment horizontal="left" vertical="center"/>
    </xf>
    <xf numFmtId="164" fontId="51" fillId="0" borderId="0" xfId="1" applyFont="1" applyFill="1" applyBorder="1" applyAlignment="1" applyProtection="1">
      <alignment horizontal="center" vertical="center"/>
    </xf>
    <xf numFmtId="164" fontId="18" fillId="0" borderId="0" xfId="1" quotePrefix="1" applyFont="1" applyFill="1" applyBorder="1" applyAlignment="1" applyProtection="1">
      <alignment horizontal="center" vertical="center" wrapText="1"/>
    </xf>
    <xf numFmtId="0" fontId="5" fillId="0" borderId="0" xfId="5" applyNumberFormat="1" applyFont="1" applyFill="1" applyBorder="1" applyAlignment="1" applyProtection="1">
      <alignment vertical="center"/>
    </xf>
    <xf numFmtId="0" fontId="15" fillId="0" borderId="0" xfId="0" applyFont="1"/>
    <xf numFmtId="0" fontId="45" fillId="0" borderId="0" xfId="0" applyFont="1" applyAlignment="1">
      <alignment horizontal="right"/>
    </xf>
    <xf numFmtId="17" fontId="45" fillId="0" borderId="0" xfId="0" quotePrefix="1" applyNumberFormat="1" applyFont="1" applyAlignment="1"/>
    <xf numFmtId="0" fontId="43" fillId="0" borderId="0" xfId="0" applyFont="1" applyAlignment="1"/>
    <xf numFmtId="0" fontId="28" fillId="0" borderId="0" xfId="0" applyFont="1" applyAlignment="1"/>
    <xf numFmtId="0" fontId="28" fillId="0" borderId="0" xfId="0" quotePrefix="1" applyFont="1" applyAlignment="1"/>
    <xf numFmtId="0" fontId="27" fillId="0" borderId="0" xfId="0" applyFont="1"/>
    <xf numFmtId="0" fontId="16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left"/>
    </xf>
    <xf numFmtId="0" fontId="54" fillId="0" borderId="0" xfId="10" applyFont="1" applyFill="1" applyBorder="1" applyAlignment="1">
      <alignment horizontal="left" vertical="center"/>
    </xf>
    <xf numFmtId="0" fontId="13" fillId="2" borderId="3" xfId="0" quotePrefix="1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left" vertical="center"/>
    </xf>
    <xf numFmtId="0" fontId="55" fillId="2" borderId="4" xfId="0" applyFont="1" applyFill="1" applyBorder="1"/>
    <xf numFmtId="0" fontId="13" fillId="2" borderId="5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38" fillId="0" borderId="8" xfId="0" applyFont="1" applyBorder="1" applyAlignment="1">
      <alignment horizontal="right" vertical="center"/>
    </xf>
    <xf numFmtId="0" fontId="34" fillId="0" borderId="0" xfId="0" applyFont="1" applyBorder="1" applyAlignment="1">
      <alignment horizontal="left" vertical="center"/>
    </xf>
    <xf numFmtId="164" fontId="18" fillId="0" borderId="18" xfId="1" applyFont="1" applyFill="1" applyBorder="1" applyAlignment="1">
      <alignment vertical="center"/>
    </xf>
    <xf numFmtId="164" fontId="34" fillId="0" borderId="22" xfId="1" applyFont="1" applyFill="1" applyBorder="1" applyAlignment="1">
      <alignment vertical="center"/>
    </xf>
    <xf numFmtId="0" fontId="16" fillId="0" borderId="12" xfId="0" quotePrefix="1" applyFont="1" applyFill="1" applyBorder="1" applyAlignment="1">
      <alignment vertical="center"/>
    </xf>
    <xf numFmtId="0" fontId="34" fillId="0" borderId="13" xfId="0" quotePrefix="1" applyFont="1" applyFill="1" applyBorder="1" applyAlignment="1">
      <alignment vertical="center"/>
    </xf>
    <xf numFmtId="0" fontId="34" fillId="0" borderId="13" xfId="0" applyFont="1" applyFill="1" applyBorder="1" applyAlignment="1">
      <alignment vertical="center"/>
    </xf>
    <xf numFmtId="0" fontId="5" fillId="0" borderId="0" xfId="0" applyFont="1" applyFill="1"/>
    <xf numFmtId="164" fontId="27" fillId="0" borderId="0" xfId="1" applyFont="1" applyFill="1" applyAlignment="1">
      <alignment horizontal="left" vertical="center"/>
    </xf>
    <xf numFmtId="164" fontId="27" fillId="0" borderId="0" xfId="1" applyFont="1" applyFill="1" applyAlignment="1">
      <alignment horizontal="center" vertical="center"/>
    </xf>
    <xf numFmtId="0" fontId="38" fillId="0" borderId="17" xfId="0" applyFont="1" applyBorder="1" applyAlignment="1">
      <alignment horizontal="left" vertical="center"/>
    </xf>
    <xf numFmtId="164" fontId="18" fillId="0" borderId="9" xfId="1" applyFont="1" applyFill="1" applyBorder="1" applyAlignment="1">
      <alignment vertical="center"/>
    </xf>
    <xf numFmtId="0" fontId="38" fillId="0" borderId="8" xfId="0" applyFont="1" applyBorder="1" applyAlignment="1">
      <alignment horizontal="left" vertical="center"/>
    </xf>
    <xf numFmtId="0" fontId="34" fillId="0" borderId="19" xfId="0" applyFont="1" applyBorder="1" applyAlignment="1">
      <alignment horizontal="left" vertical="center"/>
    </xf>
    <xf numFmtId="0" fontId="34" fillId="0" borderId="19" xfId="0" applyFont="1" applyFill="1" applyBorder="1" applyAlignment="1">
      <alignment horizontal="left" vertical="center" wrapText="1"/>
    </xf>
    <xf numFmtId="164" fontId="34" fillId="0" borderId="18" xfId="1" applyFont="1" applyFill="1" applyBorder="1" applyAlignment="1">
      <alignment vertical="center"/>
    </xf>
    <xf numFmtId="0" fontId="34" fillId="2" borderId="0" xfId="0" applyFont="1" applyFill="1" applyBorder="1" applyAlignment="1">
      <alignment horizontal="left" vertical="center"/>
    </xf>
    <xf numFmtId="0" fontId="16" fillId="0" borderId="13" xfId="0" quotePrefix="1" applyFont="1" applyFill="1" applyBorder="1" applyAlignment="1">
      <alignment vertical="center"/>
    </xf>
    <xf numFmtId="0" fontId="16" fillId="0" borderId="13" xfId="0" applyFont="1" applyFill="1" applyBorder="1" applyAlignment="1">
      <alignment vertical="center"/>
    </xf>
    <xf numFmtId="164" fontId="38" fillId="0" borderId="14" xfId="1" applyFont="1" applyFill="1" applyBorder="1" applyAlignment="1">
      <alignment vertical="center"/>
    </xf>
    <xf numFmtId="164" fontId="16" fillId="0" borderId="15" xfId="1" applyFont="1" applyFill="1" applyBorder="1" applyAlignment="1">
      <alignment vertical="center"/>
    </xf>
    <xf numFmtId="164" fontId="38" fillId="0" borderId="16" xfId="1" applyFont="1" applyFill="1" applyBorder="1" applyAlignment="1">
      <alignment vertical="center"/>
    </xf>
    <xf numFmtId="0" fontId="34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left" vertical="center"/>
    </xf>
    <xf numFmtId="0" fontId="34" fillId="0" borderId="26" xfId="0" applyFont="1" applyFill="1" applyBorder="1" applyAlignment="1">
      <alignment horizontal="left" vertical="center"/>
    </xf>
    <xf numFmtId="4" fontId="13" fillId="2" borderId="36" xfId="0" applyNumberFormat="1" applyFont="1" applyFill="1" applyBorder="1" applyAlignment="1">
      <alignment vertical="center"/>
    </xf>
    <xf numFmtId="4" fontId="13" fillId="2" borderId="37" xfId="0" applyNumberFormat="1" applyFont="1" applyFill="1" applyBorder="1" applyAlignment="1">
      <alignment vertical="center"/>
    </xf>
    <xf numFmtId="167" fontId="5" fillId="0" borderId="0" xfId="0" applyNumberFormat="1" applyFont="1"/>
    <xf numFmtId="0" fontId="38" fillId="0" borderId="0" xfId="0" applyFont="1" applyFill="1" applyAlignment="1">
      <alignment horizontal="left"/>
    </xf>
    <xf numFmtId="164" fontId="38" fillId="0" borderId="0" xfId="1" applyFont="1" applyFill="1" applyBorder="1"/>
    <xf numFmtId="164" fontId="38" fillId="0" borderId="0" xfId="1" applyFont="1"/>
    <xf numFmtId="164" fontId="15" fillId="0" borderId="0" xfId="1" applyFont="1"/>
    <xf numFmtId="0" fontId="16" fillId="0" borderId="8" xfId="0" applyFont="1" applyBorder="1" applyAlignment="1">
      <alignment vertical="center"/>
    </xf>
    <xf numFmtId="164" fontId="34" fillId="0" borderId="9" xfId="1" applyFont="1" applyBorder="1" applyAlignment="1">
      <alignment vertical="center"/>
    </xf>
    <xf numFmtId="164" fontId="34" fillId="0" borderId="10" xfId="1" applyFont="1" applyBorder="1" applyAlignment="1">
      <alignment vertical="center"/>
    </xf>
    <xf numFmtId="39" fontId="5" fillId="0" borderId="0" xfId="0" applyNumberFormat="1" applyFont="1"/>
    <xf numFmtId="0" fontId="16" fillId="0" borderId="17" xfId="0" applyFont="1" applyBorder="1" applyAlignment="1">
      <alignment horizontal="left" vertical="center"/>
    </xf>
    <xf numFmtId="0" fontId="16" fillId="0" borderId="17" xfId="0" applyFont="1" applyBorder="1" applyAlignment="1">
      <alignment vertical="center"/>
    </xf>
    <xf numFmtId="0" fontId="16" fillId="0" borderId="12" xfId="0" quotePrefix="1" applyFont="1" applyFill="1" applyBorder="1"/>
    <xf numFmtId="0" fontId="34" fillId="0" borderId="13" xfId="0" quotePrefix="1" applyFont="1" applyFill="1" applyBorder="1"/>
    <xf numFmtId="0" fontId="34" fillId="0" borderId="13" xfId="0" applyFont="1" applyFill="1" applyBorder="1"/>
    <xf numFmtId="0" fontId="16" fillId="0" borderId="17" xfId="0" applyFont="1" applyBorder="1"/>
    <xf numFmtId="0" fontId="16" fillId="0" borderId="41" xfId="0" applyFont="1" applyBorder="1"/>
    <xf numFmtId="0" fontId="38" fillId="0" borderId="0" xfId="0" applyFont="1" applyBorder="1"/>
    <xf numFmtId="0" fontId="38" fillId="0" borderId="0" xfId="0" applyFont="1" applyFill="1" applyBorder="1" applyAlignment="1">
      <alignment horizontal="left"/>
    </xf>
    <xf numFmtId="164" fontId="38" fillId="0" borderId="9" xfId="1" applyFont="1" applyFill="1" applyBorder="1" applyAlignment="1">
      <alignment vertical="center"/>
    </xf>
    <xf numFmtId="164" fontId="38" fillId="0" borderId="21" xfId="1" applyFont="1" applyFill="1" applyBorder="1" applyAlignment="1">
      <alignment vertical="center"/>
    </xf>
    <xf numFmtId="164" fontId="27" fillId="0" borderId="0" xfId="0" applyNumberFormat="1" applyFont="1"/>
    <xf numFmtId="164" fontId="27" fillId="0" borderId="0" xfId="1" applyFont="1"/>
    <xf numFmtId="0" fontId="5" fillId="0" borderId="0" xfId="0" applyFont="1" applyAlignment="1">
      <alignment horizontal="left"/>
    </xf>
    <xf numFmtId="0" fontId="13" fillId="2" borderId="3" xfId="0" applyFont="1" applyFill="1" applyBorder="1" applyAlignment="1">
      <alignment horizontal="center" vertical="center"/>
    </xf>
    <xf numFmtId="0" fontId="13" fillId="2" borderId="4" xfId="0" quotePrefix="1" applyFont="1" applyFill="1" applyBorder="1" applyAlignment="1">
      <alignment horizontal="left" vertical="center"/>
    </xf>
    <xf numFmtId="0" fontId="34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4" fillId="0" borderId="8" xfId="0" applyFont="1" applyBorder="1" applyAlignment="1">
      <alignment vertical="center"/>
    </xf>
    <xf numFmtId="0" fontId="34" fillId="0" borderId="12" xfId="0" quotePrefix="1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34" fillId="0" borderId="17" xfId="0" applyFont="1" applyBorder="1" applyAlignment="1">
      <alignment vertical="center"/>
    </xf>
    <xf numFmtId="39" fontId="16" fillId="0" borderId="0" xfId="0" applyNumberFormat="1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34" fillId="0" borderId="0" xfId="0" applyFont="1" applyFill="1" applyAlignment="1">
      <alignment horizontal="left" vertical="center"/>
    </xf>
    <xf numFmtId="4" fontId="16" fillId="0" borderId="0" xfId="0" applyNumberFormat="1" applyFont="1" applyFill="1" applyAlignment="1">
      <alignment vertical="center"/>
    </xf>
    <xf numFmtId="4" fontId="5" fillId="0" borderId="0" xfId="0" applyNumberFormat="1" applyFont="1" applyFill="1" applyAlignment="1">
      <alignment vertical="center"/>
    </xf>
    <xf numFmtId="17" fontId="39" fillId="0" borderId="0" xfId="1" applyNumberFormat="1" applyFont="1" applyAlignment="1">
      <alignment horizontal="left" vertical="center"/>
    </xf>
    <xf numFmtId="0" fontId="38" fillId="0" borderId="0" xfId="0" applyFont="1" applyFill="1" applyBorder="1" applyAlignment="1">
      <alignment vertical="center"/>
    </xf>
    <xf numFmtId="164" fontId="8" fillId="0" borderId="0" xfId="1" applyFont="1" applyFill="1" applyBorder="1" applyAlignment="1" applyProtection="1">
      <alignment horizontal="center" vertical="center"/>
    </xf>
    <xf numFmtId="164" fontId="8" fillId="0" borderId="0" xfId="1" applyFont="1" applyFill="1" applyBorder="1" applyAlignment="1" applyProtection="1">
      <alignment horizontal="center" vertical="center" wrapText="1"/>
    </xf>
    <xf numFmtId="0" fontId="16" fillId="0" borderId="0" xfId="0" applyFont="1" applyBorder="1" applyAlignment="1">
      <alignment vertical="center"/>
    </xf>
    <xf numFmtId="0" fontId="8" fillId="2" borderId="1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 wrapText="1"/>
    </xf>
    <xf numFmtId="164" fontId="8" fillId="2" borderId="2" xfId="1" applyFont="1" applyFill="1" applyBorder="1" applyAlignment="1">
      <alignment horizontal="center" vertical="center" wrapText="1"/>
    </xf>
    <xf numFmtId="164" fontId="8" fillId="2" borderId="47" xfId="1" applyFont="1" applyFill="1" applyBorder="1" applyAlignment="1">
      <alignment horizontal="center" vertical="center" wrapText="1"/>
    </xf>
    <xf numFmtId="164" fontId="8" fillId="2" borderId="52" xfId="1" applyFont="1" applyFill="1" applyBorder="1" applyAlignment="1">
      <alignment horizontal="center" vertical="center" wrapText="1"/>
    </xf>
    <xf numFmtId="0" fontId="0" fillId="0" borderId="53" xfId="0" applyBorder="1" applyAlignment="1"/>
    <xf numFmtId="0" fontId="0" fillId="0" borderId="0" xfId="0" applyAlignment="1"/>
    <xf numFmtId="0" fontId="20" fillId="2" borderId="2" xfId="0" applyNumberFormat="1" applyFont="1" applyFill="1" applyBorder="1" applyAlignment="1" applyProtection="1">
      <alignment vertical="center"/>
    </xf>
    <xf numFmtId="0" fontId="15" fillId="0" borderId="2" xfId="0" applyFont="1" applyFill="1" applyBorder="1" applyAlignment="1">
      <alignment vertical="center" wrapText="1"/>
    </xf>
    <xf numFmtId="168" fontId="15" fillId="0" borderId="2" xfId="0" applyNumberFormat="1" applyFont="1" applyFill="1" applyBorder="1" applyAlignment="1">
      <alignment horizontal="center" vertical="center"/>
    </xf>
    <xf numFmtId="164" fontId="41" fillId="0" borderId="28" xfId="4" applyFont="1" applyFill="1" applyBorder="1" applyAlignment="1">
      <alignment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vertical="center" wrapText="1"/>
    </xf>
    <xf numFmtId="15" fontId="15" fillId="0" borderId="0" xfId="0" applyNumberFormat="1" applyFont="1" applyAlignment="1">
      <alignment horizontal="right" vertical="center"/>
    </xf>
    <xf numFmtId="164" fontId="15" fillId="0" borderId="0" xfId="1" applyFont="1" applyFill="1" applyBorder="1" applyAlignment="1">
      <alignment vertical="center"/>
    </xf>
    <xf numFmtId="0" fontId="57" fillId="0" borderId="0" xfId="0" applyFont="1" applyAlignment="1">
      <alignment vertical="center"/>
    </xf>
    <xf numFmtId="164" fontId="11" fillId="2" borderId="52" xfId="1" applyFont="1" applyFill="1" applyBorder="1" applyAlignment="1">
      <alignment vertical="center"/>
    </xf>
    <xf numFmtId="0" fontId="15" fillId="0" borderId="30" xfId="0" applyFont="1" applyFill="1" applyBorder="1" applyAlignment="1">
      <alignment vertical="center" wrapText="1"/>
    </xf>
    <xf numFmtId="0" fontId="16" fillId="0" borderId="53" xfId="0" applyFont="1" applyBorder="1" applyAlignment="1">
      <alignment wrapText="1"/>
    </xf>
    <xf numFmtId="0" fontId="20" fillId="0" borderId="0" xfId="0" applyFont="1" applyFill="1" applyAlignment="1">
      <alignment horizontal="center" vertical="center"/>
    </xf>
    <xf numFmtId="0" fontId="50" fillId="0" borderId="0" xfId="0" applyFont="1" applyFill="1" applyAlignment="1">
      <alignment vertical="center"/>
    </xf>
    <xf numFmtId="0" fontId="38" fillId="0" borderId="0" xfId="0" applyFont="1" applyBorder="1" applyAlignment="1">
      <alignment vertical="center"/>
    </xf>
    <xf numFmtId="0" fontId="38" fillId="0" borderId="0" xfId="0" applyFont="1" applyBorder="1" applyAlignment="1">
      <alignment horizontal="left" vertical="center" wrapText="1"/>
    </xf>
    <xf numFmtId="0" fontId="57" fillId="0" borderId="0" xfId="0" applyFont="1" applyFill="1" applyBorder="1" applyAlignment="1">
      <alignment vertical="center"/>
    </xf>
    <xf numFmtId="164" fontId="50" fillId="0" borderId="0" xfId="0" applyNumberFormat="1" applyFont="1" applyFill="1" applyAlignment="1">
      <alignment vertical="center"/>
    </xf>
    <xf numFmtId="49" fontId="15" fillId="0" borderId="0" xfId="0" applyNumberFormat="1" applyFont="1" applyFill="1" applyBorder="1" applyAlignment="1">
      <alignment horizontal="center" vertical="center"/>
    </xf>
    <xf numFmtId="169" fontId="20" fillId="0" borderId="0" xfId="10" applyNumberFormat="1" applyFont="1" applyFill="1" applyAlignment="1">
      <alignment horizontal="center" vertical="center"/>
    </xf>
    <xf numFmtId="0" fontId="20" fillId="0" borderId="0" xfId="0" applyFont="1" applyFill="1" applyAlignment="1">
      <alignment horizontal="left" vertical="center"/>
    </xf>
    <xf numFmtId="0" fontId="49" fillId="0" borderId="0" xfId="5" applyNumberFormat="1" applyFont="1" applyFill="1" applyBorder="1" applyAlignment="1" applyProtection="1">
      <alignment horizontal="center" vertical="center"/>
    </xf>
    <xf numFmtId="0" fontId="15" fillId="0" borderId="0" xfId="0" applyFont="1" applyFill="1" applyAlignment="1">
      <alignment horizontal="left"/>
    </xf>
    <xf numFmtId="0" fontId="27" fillId="0" borderId="0" xfId="0" applyFont="1" applyAlignment="1">
      <alignment vertical="center"/>
    </xf>
    <xf numFmtId="0" fontId="38" fillId="0" borderId="8" xfId="0" applyFont="1" applyFill="1" applyBorder="1" applyAlignment="1">
      <alignment vertical="center"/>
    </xf>
    <xf numFmtId="164" fontId="5" fillId="0" borderId="0" xfId="1" applyFont="1" applyFill="1"/>
    <xf numFmtId="164" fontId="5" fillId="0" borderId="0" xfId="11" applyFont="1" applyFill="1"/>
    <xf numFmtId="164" fontId="34" fillId="0" borderId="14" xfId="1" applyFont="1" applyFill="1" applyBorder="1" applyAlignment="1">
      <alignment horizontal="center" vertical="center"/>
    </xf>
    <xf numFmtId="164" fontId="27" fillId="0" borderId="0" xfId="11" applyFont="1" applyFill="1" applyAlignment="1">
      <alignment horizontal="center" vertical="center"/>
    </xf>
    <xf numFmtId="0" fontId="38" fillId="0" borderId="17" xfId="0" applyFont="1" applyFill="1" applyBorder="1" applyAlignment="1">
      <alignment vertical="center"/>
    </xf>
    <xf numFmtId="4" fontId="5" fillId="0" borderId="0" xfId="0" applyNumberFormat="1" applyFont="1" applyFill="1"/>
    <xf numFmtId="164" fontId="5" fillId="0" borderId="0" xfId="0" applyNumberFormat="1" applyFont="1" applyFill="1"/>
    <xf numFmtId="0" fontId="34" fillId="0" borderId="0" xfId="0" quotePrefix="1" applyFont="1" applyFill="1" applyBorder="1" applyAlignment="1">
      <alignment horizontal="left" vertical="center"/>
    </xf>
    <xf numFmtId="0" fontId="34" fillId="0" borderId="26" xfId="0" quotePrefix="1" applyFont="1" applyFill="1" applyBorder="1" applyAlignment="1">
      <alignment horizontal="left" vertical="center"/>
    </xf>
    <xf numFmtId="164" fontId="16" fillId="0" borderId="17" xfId="11" applyNumberFormat="1" applyFont="1" applyFill="1" applyBorder="1" applyAlignment="1">
      <alignment horizontal="center" vertical="center"/>
    </xf>
    <xf numFmtId="164" fontId="34" fillId="0" borderId="0" xfId="11" applyNumberFormat="1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left" vertical="center"/>
    </xf>
    <xf numFmtId="0" fontId="34" fillId="0" borderId="19" xfId="0" quotePrefix="1" applyFont="1" applyFill="1" applyBorder="1" applyAlignment="1">
      <alignment horizontal="left" vertical="center"/>
    </xf>
    <xf numFmtId="0" fontId="38" fillId="0" borderId="17" xfId="0" quotePrefix="1" applyFont="1" applyFill="1" applyBorder="1" applyAlignment="1">
      <alignment vertical="center"/>
    </xf>
    <xf numFmtId="164" fontId="27" fillId="0" borderId="0" xfId="11" applyFont="1" applyFill="1"/>
    <xf numFmtId="164" fontId="5" fillId="0" borderId="0" xfId="1" applyFont="1"/>
    <xf numFmtId="164" fontId="37" fillId="0" borderId="0" xfId="11" applyFont="1" applyFill="1"/>
    <xf numFmtId="0" fontId="37" fillId="0" borderId="0" xfId="0" applyFont="1" applyFill="1"/>
    <xf numFmtId="0" fontId="38" fillId="0" borderId="0" xfId="0" applyFont="1" applyBorder="1" applyAlignment="1">
      <alignment horizontal="left"/>
    </xf>
    <xf numFmtId="164" fontId="38" fillId="0" borderId="11" xfId="1" applyFont="1" applyFill="1" applyBorder="1" applyAlignment="1">
      <alignment vertical="center"/>
    </xf>
    <xf numFmtId="0" fontId="38" fillId="0" borderId="0" xfId="0" applyFont="1" applyFill="1" applyAlignment="1">
      <alignment horizontal="left" vertical="center"/>
    </xf>
    <xf numFmtId="164" fontId="16" fillId="0" borderId="0" xfId="1" applyFont="1" applyFill="1" applyAlignment="1">
      <alignment vertical="center"/>
    </xf>
    <xf numFmtId="164" fontId="8" fillId="0" borderId="0" xfId="1" applyFont="1" applyFill="1" applyBorder="1" applyAlignment="1">
      <alignment vertical="center"/>
    </xf>
    <xf numFmtId="164" fontId="12" fillId="0" borderId="0" xfId="1" applyFont="1" applyFill="1" applyBorder="1" applyAlignment="1">
      <alignment vertical="center"/>
    </xf>
    <xf numFmtId="4" fontId="34" fillId="0" borderId="0" xfId="0" applyNumberFormat="1" applyFont="1" applyFill="1" applyAlignment="1">
      <alignment vertical="center"/>
    </xf>
    <xf numFmtId="164" fontId="5" fillId="0" borderId="0" xfId="0" applyNumberFormat="1" applyFont="1"/>
    <xf numFmtId="39" fontId="15" fillId="0" borderId="0" xfId="1" applyNumberFormat="1" applyFont="1" applyFill="1" applyBorder="1" applyAlignment="1">
      <alignment vertical="center"/>
    </xf>
    <xf numFmtId="0" fontId="15" fillId="0" borderId="0" xfId="0" applyNumberFormat="1" applyFont="1" applyFill="1" applyBorder="1" applyAlignment="1" applyProtection="1">
      <alignment horizontal="left" wrapText="1"/>
    </xf>
    <xf numFmtId="15" fontId="15" fillId="0" borderId="0" xfId="0" applyNumberFormat="1" applyFont="1"/>
    <xf numFmtId="0" fontId="15" fillId="0" borderId="0" xfId="0" applyFont="1" applyAlignment="1">
      <alignment wrapText="1"/>
    </xf>
    <xf numFmtId="1" fontId="15" fillId="0" borderId="0" xfId="0" applyNumberFormat="1" applyFont="1"/>
    <xf numFmtId="17" fontId="15" fillId="0" borderId="0" xfId="0" applyNumberFormat="1" applyFont="1"/>
    <xf numFmtId="0" fontId="16" fillId="0" borderId="0" xfId="0" applyFont="1" applyFill="1" applyAlignment="1">
      <alignment horizontal="left"/>
    </xf>
    <xf numFmtId="164" fontId="28" fillId="0" borderId="0" xfId="1" applyFont="1" applyAlignment="1">
      <alignment horizontal="left" vertical="center"/>
    </xf>
    <xf numFmtId="164" fontId="6" fillId="0" borderId="0" xfId="1" applyFont="1" applyAlignment="1">
      <alignment horizontal="center"/>
    </xf>
    <xf numFmtId="164" fontId="34" fillId="0" borderId="10" xfId="1" applyFont="1" applyFill="1" applyBorder="1" applyAlignment="1">
      <alignment horizontal="center" vertical="center"/>
    </xf>
    <xf numFmtId="164" fontId="34" fillId="0" borderId="9" xfId="1" applyFont="1" applyFill="1" applyBorder="1" applyAlignment="1">
      <alignment horizontal="center" vertical="center"/>
    </xf>
    <xf numFmtId="164" fontId="38" fillId="0" borderId="0" xfId="1" applyFont="1" applyFill="1" applyBorder="1" applyAlignment="1" applyProtection="1">
      <alignment vertical="center"/>
    </xf>
    <xf numFmtId="164" fontId="8" fillId="0" borderId="0" xfId="0" applyNumberFormat="1" applyFont="1"/>
    <xf numFmtId="164" fontId="27" fillId="0" borderId="0" xfId="1" applyFont="1" applyFill="1"/>
    <xf numFmtId="0" fontId="5" fillId="0" borderId="0" xfId="0" applyFont="1" applyAlignment="1">
      <alignment wrapText="1"/>
    </xf>
    <xf numFmtId="0" fontId="49" fillId="0" borderId="0" xfId="5" applyNumberFormat="1" applyFont="1" applyFill="1" applyBorder="1" applyAlignment="1" applyProtection="1">
      <alignment horizontal="left" vertical="center"/>
    </xf>
    <xf numFmtId="164" fontId="51" fillId="0" borderId="0" xfId="11" applyFont="1" applyFill="1" applyBorder="1" applyAlignment="1" applyProtection="1">
      <alignment vertical="center" wrapText="1"/>
    </xf>
    <xf numFmtId="164" fontId="43" fillId="0" borderId="0" xfId="11" applyFont="1" applyFill="1" applyBorder="1" applyAlignment="1" applyProtection="1">
      <alignment horizontal="center" vertical="center" wrapText="1"/>
    </xf>
    <xf numFmtId="164" fontId="51" fillId="0" borderId="0" xfId="11" applyFont="1" applyFill="1" applyBorder="1" applyAlignment="1" applyProtection="1">
      <alignment horizontal="left" vertical="center" wrapText="1"/>
    </xf>
    <xf numFmtId="164" fontId="58" fillId="0" borderId="0" xfId="11" applyFont="1" applyFill="1" applyBorder="1" applyAlignment="1" applyProtection="1">
      <alignment horizontal="right" vertical="center" wrapText="1"/>
    </xf>
    <xf numFmtId="164" fontId="36" fillId="0" borderId="0" xfId="11" applyFont="1" applyFill="1" applyBorder="1" applyAlignment="1" applyProtection="1">
      <alignment vertical="center" wrapText="1"/>
    </xf>
    <xf numFmtId="164" fontId="48" fillId="0" borderId="0" xfId="11" quotePrefix="1" applyFont="1" applyFill="1" applyBorder="1" applyAlignment="1" applyProtection="1">
      <alignment vertical="center" wrapText="1"/>
    </xf>
    <xf numFmtId="170" fontId="39" fillId="0" borderId="0" xfId="11" applyNumberFormat="1" applyFont="1" applyFill="1" applyAlignment="1">
      <alignment horizontal="center" vertical="center" wrapText="1"/>
    </xf>
    <xf numFmtId="164" fontId="58" fillId="0" borderId="0" xfId="11" quotePrefix="1" applyFont="1" applyFill="1" applyBorder="1" applyAlignment="1" applyProtection="1">
      <alignment horizontal="right" vertical="center" wrapText="1"/>
    </xf>
    <xf numFmtId="164" fontId="14" fillId="0" borderId="0" xfId="1" quotePrefix="1" applyFont="1" applyFill="1" applyBorder="1" applyAlignment="1" applyProtection="1">
      <alignment horizontal="left" vertical="center" wrapText="1"/>
    </xf>
    <xf numFmtId="164" fontId="14" fillId="0" borderId="0" xfId="1" quotePrefix="1" applyFont="1" applyFill="1" applyBorder="1" applyAlignment="1" applyProtection="1">
      <alignment horizontal="right" vertical="center" wrapText="1"/>
    </xf>
    <xf numFmtId="164" fontId="15" fillId="0" borderId="0" xfId="1" applyFont="1" applyFill="1"/>
    <xf numFmtId="0" fontId="16" fillId="0" borderId="0" xfId="0" applyFont="1" applyFill="1" applyAlignment="1">
      <alignment wrapText="1"/>
    </xf>
    <xf numFmtId="0" fontId="15" fillId="0" borderId="0" xfId="0" applyFont="1" applyFill="1"/>
    <xf numFmtId="0" fontId="15" fillId="0" borderId="0" xfId="0" applyFont="1" applyFill="1" applyAlignment="1">
      <alignment wrapText="1"/>
    </xf>
    <xf numFmtId="0" fontId="14" fillId="0" borderId="1" xfId="0" applyFont="1" applyFill="1" applyBorder="1"/>
    <xf numFmtId="0" fontId="14" fillId="0" borderId="2" xfId="0" applyFont="1" applyFill="1" applyBorder="1" applyAlignment="1"/>
    <xf numFmtId="0" fontId="41" fillId="0" borderId="58" xfId="0" applyFont="1" applyFill="1" applyBorder="1" applyAlignment="1">
      <alignment horizontal="left" vertical="center"/>
    </xf>
    <xf numFmtId="0" fontId="41" fillId="0" borderId="26" xfId="0" applyFont="1" applyFill="1" applyBorder="1" applyAlignment="1">
      <alignment vertical="center" wrapText="1"/>
    </xf>
    <xf numFmtId="15" fontId="41" fillId="0" borderId="26" xfId="0" applyNumberFormat="1" applyFont="1" applyBorder="1" applyAlignment="1">
      <alignment horizontal="right" vertical="center"/>
    </xf>
    <xf numFmtId="15" fontId="15" fillId="0" borderId="53" xfId="0" applyNumberFormat="1" applyFont="1" applyBorder="1" applyAlignment="1">
      <alignment horizontal="right" vertical="center"/>
    </xf>
    <xf numFmtId="164" fontId="15" fillId="0" borderId="32" xfId="1" applyFont="1" applyFill="1" applyBorder="1" applyAlignment="1">
      <alignment vertical="center"/>
    </xf>
    <xf numFmtId="15" fontId="42" fillId="0" borderId="0" xfId="3" applyNumberFormat="1" applyFont="1" applyFill="1" applyAlignment="1">
      <alignment vertical="center"/>
    </xf>
    <xf numFmtId="0" fontId="41" fillId="0" borderId="0" xfId="250" applyNumberFormat="1" applyFont="1" applyFill="1" applyBorder="1" applyAlignment="1" applyProtection="1">
      <alignment vertical="center"/>
    </xf>
    <xf numFmtId="0" fontId="41" fillId="0" borderId="0" xfId="250" applyNumberFormat="1" applyFont="1" applyFill="1" applyBorder="1" applyAlignment="1" applyProtection="1">
      <alignment vertical="top"/>
    </xf>
    <xf numFmtId="0" fontId="41" fillId="0" borderId="0" xfId="250" applyNumberFormat="1" applyFont="1" applyFill="1" applyBorder="1" applyAlignment="1" applyProtection="1">
      <alignment horizontal="center" vertical="center"/>
    </xf>
    <xf numFmtId="0" fontId="41" fillId="0" borderId="0" xfId="250" applyNumberFormat="1" applyFont="1" applyFill="1" applyBorder="1" applyAlignment="1" applyProtection="1">
      <alignment horizontal="center"/>
    </xf>
    <xf numFmtId="0" fontId="41" fillId="0" borderId="0" xfId="250" applyNumberFormat="1" applyFont="1" applyFill="1" applyBorder="1" applyAlignment="1" applyProtection="1">
      <alignment vertical="top" wrapText="1"/>
    </xf>
    <xf numFmtId="172" fontId="42" fillId="0" borderId="0" xfId="214" applyNumberFormat="1" applyFont="1" applyFill="1" applyBorder="1" applyAlignment="1">
      <alignment horizontal="center" vertical="top"/>
    </xf>
    <xf numFmtId="43" fontId="41" fillId="0" borderId="0" xfId="1" applyNumberFormat="1" applyFont="1" applyFill="1" applyBorder="1" applyAlignment="1" applyProtection="1">
      <alignment vertical="top"/>
    </xf>
    <xf numFmtId="0" fontId="49" fillId="0" borderId="0" xfId="250" applyNumberFormat="1" applyFont="1" applyFill="1" applyBorder="1" applyAlignment="1" applyProtection="1">
      <alignment vertical="top"/>
    </xf>
    <xf numFmtId="43" fontId="41" fillId="0" borderId="0" xfId="7" applyFont="1">
      <alignment vertical="top"/>
    </xf>
    <xf numFmtId="0" fontId="15" fillId="0" borderId="0" xfId="8" applyFont="1"/>
    <xf numFmtId="1" fontId="15" fillId="0" borderId="0" xfId="8" applyNumberFormat="1" applyFont="1" applyFill="1" applyBorder="1" applyAlignment="1" applyProtection="1"/>
    <xf numFmtId="0" fontId="15" fillId="0" borderId="0" xfId="8" applyNumberFormat="1" applyFont="1" applyFill="1" applyBorder="1" applyAlignment="1" applyProtection="1"/>
    <xf numFmtId="0" fontId="15" fillId="0" borderId="0" xfId="8" applyNumberFormat="1" applyFont="1" applyFill="1" applyBorder="1" applyAlignment="1" applyProtection="1">
      <alignment horizontal="left"/>
    </xf>
    <xf numFmtId="17" fontId="41" fillId="0" borderId="0" xfId="0" applyNumberFormat="1" applyFont="1" applyAlignment="1">
      <alignment vertical="top"/>
    </xf>
    <xf numFmtId="15" fontId="41" fillId="0" borderId="0" xfId="0" applyNumberFormat="1" applyFont="1" applyAlignment="1">
      <alignment vertical="top"/>
    </xf>
    <xf numFmtId="0" fontId="5" fillId="0" borderId="0" xfId="8" applyNumberFormat="1" applyFont="1" applyFill="1" applyBorder="1" applyAlignment="1" applyProtection="1"/>
    <xf numFmtId="0" fontId="82" fillId="0" borderId="0" xfId="8" applyFont="1"/>
    <xf numFmtId="0" fontId="52" fillId="0" borderId="0" xfId="8"/>
    <xf numFmtId="0" fontId="41" fillId="0" borderId="0" xfId="250" applyNumberFormat="1" applyFont="1" applyFill="1" applyBorder="1" applyAlignment="1" applyProtection="1">
      <alignment horizontal="center" vertical="top"/>
    </xf>
    <xf numFmtId="17" fontId="41" fillId="0" borderId="0" xfId="17" applyNumberFormat="1" applyFont="1">
      <alignment vertical="top"/>
    </xf>
    <xf numFmtId="15" fontId="41" fillId="0" borderId="0" xfId="17" applyNumberFormat="1" applyFont="1">
      <alignment vertical="top"/>
    </xf>
    <xf numFmtId="0" fontId="38" fillId="0" borderId="59" xfId="0" applyFont="1" applyFill="1" applyBorder="1" applyAlignment="1">
      <alignment vertical="center"/>
    </xf>
    <xf numFmtId="0" fontId="34" fillId="0" borderId="2" xfId="0" applyFont="1" applyFill="1" applyBorder="1" applyAlignment="1">
      <alignment horizontal="left" vertical="center"/>
    </xf>
    <xf numFmtId="0" fontId="34" fillId="0" borderId="2" xfId="0" applyFont="1" applyFill="1" applyBorder="1" applyAlignment="1">
      <alignment horizontal="left" vertical="center" wrapText="1"/>
    </xf>
    <xf numFmtId="164" fontId="34" fillId="0" borderId="47" xfId="1" applyFont="1" applyFill="1" applyBorder="1" applyAlignment="1" applyProtection="1">
      <alignment vertical="center"/>
    </xf>
    <xf numFmtId="164" fontId="34" fillId="0" borderId="70" xfId="1" applyFont="1" applyFill="1" applyBorder="1" applyAlignment="1">
      <alignment vertical="center"/>
    </xf>
    <xf numFmtId="0" fontId="84" fillId="0" borderId="8" xfId="3" applyFont="1" applyFill="1" applyBorder="1" applyAlignment="1">
      <alignment horizontal="right" vertical="center"/>
    </xf>
    <xf numFmtId="0" fontId="84" fillId="0" borderId="0" xfId="3" applyFont="1" applyFill="1" applyBorder="1" applyAlignment="1">
      <alignment horizontal="left" vertical="center"/>
    </xf>
    <xf numFmtId="0" fontId="83" fillId="0" borderId="0" xfId="3" applyFont="1" applyFill="1" applyAlignment="1">
      <alignment vertical="center"/>
    </xf>
    <xf numFmtId="0" fontId="84" fillId="0" borderId="12" xfId="3" quotePrefix="1" applyFont="1" applyFill="1" applyBorder="1" applyAlignment="1">
      <alignment vertical="center"/>
    </xf>
    <xf numFmtId="0" fontId="84" fillId="0" borderId="13" xfId="3" quotePrefix="1" applyFont="1" applyFill="1" applyBorder="1" applyAlignment="1">
      <alignment vertical="center"/>
    </xf>
    <xf numFmtId="0" fontId="84" fillId="0" borderId="17" xfId="3" applyFont="1" applyFill="1" applyBorder="1" applyAlignment="1">
      <alignment horizontal="left" vertical="center"/>
    </xf>
    <xf numFmtId="0" fontId="84" fillId="0" borderId="17" xfId="3" applyFont="1" applyFill="1" applyBorder="1" applyAlignment="1">
      <alignment vertical="center"/>
    </xf>
    <xf numFmtId="0" fontId="84" fillId="0" borderId="19" xfId="3" applyFont="1" applyFill="1" applyBorder="1" applyAlignment="1">
      <alignment horizontal="left" vertical="center"/>
    </xf>
    <xf numFmtId="0" fontId="84" fillId="0" borderId="8" xfId="3" applyFont="1" applyFill="1" applyBorder="1" applyAlignment="1">
      <alignment vertical="center"/>
    </xf>
    <xf numFmtId="0" fontId="62" fillId="0" borderId="17" xfId="0" applyFont="1" applyFill="1" applyBorder="1" applyAlignment="1">
      <alignment vertical="center"/>
    </xf>
    <xf numFmtId="0" fontId="84" fillId="0" borderId="0" xfId="0" applyFont="1" applyFill="1" applyBorder="1" applyAlignment="1">
      <alignment horizontal="left" vertical="center"/>
    </xf>
    <xf numFmtId="0" fontId="53" fillId="0" borderId="12" xfId="0" quotePrefix="1" applyFont="1" applyFill="1" applyBorder="1" applyAlignment="1">
      <alignment vertical="center"/>
    </xf>
    <xf numFmtId="0" fontId="84" fillId="0" borderId="13" xfId="0" quotePrefix="1" applyFont="1" applyFill="1" applyBorder="1" applyAlignment="1">
      <alignment vertical="center"/>
    </xf>
    <xf numFmtId="164" fontId="85" fillId="0" borderId="0" xfId="11" applyFont="1" applyFill="1" applyAlignment="1">
      <alignment horizontal="left" vertical="center"/>
    </xf>
    <xf numFmtId="164" fontId="85" fillId="0" borderId="0" xfId="11" applyFont="1" applyFill="1" applyAlignment="1">
      <alignment horizontal="center" vertical="center"/>
    </xf>
    <xf numFmtId="0" fontId="84" fillId="0" borderId="20" xfId="3" quotePrefix="1" applyFont="1" applyFill="1" applyBorder="1" applyAlignment="1">
      <alignment horizontal="left" vertical="center"/>
    </xf>
    <xf numFmtId="0" fontId="84" fillId="0" borderId="34" xfId="3" applyFont="1" applyFill="1" applyBorder="1" applyAlignment="1">
      <alignment horizontal="left" vertical="center"/>
    </xf>
    <xf numFmtId="0" fontId="53" fillId="0" borderId="12" xfId="3" quotePrefix="1" applyFont="1" applyFill="1" applyBorder="1" applyAlignment="1">
      <alignment vertical="center"/>
    </xf>
    <xf numFmtId="0" fontId="83" fillId="0" borderId="0" xfId="0" applyFont="1" applyFill="1" applyAlignment="1">
      <alignment vertical="center"/>
    </xf>
    <xf numFmtId="164" fontId="83" fillId="0" borderId="0" xfId="11" applyFont="1" applyFill="1" applyAlignment="1">
      <alignment vertical="center"/>
    </xf>
    <xf numFmtId="4" fontId="86" fillId="0" borderId="36" xfId="3" applyNumberFormat="1" applyFont="1" applyFill="1" applyBorder="1" applyAlignment="1">
      <alignment vertical="center"/>
    </xf>
    <xf numFmtId="4" fontId="86" fillId="0" borderId="37" xfId="3" applyNumberFormat="1" applyFont="1" applyFill="1" applyBorder="1" applyAlignment="1">
      <alignment vertical="center"/>
    </xf>
    <xf numFmtId="0" fontId="86" fillId="0" borderId="3" xfId="3" applyFont="1" applyFill="1" applyBorder="1" applyAlignment="1">
      <alignment horizontal="center" vertical="center"/>
    </xf>
    <xf numFmtId="0" fontId="86" fillId="0" borderId="4" xfId="3" quotePrefix="1" applyFont="1" applyFill="1" applyBorder="1" applyAlignment="1">
      <alignment horizontal="left" vertical="center"/>
    </xf>
    <xf numFmtId="0" fontId="84" fillId="0" borderId="41" xfId="3" applyFont="1" applyFill="1" applyBorder="1" applyAlignment="1">
      <alignment vertical="center"/>
    </xf>
    <xf numFmtId="0" fontId="83" fillId="0" borderId="0" xfId="3" applyFont="1" applyFill="1" applyAlignment="1">
      <alignment horizontal="left" vertical="center"/>
    </xf>
    <xf numFmtId="164" fontId="85" fillId="0" borderId="0" xfId="1" applyFont="1" applyFill="1" applyAlignment="1">
      <alignment vertical="center"/>
    </xf>
    <xf numFmtId="4" fontId="88" fillId="0" borderId="0" xfId="0" applyNumberFormat="1" applyFont="1" applyFill="1" applyAlignment="1">
      <alignment horizontal="center" vertical="center"/>
    </xf>
    <xf numFmtId="4" fontId="83" fillId="0" borderId="0" xfId="0" applyNumberFormat="1" applyFont="1" applyFill="1" applyAlignment="1">
      <alignment vertical="center"/>
    </xf>
    <xf numFmtId="0" fontId="88" fillId="0" borderId="0" xfId="0" applyFont="1" applyFill="1" applyAlignment="1">
      <alignment horizontal="center" vertical="center"/>
    </xf>
    <xf numFmtId="0" fontId="89" fillId="0" borderId="0" xfId="0" applyFont="1" applyFill="1" applyAlignment="1">
      <alignment horizontal="center" vertical="center"/>
    </xf>
    <xf numFmtId="0" fontId="90" fillId="0" borderId="0" xfId="0" applyFont="1" applyFill="1" applyAlignment="1">
      <alignment horizontal="center" vertical="center"/>
    </xf>
    <xf numFmtId="0" fontId="91" fillId="0" borderId="0" xfId="0" applyFont="1" applyFill="1" applyAlignment="1">
      <alignment horizontal="center" vertical="center"/>
    </xf>
    <xf numFmtId="0" fontId="63" fillId="0" borderId="0" xfId="0" applyFont="1" applyFill="1" applyAlignment="1">
      <alignment vertical="center" wrapText="1"/>
    </xf>
    <xf numFmtId="0" fontId="83" fillId="0" borderId="0" xfId="0" applyFont="1" applyFill="1" applyAlignment="1">
      <alignment horizontal="left" vertical="center"/>
    </xf>
    <xf numFmtId="14" fontId="83" fillId="0" borderId="0" xfId="0" applyNumberFormat="1" applyFont="1" applyFill="1" applyAlignment="1">
      <alignment vertical="center"/>
    </xf>
    <xf numFmtId="0" fontId="92" fillId="0" borderId="0" xfId="3" applyFont="1" applyFill="1" applyBorder="1" applyAlignment="1">
      <alignment horizontal="left" vertical="center"/>
    </xf>
    <xf numFmtId="0" fontId="16" fillId="0" borderId="0" xfId="0" applyFont="1" applyFill="1"/>
    <xf numFmtId="164" fontId="58" fillId="0" borderId="0" xfId="251" applyNumberFormat="1" applyFont="1">
      <alignment vertical="top"/>
    </xf>
    <xf numFmtId="0" fontId="15" fillId="0" borderId="35" xfId="0" applyFont="1" applyFill="1" applyBorder="1" applyAlignment="1">
      <alignment vertical="center"/>
    </xf>
    <xf numFmtId="164" fontId="30" fillId="0" borderId="0" xfId="0" applyNumberFormat="1" applyFont="1"/>
    <xf numFmtId="164" fontId="34" fillId="0" borderId="80" xfId="1" applyFont="1" applyFill="1" applyBorder="1" applyAlignment="1">
      <alignment vertical="center"/>
    </xf>
    <xf numFmtId="164" fontId="34" fillId="0" borderId="25" xfId="1" applyFont="1" applyFill="1" applyBorder="1" applyAlignment="1">
      <alignment vertical="center"/>
    </xf>
    <xf numFmtId="43" fontId="41" fillId="0" borderId="0" xfId="4" applyNumberFormat="1" applyFont="1" applyAlignment="1">
      <alignment vertical="top"/>
    </xf>
    <xf numFmtId="0" fontId="34" fillId="0" borderId="8" xfId="3" applyFont="1" applyFill="1" applyBorder="1" applyAlignment="1">
      <alignment vertical="center"/>
    </xf>
    <xf numFmtId="0" fontId="34" fillId="0" borderId="19" xfId="3" applyFont="1" applyFill="1" applyBorder="1" applyAlignment="1">
      <alignment horizontal="left" vertical="center"/>
    </xf>
    <xf numFmtId="164" fontId="34" fillId="0" borderId="47" xfId="1" applyFont="1" applyFill="1" applyBorder="1" applyAlignment="1">
      <alignment vertical="center"/>
    </xf>
    <xf numFmtId="43" fontId="50" fillId="0" borderId="0" xfId="0" applyNumberFormat="1" applyFont="1" applyFill="1" applyAlignment="1">
      <alignment vertical="center"/>
    </xf>
    <xf numFmtId="164" fontId="50" fillId="0" borderId="0" xfId="1" applyFont="1" applyFill="1" applyAlignment="1">
      <alignment vertical="center"/>
    </xf>
    <xf numFmtId="164" fontId="56" fillId="0" borderId="0" xfId="1" applyFont="1"/>
    <xf numFmtId="0" fontId="16" fillId="0" borderId="0" xfId="0" applyFont="1" applyFill="1" applyBorder="1" applyAlignment="1">
      <alignment vertical="center"/>
    </xf>
    <xf numFmtId="0" fontId="5" fillId="0" borderId="13" xfId="0" applyFont="1" applyFill="1" applyBorder="1"/>
    <xf numFmtId="0" fontId="33" fillId="0" borderId="0" xfId="0" applyFont="1" applyFill="1"/>
    <xf numFmtId="164" fontId="33" fillId="0" borderId="0" xfId="0" applyNumberFormat="1" applyFont="1" applyFill="1"/>
    <xf numFmtId="43" fontId="33" fillId="0" borderId="0" xfId="0" applyNumberFormat="1" applyFont="1" applyFill="1"/>
    <xf numFmtId="0" fontId="15" fillId="0" borderId="32" xfId="0" applyFont="1" applyFill="1" applyBorder="1" applyAlignment="1">
      <alignment vertical="center" wrapText="1"/>
    </xf>
    <xf numFmtId="164" fontId="14" fillId="0" borderId="47" xfId="1" applyFont="1" applyFill="1" applyBorder="1" applyAlignment="1" applyProtection="1">
      <alignment vertical="center" wrapText="1"/>
    </xf>
    <xf numFmtId="0" fontId="0" fillId="0" borderId="47" xfId="0" applyFill="1" applyBorder="1"/>
    <xf numFmtId="0" fontId="8" fillId="0" borderId="47" xfId="0" applyFont="1" applyFill="1" applyBorder="1" applyAlignment="1">
      <alignment horizontal="center" vertical="center" wrapText="1"/>
    </xf>
    <xf numFmtId="164" fontId="83" fillId="0" borderId="0" xfId="3" applyNumberFormat="1" applyFont="1" applyFill="1" applyAlignment="1">
      <alignment vertical="center"/>
    </xf>
    <xf numFmtId="164" fontId="111" fillId="0" borderId="0" xfId="1" applyFont="1" applyFill="1" applyAlignment="1">
      <alignment vertical="center"/>
    </xf>
    <xf numFmtId="164" fontId="112" fillId="0" borderId="0" xfId="1" applyFont="1" applyFill="1" applyAlignment="1">
      <alignment vertical="center"/>
    </xf>
    <xf numFmtId="43" fontId="83" fillId="0" borderId="0" xfId="3" applyNumberFormat="1" applyFont="1" applyFill="1" applyAlignment="1">
      <alignment vertical="center"/>
    </xf>
    <xf numFmtId="164" fontId="83" fillId="0" borderId="0" xfId="0" applyNumberFormat="1" applyFont="1" applyFill="1" applyAlignment="1">
      <alignment vertical="center"/>
    </xf>
    <xf numFmtId="0" fontId="83" fillId="0" borderId="0" xfId="5" applyNumberFormat="1" applyFont="1" applyFill="1" applyBorder="1" applyAlignment="1" applyProtection="1">
      <alignment vertical="center"/>
    </xf>
    <xf numFmtId="0" fontId="43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17" fontId="45" fillId="0" borderId="0" xfId="0" quotePrefix="1" applyNumberFormat="1" applyFont="1" applyAlignment="1">
      <alignment horizontal="center"/>
    </xf>
    <xf numFmtId="164" fontId="114" fillId="0" borderId="0" xfId="3" applyNumberFormat="1" applyFont="1" applyFill="1" applyAlignment="1">
      <alignment vertical="center"/>
    </xf>
    <xf numFmtId="164" fontId="115" fillId="0" borderId="0" xfId="11" applyFont="1" applyFill="1"/>
    <xf numFmtId="164" fontId="115" fillId="0" borderId="0" xfId="11" applyFont="1" applyFill="1" applyAlignment="1">
      <alignment horizontal="left" vertical="center"/>
    </xf>
    <xf numFmtId="164" fontId="117" fillId="0" borderId="0" xfId="11" applyFont="1" applyFill="1" applyBorder="1" applyAlignment="1" applyProtection="1">
      <alignment vertical="center"/>
    </xf>
    <xf numFmtId="0" fontId="115" fillId="0" borderId="0" xfId="0" applyFont="1" applyFill="1"/>
    <xf numFmtId="4" fontId="115" fillId="0" borderId="0" xfId="0" applyNumberFormat="1" applyFont="1" applyFill="1" applyAlignment="1">
      <alignment vertical="center"/>
    </xf>
    <xf numFmtId="0" fontId="115" fillId="0" borderId="0" xfId="0" applyFont="1" applyFill="1" applyAlignment="1">
      <alignment vertical="center"/>
    </xf>
    <xf numFmtId="164" fontId="56" fillId="0" borderId="0" xfId="11" applyFont="1" applyFill="1"/>
    <xf numFmtId="164" fontId="56" fillId="0" borderId="0" xfId="11" applyFont="1" applyFill="1" applyAlignment="1">
      <alignment horizontal="center" vertical="center"/>
    </xf>
    <xf numFmtId="0" fontId="56" fillId="0" borderId="0" xfId="0" applyFont="1" applyFill="1" applyAlignment="1">
      <alignment vertical="center"/>
    </xf>
    <xf numFmtId="0" fontId="0" fillId="0" borderId="81" xfId="0" applyBorder="1"/>
    <xf numFmtId="0" fontId="0" fillId="0" borderId="82" xfId="0" applyBorder="1"/>
    <xf numFmtId="0" fontId="0" fillId="0" borderId="83" xfId="0" applyBorder="1"/>
    <xf numFmtId="0" fontId="118" fillId="0" borderId="84" xfId="0" applyFont="1" applyBorder="1" applyAlignment="1" applyProtection="1">
      <alignment vertical="center"/>
    </xf>
    <xf numFmtId="0" fontId="0" fillId="0" borderId="85" xfId="0" applyBorder="1"/>
    <xf numFmtId="0" fontId="0" fillId="0" borderId="21" xfId="0" applyBorder="1"/>
    <xf numFmtId="0" fontId="0" fillId="0" borderId="0" xfId="0" applyBorder="1"/>
    <xf numFmtId="0" fontId="118" fillId="0" borderId="86" xfId="0" applyFont="1" applyBorder="1" applyAlignment="1" applyProtection="1">
      <alignment vertical="center"/>
    </xf>
    <xf numFmtId="0" fontId="119" fillId="0" borderId="21" xfId="0" applyFont="1" applyBorder="1" applyAlignment="1">
      <alignment horizontal="center"/>
    </xf>
    <xf numFmtId="0" fontId="0" fillId="0" borderId="86" xfId="0" applyBorder="1"/>
    <xf numFmtId="0" fontId="30" fillId="0" borderId="85" xfId="0" applyFont="1" applyBorder="1" applyAlignment="1">
      <alignment vertical="top"/>
    </xf>
    <xf numFmtId="0" fontId="120" fillId="0" borderId="21" xfId="0" applyFont="1" applyBorder="1"/>
    <xf numFmtId="0" fontId="7" fillId="0" borderId="0" xfId="0" applyFont="1" applyBorder="1" applyAlignment="1">
      <alignment horizontal="left"/>
    </xf>
    <xf numFmtId="0" fontId="121" fillId="0" borderId="85" xfId="0" applyFont="1" applyBorder="1"/>
    <xf numFmtId="0" fontId="121" fillId="0" borderId="21" xfId="0" applyFont="1" applyBorder="1"/>
    <xf numFmtId="0" fontId="122" fillId="0" borderId="0" xfId="0" applyFont="1" applyBorder="1"/>
    <xf numFmtId="0" fontId="121" fillId="0" borderId="85" xfId="0" quotePrefix="1" applyFont="1" applyBorder="1" applyAlignment="1">
      <alignment horizontal="left"/>
    </xf>
    <xf numFmtId="0" fontId="123" fillId="0" borderId="0" xfId="0" applyFont="1" applyBorder="1"/>
    <xf numFmtId="0" fontId="121" fillId="0" borderId="87" xfId="0" applyFont="1" applyBorder="1"/>
    <xf numFmtId="0" fontId="121" fillId="0" borderId="25" xfId="0" applyFont="1" applyBorder="1"/>
    <xf numFmtId="0" fontId="0" fillId="0" borderId="13" xfId="0" applyBorder="1"/>
    <xf numFmtId="0" fontId="0" fillId="0" borderId="88" xfId="0" applyBorder="1"/>
    <xf numFmtId="39" fontId="0" fillId="0" borderId="0" xfId="0" applyNumberFormat="1" applyBorder="1"/>
    <xf numFmtId="0" fontId="124" fillId="56" borderId="89" xfId="0" applyFont="1" applyFill="1" applyBorder="1"/>
    <xf numFmtId="0" fontId="124" fillId="56" borderId="22" xfId="0" applyFont="1" applyFill="1" applyBorder="1" applyAlignment="1">
      <alignment horizontal="left"/>
    </xf>
    <xf numFmtId="0" fontId="124" fillId="56" borderId="22" xfId="0" applyFont="1" applyFill="1" applyBorder="1"/>
    <xf numFmtId="0" fontId="121" fillId="56" borderId="90" xfId="0" applyFont="1" applyFill="1" applyBorder="1"/>
    <xf numFmtId="49" fontId="18" fillId="56" borderId="91" xfId="0" applyNumberFormat="1" applyFont="1" applyFill="1" applyBorder="1" applyAlignment="1">
      <alignment horizontal="center" vertical="center"/>
    </xf>
    <xf numFmtId="14" fontId="18" fillId="56" borderId="15" xfId="0" applyNumberFormat="1" applyFont="1" applyFill="1" applyBorder="1" applyAlignment="1">
      <alignment horizontal="center" vertical="center"/>
    </xf>
    <xf numFmtId="164" fontId="18" fillId="56" borderId="15" xfId="1" applyNumberFormat="1" applyFont="1" applyFill="1" applyBorder="1" applyAlignment="1">
      <alignment horizontal="center" vertical="center"/>
    </xf>
    <xf numFmtId="14" fontId="119" fillId="56" borderId="92" xfId="0" applyNumberFormat="1" applyFont="1" applyFill="1" applyBorder="1" applyAlignment="1">
      <alignment horizontal="left" vertical="center" wrapText="1"/>
    </xf>
    <xf numFmtId="0" fontId="0" fillId="0" borderId="93" xfId="0" applyBorder="1"/>
    <xf numFmtId="0" fontId="0" fillId="0" borderId="19" xfId="0" applyBorder="1"/>
    <xf numFmtId="39" fontId="0" fillId="0" borderId="19" xfId="0" applyNumberFormat="1" applyBorder="1"/>
    <xf numFmtId="0" fontId="0" fillId="0" borderId="94" xfId="0" applyBorder="1"/>
    <xf numFmtId="0" fontId="38" fillId="0" borderId="85" xfId="0" applyFont="1" applyBorder="1"/>
    <xf numFmtId="0" fontId="119" fillId="0" borderId="0" xfId="0" applyFont="1" applyBorder="1"/>
    <xf numFmtId="0" fontId="119" fillId="0" borderId="86" xfId="0" applyFont="1" applyBorder="1"/>
    <xf numFmtId="0" fontId="119" fillId="0" borderId="85" xfId="0" applyFont="1" applyBorder="1"/>
    <xf numFmtId="0" fontId="121" fillId="0" borderId="86" xfId="0" quotePrefix="1" applyFont="1" applyBorder="1" applyAlignment="1">
      <alignment horizontal="left"/>
    </xf>
    <xf numFmtId="0" fontId="121" fillId="0" borderId="86" xfId="0" applyFont="1" applyBorder="1"/>
    <xf numFmtId="0" fontId="119" fillId="57" borderId="95" xfId="0" applyFont="1" applyFill="1" applyBorder="1" applyAlignment="1">
      <alignment vertical="center"/>
    </xf>
    <xf numFmtId="0" fontId="38" fillId="0" borderId="93" xfId="0" applyFont="1" applyBorder="1"/>
    <xf numFmtId="0" fontId="127" fillId="0" borderId="85" xfId="0" applyFont="1" applyBorder="1"/>
    <xf numFmtId="0" fontId="128" fillId="0" borderId="0" xfId="0" applyFont="1" applyBorder="1"/>
    <xf numFmtId="164" fontId="129" fillId="0" borderId="85" xfId="1" applyFont="1" applyBorder="1"/>
    <xf numFmtId="0" fontId="120" fillId="0" borderId="85" xfId="0" applyFont="1" applyBorder="1"/>
    <xf numFmtId="0" fontId="0" fillId="0" borderId="87" xfId="0" applyBorder="1"/>
    <xf numFmtId="164" fontId="0" fillId="0" borderId="13" xfId="0" applyNumberFormat="1" applyBorder="1"/>
    <xf numFmtId="0" fontId="0" fillId="0" borderId="97" xfId="0" applyBorder="1"/>
    <xf numFmtId="0" fontId="0" fillId="0" borderId="98" xfId="0" applyBorder="1"/>
    <xf numFmtId="0" fontId="0" fillId="0" borderId="99" xfId="0" applyBorder="1"/>
    <xf numFmtId="0" fontId="121" fillId="0" borderId="35" xfId="0" applyFont="1" applyBorder="1"/>
    <xf numFmtId="0" fontId="131" fillId="0" borderId="85" xfId="0" applyFont="1" applyBorder="1"/>
    <xf numFmtId="0" fontId="132" fillId="0" borderId="35" xfId="0" applyFont="1" applyBorder="1"/>
    <xf numFmtId="0" fontId="130" fillId="0" borderId="85" xfId="0" applyFont="1" applyBorder="1"/>
    <xf numFmtId="0" fontId="0" fillId="0" borderId="0" xfId="0" quotePrefix="1" applyBorder="1"/>
    <xf numFmtId="0" fontId="130" fillId="0" borderId="85" xfId="0" quotePrefix="1" applyFont="1" applyBorder="1" applyAlignment="1">
      <alignment horizontal="left"/>
    </xf>
    <xf numFmtId="0" fontId="0" fillId="0" borderId="100" xfId="0" applyBorder="1"/>
    <xf numFmtId="0" fontId="0" fillId="0" borderId="101" xfId="0" applyBorder="1"/>
    <xf numFmtId="0" fontId="8" fillId="0" borderId="0" xfId="0" applyFont="1" applyBorder="1"/>
    <xf numFmtId="0" fontId="8" fillId="0" borderId="0" xfId="0" applyFont="1" applyBorder="1" applyAlignment="1">
      <alignment horizontal="left"/>
    </xf>
    <xf numFmtId="0" fontId="8" fillId="0" borderId="0" xfId="0" quotePrefix="1" applyFont="1" applyBorder="1" applyAlignment="1">
      <alignment horizontal="left"/>
    </xf>
    <xf numFmtId="0" fontId="130" fillId="0" borderId="85" xfId="0" applyFont="1" applyBorder="1" applyAlignment="1">
      <alignment horizontal="left"/>
    </xf>
    <xf numFmtId="0" fontId="133" fillId="0" borderId="0" xfId="0" applyFont="1" applyBorder="1"/>
    <xf numFmtId="0" fontId="130" fillId="0" borderId="102" xfId="0" quotePrefix="1" applyFont="1" applyBorder="1" applyAlignment="1">
      <alignment horizontal="left"/>
    </xf>
    <xf numFmtId="0" fontId="121" fillId="0" borderId="103" xfId="0" applyFont="1" applyBorder="1"/>
    <xf numFmtId="0" fontId="133" fillId="0" borderId="104" xfId="0" applyFont="1" applyBorder="1"/>
    <xf numFmtId="0" fontId="121" fillId="0" borderId="0" xfId="0" quotePrefix="1" applyFont="1" applyBorder="1" applyAlignment="1">
      <alignment horizontal="left"/>
    </xf>
    <xf numFmtId="0" fontId="121" fillId="0" borderId="0" xfId="0" applyFont="1" applyBorder="1"/>
    <xf numFmtId="164" fontId="16" fillId="0" borderId="0" xfId="222"/>
    <xf numFmtId="0" fontId="49" fillId="0" borderId="0" xfId="0" applyFont="1" applyAlignment="1" applyProtection="1">
      <alignment vertical="center"/>
    </xf>
    <xf numFmtId="0" fontId="49" fillId="0" borderId="0" xfId="0" applyFont="1" applyAlignment="1" applyProtection="1">
      <alignment horizontal="center" vertical="center"/>
    </xf>
    <xf numFmtId="0" fontId="50" fillId="0" borderId="17" xfId="0" applyFont="1" applyBorder="1" applyAlignment="1" applyProtection="1">
      <alignment vertical="center" textRotation="90"/>
    </xf>
    <xf numFmtId="0" fontId="35" fillId="0" borderId="105" xfId="0" applyFont="1" applyBorder="1" applyAlignment="1" applyProtection="1">
      <alignment horizontal="left" vertical="center"/>
    </xf>
    <xf numFmtId="0" fontId="49" fillId="0" borderId="0" xfId="0" applyFont="1" applyBorder="1" applyAlignment="1" applyProtection="1">
      <alignment vertical="center"/>
    </xf>
    <xf numFmtId="164" fontId="35" fillId="0" borderId="29" xfId="1" applyFont="1" applyBorder="1" applyAlignment="1" applyProtection="1">
      <alignment vertical="center"/>
    </xf>
    <xf numFmtId="164" fontId="35" fillId="0" borderId="106" xfId="1" quotePrefix="1" applyFont="1" applyBorder="1" applyAlignment="1" applyProtection="1">
      <alignment vertical="center"/>
    </xf>
    <xf numFmtId="0" fontId="48" fillId="0" borderId="38" xfId="0" applyFont="1" applyBorder="1" applyAlignment="1" applyProtection="1">
      <alignment horizontal="left" vertical="center"/>
    </xf>
    <xf numFmtId="164" fontId="48" fillId="0" borderId="40" xfId="1" quotePrefix="1" applyFont="1" applyBorder="1" applyAlignment="1" applyProtection="1">
      <alignment vertical="center"/>
    </xf>
    <xf numFmtId="0" fontId="35" fillId="0" borderId="27" xfId="0" applyFont="1" applyBorder="1" applyAlignment="1" applyProtection="1">
      <alignment horizontal="left" vertical="center"/>
    </xf>
    <xf numFmtId="164" fontId="83" fillId="0" borderId="0" xfId="1" applyFont="1" applyFill="1" applyBorder="1" applyAlignment="1" applyProtection="1">
      <alignment vertical="center"/>
    </xf>
    <xf numFmtId="0" fontId="15" fillId="0" borderId="0" xfId="3" applyFont="1" applyFill="1" applyAlignment="1">
      <alignment vertical="center"/>
    </xf>
    <xf numFmtId="0" fontId="15" fillId="0" borderId="0" xfId="3" applyFont="1" applyFill="1" applyAlignment="1">
      <alignment vertical="center" wrapText="1"/>
    </xf>
    <xf numFmtId="0" fontId="15" fillId="0" borderId="0" xfId="3" applyFont="1" applyFill="1" applyAlignment="1">
      <alignment horizontal="left" vertical="center" wrapText="1"/>
    </xf>
    <xf numFmtId="0" fontId="134" fillId="0" borderId="0" xfId="0" applyFont="1" applyFill="1" applyBorder="1"/>
    <xf numFmtId="0" fontId="138" fillId="0" borderId="17" xfId="0" applyFont="1" applyFill="1" applyBorder="1" applyAlignment="1">
      <alignment vertical="center"/>
    </xf>
    <xf numFmtId="0" fontId="135" fillId="0" borderId="0" xfId="0" applyFont="1" applyFill="1" applyAlignment="1">
      <alignment vertical="center"/>
    </xf>
    <xf numFmtId="164" fontId="135" fillId="0" borderId="0" xfId="11" applyFont="1" applyFill="1" applyAlignment="1">
      <alignment vertical="center"/>
    </xf>
    <xf numFmtId="0" fontId="135" fillId="0" borderId="0" xfId="0" applyFont="1" applyFill="1"/>
    <xf numFmtId="164" fontId="34" fillId="0" borderId="21" xfId="1" applyFont="1" applyFill="1" applyBorder="1" applyAlignment="1" applyProtection="1">
      <alignment vertical="center"/>
    </xf>
    <xf numFmtId="0" fontId="16" fillId="0" borderId="24" xfId="0" applyFont="1" applyFill="1" applyBorder="1" applyAlignment="1">
      <alignment vertical="center"/>
    </xf>
    <xf numFmtId="164" fontId="16" fillId="0" borderId="49" xfId="1" applyFont="1" applyFill="1" applyBorder="1" applyAlignment="1">
      <alignment vertical="center"/>
    </xf>
    <xf numFmtId="164" fontId="38" fillId="0" borderId="107" xfId="1" applyFont="1" applyFill="1" applyBorder="1" applyAlignment="1">
      <alignment vertical="center"/>
    </xf>
    <xf numFmtId="1" fontId="134" fillId="0" borderId="0" xfId="0" applyNumberFormat="1" applyFont="1" applyFill="1" applyAlignment="1">
      <alignment horizontal="center"/>
    </xf>
    <xf numFmtId="0" fontId="110" fillId="0" borderId="2" xfId="0" applyFont="1" applyFill="1" applyBorder="1" applyAlignment="1"/>
    <xf numFmtId="0" fontId="134" fillId="0" borderId="0" xfId="8" applyNumberFormat="1" applyFont="1" applyFill="1" applyBorder="1" applyAlignment="1" applyProtection="1">
      <alignment vertical="center"/>
    </xf>
    <xf numFmtId="0" fontId="134" fillId="0" borderId="0" xfId="8" applyNumberFormat="1" applyFont="1" applyFill="1" applyBorder="1" applyAlignment="1" applyProtection="1">
      <alignment vertical="center" wrapText="1"/>
    </xf>
    <xf numFmtId="0" fontId="134" fillId="0" borderId="0" xfId="8" applyNumberFormat="1" applyFont="1" applyFill="1" applyBorder="1" applyAlignment="1" applyProtection="1">
      <alignment horizontal="left" vertical="center" wrapText="1"/>
    </xf>
    <xf numFmtId="0" fontId="134" fillId="0" borderId="0" xfId="3" applyFont="1" applyFill="1" applyAlignment="1">
      <alignment vertical="center"/>
    </xf>
    <xf numFmtId="0" fontId="134" fillId="0" borderId="0" xfId="3" applyFont="1" applyFill="1" applyAlignment="1">
      <alignment vertical="center" wrapText="1"/>
    </xf>
    <xf numFmtId="164" fontId="134" fillId="0" borderId="0" xfId="4" applyFont="1" applyFill="1" applyAlignment="1">
      <alignment vertical="center"/>
    </xf>
    <xf numFmtId="3" fontId="134" fillId="0" borderId="0" xfId="3" applyNumberFormat="1" applyFont="1" applyFill="1" applyAlignment="1">
      <alignment horizontal="left" vertical="center" wrapText="1"/>
    </xf>
    <xf numFmtId="0" fontId="134" fillId="0" borderId="0" xfId="8" applyFont="1" applyFill="1" applyAlignment="1">
      <alignment vertical="center"/>
    </xf>
    <xf numFmtId="0" fontId="134" fillId="0" borderId="0" xfId="0" applyFont="1" applyFill="1" applyBorder="1" applyAlignment="1">
      <alignment vertical="center"/>
    </xf>
    <xf numFmtId="0" fontId="134" fillId="0" borderId="0" xfId="0" applyFont="1" applyFill="1" applyBorder="1" applyAlignment="1">
      <alignment vertical="center" wrapText="1"/>
    </xf>
    <xf numFmtId="0" fontId="134" fillId="0" borderId="0" xfId="0" applyFont="1" applyFill="1" applyBorder="1" applyAlignment="1">
      <alignment horizontal="center" vertical="center"/>
    </xf>
    <xf numFmtId="164" fontId="34" fillId="0" borderId="69" xfId="1" applyFont="1" applyFill="1" applyBorder="1" applyAlignment="1">
      <alignment vertical="center"/>
    </xf>
    <xf numFmtId="0" fontId="135" fillId="0" borderId="0" xfId="3" applyFont="1" applyFill="1" applyAlignment="1">
      <alignment vertical="center"/>
    </xf>
    <xf numFmtId="0" fontId="135" fillId="0" borderId="0" xfId="3" applyFont="1" applyFill="1"/>
    <xf numFmtId="17" fontId="45" fillId="0" borderId="0" xfId="0" applyNumberFormat="1" applyFont="1" applyAlignment="1"/>
    <xf numFmtId="0" fontId="43" fillId="0" borderId="0" xfId="0" applyFont="1" applyFill="1" applyAlignment="1"/>
    <xf numFmtId="0" fontId="45" fillId="0" borderId="0" xfId="0" applyFont="1" applyFill="1" applyAlignment="1"/>
    <xf numFmtId="0" fontId="7" fillId="0" borderId="0" xfId="0" applyFont="1" applyAlignment="1">
      <alignment vertical="center" wrapText="1"/>
    </xf>
    <xf numFmtId="0" fontId="134" fillId="0" borderId="0" xfId="0" applyFont="1" applyFill="1" applyBorder="1" applyAlignment="1">
      <alignment horizontal="left" vertical="center"/>
    </xf>
    <xf numFmtId="0" fontId="14" fillId="0" borderId="0" xfId="3" applyFont="1" applyFill="1" applyBorder="1" applyAlignment="1">
      <alignment horizontal="center" vertical="center" wrapText="1"/>
    </xf>
    <xf numFmtId="1" fontId="134" fillId="0" borderId="0" xfId="0" applyNumberFormat="1" applyFont="1" applyFill="1" applyBorder="1" applyAlignment="1">
      <alignment horizontal="center" vertical="top"/>
    </xf>
    <xf numFmtId="0" fontId="134" fillId="0" borderId="0" xfId="0" applyFont="1" applyFill="1" applyBorder="1" applyAlignment="1">
      <alignment vertical="top"/>
    </xf>
    <xf numFmtId="0" fontId="130" fillId="0" borderId="85" xfId="0" applyFont="1" applyBorder="1" applyAlignment="1">
      <alignment horizontal="left" vertical="center"/>
    </xf>
    <xf numFmtId="0" fontId="0" fillId="0" borderId="35" xfId="0" applyBorder="1"/>
    <xf numFmtId="0" fontId="11" fillId="2" borderId="47" xfId="0" applyFont="1" applyFill="1" applyBorder="1" applyAlignment="1">
      <alignment horizontal="center" vertical="center"/>
    </xf>
    <xf numFmtId="49" fontId="11" fillId="2" borderId="47" xfId="0" applyNumberFormat="1" applyFont="1" applyFill="1" applyBorder="1" applyAlignment="1">
      <alignment horizontal="center" vertical="center" wrapText="1"/>
    </xf>
    <xf numFmtId="168" fontId="11" fillId="2" borderId="47" xfId="0" applyNumberFormat="1" applyFont="1" applyFill="1" applyBorder="1" applyAlignment="1">
      <alignment horizontal="center" vertical="center" wrapText="1"/>
    </xf>
    <xf numFmtId="0" fontId="15" fillId="0" borderId="32" xfId="0" applyFont="1" applyBorder="1" applyAlignment="1">
      <alignment vertical="center"/>
    </xf>
    <xf numFmtId="49" fontId="15" fillId="0" borderId="32" xfId="0" applyNumberFormat="1" applyFont="1" applyFill="1" applyBorder="1" applyAlignment="1">
      <alignment horizontal="center" vertical="center"/>
    </xf>
    <xf numFmtId="15" fontId="15" fillId="0" borderId="32" xfId="0" applyNumberFormat="1" applyFont="1" applyBorder="1" applyAlignment="1">
      <alignment vertical="center"/>
    </xf>
    <xf numFmtId="4" fontId="38" fillId="0" borderId="32" xfId="0" applyNumberFormat="1" applyFont="1" applyBorder="1" applyAlignment="1">
      <alignment vertical="center"/>
    </xf>
    <xf numFmtId="4" fontId="38" fillId="0" borderId="53" xfId="0" applyNumberFormat="1" applyFont="1" applyBorder="1" applyAlignment="1">
      <alignment vertical="center"/>
    </xf>
    <xf numFmtId="0" fontId="16" fillId="0" borderId="0" xfId="0" applyFont="1" applyAlignment="1"/>
    <xf numFmtId="0" fontId="5" fillId="0" borderId="0" xfId="0" applyFont="1" applyFill="1" applyBorder="1"/>
    <xf numFmtId="0" fontId="143" fillId="0" borderId="0" xfId="0" applyFont="1" applyFill="1" applyBorder="1" applyAlignment="1">
      <alignment vertical="center"/>
    </xf>
    <xf numFmtId="164" fontId="129" fillId="0" borderId="85" xfId="1" applyFont="1" applyBorder="1" applyAlignment="1">
      <alignment vertical="center" wrapText="1"/>
    </xf>
    <xf numFmtId="0" fontId="145" fillId="0" borderId="85" xfId="0" applyFont="1" applyBorder="1" applyAlignment="1">
      <alignment horizontal="center" vertical="center"/>
    </xf>
    <xf numFmtId="0" fontId="145" fillId="0" borderId="0" xfId="0" applyFont="1" applyBorder="1" applyAlignment="1">
      <alignment horizontal="center" vertical="center"/>
    </xf>
    <xf numFmtId="0" fontId="145" fillId="0" borderId="86" xfId="0" applyFont="1" applyBorder="1" applyAlignment="1">
      <alignment horizontal="center" vertical="center"/>
    </xf>
    <xf numFmtId="0" fontId="0" fillId="0" borderId="85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86" xfId="0" applyBorder="1" applyAlignment="1">
      <alignment horizontal="left" vertical="center" wrapText="1"/>
    </xf>
    <xf numFmtId="0" fontId="137" fillId="0" borderId="12" xfId="3" quotePrefix="1" applyFont="1" applyFill="1" applyBorder="1" applyAlignment="1">
      <alignment vertical="center"/>
    </xf>
    <xf numFmtId="0" fontId="137" fillId="0" borderId="13" xfId="3" quotePrefix="1" applyFont="1" applyFill="1" applyBorder="1" applyAlignment="1">
      <alignment vertical="center"/>
    </xf>
    <xf numFmtId="164" fontId="146" fillId="0" borderId="0" xfId="11" applyFont="1" applyFill="1"/>
    <xf numFmtId="164" fontId="135" fillId="0" borderId="0" xfId="11" applyFont="1" applyFill="1"/>
    <xf numFmtId="164" fontId="137" fillId="0" borderId="0" xfId="11" applyNumberFormat="1" applyFont="1" applyFill="1" applyBorder="1" applyAlignment="1">
      <alignment horizontal="center" vertical="center"/>
    </xf>
    <xf numFmtId="164" fontId="135" fillId="0" borderId="0" xfId="11" applyNumberFormat="1" applyFont="1" applyFill="1" applyAlignment="1">
      <alignment horizontal="center" vertical="center"/>
    </xf>
    <xf numFmtId="164" fontId="146" fillId="0" borderId="0" xfId="11" applyFont="1" applyFill="1" applyAlignment="1">
      <alignment horizontal="center" vertical="center"/>
    </xf>
    <xf numFmtId="164" fontId="135" fillId="0" borderId="0" xfId="11" applyFont="1" applyFill="1" applyAlignment="1">
      <alignment horizontal="center" vertical="center"/>
    </xf>
    <xf numFmtId="0" fontId="144" fillId="0" borderId="12" xfId="0" quotePrefix="1" applyFont="1" applyFill="1" applyBorder="1" applyAlignment="1">
      <alignment vertical="center"/>
    </xf>
    <xf numFmtId="0" fontId="137" fillId="0" borderId="13" xfId="0" quotePrefix="1" applyFont="1" applyFill="1" applyBorder="1" applyAlignment="1">
      <alignment vertical="center"/>
    </xf>
    <xf numFmtId="164" fontId="146" fillId="0" borderId="0" xfId="11" applyFont="1" applyFill="1" applyAlignment="1">
      <alignment horizontal="left" vertical="center"/>
    </xf>
    <xf numFmtId="164" fontId="147" fillId="0" borderId="0" xfId="11" applyFont="1" applyFill="1" applyAlignment="1">
      <alignment horizontal="center" vertical="center"/>
    </xf>
    <xf numFmtId="164" fontId="147" fillId="0" borderId="0" xfId="1" applyFont="1" applyFill="1" applyAlignment="1">
      <alignment horizontal="left" vertical="center"/>
    </xf>
    <xf numFmtId="164" fontId="147" fillId="0" borderId="0" xfId="1" applyFont="1" applyFill="1" applyAlignment="1">
      <alignment horizontal="center" vertical="center"/>
    </xf>
    <xf numFmtId="0" fontId="34" fillId="0" borderId="0" xfId="3" applyFont="1" applyFill="1" applyBorder="1" applyAlignment="1">
      <alignment horizontal="left" vertical="center"/>
    </xf>
    <xf numFmtId="0" fontId="34" fillId="0" borderId="34" xfId="3" applyFont="1" applyFill="1" applyBorder="1" applyAlignment="1">
      <alignment horizontal="left" vertical="center"/>
    </xf>
    <xf numFmtId="0" fontId="135" fillId="0" borderId="0" xfId="0" applyFont="1"/>
    <xf numFmtId="164" fontId="115" fillId="0" borderId="0" xfId="3" applyNumberFormat="1" applyFont="1" applyFill="1" applyAlignment="1">
      <alignment vertical="center"/>
    </xf>
    <xf numFmtId="164" fontId="5" fillId="0" borderId="0" xfId="3" applyNumberFormat="1" applyFont="1" applyFill="1" applyAlignment="1">
      <alignment vertical="center"/>
    </xf>
    <xf numFmtId="0" fontId="134" fillId="0" borderId="0" xfId="8" applyNumberFormat="1" applyFont="1" applyFill="1" applyBorder="1" applyAlignment="1" applyProtection="1">
      <alignment horizontal="left" vertical="center"/>
    </xf>
    <xf numFmtId="164" fontId="134" fillId="0" borderId="0" xfId="1" applyFont="1" applyFill="1" applyBorder="1" applyAlignment="1">
      <alignment vertical="center"/>
    </xf>
    <xf numFmtId="0" fontId="142" fillId="0" borderId="1" xfId="0" applyFont="1" applyFill="1" applyBorder="1" applyAlignment="1">
      <alignment horizontal="center" vertical="center" wrapText="1"/>
    </xf>
    <xf numFmtId="0" fontId="142" fillId="0" borderId="2" xfId="0" applyFont="1" applyFill="1" applyBorder="1" applyAlignment="1">
      <alignment horizontal="center" vertical="center"/>
    </xf>
    <xf numFmtId="0" fontId="142" fillId="0" borderId="2" xfId="0" applyFont="1" applyFill="1" applyBorder="1" applyAlignment="1">
      <alignment horizontal="center" vertical="center" wrapText="1"/>
    </xf>
    <xf numFmtId="0" fontId="142" fillId="0" borderId="52" xfId="0" applyFont="1" applyFill="1" applyBorder="1" applyAlignment="1">
      <alignment horizontal="center" vertical="center"/>
    </xf>
    <xf numFmtId="164" fontId="143" fillId="0" borderId="0" xfId="1" applyFont="1" applyFill="1" applyBorder="1" applyAlignment="1">
      <alignment vertical="center"/>
    </xf>
    <xf numFmtId="0" fontId="134" fillId="0" borderId="0" xfId="3" applyFont="1" applyFill="1" applyAlignment="1">
      <alignment horizontal="left" vertical="center" wrapText="1"/>
    </xf>
    <xf numFmtId="0" fontId="134" fillId="0" borderId="0" xfId="0" applyFont="1" applyFill="1" applyAlignment="1">
      <alignment vertical="center"/>
    </xf>
    <xf numFmtId="0" fontId="14" fillId="59" borderId="32" xfId="0" applyFont="1" applyFill="1" applyBorder="1" applyAlignment="1">
      <alignment vertical="center"/>
    </xf>
    <xf numFmtId="0" fontId="14" fillId="59" borderId="32" xfId="0" applyFont="1" applyFill="1" applyBorder="1" applyAlignment="1">
      <alignment vertical="center" wrapText="1"/>
    </xf>
    <xf numFmtId="49" fontId="14" fillId="59" borderId="32" xfId="0" applyNumberFormat="1" applyFont="1" applyFill="1" applyBorder="1" applyAlignment="1">
      <alignment horizontal="center" vertical="center"/>
    </xf>
    <xf numFmtId="15" fontId="14" fillId="59" borderId="32" xfId="0" applyNumberFormat="1" applyFont="1" applyFill="1" applyBorder="1" applyAlignment="1">
      <alignment vertical="center"/>
    </xf>
    <xf numFmtId="0" fontId="11" fillId="59" borderId="55" xfId="0" applyFont="1" applyFill="1" applyBorder="1" applyAlignment="1">
      <alignment vertical="center"/>
    </xf>
    <xf numFmtId="0" fontId="12" fillId="59" borderId="57" xfId="0" applyFont="1" applyFill="1" applyBorder="1" applyAlignment="1">
      <alignment vertical="center"/>
    </xf>
    <xf numFmtId="49" fontId="12" fillId="59" borderId="57" xfId="0" applyNumberFormat="1" applyFont="1" applyFill="1" applyBorder="1" applyAlignment="1">
      <alignment horizontal="center" vertical="center"/>
    </xf>
    <xf numFmtId="168" fontId="11" fillId="59" borderId="57" xfId="1" applyNumberFormat="1" applyFont="1" applyFill="1" applyBorder="1" applyAlignment="1">
      <alignment horizontal="center" vertical="center"/>
    </xf>
    <xf numFmtId="164" fontId="11" fillId="59" borderId="49" xfId="1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15" fontId="15" fillId="0" borderId="0" xfId="0" applyNumberFormat="1" applyFont="1" applyFill="1" applyAlignment="1">
      <alignment vertical="center"/>
    </xf>
    <xf numFmtId="4" fontId="86" fillId="0" borderId="0" xfId="3" applyNumberFormat="1" applyFont="1" applyFill="1" applyBorder="1" applyAlignment="1">
      <alignment vertical="center"/>
    </xf>
    <xf numFmtId="0" fontId="87" fillId="0" borderId="0" xfId="3" applyFont="1" applyFill="1" applyBorder="1" applyAlignment="1">
      <alignment horizontal="left" vertical="center"/>
    </xf>
    <xf numFmtId="0" fontId="136" fillId="59" borderId="0" xfId="8" applyNumberFormat="1" applyFont="1" applyFill="1" applyBorder="1" applyAlignment="1" applyProtection="1">
      <alignment vertical="center"/>
    </xf>
    <xf numFmtId="0" fontId="58" fillId="59" borderId="58" xfId="0" applyFont="1" applyFill="1" applyBorder="1" applyAlignment="1">
      <alignment horizontal="left" vertical="center"/>
    </xf>
    <xf numFmtId="0" fontId="58" fillId="59" borderId="26" xfId="0" applyFont="1" applyFill="1" applyBorder="1" applyAlignment="1">
      <alignment vertical="center" wrapText="1"/>
    </xf>
    <xf numFmtId="15" fontId="58" fillId="59" borderId="26" xfId="0" applyNumberFormat="1" applyFont="1" applyFill="1" applyBorder="1" applyAlignment="1">
      <alignment horizontal="right" vertical="center"/>
    </xf>
    <xf numFmtId="164" fontId="58" fillId="59" borderId="28" xfId="4" applyFont="1" applyFill="1" applyBorder="1" applyAlignment="1">
      <alignment vertical="center"/>
    </xf>
    <xf numFmtId="0" fontId="58" fillId="59" borderId="1" xfId="0" applyFont="1" applyFill="1" applyBorder="1" applyAlignment="1">
      <alignment horizontal="left" vertical="center"/>
    </xf>
    <xf numFmtId="0" fontId="58" fillId="59" borderId="2" xfId="0" applyFont="1" applyFill="1" applyBorder="1" applyAlignment="1">
      <alignment vertical="center" wrapText="1"/>
    </xf>
    <xf numFmtId="15" fontId="58" fillId="59" borderId="2" xfId="0" applyNumberFormat="1" applyFont="1" applyFill="1" applyBorder="1" applyAlignment="1">
      <alignment horizontal="right" vertical="center"/>
    </xf>
    <xf numFmtId="164" fontId="58" fillId="59" borderId="52" xfId="4" applyFont="1" applyFill="1" applyBorder="1" applyAlignment="1">
      <alignment vertical="center"/>
    </xf>
    <xf numFmtId="164" fontId="136" fillId="59" borderId="0" xfId="1" applyFont="1" applyFill="1" applyBorder="1" applyAlignment="1">
      <alignment vertical="center"/>
    </xf>
    <xf numFmtId="17" fontId="15" fillId="0" borderId="0" xfId="0" applyNumberFormat="1" applyFont="1" applyFill="1"/>
    <xf numFmtId="1" fontId="134" fillId="0" borderId="0" xfId="0" applyNumberFormat="1" applyFont="1" applyFill="1" applyBorder="1" applyAlignment="1">
      <alignment horizontal="center" vertical="center"/>
    </xf>
    <xf numFmtId="43" fontId="134" fillId="0" borderId="0" xfId="1" applyNumberFormat="1" applyFont="1" applyFill="1" applyBorder="1" applyAlignment="1">
      <alignment vertical="center"/>
    </xf>
    <xf numFmtId="0" fontId="136" fillId="0" borderId="0" xfId="0" applyFont="1" applyFill="1" applyBorder="1" applyAlignment="1">
      <alignment horizontal="center" vertical="center"/>
    </xf>
    <xf numFmtId="43" fontId="5" fillId="0" borderId="0" xfId="0" applyNumberFormat="1" applyFont="1" applyFill="1"/>
    <xf numFmtId="0" fontId="27" fillId="0" borderId="0" xfId="3" applyFont="1" applyFill="1" applyAlignment="1">
      <alignment vertical="center"/>
    </xf>
    <xf numFmtId="17" fontId="134" fillId="0" borderId="0" xfId="17" applyNumberFormat="1" applyFont="1" applyFill="1" applyBorder="1" applyAlignment="1">
      <alignment horizontal="center" vertical="center"/>
    </xf>
    <xf numFmtId="0" fontId="134" fillId="0" borderId="0" xfId="0" applyFont="1" applyFill="1" applyBorder="1" applyAlignment="1">
      <alignment horizontal="center" vertical="top"/>
    </xf>
    <xf numFmtId="0" fontId="134" fillId="0" borderId="0" xfId="0" applyFont="1" applyFill="1" applyAlignment="1">
      <alignment horizontal="center" vertical="top"/>
    </xf>
    <xf numFmtId="15" fontId="134" fillId="0" borderId="0" xfId="7" applyNumberFormat="1" applyFont="1" applyFill="1" applyBorder="1" applyAlignment="1">
      <alignment horizontal="center" vertical="center"/>
    </xf>
    <xf numFmtId="15" fontId="134" fillId="0" borderId="0" xfId="22" applyNumberFormat="1" applyFont="1" applyFill="1" applyAlignment="1">
      <alignment horizontal="center" vertical="center"/>
    </xf>
    <xf numFmtId="15" fontId="134" fillId="0" borderId="0" xfId="17" applyNumberFormat="1" applyFont="1" applyFill="1" applyBorder="1" applyAlignment="1">
      <alignment horizontal="center" vertical="center"/>
    </xf>
    <xf numFmtId="15" fontId="15" fillId="0" borderId="0" xfId="3" applyNumberFormat="1" applyFont="1" applyFill="1" applyAlignment="1">
      <alignment horizontal="center" vertical="center"/>
    </xf>
    <xf numFmtId="15" fontId="134" fillId="0" borderId="0" xfId="3" applyNumberFormat="1" applyFont="1" applyFill="1" applyAlignment="1">
      <alignment horizontal="center" vertical="center"/>
    </xf>
    <xf numFmtId="1" fontId="134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173" fontId="136" fillId="0" borderId="0" xfId="7" applyNumberFormat="1" applyFont="1" applyFill="1" applyBorder="1" applyAlignment="1">
      <alignment vertical="center"/>
    </xf>
    <xf numFmtId="15" fontId="136" fillId="0" borderId="0" xfId="17" applyNumberFormat="1" applyFont="1" applyFill="1" applyBorder="1" applyAlignment="1">
      <alignment horizontal="center" vertical="center"/>
    </xf>
    <xf numFmtId="0" fontId="136" fillId="0" borderId="0" xfId="0" applyFont="1" applyFill="1" applyBorder="1" applyAlignment="1">
      <alignment horizontal="left" vertical="top"/>
    </xf>
    <xf numFmtId="0" fontId="136" fillId="0" borderId="0" xfId="8" applyNumberFormat="1" applyFont="1" applyFill="1" applyBorder="1" applyAlignment="1" applyProtection="1">
      <alignment vertical="center"/>
    </xf>
    <xf numFmtId="0" fontId="136" fillId="0" borderId="0" xfId="8" applyNumberFormat="1" applyFont="1" applyFill="1" applyBorder="1" applyAlignment="1" applyProtection="1">
      <alignment horizontal="left" vertical="center"/>
    </xf>
    <xf numFmtId="17" fontId="136" fillId="0" borderId="0" xfId="17" applyNumberFormat="1" applyFont="1" applyFill="1" applyBorder="1" applyAlignment="1">
      <alignment vertical="center"/>
    </xf>
    <xf numFmtId="164" fontId="136" fillId="0" borderId="0" xfId="1" applyFont="1" applyFill="1" applyBorder="1" applyAlignment="1">
      <alignment vertical="center"/>
    </xf>
    <xf numFmtId="0" fontId="27" fillId="0" borderId="1" xfId="0" applyFont="1" applyFill="1" applyBorder="1" applyAlignment="1">
      <alignment horizontal="center"/>
    </xf>
    <xf numFmtId="0" fontId="0" fillId="0" borderId="0" xfId="0" applyBorder="1" applyAlignment="1"/>
    <xf numFmtId="0" fontId="58" fillId="59" borderId="58" xfId="0" applyNumberFormat="1" applyFont="1" applyFill="1" applyBorder="1" applyAlignment="1">
      <alignment horizontal="left" vertical="center"/>
    </xf>
    <xf numFmtId="0" fontId="58" fillId="59" borderId="0" xfId="0" applyFont="1" applyFill="1" applyBorder="1" applyAlignment="1">
      <alignment horizontal="left" vertical="center"/>
    </xf>
    <xf numFmtId="0" fontId="58" fillId="59" borderId="0" xfId="0" applyFont="1" applyFill="1" applyBorder="1" applyAlignment="1">
      <alignment vertical="center" wrapText="1"/>
    </xf>
    <xf numFmtId="15" fontId="58" fillId="59" borderId="0" xfId="0" applyNumberFormat="1" applyFont="1" applyFill="1" applyBorder="1" applyAlignment="1">
      <alignment horizontal="right" vertical="center"/>
    </xf>
    <xf numFmtId="164" fontId="58" fillId="59" borderId="0" xfId="4" applyFont="1" applyFill="1" applyBorder="1" applyAlignment="1">
      <alignment vertical="center"/>
    </xf>
    <xf numFmtId="17" fontId="134" fillId="0" borderId="0" xfId="0" applyNumberFormat="1" applyFont="1" applyFill="1" applyBorder="1" applyAlignment="1">
      <alignment horizontal="center"/>
    </xf>
    <xf numFmtId="15" fontId="134" fillId="0" borderId="0" xfId="0" applyNumberFormat="1" applyFont="1" applyFill="1" applyBorder="1" applyAlignment="1">
      <alignment horizontal="center"/>
    </xf>
    <xf numFmtId="0" fontId="150" fillId="0" borderId="48" xfId="0" applyFont="1" applyBorder="1" applyAlignment="1">
      <alignment vertical="center" wrapText="1"/>
    </xf>
    <xf numFmtId="43" fontId="115" fillId="0" borderId="0" xfId="0" applyNumberFormat="1" applyFont="1" applyFill="1" applyAlignment="1">
      <alignment vertical="center"/>
    </xf>
    <xf numFmtId="164" fontId="34" fillId="0" borderId="113" xfId="1" applyFont="1" applyFill="1" applyBorder="1" applyAlignment="1">
      <alignment vertical="center"/>
    </xf>
    <xf numFmtId="164" fontId="34" fillId="0" borderId="12" xfId="1" applyFont="1" applyFill="1" applyBorder="1" applyAlignment="1">
      <alignment vertical="center"/>
    </xf>
    <xf numFmtId="0" fontId="34" fillId="0" borderId="13" xfId="3" applyFont="1" applyFill="1" applyBorder="1" applyAlignment="1">
      <alignment horizontal="left" vertical="center"/>
    </xf>
    <xf numFmtId="164" fontId="34" fillId="0" borderId="17" xfId="1" applyFont="1" applyFill="1" applyBorder="1" applyAlignment="1">
      <alignment vertical="center"/>
    </xf>
    <xf numFmtId="0" fontId="34" fillId="0" borderId="19" xfId="3" quotePrefix="1" applyFont="1" applyFill="1" applyBorder="1" applyAlignment="1">
      <alignment horizontal="left" vertical="center"/>
    </xf>
    <xf numFmtId="0" fontId="34" fillId="0" borderId="0" xfId="3" quotePrefix="1" applyFont="1" applyFill="1" applyBorder="1" applyAlignment="1">
      <alignment horizontal="left" vertical="center"/>
    </xf>
    <xf numFmtId="164" fontId="34" fillId="0" borderId="19" xfId="1" applyFont="1" applyFill="1" applyBorder="1" applyAlignment="1">
      <alignment vertical="center"/>
    </xf>
    <xf numFmtId="0" fontId="34" fillId="0" borderId="19" xfId="3" applyFont="1" applyFill="1" applyBorder="1" applyAlignment="1">
      <alignment vertical="center" wrapText="1"/>
    </xf>
    <xf numFmtId="164" fontId="34" fillId="0" borderId="9" xfId="1" applyFont="1" applyFill="1" applyBorder="1" applyAlignment="1" applyProtection="1">
      <alignment vertical="center"/>
    </xf>
    <xf numFmtId="164" fontId="34" fillId="0" borderId="18" xfId="1" applyFont="1" applyFill="1" applyBorder="1" applyAlignment="1" applyProtection="1">
      <alignment vertical="center"/>
    </xf>
    <xf numFmtId="164" fontId="34" fillId="0" borderId="17" xfId="1" applyFont="1" applyFill="1" applyBorder="1" applyAlignment="1" applyProtection="1">
      <alignment vertical="center"/>
    </xf>
    <xf numFmtId="164" fontId="34" fillId="0" borderId="8" xfId="1" applyFont="1" applyFill="1" applyBorder="1" applyAlignment="1" applyProtection="1">
      <alignment vertical="center"/>
    </xf>
    <xf numFmtId="0" fontId="34" fillId="0" borderId="0" xfId="0" applyFont="1" applyFill="1" applyBorder="1" applyAlignment="1">
      <alignment vertical="center"/>
    </xf>
    <xf numFmtId="0" fontId="34" fillId="0" borderId="115" xfId="0" applyFont="1" applyFill="1" applyBorder="1" applyAlignment="1">
      <alignment horizontal="left" vertical="center"/>
    </xf>
    <xf numFmtId="0" fontId="38" fillId="0" borderId="112" xfId="0" applyFont="1" applyFill="1" applyBorder="1" applyAlignment="1">
      <alignment vertical="center"/>
    </xf>
    <xf numFmtId="0" fontId="34" fillId="0" borderId="19" xfId="0" applyFont="1" applyFill="1" applyBorder="1" applyAlignment="1">
      <alignment horizontal="left" vertical="center"/>
    </xf>
    <xf numFmtId="164" fontId="16" fillId="0" borderId="114" xfId="11" applyNumberFormat="1" applyFont="1" applyFill="1" applyBorder="1" applyAlignment="1">
      <alignment horizontal="center" vertical="center"/>
    </xf>
    <xf numFmtId="0" fontId="16" fillId="0" borderId="56" xfId="0" quotePrefix="1" applyFont="1" applyFill="1" applyBorder="1" applyAlignment="1">
      <alignment vertical="center"/>
    </xf>
    <xf numFmtId="0" fontId="38" fillId="0" borderId="114" xfId="0" quotePrefix="1" applyFont="1" applyFill="1" applyBorder="1" applyAlignment="1">
      <alignment vertical="center"/>
    </xf>
    <xf numFmtId="164" fontId="144" fillId="0" borderId="114" xfId="11" applyNumberFormat="1" applyFont="1" applyFill="1" applyBorder="1" applyAlignment="1">
      <alignment horizontal="center" vertical="center"/>
    </xf>
    <xf numFmtId="164" fontId="153" fillId="0" borderId="0" xfId="1" applyFont="1" applyFill="1" applyBorder="1" applyAlignment="1">
      <alignment vertical="center"/>
    </xf>
    <xf numFmtId="0" fontId="153" fillId="0" borderId="0" xfId="0" applyFont="1" applyFill="1" applyBorder="1" applyAlignment="1">
      <alignment vertical="center"/>
    </xf>
    <xf numFmtId="0" fontId="149" fillId="0" borderId="0" xfId="0" applyFont="1" applyFill="1" applyBorder="1" applyAlignment="1">
      <alignment vertical="center"/>
    </xf>
    <xf numFmtId="0" fontId="152" fillId="0" borderId="0" xfId="0" applyFont="1" applyBorder="1" applyAlignment="1">
      <alignment vertical="center"/>
    </xf>
    <xf numFmtId="49" fontId="153" fillId="0" borderId="0" xfId="0" applyNumberFormat="1" applyFont="1" applyBorder="1" applyAlignment="1">
      <alignment horizontal="center" vertical="center"/>
    </xf>
    <xf numFmtId="168" fontId="153" fillId="0" borderId="0" xfId="0" applyNumberFormat="1" applyFont="1" applyBorder="1" applyAlignment="1">
      <alignment horizontal="center" vertical="center"/>
    </xf>
    <xf numFmtId="168" fontId="149" fillId="0" borderId="0" xfId="1" applyNumberFormat="1" applyFont="1" applyBorder="1" applyAlignment="1">
      <alignment horizontal="center" vertical="center"/>
    </xf>
    <xf numFmtId="4" fontId="8" fillId="59" borderId="53" xfId="0" applyNumberFormat="1" applyFont="1" applyFill="1" applyBorder="1" applyAlignment="1">
      <alignment vertical="center"/>
    </xf>
    <xf numFmtId="0" fontId="154" fillId="0" borderId="0" xfId="0" applyFont="1" applyFill="1" applyAlignment="1">
      <alignment vertical="center"/>
    </xf>
    <xf numFmtId="0" fontId="155" fillId="0" borderId="0" xfId="0" applyFont="1" applyFill="1" applyAlignment="1">
      <alignment vertical="center"/>
    </xf>
    <xf numFmtId="0" fontId="156" fillId="0" borderId="0" xfId="0" applyFont="1" applyFill="1" applyAlignment="1">
      <alignment vertical="center"/>
    </xf>
    <xf numFmtId="164" fontId="156" fillId="0" borderId="0" xfId="1" applyFont="1" applyFill="1" applyAlignment="1">
      <alignment vertical="center"/>
    </xf>
    <xf numFmtId="0" fontId="157" fillId="0" borderId="0" xfId="0" applyFont="1" applyFill="1" applyAlignment="1">
      <alignment vertical="center"/>
    </xf>
    <xf numFmtId="0" fontId="156" fillId="0" borderId="0" xfId="0" applyFont="1" applyAlignment="1">
      <alignment vertical="center"/>
    </xf>
    <xf numFmtId="0" fontId="156" fillId="0" borderId="0" xfId="0" applyFont="1" applyAlignment="1">
      <alignment horizontal="center" vertical="center"/>
    </xf>
    <xf numFmtId="0" fontId="157" fillId="0" borderId="0" xfId="0" applyFont="1" applyAlignment="1">
      <alignment horizontal="center" vertical="center"/>
    </xf>
    <xf numFmtId="164" fontId="157" fillId="0" borderId="0" xfId="1" applyFont="1" applyAlignment="1">
      <alignment vertical="center"/>
    </xf>
    <xf numFmtId="164" fontId="157" fillId="0" borderId="0" xfId="1" applyFont="1" applyFill="1" applyAlignment="1">
      <alignment vertical="center"/>
    </xf>
    <xf numFmtId="168" fontId="156" fillId="0" borderId="0" xfId="0" applyNumberFormat="1" applyFont="1" applyAlignment="1">
      <alignment horizontal="center" vertical="center"/>
    </xf>
    <xf numFmtId="168" fontId="158" fillId="0" borderId="0" xfId="0" applyNumberFormat="1" applyFont="1" applyAlignment="1">
      <alignment horizontal="center" vertical="center"/>
    </xf>
    <xf numFmtId="164" fontId="155" fillId="0" borderId="0" xfId="1" applyFont="1" applyFill="1" applyBorder="1" applyAlignment="1">
      <alignment vertical="center"/>
    </xf>
    <xf numFmtId="0" fontId="159" fillId="0" borderId="0" xfId="297" applyFont="1" applyFill="1" applyAlignment="1">
      <alignment vertical="center"/>
    </xf>
    <xf numFmtId="1" fontId="159" fillId="0" borderId="0" xfId="297" applyNumberFormat="1" applyFont="1" applyFill="1" applyAlignment="1">
      <alignment vertical="center"/>
    </xf>
    <xf numFmtId="0" fontId="156" fillId="0" borderId="0" xfId="0" applyNumberFormat="1" applyFont="1" applyAlignment="1">
      <alignment horizontal="center" vertical="center"/>
    </xf>
    <xf numFmtId="0" fontId="156" fillId="0" borderId="0" xfId="0" applyNumberFormat="1" applyFont="1" applyFill="1" applyAlignment="1">
      <alignment horizontal="center" vertical="center"/>
    </xf>
    <xf numFmtId="0" fontId="148" fillId="0" borderId="0" xfId="297" applyFont="1" applyFill="1" applyAlignment="1">
      <alignment vertical="center"/>
    </xf>
    <xf numFmtId="0" fontId="148" fillId="0" borderId="0" xfId="297" applyFont="1" applyFill="1" applyAlignment="1">
      <alignment horizontal="center" vertical="center"/>
    </xf>
    <xf numFmtId="164" fontId="148" fillId="0" borderId="0" xfId="1" applyFont="1" applyFill="1" applyAlignment="1">
      <alignment vertical="center"/>
    </xf>
    <xf numFmtId="14" fontId="157" fillId="0" borderId="0" xfId="0" applyNumberFormat="1" applyFont="1" applyAlignment="1">
      <alignment horizontal="center" vertical="center"/>
    </xf>
    <xf numFmtId="164" fontId="157" fillId="2" borderId="0" xfId="1" applyFont="1" applyFill="1" applyAlignment="1">
      <alignment horizontal="right" vertical="center"/>
    </xf>
    <xf numFmtId="168" fontId="157" fillId="0" borderId="0" xfId="0" applyNumberFormat="1" applyFont="1" applyAlignment="1">
      <alignment horizontal="center" vertical="center"/>
    </xf>
    <xf numFmtId="164" fontId="148" fillId="0" borderId="0" xfId="1" applyFont="1" applyFill="1" applyAlignment="1">
      <alignment horizontal="center" vertical="center"/>
    </xf>
    <xf numFmtId="164" fontId="156" fillId="0" borderId="0" xfId="1" applyFont="1" applyAlignment="1">
      <alignment vertical="center"/>
    </xf>
    <xf numFmtId="164" fontId="13" fillId="0" borderId="36" xfId="1" applyFont="1" applyFill="1" applyBorder="1" applyAlignment="1">
      <alignment vertical="center"/>
    </xf>
    <xf numFmtId="164" fontId="13" fillId="0" borderId="46" xfId="1" applyFont="1" applyFill="1" applyBorder="1" applyAlignment="1">
      <alignment vertical="center"/>
    </xf>
    <xf numFmtId="164" fontId="13" fillId="0" borderId="40" xfId="1" applyFont="1" applyFill="1" applyBorder="1" applyAlignment="1">
      <alignment vertical="center"/>
    </xf>
    <xf numFmtId="0" fontId="13" fillId="0" borderId="5" xfId="0" applyFont="1" applyFill="1" applyBorder="1" applyAlignment="1">
      <alignment horizontal="center" vertical="center"/>
    </xf>
    <xf numFmtId="164" fontId="13" fillId="0" borderId="6" xfId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164" fontId="13" fillId="0" borderId="38" xfId="1" applyFont="1" applyFill="1" applyBorder="1" applyAlignment="1">
      <alignment vertical="center"/>
    </xf>
    <xf numFmtId="164" fontId="13" fillId="0" borderId="39" xfId="1" applyFont="1" applyFill="1" applyBorder="1" applyAlignment="1">
      <alignment vertical="center"/>
    </xf>
    <xf numFmtId="0" fontId="27" fillId="0" borderId="0" xfId="0" applyFont="1" applyFill="1" applyAlignment="1">
      <alignment vertical="center"/>
    </xf>
    <xf numFmtId="164" fontId="28" fillId="0" borderId="0" xfId="11" applyFont="1" applyFill="1" applyAlignment="1">
      <alignment horizontal="right" vertical="center"/>
    </xf>
    <xf numFmtId="0" fontId="11" fillId="0" borderId="0" xfId="0" applyFont="1" applyFill="1" applyAlignment="1">
      <alignment horizontal="left"/>
    </xf>
    <xf numFmtId="164" fontId="6" fillId="0" borderId="0" xfId="11" applyFont="1" applyFill="1" applyAlignment="1">
      <alignment horizontal="right" vertical="center"/>
    </xf>
    <xf numFmtId="17" fontId="6" fillId="0" borderId="0" xfId="11" applyNumberFormat="1" applyFont="1" applyFill="1" applyAlignment="1">
      <alignment vertical="center"/>
    </xf>
    <xf numFmtId="0" fontId="38" fillId="0" borderId="0" xfId="0" applyFont="1" applyFill="1"/>
    <xf numFmtId="0" fontId="31" fillId="0" borderId="0" xfId="0" applyFont="1" applyFill="1" applyAlignment="1">
      <alignment horizontal="left"/>
    </xf>
    <xf numFmtId="0" fontId="59" fillId="0" borderId="0" xfId="0" applyFont="1" applyFill="1"/>
    <xf numFmtId="0" fontId="8" fillId="0" borderId="0" xfId="0" applyFont="1" applyFill="1"/>
    <xf numFmtId="166" fontId="30" fillId="0" borderId="0" xfId="0" applyNumberFormat="1" applyFont="1" applyFill="1" applyAlignment="1">
      <alignment horizontal="right"/>
    </xf>
    <xf numFmtId="0" fontId="32" fillId="0" borderId="0" xfId="0" applyFont="1" applyFill="1"/>
    <xf numFmtId="0" fontId="116" fillId="0" borderId="0" xfId="0" applyFont="1" applyFill="1"/>
    <xf numFmtId="0" fontId="13" fillId="0" borderId="3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left" vertical="center"/>
    </xf>
    <xf numFmtId="0" fontId="33" fillId="0" borderId="4" xfId="0" applyFont="1" applyFill="1" applyBorder="1"/>
    <xf numFmtId="0" fontId="13" fillId="0" borderId="6" xfId="0" applyFont="1" applyFill="1" applyBorder="1" applyAlignment="1">
      <alignment horizontal="center" vertical="center"/>
    </xf>
    <xf numFmtId="4" fontId="13" fillId="0" borderId="41" xfId="0" applyNumberFormat="1" applyFont="1" applyFill="1" applyBorder="1" applyAlignment="1">
      <alignment vertical="center"/>
    </xf>
    <xf numFmtId="4" fontId="13" fillId="0" borderId="116" xfId="0" applyNumberFormat="1" applyFont="1" applyFill="1" applyBorder="1" applyAlignment="1">
      <alignment vertical="center"/>
    </xf>
    <xf numFmtId="164" fontId="13" fillId="0" borderId="117" xfId="1" applyFont="1" applyFill="1" applyBorder="1" applyAlignment="1">
      <alignment vertical="center"/>
    </xf>
    <xf numFmtId="164" fontId="13" fillId="0" borderId="118" xfId="1" applyFont="1" applyFill="1" applyBorder="1" applyAlignment="1">
      <alignment vertical="center"/>
    </xf>
    <xf numFmtId="4" fontId="13" fillId="0" borderId="0" xfId="0" applyNumberFormat="1" applyFont="1" applyFill="1" applyBorder="1" applyAlignment="1">
      <alignment vertical="center"/>
    </xf>
    <xf numFmtId="164" fontId="13" fillId="0" borderId="0" xfId="1" applyFont="1" applyFill="1" applyBorder="1" applyAlignment="1">
      <alignment vertical="center"/>
    </xf>
    <xf numFmtId="164" fontId="16" fillId="0" borderId="0" xfId="1" applyFont="1" applyFill="1"/>
    <xf numFmtId="167" fontId="5" fillId="0" borderId="0" xfId="0" applyNumberFormat="1" applyFont="1" applyFill="1"/>
    <xf numFmtId="0" fontId="13" fillId="0" borderId="4" xfId="0" quotePrefix="1" applyFont="1" applyFill="1" applyBorder="1" applyAlignment="1">
      <alignment horizontal="left" vertical="center"/>
    </xf>
    <xf numFmtId="0" fontId="16" fillId="0" borderId="8" xfId="0" applyFont="1" applyFill="1" applyBorder="1"/>
    <xf numFmtId="0" fontId="34" fillId="0" borderId="0" xfId="0" applyFont="1" applyFill="1" applyBorder="1"/>
    <xf numFmtId="0" fontId="34" fillId="0" borderId="0" xfId="0" applyFont="1" applyFill="1" applyBorder="1" applyAlignment="1">
      <alignment horizontal="left"/>
    </xf>
    <xf numFmtId="0" fontId="16" fillId="0" borderId="17" xfId="0" applyFont="1" applyFill="1" applyBorder="1"/>
    <xf numFmtId="0" fontId="38" fillId="0" borderId="0" xfId="0" applyFont="1" applyFill="1" applyBorder="1"/>
    <xf numFmtId="4" fontId="13" fillId="0" borderId="36" xfId="0" applyNumberFormat="1" applyFont="1" applyFill="1" applyBorder="1" applyAlignment="1">
      <alignment vertical="center"/>
    </xf>
    <xf numFmtId="4" fontId="13" fillId="0" borderId="37" xfId="0" applyNumberFormat="1" applyFont="1" applyFill="1" applyBorder="1" applyAlignment="1">
      <alignment vertical="center"/>
    </xf>
    <xf numFmtId="39" fontId="37" fillId="0" borderId="0" xfId="0" applyNumberFormat="1" applyFont="1" applyFill="1"/>
    <xf numFmtId="43" fontId="115" fillId="0" borderId="0" xfId="0" applyNumberFormat="1" applyFont="1" applyFill="1"/>
    <xf numFmtId="0" fontId="33" fillId="0" borderId="4" xfId="0" applyFont="1" applyFill="1" applyBorder="1" applyAlignment="1">
      <alignment vertical="center"/>
    </xf>
    <xf numFmtId="164" fontId="13" fillId="0" borderId="6" xfId="11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vertical="center"/>
    </xf>
    <xf numFmtId="0" fontId="33" fillId="0" borderId="0" xfId="0" applyFont="1" applyFill="1" applyAlignment="1">
      <alignment vertical="center"/>
    </xf>
    <xf numFmtId="0" fontId="34" fillId="0" borderId="17" xfId="0" applyFont="1" applyFill="1" applyBorder="1" applyAlignment="1">
      <alignment vertical="center"/>
    </xf>
    <xf numFmtId="0" fontId="34" fillId="0" borderId="0" xfId="0" applyFont="1" applyFill="1" applyBorder="1" applyAlignment="1">
      <alignment vertical="center" wrapText="1"/>
    </xf>
    <xf numFmtId="0" fontId="5" fillId="0" borderId="0" xfId="0" applyFont="1" applyFill="1" applyAlignment="1">
      <alignment horizontal="left"/>
    </xf>
    <xf numFmtId="4" fontId="60" fillId="0" borderId="0" xfId="0" applyNumberFormat="1" applyFont="1" applyFill="1"/>
    <xf numFmtId="4" fontId="109" fillId="0" borderId="0" xfId="0" applyNumberFormat="1" applyFont="1" applyFill="1"/>
    <xf numFmtId="0" fontId="14" fillId="59" borderId="0" xfId="0" applyFont="1" applyFill="1" applyAlignment="1">
      <alignment vertical="center"/>
    </xf>
    <xf numFmtId="1" fontId="14" fillId="59" borderId="0" xfId="0" applyNumberFormat="1" applyFont="1" applyFill="1" applyBorder="1" applyAlignment="1">
      <alignment horizontal="center" vertical="center"/>
    </xf>
    <xf numFmtId="0" fontId="14" fillId="59" borderId="0" xfId="0" applyFont="1" applyFill="1" applyAlignment="1">
      <alignment horizontal="left"/>
    </xf>
    <xf numFmtId="0" fontId="14" fillId="59" borderId="0" xfId="0" applyFont="1" applyFill="1"/>
    <xf numFmtId="15" fontId="14" fillId="59" borderId="0" xfId="0" applyNumberFormat="1" applyFont="1" applyFill="1" applyAlignment="1">
      <alignment horizontal="center"/>
    </xf>
    <xf numFmtId="169" fontId="30" fillId="59" borderId="47" xfId="1" applyNumberFormat="1" applyFont="1" applyFill="1" applyBorder="1" applyAlignment="1">
      <alignment horizontal="right" vertical="center"/>
    </xf>
    <xf numFmtId="1" fontId="5" fillId="0" borderId="0" xfId="5" applyNumberFormat="1" applyFont="1" applyFill="1" applyBorder="1" applyAlignment="1" applyProtection="1">
      <alignment horizontal="center" vertical="center"/>
    </xf>
    <xf numFmtId="164" fontId="113" fillId="0" borderId="0" xfId="1" applyFont="1" applyFill="1" applyBorder="1" applyAlignment="1" applyProtection="1">
      <alignment horizontal="center" vertical="center" wrapText="1"/>
    </xf>
    <xf numFmtId="164" fontId="160" fillId="0" borderId="0" xfId="1" applyFont="1" applyFill="1" applyBorder="1" applyAlignment="1" applyProtection="1">
      <alignment vertical="center" wrapText="1"/>
    </xf>
    <xf numFmtId="164" fontId="160" fillId="0" borderId="0" xfId="1" applyFont="1" applyFill="1" applyBorder="1" applyAlignment="1" applyProtection="1">
      <alignment horizontal="left" vertical="center" wrapText="1"/>
    </xf>
    <xf numFmtId="164" fontId="161" fillId="0" borderId="0" xfId="1" applyFont="1" applyFill="1" applyBorder="1" applyAlignment="1" applyProtection="1">
      <alignment horizontal="center" vertical="center" wrapText="1"/>
    </xf>
    <xf numFmtId="164" fontId="136" fillId="0" borderId="0" xfId="1" applyFont="1" applyFill="1" applyBorder="1" applyAlignment="1" applyProtection="1">
      <alignment horizontal="center" vertical="center" wrapText="1"/>
    </xf>
    <xf numFmtId="15" fontId="160" fillId="0" borderId="0" xfId="1" applyNumberFormat="1" applyFont="1" applyFill="1" applyBorder="1" applyAlignment="1" applyProtection="1">
      <alignment horizontal="center" wrapText="1"/>
    </xf>
    <xf numFmtId="0" fontId="5" fillId="0" borderId="0" xfId="5" applyNumberFormat="1" applyFont="1" applyFill="1" applyBorder="1" applyAlignment="1" applyProtection="1">
      <alignment horizontal="center"/>
    </xf>
    <xf numFmtId="164" fontId="115" fillId="0" borderId="0" xfId="1" applyFont="1" applyFill="1" applyBorder="1" applyAlignment="1" applyProtection="1">
      <alignment horizontal="center" vertical="center" wrapText="1"/>
    </xf>
    <xf numFmtId="164" fontId="116" fillId="0" borderId="0" xfId="1" applyFont="1" applyFill="1" applyBorder="1" applyAlignment="1" applyProtection="1">
      <alignment vertical="center" wrapText="1"/>
    </xf>
    <xf numFmtId="164" fontId="160" fillId="0" borderId="0" xfId="1" applyFont="1" applyFill="1" applyBorder="1" applyAlignment="1" applyProtection="1">
      <alignment horizontal="center" vertical="center"/>
    </xf>
    <xf numFmtId="15" fontId="116" fillId="0" borderId="0" xfId="1" applyNumberFormat="1" applyFont="1" applyFill="1" applyBorder="1" applyAlignment="1" applyProtection="1">
      <alignment horizontal="center" wrapText="1"/>
    </xf>
    <xf numFmtId="164" fontId="37" fillId="0" borderId="0" xfId="1" quotePrefix="1" applyFont="1" applyFill="1" applyBorder="1" applyAlignment="1" applyProtection="1">
      <alignment horizontal="center" vertical="center" wrapText="1"/>
    </xf>
    <xf numFmtId="164" fontId="162" fillId="0" borderId="0" xfId="1" quotePrefix="1" applyFont="1" applyFill="1" applyBorder="1" applyAlignment="1" applyProtection="1">
      <alignment vertical="center" wrapText="1"/>
    </xf>
    <xf numFmtId="164" fontId="162" fillId="0" borderId="0" xfId="1" quotePrefix="1" applyFont="1" applyFill="1" applyBorder="1" applyAlignment="1" applyProtection="1">
      <alignment horizontal="left" vertical="center" wrapText="1"/>
    </xf>
    <xf numFmtId="164" fontId="136" fillId="0" borderId="0" xfId="1" quotePrefix="1" applyFont="1" applyFill="1" applyBorder="1" applyAlignment="1" applyProtection="1">
      <alignment horizontal="center" vertical="center" wrapText="1"/>
    </xf>
    <xf numFmtId="15" fontId="162" fillId="0" borderId="0" xfId="1" quotePrefix="1" applyNumberFormat="1" applyFont="1" applyFill="1" applyBorder="1" applyAlignment="1" applyProtection="1">
      <alignment horizontal="center" wrapText="1"/>
    </xf>
    <xf numFmtId="0" fontId="136" fillId="0" borderId="0" xfId="0" applyFont="1" applyFill="1" applyBorder="1" applyAlignment="1">
      <alignment vertical="center"/>
    </xf>
    <xf numFmtId="17" fontId="134" fillId="0" borderId="0" xfId="0" applyNumberFormat="1" applyFont="1" applyFill="1" applyBorder="1" applyAlignment="1">
      <alignment horizontal="center" vertical="center"/>
    </xf>
    <xf numFmtId="15" fontId="134" fillId="0" borderId="0" xfId="9" applyNumberFormat="1" applyFont="1" applyFill="1" applyBorder="1" applyAlignment="1">
      <alignment horizontal="center" vertical="center"/>
    </xf>
    <xf numFmtId="15" fontId="136" fillId="0" borderId="0" xfId="9" applyNumberFormat="1" applyFont="1" applyFill="1" applyBorder="1" applyAlignment="1">
      <alignment horizontal="center" vertical="center"/>
    </xf>
    <xf numFmtId="0" fontId="134" fillId="0" borderId="0" xfId="0" applyFont="1" applyFill="1" applyBorder="1" applyAlignment="1">
      <alignment horizontal="center"/>
    </xf>
    <xf numFmtId="0" fontId="134" fillId="0" borderId="0" xfId="0" applyFont="1" applyFill="1" applyBorder="1" applyAlignment="1">
      <alignment wrapText="1"/>
    </xf>
    <xf numFmtId="0" fontId="134" fillId="0" borderId="0" xfId="0" applyFont="1" applyFill="1" applyBorder="1" applyAlignment="1">
      <alignment horizontal="left" wrapText="1"/>
    </xf>
    <xf numFmtId="167" fontId="134" fillId="0" borderId="0" xfId="1" applyNumberFormat="1" applyFont="1" applyFill="1" applyBorder="1" applyAlignment="1">
      <alignment vertical="center"/>
    </xf>
    <xf numFmtId="0" fontId="136" fillId="59" borderId="0" xfId="0" applyFont="1" applyFill="1" applyBorder="1" applyAlignment="1">
      <alignment vertical="center"/>
    </xf>
    <xf numFmtId="0" fontId="136" fillId="0" borderId="0" xfId="0" applyFont="1" applyFill="1" applyBorder="1" applyAlignment="1">
      <alignment horizontal="center"/>
    </xf>
    <xf numFmtId="0" fontId="136" fillId="0" borderId="0" xfId="0" applyFont="1" applyFill="1" applyBorder="1" applyAlignment="1">
      <alignment wrapText="1"/>
    </xf>
    <xf numFmtId="0" fontId="136" fillId="0" borderId="0" xfId="0" applyFont="1" applyFill="1" applyBorder="1" applyAlignment="1">
      <alignment horizontal="left" wrapText="1"/>
    </xf>
    <xf numFmtId="17" fontId="136" fillId="0" borderId="0" xfId="0" applyNumberFormat="1" applyFont="1" applyFill="1" applyBorder="1" applyAlignment="1">
      <alignment horizontal="center"/>
    </xf>
    <xf numFmtId="15" fontId="136" fillId="0" borderId="0" xfId="0" applyNumberFormat="1" applyFont="1" applyFill="1" applyBorder="1" applyAlignment="1">
      <alignment horizontal="center"/>
    </xf>
    <xf numFmtId="167" fontId="136" fillId="0" borderId="0" xfId="1" applyNumberFormat="1" applyFont="1" applyFill="1" applyBorder="1" applyAlignment="1">
      <alignment vertical="center"/>
    </xf>
    <xf numFmtId="15" fontId="5" fillId="0" borderId="0" xfId="0" applyNumberFormat="1" applyFont="1" applyFill="1" applyAlignment="1">
      <alignment horizontal="center"/>
    </xf>
    <xf numFmtId="15" fontId="136" fillId="59" borderId="0" xfId="9" applyNumberFormat="1" applyFont="1" applyFill="1" applyBorder="1" applyAlignment="1">
      <alignment horizontal="center" vertical="center"/>
    </xf>
    <xf numFmtId="17" fontId="116" fillId="0" borderId="0" xfId="0" applyNumberFormat="1" applyFont="1" applyFill="1" applyBorder="1" applyAlignment="1">
      <alignment horizontal="center"/>
    </xf>
    <xf numFmtId="17" fontId="116" fillId="0" borderId="0" xfId="0" applyNumberFormat="1" applyFont="1" applyFill="1" applyBorder="1" applyAlignment="1">
      <alignment wrapText="1"/>
    </xf>
    <xf numFmtId="0" fontId="136" fillId="59" borderId="0" xfId="0" applyFont="1" applyFill="1" applyBorder="1" applyAlignment="1">
      <alignment horizontal="left" vertical="center"/>
    </xf>
    <xf numFmtId="17" fontId="136" fillId="59" borderId="0" xfId="0" applyNumberFormat="1" applyFont="1" applyFill="1" applyBorder="1" applyAlignment="1">
      <alignment horizontal="center" vertical="center"/>
    </xf>
    <xf numFmtId="0" fontId="136" fillId="59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/>
    </xf>
    <xf numFmtId="17" fontId="5" fillId="0" borderId="0" xfId="0" applyNumberFormat="1" applyFont="1" applyFill="1" applyBorder="1" applyAlignment="1">
      <alignment horizontal="center"/>
    </xf>
    <xf numFmtId="15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vertical="center"/>
    </xf>
    <xf numFmtId="164" fontId="42" fillId="0" borderId="44" xfId="1" applyFont="1" applyFill="1" applyBorder="1" applyAlignment="1">
      <alignment vertical="center"/>
    </xf>
    <xf numFmtId="0" fontId="42" fillId="0" borderId="44" xfId="0" applyFont="1" applyFill="1" applyBorder="1" applyAlignment="1">
      <alignment vertical="center" wrapText="1"/>
    </xf>
    <xf numFmtId="164" fontId="35" fillId="0" borderId="29" xfId="1" quotePrefix="1" applyFont="1" applyFill="1" applyBorder="1" applyAlignment="1" applyProtection="1">
      <alignment vertical="center"/>
    </xf>
    <xf numFmtId="164" fontId="35" fillId="0" borderId="33" xfId="1" quotePrefix="1" applyFont="1" applyFill="1" applyBorder="1" applyAlignment="1" applyProtection="1">
      <alignment vertical="center"/>
    </xf>
    <xf numFmtId="164" fontId="48" fillId="0" borderId="40" xfId="1" quotePrefix="1" applyFont="1" applyFill="1" applyBorder="1" applyAlignment="1" applyProtection="1">
      <alignment vertical="center"/>
    </xf>
    <xf numFmtId="164" fontId="116" fillId="0" borderId="0" xfId="11" applyFont="1" applyFill="1"/>
    <xf numFmtId="0" fontId="5" fillId="0" borderId="0" xfId="0" applyFont="1" applyFill="1" applyAlignment="1">
      <alignment vertical="top"/>
    </xf>
    <xf numFmtId="0" fontId="5" fillId="0" borderId="0" xfId="0" applyNumberFormat="1" applyFont="1" applyFill="1" applyBorder="1" applyAlignment="1" applyProtection="1"/>
    <xf numFmtId="1" fontId="5" fillId="0" borderId="0" xfId="0" applyNumberFormat="1" applyFont="1" applyFill="1" applyBorder="1" applyAlignment="1">
      <alignment horizontal="center" vertical="center"/>
    </xf>
    <xf numFmtId="0" fontId="136" fillId="59" borderId="0" xfId="8" applyNumberFormat="1" applyFont="1" applyFill="1" applyBorder="1" applyAlignment="1" applyProtection="1">
      <alignment horizontal="left" vertical="center"/>
    </xf>
    <xf numFmtId="4" fontId="32" fillId="59" borderId="0" xfId="0" applyNumberFormat="1" applyFont="1" applyFill="1" applyBorder="1" applyAlignment="1">
      <alignment horizontal="right"/>
    </xf>
    <xf numFmtId="0" fontId="32" fillId="0" borderId="0" xfId="5" applyNumberFormat="1" applyFont="1" applyFill="1" applyBorder="1" applyAlignment="1" applyProtection="1">
      <alignment vertical="center"/>
    </xf>
    <xf numFmtId="15" fontId="5" fillId="0" borderId="0" xfId="17" applyNumberFormat="1" applyFont="1" applyFill="1" applyBorder="1" applyAlignment="1">
      <alignment horizontal="center" vertical="center"/>
    </xf>
    <xf numFmtId="4" fontId="5" fillId="0" borderId="0" xfId="1" applyNumberFormat="1" applyFont="1" applyFill="1" applyBorder="1" applyAlignment="1">
      <alignment vertical="center"/>
    </xf>
    <xf numFmtId="15" fontId="5" fillId="0" borderId="0" xfId="7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left"/>
    </xf>
    <xf numFmtId="0" fontId="32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1" fontId="5" fillId="0" borderId="0" xfId="0" applyNumberFormat="1" applyFont="1" applyFill="1" applyBorder="1" applyAlignment="1">
      <alignment horizontal="center"/>
    </xf>
    <xf numFmtId="4" fontId="5" fillId="0" borderId="0" xfId="1" applyNumberFormat="1" applyFont="1" applyFill="1" applyBorder="1"/>
    <xf numFmtId="0" fontId="30" fillId="0" borderId="17" xfId="3" applyFont="1" applyBorder="1" applyAlignment="1">
      <alignment vertical="center"/>
    </xf>
    <xf numFmtId="0" fontId="30" fillId="0" borderId="0" xfId="3" applyFont="1" applyBorder="1" applyAlignment="1">
      <alignment vertical="center"/>
    </xf>
    <xf numFmtId="0" fontId="31" fillId="0" borderId="0" xfId="3" applyFont="1" applyFill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34" fillId="0" borderId="12" xfId="3" applyFont="1" applyFill="1" applyBorder="1" applyAlignment="1">
      <alignment vertical="center"/>
    </xf>
    <xf numFmtId="4" fontId="86" fillId="0" borderId="17" xfId="3" applyNumberFormat="1" applyFont="1" applyFill="1" applyBorder="1" applyAlignment="1">
      <alignment vertical="center"/>
    </xf>
    <xf numFmtId="164" fontId="121" fillId="0" borderId="35" xfId="1" applyFont="1" applyFill="1" applyBorder="1" applyAlignment="1">
      <alignment vertical="center"/>
    </xf>
    <xf numFmtId="0" fontId="87" fillId="0" borderId="17" xfId="3" applyFont="1" applyFill="1" applyBorder="1" applyAlignment="1">
      <alignment vertical="center"/>
    </xf>
    <xf numFmtId="0" fontId="83" fillId="0" borderId="17" xfId="3" applyFont="1" applyFill="1" applyBorder="1" applyAlignment="1">
      <alignment vertical="center"/>
    </xf>
    <xf numFmtId="0" fontId="83" fillId="0" borderId="0" xfId="3" applyFont="1" applyFill="1" applyBorder="1" applyAlignment="1">
      <alignment horizontal="left" vertical="center"/>
    </xf>
    <xf numFmtId="0" fontId="92" fillId="0" borderId="17" xfId="3" applyFont="1" applyFill="1" applyBorder="1" applyAlignment="1">
      <alignment vertical="center"/>
    </xf>
    <xf numFmtId="0" fontId="83" fillId="0" borderId="41" xfId="3" applyFont="1" applyFill="1" applyBorder="1" applyAlignment="1">
      <alignment vertical="center"/>
    </xf>
    <xf numFmtId="0" fontId="83" fillId="0" borderId="116" xfId="3" applyFont="1" applyFill="1" applyBorder="1" applyAlignment="1">
      <alignment horizontal="left" vertical="center"/>
    </xf>
    <xf numFmtId="17" fontId="6" fillId="0" borderId="0" xfId="1" applyNumberFormat="1" applyFont="1" applyFill="1" applyAlignment="1">
      <alignment horizontal="left" vertical="center"/>
    </xf>
    <xf numFmtId="164" fontId="11" fillId="0" borderId="0" xfId="1" applyFont="1" applyFill="1" applyAlignment="1">
      <alignment vertical="center" wrapText="1"/>
    </xf>
    <xf numFmtId="0" fontId="40" fillId="0" borderId="0" xfId="0" applyFont="1" applyFill="1"/>
    <xf numFmtId="0" fontId="0" fillId="0" borderId="47" xfId="0" applyFill="1" applyBorder="1" applyAlignment="1">
      <alignment vertical="center"/>
    </xf>
    <xf numFmtId="0" fontId="42" fillId="0" borderId="32" xfId="0" applyFont="1" applyFill="1" applyBorder="1" applyAlignment="1">
      <alignment vertical="center" wrapText="1"/>
    </xf>
    <xf numFmtId="164" fontId="30" fillId="0" borderId="47" xfId="0" applyNumberFormat="1" applyFont="1" applyFill="1" applyBorder="1" applyAlignment="1">
      <alignment vertical="center"/>
    </xf>
    <xf numFmtId="17" fontId="17" fillId="0" borderId="0" xfId="1" applyNumberFormat="1" applyFont="1" applyFill="1" applyAlignment="1">
      <alignment horizontal="left" vertical="center"/>
    </xf>
    <xf numFmtId="17" fontId="39" fillId="0" borderId="0" xfId="1" applyNumberFormat="1" applyFont="1" applyFill="1" applyAlignment="1">
      <alignment horizontal="left" vertical="center"/>
    </xf>
    <xf numFmtId="43" fontId="30" fillId="0" borderId="47" xfId="0" applyNumberFormat="1" applyFont="1" applyFill="1" applyBorder="1"/>
    <xf numFmtId="164" fontId="0" fillId="0" borderId="0" xfId="0" applyNumberFormat="1" applyFill="1"/>
    <xf numFmtId="43" fontId="0" fillId="0" borderId="0" xfId="0" applyNumberFormat="1" applyFill="1"/>
    <xf numFmtId="43" fontId="30" fillId="0" borderId="47" xfId="0" applyNumberFormat="1" applyFont="1" applyFill="1" applyBorder="1" applyAlignment="1">
      <alignment vertical="center"/>
    </xf>
    <xf numFmtId="0" fontId="28" fillId="0" borderId="0" xfId="0" quotePrefix="1" applyFont="1" applyFill="1" applyAlignment="1"/>
    <xf numFmtId="164" fontId="38" fillId="0" borderId="0" xfId="0" applyNumberFormat="1" applyFont="1" applyFill="1"/>
    <xf numFmtId="0" fontId="9" fillId="0" borderId="0" xfId="0" applyFont="1" applyFill="1" applyAlignment="1"/>
    <xf numFmtId="0" fontId="10" fillId="0" borderId="0" xfId="0" applyFont="1" applyFill="1" applyAlignment="1">
      <alignment horizontal="center"/>
    </xf>
    <xf numFmtId="0" fontId="11" fillId="0" borderId="0" xfId="0" applyFont="1" applyFill="1" applyBorder="1" applyAlignment="1">
      <alignment horizontal="right" vertical="center"/>
    </xf>
    <xf numFmtId="164" fontId="152" fillId="0" borderId="0" xfId="1" applyFont="1" applyFill="1" applyBorder="1" applyAlignment="1" applyProtection="1">
      <alignment vertical="center"/>
    </xf>
    <xf numFmtId="17" fontId="18" fillId="0" borderId="0" xfId="0" quotePrefix="1" applyNumberFormat="1" applyFont="1" applyAlignment="1"/>
    <xf numFmtId="0" fontId="142" fillId="0" borderId="0" xfId="0" applyFont="1" applyFill="1" applyBorder="1" applyAlignment="1">
      <alignment horizontal="center" vertical="center" wrapText="1"/>
    </xf>
    <xf numFmtId="0" fontId="142" fillId="0" borderId="0" xfId="0" applyFont="1" applyFill="1" applyBorder="1" applyAlignment="1">
      <alignment horizontal="center" vertical="center"/>
    </xf>
    <xf numFmtId="0" fontId="5" fillId="59" borderId="0" xfId="8" applyNumberFormat="1" applyFont="1" applyFill="1" applyBorder="1" applyAlignment="1" applyProtection="1">
      <alignment vertical="center"/>
    </xf>
    <xf numFmtId="17" fontId="5" fillId="59" borderId="0" xfId="17" applyNumberFormat="1" applyFont="1" applyFill="1" applyBorder="1" applyAlignment="1">
      <alignment horizontal="center" vertical="center"/>
    </xf>
    <xf numFmtId="15" fontId="5" fillId="59" borderId="0" xfId="7" applyNumberFormat="1" applyFont="1" applyFill="1" applyBorder="1" applyAlignment="1">
      <alignment horizontal="center" vertical="center"/>
    </xf>
    <xf numFmtId="0" fontId="5" fillId="0" borderId="0" xfId="8" applyNumberFormat="1" applyFont="1" applyFill="1" applyBorder="1" applyAlignment="1" applyProtection="1">
      <alignment horizontal="center" vertical="center"/>
    </xf>
    <xf numFmtId="0" fontId="136" fillId="59" borderId="0" xfId="0" applyFont="1" applyFill="1" applyBorder="1" applyAlignment="1">
      <alignment horizontal="left" vertical="top"/>
    </xf>
    <xf numFmtId="17" fontId="136" fillId="59" borderId="0" xfId="17" applyNumberFormat="1" applyFont="1" applyFill="1" applyBorder="1" applyAlignment="1">
      <alignment vertical="center"/>
    </xf>
    <xf numFmtId="173" fontId="136" fillId="59" borderId="0" xfId="7" applyNumberFormat="1" applyFont="1" applyFill="1" applyBorder="1" applyAlignment="1">
      <alignment vertical="center"/>
    </xf>
    <xf numFmtId="167" fontId="5" fillId="0" borderId="0" xfId="0" applyNumberFormat="1" applyFont="1" applyFill="1" applyAlignment="1">
      <alignment vertical="center"/>
    </xf>
    <xf numFmtId="0" fontId="15" fillId="0" borderId="0" xfId="0" applyFont="1" applyFill="1" applyBorder="1" applyAlignment="1">
      <alignment horizontal="left" readingOrder="1"/>
    </xf>
    <xf numFmtId="1" fontId="15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 readingOrder="1"/>
    </xf>
    <xf numFmtId="4" fontId="15" fillId="0" borderId="0" xfId="0" applyNumberFormat="1" applyFont="1" applyFill="1" applyBorder="1" applyAlignment="1">
      <alignment horizontal="right" wrapText="1" readingOrder="1"/>
    </xf>
    <xf numFmtId="17" fontId="15" fillId="0" borderId="0" xfId="0" applyNumberFormat="1" applyFont="1" applyFill="1" applyBorder="1" applyAlignment="1">
      <alignment horizontal="center" wrapText="1"/>
    </xf>
    <xf numFmtId="17" fontId="14" fillId="59" borderId="0" xfId="0" applyNumberFormat="1" applyFont="1" applyFill="1" applyAlignment="1">
      <alignment horizontal="center"/>
    </xf>
    <xf numFmtId="17" fontId="134" fillId="0" borderId="0" xfId="3" applyNumberFormat="1" applyFont="1" applyFill="1" applyAlignment="1">
      <alignment horizontal="center" vertical="center"/>
    </xf>
    <xf numFmtId="17" fontId="136" fillId="0" borderId="0" xfId="17" applyNumberFormat="1" applyFont="1" applyFill="1" applyBorder="1" applyAlignment="1">
      <alignment horizontal="center" vertical="center"/>
    </xf>
    <xf numFmtId="17" fontId="15" fillId="0" borderId="0" xfId="3" applyNumberFormat="1" applyFont="1" applyFill="1" applyAlignment="1">
      <alignment horizontal="center" vertical="center"/>
    </xf>
    <xf numFmtId="0" fontId="134" fillId="0" borderId="0" xfId="3" applyFont="1" applyFill="1" applyAlignment="1">
      <alignment horizontal="center" vertical="center"/>
    </xf>
    <xf numFmtId="4" fontId="15" fillId="60" borderId="0" xfId="0" applyNumberFormat="1" applyFont="1" applyFill="1" applyBorder="1" applyAlignment="1">
      <alignment horizontal="right" wrapText="1" readingOrder="1"/>
    </xf>
    <xf numFmtId="15" fontId="15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/>
    </xf>
    <xf numFmtId="0" fontId="14" fillId="59" borderId="0" xfId="0" applyFont="1" applyFill="1" applyAlignment="1">
      <alignment horizontal="center"/>
    </xf>
    <xf numFmtId="0" fontId="136" fillId="0" borderId="0" xfId="0" applyFont="1" applyFill="1" applyBorder="1" applyAlignment="1">
      <alignment horizontal="center" vertical="top"/>
    </xf>
    <xf numFmtId="0" fontId="15" fillId="0" borderId="0" xfId="3" applyFont="1" applyFill="1" applyAlignment="1">
      <alignment horizontal="center" vertical="center"/>
    </xf>
    <xf numFmtId="4" fontId="15" fillId="0" borderId="0" xfId="1" applyNumberFormat="1" applyFont="1" applyFill="1" applyAlignment="1">
      <alignment vertical="center"/>
    </xf>
    <xf numFmtId="4" fontId="134" fillId="0" borderId="0" xfId="1" applyNumberFormat="1" applyFont="1" applyFill="1" applyBorder="1" applyAlignment="1">
      <alignment vertical="center"/>
    </xf>
    <xf numFmtId="4" fontId="14" fillId="59" borderId="0" xfId="1" applyNumberFormat="1" applyFont="1" applyFill="1" applyAlignment="1">
      <alignment horizontal="right"/>
    </xf>
    <xf numFmtId="4" fontId="134" fillId="0" borderId="0" xfId="1" applyNumberFormat="1" applyFont="1" applyFill="1" applyAlignment="1">
      <alignment vertical="center"/>
    </xf>
    <xf numFmtId="4" fontId="136" fillId="0" borderId="0" xfId="1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 applyAlignment="1">
      <alignment horizontal="left" readingOrder="1"/>
    </xf>
    <xf numFmtId="1" fontId="15" fillId="0" borderId="0" xfId="0" applyNumberFormat="1" applyFont="1" applyFill="1" applyAlignment="1">
      <alignment horizontal="center" wrapText="1"/>
    </xf>
    <xf numFmtId="0" fontId="15" fillId="0" borderId="0" xfId="0" applyFont="1" applyFill="1" applyAlignment="1">
      <alignment horizontal="center"/>
    </xf>
    <xf numFmtId="0" fontId="15" fillId="0" borderId="0" xfId="0" applyFont="1" applyFill="1" applyAlignment="1">
      <alignment horizontal="left" wrapText="1" readingOrder="1"/>
    </xf>
    <xf numFmtId="0" fontId="15" fillId="0" borderId="0" xfId="0" applyFont="1" applyFill="1" applyAlignment="1">
      <alignment horizontal="left" wrapText="1"/>
    </xf>
    <xf numFmtId="17" fontId="15" fillId="0" borderId="0" xfId="0" applyNumberFormat="1" applyFont="1" applyFill="1" applyAlignment="1">
      <alignment horizontal="center" wrapText="1"/>
    </xf>
    <xf numFmtId="15" fontId="15" fillId="0" borderId="0" xfId="0" applyNumberFormat="1" applyFont="1" applyFill="1" applyAlignment="1">
      <alignment horizontal="center" wrapText="1"/>
    </xf>
    <xf numFmtId="4" fontId="15" fillId="60" borderId="0" xfId="0" applyNumberFormat="1" applyFont="1" applyFill="1" applyAlignment="1">
      <alignment horizontal="right" wrapText="1" readingOrder="1"/>
    </xf>
    <xf numFmtId="0" fontId="15" fillId="60" borderId="0" xfId="0" applyFont="1" applyFill="1" applyBorder="1" applyAlignment="1">
      <alignment horizontal="left" readingOrder="1"/>
    </xf>
    <xf numFmtId="0" fontId="15" fillId="60" borderId="0" xfId="0" applyFont="1" applyFill="1" applyAlignment="1">
      <alignment horizontal="left" readingOrder="1"/>
    </xf>
    <xf numFmtId="0" fontId="15" fillId="0" borderId="0" xfId="0" applyFont="1" applyFill="1" applyBorder="1" applyAlignment="1"/>
    <xf numFmtId="0" fontId="163" fillId="0" borderId="0" xfId="0" applyFont="1" applyFill="1" applyAlignment="1">
      <alignment vertical="center"/>
    </xf>
    <xf numFmtId="0" fontId="134" fillId="0" borderId="0" xfId="5" applyNumberFormat="1" applyFont="1" applyFill="1" applyBorder="1" applyAlignment="1" applyProtection="1">
      <alignment horizontal="center" vertical="center"/>
    </xf>
    <xf numFmtId="4" fontId="134" fillId="0" borderId="0" xfId="1" applyNumberFormat="1" applyFont="1" applyFill="1" applyBorder="1" applyAlignment="1" applyProtection="1">
      <alignment horizontal="center" vertical="center"/>
    </xf>
    <xf numFmtId="0" fontId="134" fillId="0" borderId="0" xfId="5" applyNumberFormat="1" applyFont="1" applyFill="1" applyBorder="1" applyAlignment="1" applyProtection="1">
      <alignment vertical="center"/>
    </xf>
    <xf numFmtId="0" fontId="15" fillId="0" borderId="0" xfId="0" applyFont="1" applyAlignment="1">
      <alignment horizontal="center"/>
    </xf>
    <xf numFmtId="0" fontId="15" fillId="0" borderId="0" xfId="0" applyFont="1" applyBorder="1"/>
    <xf numFmtId="0" fontId="15" fillId="0" borderId="0" xfId="0" applyFont="1" applyAlignment="1"/>
    <xf numFmtId="17" fontId="15" fillId="0" borderId="0" xfId="0" applyNumberFormat="1" applyFont="1" applyAlignment="1">
      <alignment horizontal="center"/>
    </xf>
    <xf numFmtId="15" fontId="15" fillId="0" borderId="0" xfId="0" applyNumberFormat="1" applyFont="1" applyAlignment="1">
      <alignment horizontal="center"/>
    </xf>
    <xf numFmtId="15" fontId="15" fillId="0" borderId="0" xfId="0" applyNumberFormat="1" applyFont="1" applyFill="1" applyAlignment="1">
      <alignment horizontal="center"/>
    </xf>
    <xf numFmtId="4" fontId="15" fillId="0" borderId="0" xfId="0" applyNumberFormat="1" applyFont="1"/>
    <xf numFmtId="0" fontId="164" fillId="0" borderId="0" xfId="8" applyFont="1" applyFill="1" applyAlignment="1">
      <alignment vertical="center"/>
    </xf>
    <xf numFmtId="0" fontId="14" fillId="0" borderId="1" xfId="3" applyFont="1" applyFill="1" applyBorder="1" applyAlignment="1">
      <alignment horizontal="center" vertical="center"/>
    </xf>
    <xf numFmtId="0" fontId="14" fillId="0" borderId="2" xfId="3" applyFont="1" applyFill="1" applyBorder="1" applyAlignment="1">
      <alignment vertical="center"/>
    </xf>
    <xf numFmtId="0" fontId="14" fillId="0" borderId="2" xfId="3" applyFont="1" applyFill="1" applyBorder="1" applyAlignment="1">
      <alignment horizontal="left" vertical="center" wrapText="1"/>
    </xf>
    <xf numFmtId="0" fontId="14" fillId="0" borderId="2" xfId="3" applyFont="1" applyFill="1" applyBorder="1" applyAlignment="1">
      <alignment horizontal="center" vertical="center"/>
    </xf>
    <xf numFmtId="15" fontId="14" fillId="0" borderId="2" xfId="3" applyNumberFormat="1" applyFont="1" applyFill="1" applyBorder="1" applyAlignment="1">
      <alignment horizontal="center" vertical="center"/>
    </xf>
    <xf numFmtId="4" fontId="14" fillId="0" borderId="0" xfId="1" applyNumberFormat="1" applyFont="1" applyFill="1" applyBorder="1" applyAlignment="1">
      <alignment vertical="center"/>
    </xf>
    <xf numFmtId="15" fontId="136" fillId="0" borderId="0" xfId="7" applyNumberFormat="1" applyFont="1" applyFill="1" applyBorder="1" applyAlignment="1">
      <alignment horizontal="center" vertical="center"/>
    </xf>
    <xf numFmtId="43" fontId="136" fillId="0" borderId="0" xfId="1" applyNumberFormat="1" applyFont="1" applyFill="1" applyBorder="1" applyAlignment="1">
      <alignment vertical="center"/>
    </xf>
    <xf numFmtId="0" fontId="0" fillId="0" borderId="0" xfId="0" applyFont="1" applyFill="1" applyBorder="1"/>
    <xf numFmtId="15" fontId="5" fillId="0" borderId="0" xfId="0" applyNumberFormat="1" applyFont="1" applyFill="1" applyBorder="1" applyAlignment="1">
      <alignment horizontal="center" vertical="center"/>
    </xf>
    <xf numFmtId="17" fontId="5" fillId="0" borderId="0" xfId="0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 vertical="center"/>
    </xf>
    <xf numFmtId="4" fontId="5" fillId="0" borderId="0" xfId="0" applyNumberFormat="1" applyFont="1" applyFill="1" applyBorder="1" applyAlignment="1">
      <alignment vertical="center"/>
    </xf>
    <xf numFmtId="17" fontId="116" fillId="0" borderId="0" xfId="0" applyNumberFormat="1" applyFont="1" applyFill="1" applyBorder="1" applyAlignment="1">
      <alignment horizontal="left" wrapText="1"/>
    </xf>
    <xf numFmtId="17" fontId="15" fillId="0" borderId="0" xfId="0" applyNumberFormat="1" applyFont="1" applyFill="1" applyBorder="1" applyAlignment="1">
      <alignment horizontal="center" wrapText="1" readingOrder="1"/>
    </xf>
    <xf numFmtId="15" fontId="15" fillId="0" borderId="0" xfId="0" applyNumberFormat="1" applyFont="1" applyFill="1" applyBorder="1" applyAlignment="1">
      <alignment horizontal="center" wrapText="1" readingOrder="1"/>
    </xf>
    <xf numFmtId="0" fontId="15" fillId="0" borderId="0" xfId="0" applyFont="1" applyFill="1" applyBorder="1" applyAlignment="1">
      <alignment horizontal="center" readingOrder="1"/>
    </xf>
    <xf numFmtId="0" fontId="134" fillId="0" borderId="0" xfId="0" applyFont="1" applyFill="1" applyBorder="1" applyAlignment="1">
      <alignment horizontal="left" readingOrder="1"/>
    </xf>
    <xf numFmtId="1" fontId="134" fillId="0" borderId="0" xfId="0" applyNumberFormat="1" applyFont="1" applyFill="1" applyBorder="1" applyAlignment="1">
      <alignment horizontal="center" wrapText="1"/>
    </xf>
    <xf numFmtId="0" fontId="134" fillId="0" borderId="0" xfId="0" applyFont="1" applyFill="1" applyBorder="1" applyAlignment="1">
      <alignment horizontal="center" readingOrder="1"/>
    </xf>
    <xf numFmtId="0" fontId="134" fillId="0" borderId="0" xfId="0" applyFont="1" applyFill="1" applyBorder="1" applyAlignment="1">
      <alignment horizontal="left" wrapText="1" readingOrder="1"/>
    </xf>
    <xf numFmtId="17" fontId="134" fillId="0" borderId="0" xfId="0" applyNumberFormat="1" applyFont="1" applyFill="1" applyBorder="1" applyAlignment="1">
      <alignment horizontal="center" wrapText="1" readingOrder="1"/>
    </xf>
    <xf numFmtId="15" fontId="134" fillId="0" borderId="0" xfId="0" applyNumberFormat="1" applyFont="1" applyFill="1" applyBorder="1" applyAlignment="1">
      <alignment horizontal="center" wrapText="1" readingOrder="1"/>
    </xf>
    <xf numFmtId="0" fontId="134" fillId="0" borderId="0" xfId="0" applyFont="1" applyBorder="1"/>
    <xf numFmtId="0" fontId="134" fillId="0" borderId="0" xfId="0" applyFont="1" applyBorder="1" applyAlignment="1">
      <alignment horizontal="center"/>
    </xf>
    <xf numFmtId="17" fontId="134" fillId="0" borderId="0" xfId="0" applyNumberFormat="1" applyFont="1" applyBorder="1" applyAlignment="1">
      <alignment horizontal="center"/>
    </xf>
    <xf numFmtId="15" fontId="134" fillId="0" borderId="0" xfId="0" applyNumberFormat="1" applyFont="1" applyBorder="1" applyAlignment="1">
      <alignment horizontal="center"/>
    </xf>
    <xf numFmtId="0" fontId="14" fillId="59" borderId="32" xfId="0" applyNumberFormat="1" applyFont="1" applyFill="1" applyBorder="1" applyAlignment="1">
      <alignment vertical="center"/>
    </xf>
    <xf numFmtId="0" fontId="14" fillId="59" borderId="124" xfId="0" applyFont="1" applyFill="1" applyBorder="1" applyAlignment="1">
      <alignment vertical="center"/>
    </xf>
    <xf numFmtId="0" fontId="14" fillId="59" borderId="115" xfId="0" applyFont="1" applyFill="1" applyBorder="1" applyAlignment="1">
      <alignment vertical="center" wrapText="1"/>
    </xf>
    <xf numFmtId="49" fontId="14" fillId="59" borderId="115" xfId="0" applyNumberFormat="1" applyFont="1" applyFill="1" applyBorder="1" applyAlignment="1">
      <alignment horizontal="center" vertical="center"/>
    </xf>
    <xf numFmtId="15" fontId="14" fillId="59" borderId="115" xfId="0" applyNumberFormat="1" applyFont="1" applyFill="1" applyBorder="1" applyAlignment="1">
      <alignment vertical="center"/>
    </xf>
    <xf numFmtId="4" fontId="8" fillId="59" borderId="125" xfId="0" applyNumberFormat="1" applyFont="1" applyFill="1" applyBorder="1" applyAlignment="1">
      <alignment vertical="center"/>
    </xf>
    <xf numFmtId="164" fontId="5" fillId="0" borderId="0" xfId="0" applyNumberFormat="1" applyFont="1" applyFill="1" applyAlignment="1">
      <alignment vertical="center"/>
    </xf>
    <xf numFmtId="0" fontId="134" fillId="0" borderId="122" xfId="0" applyFont="1" applyFill="1" applyBorder="1" applyAlignment="1">
      <alignment vertical="center"/>
    </xf>
    <xf numFmtId="0" fontId="134" fillId="0" borderId="121" xfId="0" applyFont="1" applyFill="1" applyBorder="1" applyAlignment="1">
      <alignment vertical="center"/>
    </xf>
    <xf numFmtId="0" fontId="16" fillId="0" borderId="0" xfId="0" applyFont="1" applyFill="1" applyBorder="1"/>
    <xf numFmtId="0" fontId="134" fillId="0" borderId="123" xfId="0" applyFont="1" applyFill="1" applyBorder="1" applyAlignment="1">
      <alignment vertical="center"/>
    </xf>
    <xf numFmtId="0" fontId="30" fillId="0" borderId="0" xfId="0" applyFont="1" applyFill="1" applyBorder="1"/>
    <xf numFmtId="0" fontId="14" fillId="0" borderId="0" xfId="0" applyFont="1" applyFill="1" applyBorder="1" applyAlignment="1"/>
    <xf numFmtId="0" fontId="14" fillId="0" borderId="0" xfId="0" applyFont="1" applyFill="1" applyBorder="1"/>
    <xf numFmtId="0" fontId="136" fillId="59" borderId="0" xfId="0" applyNumberFormat="1" applyFont="1" applyFill="1" applyBorder="1" applyAlignment="1">
      <alignment horizontal="center" vertical="center"/>
    </xf>
    <xf numFmtId="0" fontId="136" fillId="59" borderId="0" xfId="0" applyFont="1" applyFill="1" applyBorder="1" applyAlignment="1">
      <alignment horizontal="center" vertical="center"/>
    </xf>
    <xf numFmtId="0" fontId="136" fillId="59" borderId="0" xfId="0" applyFont="1" applyFill="1" applyBorder="1" applyAlignment="1">
      <alignment horizontal="center" vertical="top"/>
    </xf>
    <xf numFmtId="17" fontId="136" fillId="59" borderId="0" xfId="17" applyNumberFormat="1" applyFont="1" applyFill="1" applyBorder="1" applyAlignment="1">
      <alignment horizontal="center" vertical="center"/>
    </xf>
    <xf numFmtId="15" fontId="136" fillId="59" borderId="0" xfId="7" applyNumberFormat="1" applyFont="1" applyFill="1" applyBorder="1" applyAlignment="1">
      <alignment horizontal="center" vertical="center"/>
    </xf>
    <xf numFmtId="43" fontId="136" fillId="59" borderId="0" xfId="1" applyNumberFormat="1" applyFont="1" applyFill="1" applyBorder="1" applyAlignment="1">
      <alignment vertical="center"/>
    </xf>
    <xf numFmtId="0" fontId="136" fillId="59" borderId="0" xfId="0" applyFont="1" applyFill="1" applyBorder="1" applyAlignment="1">
      <alignment horizontal="center"/>
    </xf>
    <xf numFmtId="0" fontId="136" fillId="59" borderId="0" xfId="0" applyFont="1" applyFill="1" applyBorder="1" applyAlignment="1">
      <alignment wrapText="1"/>
    </xf>
    <xf numFmtId="0" fontId="136" fillId="59" borderId="0" xfId="0" applyFont="1" applyFill="1" applyBorder="1" applyAlignment="1">
      <alignment horizontal="left" wrapText="1"/>
    </xf>
    <xf numFmtId="17" fontId="136" fillId="59" borderId="0" xfId="0" applyNumberFormat="1" applyFont="1" applyFill="1" applyBorder="1" applyAlignment="1">
      <alignment horizontal="center"/>
    </xf>
    <xf numFmtId="15" fontId="136" fillId="59" borderId="0" xfId="0" applyNumberFormat="1" applyFont="1" applyFill="1" applyBorder="1" applyAlignment="1">
      <alignment horizontal="center"/>
    </xf>
    <xf numFmtId="167" fontId="136" fillId="59" borderId="0" xfId="1" applyNumberFormat="1" applyFont="1" applyFill="1" applyBorder="1" applyAlignment="1">
      <alignment vertical="center"/>
    </xf>
    <xf numFmtId="0" fontId="30" fillId="59" borderId="0" xfId="0" applyFont="1" applyFill="1" applyBorder="1"/>
    <xf numFmtId="0" fontId="14" fillId="59" borderId="0" xfId="0" applyFont="1" applyFill="1" applyBorder="1" applyAlignment="1"/>
    <xf numFmtId="0" fontId="14" fillId="59" borderId="0" xfId="0" applyFont="1" applyFill="1" applyBorder="1"/>
    <xf numFmtId="4" fontId="15" fillId="0" borderId="0" xfId="0" applyNumberFormat="1" applyFont="1" applyFill="1"/>
    <xf numFmtId="0" fontId="151" fillId="0" borderId="0" xfId="0" applyFont="1" applyBorder="1"/>
    <xf numFmtId="0" fontId="151" fillId="0" borderId="0" xfId="0" applyFont="1"/>
    <xf numFmtId="0" fontId="151" fillId="0" borderId="0" xfId="0" applyFont="1" applyFill="1" applyBorder="1"/>
    <xf numFmtId="0" fontId="165" fillId="0" borderId="0" xfId="0" applyFont="1" applyFill="1" applyBorder="1"/>
    <xf numFmtId="0" fontId="165" fillId="59" borderId="0" xfId="0" applyFont="1" applyFill="1" applyBorder="1"/>
    <xf numFmtId="0" fontId="136" fillId="0" borderId="0" xfId="0" applyFont="1" applyFill="1" applyBorder="1" applyAlignment="1">
      <alignment horizontal="center" readingOrder="1"/>
    </xf>
    <xf numFmtId="0" fontId="136" fillId="0" borderId="0" xfId="0" applyFont="1" applyFill="1" applyBorder="1"/>
    <xf numFmtId="0" fontId="136" fillId="0" borderId="0" xfId="0" applyFont="1" applyFill="1" applyBorder="1" applyAlignment="1">
      <alignment horizontal="left" wrapText="1" readingOrder="1"/>
    </xf>
    <xf numFmtId="17" fontId="136" fillId="0" borderId="0" xfId="0" applyNumberFormat="1" applyFont="1" applyFill="1" applyBorder="1" applyAlignment="1">
      <alignment horizontal="center" wrapText="1" readingOrder="1"/>
    </xf>
    <xf numFmtId="15" fontId="136" fillId="0" borderId="0" xfId="0" applyNumberFormat="1" applyFont="1" applyFill="1" applyBorder="1" applyAlignment="1">
      <alignment horizontal="center" wrapText="1" readingOrder="1"/>
    </xf>
    <xf numFmtId="0" fontId="136" fillId="59" borderId="0" xfId="0" applyFont="1" applyFill="1" applyBorder="1"/>
    <xf numFmtId="0" fontId="136" fillId="59" borderId="0" xfId="0" applyFont="1" applyFill="1" applyBorder="1" applyAlignment="1">
      <alignment horizontal="left" wrapText="1" readingOrder="1"/>
    </xf>
    <xf numFmtId="4" fontId="136" fillId="59" borderId="0" xfId="0" applyNumberFormat="1" applyFont="1" applyFill="1" applyBorder="1" applyAlignment="1">
      <alignment horizontal="right" wrapText="1" readingOrder="1"/>
    </xf>
    <xf numFmtId="0" fontId="136" fillId="59" borderId="0" xfId="0" applyFont="1" applyFill="1" applyBorder="1" applyAlignment="1">
      <alignment horizontal="left"/>
    </xf>
    <xf numFmtId="4" fontId="136" fillId="0" borderId="0" xfId="0" applyNumberFormat="1" applyFont="1" applyFill="1" applyBorder="1" applyAlignment="1">
      <alignment horizontal="right" wrapText="1" readingOrder="1"/>
    </xf>
    <xf numFmtId="43" fontId="5" fillId="0" borderId="0" xfId="0" applyNumberFormat="1" applyFont="1"/>
    <xf numFmtId="0" fontId="34" fillId="0" borderId="13" xfId="0" applyFont="1" applyFill="1" applyBorder="1" applyAlignment="1">
      <alignment horizontal="left" vertical="center"/>
    </xf>
    <xf numFmtId="0" fontId="34" fillId="0" borderId="108" xfId="0" applyFont="1" applyFill="1" applyBorder="1" applyAlignment="1">
      <alignment horizontal="left" vertical="center" wrapText="1"/>
    </xf>
    <xf numFmtId="164" fontId="110" fillId="0" borderId="0" xfId="1" applyFont="1" applyFill="1"/>
    <xf numFmtId="0" fontId="0" fillId="0" borderId="0" xfId="0" applyBorder="1" applyAlignment="1">
      <alignment vertical="center" wrapText="1"/>
    </xf>
    <xf numFmtId="0" fontId="0" fillId="0" borderId="86" xfId="0" applyBorder="1" applyAlignment="1">
      <alignment vertical="center" wrapText="1"/>
    </xf>
    <xf numFmtId="0" fontId="36" fillId="0" borderId="0" xfId="0" applyFont="1" applyFill="1" applyAlignment="1"/>
    <xf numFmtId="0" fontId="43" fillId="0" borderId="0" xfId="0" applyFont="1" applyFill="1" applyAlignment="1">
      <alignment horizontal="center"/>
    </xf>
    <xf numFmtId="0" fontId="46" fillId="0" borderId="0" xfId="0" applyFont="1" applyFill="1" applyAlignment="1">
      <alignment horizontal="center"/>
    </xf>
    <xf numFmtId="0" fontId="44" fillId="0" borderId="0" xfId="0" applyFont="1" applyFill="1" applyAlignment="1">
      <alignment horizontal="center"/>
    </xf>
    <xf numFmtId="0" fontId="47" fillId="0" borderId="0" xfId="0" applyFont="1" applyFill="1" applyAlignment="1"/>
    <xf numFmtId="17" fontId="13" fillId="0" borderId="0" xfId="0" applyNumberFormat="1" applyFont="1" applyFill="1" applyAlignment="1"/>
    <xf numFmtId="0" fontId="16" fillId="0" borderId="47" xfId="0" applyFont="1" applyFill="1" applyBorder="1" applyAlignment="1">
      <alignment vertical="center"/>
    </xf>
    <xf numFmtId="1" fontId="134" fillId="0" borderId="0" xfId="0" applyNumberFormat="1" applyFont="1" applyFill="1" applyBorder="1" applyAlignment="1">
      <alignment horizontal="right" vertical="center"/>
    </xf>
    <xf numFmtId="4" fontId="15" fillId="60" borderId="0" xfId="1" applyNumberFormat="1" applyFont="1" applyFill="1" applyAlignment="1">
      <alignment vertical="center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 wrapText="1"/>
    </xf>
    <xf numFmtId="164" fontId="8" fillId="0" borderId="35" xfId="1" applyFont="1" applyFill="1" applyBorder="1" applyAlignment="1">
      <alignment vertical="center"/>
    </xf>
    <xf numFmtId="0" fontId="13" fillId="0" borderId="3" xfId="0" quotePrefix="1" applyFont="1" applyFill="1" applyBorder="1" applyAlignment="1">
      <alignment horizontal="center" vertical="center"/>
    </xf>
    <xf numFmtId="0" fontId="55" fillId="0" borderId="4" xfId="0" applyFont="1" applyFill="1" applyBorder="1"/>
    <xf numFmtId="0" fontId="38" fillId="0" borderId="8" xfId="0" applyFont="1" applyFill="1" applyBorder="1" applyAlignment="1">
      <alignment horizontal="right" vertical="center"/>
    </xf>
    <xf numFmtId="0" fontId="38" fillId="0" borderId="17" xfId="0" applyFont="1" applyFill="1" applyBorder="1" applyAlignment="1">
      <alignment horizontal="left" vertical="center"/>
    </xf>
    <xf numFmtId="0" fontId="38" fillId="0" borderId="8" xfId="0" applyFont="1" applyFill="1" applyBorder="1" applyAlignment="1">
      <alignment horizontal="left" vertical="center"/>
    </xf>
    <xf numFmtId="39" fontId="5" fillId="0" borderId="0" xfId="0" applyNumberFormat="1" applyFont="1" applyFill="1"/>
    <xf numFmtId="4" fontId="134" fillId="0" borderId="0" xfId="0" applyNumberFormat="1" applyFont="1" applyFill="1" applyBorder="1" applyAlignment="1">
      <alignment horizontal="right" wrapText="1" readingOrder="1"/>
    </xf>
    <xf numFmtId="4" fontId="134" fillId="0" borderId="0" xfId="0" applyNumberFormat="1" applyFont="1" applyFill="1" applyBorder="1"/>
    <xf numFmtId="0" fontId="32" fillId="0" borderId="36" xfId="0" applyFont="1" applyFill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center" vertical="center" wrapText="1"/>
    </xf>
    <xf numFmtId="0" fontId="136" fillId="0" borderId="37" xfId="0" applyFont="1" applyFill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left" vertical="center" wrapText="1"/>
    </xf>
    <xf numFmtId="0" fontId="32" fillId="0" borderId="37" xfId="0" applyFont="1" applyFill="1" applyBorder="1" applyAlignment="1">
      <alignment horizontal="center" vertical="center"/>
    </xf>
    <xf numFmtId="15" fontId="32" fillId="0" borderId="37" xfId="0" applyNumberFormat="1" applyFont="1" applyFill="1" applyBorder="1" applyAlignment="1">
      <alignment horizontal="center" vertical="center" wrapText="1"/>
    </xf>
    <xf numFmtId="4" fontId="32" fillId="0" borderId="50" xfId="1" applyNumberFormat="1" applyFont="1" applyFill="1" applyBorder="1" applyAlignment="1">
      <alignment horizontal="center" vertical="center"/>
    </xf>
    <xf numFmtId="4" fontId="136" fillId="59" borderId="0" xfId="0" applyNumberFormat="1" applyFont="1" applyFill="1" applyBorder="1"/>
    <xf numFmtId="0" fontId="27" fillId="0" borderId="0" xfId="0" applyFont="1" applyFill="1"/>
    <xf numFmtId="164" fontId="28" fillId="0" borderId="0" xfId="1" applyFont="1" applyFill="1" applyAlignment="1">
      <alignment horizontal="right" vertical="center"/>
    </xf>
    <xf numFmtId="164" fontId="6" fillId="0" borderId="0" xfId="1" applyFont="1" applyFill="1" applyAlignment="1">
      <alignment horizontal="right" vertical="center"/>
    </xf>
    <xf numFmtId="17" fontId="6" fillId="0" borderId="0" xfId="1" applyNumberFormat="1" applyFont="1" applyFill="1" applyAlignment="1">
      <alignment vertical="center"/>
    </xf>
    <xf numFmtId="167" fontId="16" fillId="0" borderId="0" xfId="0" applyNumberFormat="1" applyFont="1" applyFill="1"/>
    <xf numFmtId="164" fontId="38" fillId="0" borderId="0" xfId="1" applyFont="1" applyFill="1"/>
    <xf numFmtId="164" fontId="8" fillId="0" borderId="0" xfId="1" applyFont="1" applyFill="1"/>
    <xf numFmtId="39" fontId="113" fillId="0" borderId="0" xfId="0" applyNumberFormat="1" applyFont="1" applyFill="1"/>
    <xf numFmtId="0" fontId="136" fillId="0" borderId="36" xfId="0" applyFont="1" applyFill="1" applyBorder="1" applyAlignment="1">
      <alignment horizontal="center" vertical="center" wrapText="1"/>
    </xf>
    <xf numFmtId="0" fontId="136" fillId="0" borderId="37" xfId="0" applyFont="1" applyFill="1" applyBorder="1" applyAlignment="1">
      <alignment horizontal="center" vertical="center"/>
    </xf>
    <xf numFmtId="15" fontId="136" fillId="0" borderId="37" xfId="0" applyNumberFormat="1" applyFont="1" applyFill="1" applyBorder="1" applyAlignment="1">
      <alignment horizontal="center" vertical="center" wrapText="1"/>
    </xf>
    <xf numFmtId="0" fontId="136" fillId="0" borderId="50" xfId="0" applyFont="1" applyFill="1" applyBorder="1" applyAlignment="1">
      <alignment horizontal="center" vertical="center"/>
    </xf>
    <xf numFmtId="164" fontId="28" fillId="0" borderId="0" xfId="1" applyFont="1" applyFill="1" applyAlignment="1">
      <alignment vertical="center"/>
    </xf>
    <xf numFmtId="164" fontId="13" fillId="0" borderId="0" xfId="1" applyFont="1" applyFill="1" applyAlignment="1">
      <alignment vertical="center"/>
    </xf>
    <xf numFmtId="164" fontId="6" fillId="0" borderId="0" xfId="1" applyFont="1" applyFill="1" applyAlignment="1">
      <alignment vertical="center"/>
    </xf>
    <xf numFmtId="164" fontId="29" fillId="0" borderId="0" xfId="1" applyFont="1" applyFill="1" applyAlignment="1">
      <alignment vertical="center"/>
    </xf>
    <xf numFmtId="0" fontId="33" fillId="0" borderId="4" xfId="3" applyFont="1" applyFill="1" applyBorder="1" applyAlignment="1">
      <alignment vertical="center"/>
    </xf>
    <xf numFmtId="0" fontId="13" fillId="0" borderId="5" xfId="3" applyFont="1" applyFill="1" applyBorder="1" applyAlignment="1">
      <alignment horizontal="center" vertical="center"/>
    </xf>
    <xf numFmtId="0" fontId="13" fillId="0" borderId="7" xfId="3" applyFont="1" applyFill="1" applyBorder="1" applyAlignment="1">
      <alignment horizontal="center" vertical="center"/>
    </xf>
    <xf numFmtId="166" fontId="30" fillId="0" borderId="35" xfId="3" applyNumberFormat="1" applyFont="1" applyFill="1" applyBorder="1" applyAlignment="1">
      <alignment horizontal="right" vertical="center"/>
    </xf>
    <xf numFmtId="164" fontId="34" fillId="0" borderId="0" xfId="1" applyFont="1" applyFill="1" applyBorder="1" applyAlignment="1">
      <alignment vertical="center"/>
    </xf>
    <xf numFmtId="0" fontId="5" fillId="0" borderId="110" xfId="3" applyFont="1" applyFill="1" applyBorder="1" applyAlignment="1">
      <alignment vertical="center"/>
    </xf>
    <xf numFmtId="164" fontId="5" fillId="0" borderId="0" xfId="1" applyFont="1" applyFill="1" applyAlignment="1">
      <alignment vertical="center"/>
    </xf>
    <xf numFmtId="0" fontId="34" fillId="0" borderId="0" xfId="3" applyFont="1" applyFill="1" applyBorder="1" applyAlignment="1">
      <alignment vertical="center" wrapText="1"/>
    </xf>
    <xf numFmtId="164" fontId="18" fillId="0" borderId="10" xfId="1" applyFont="1" applyFill="1" applyBorder="1" applyAlignment="1">
      <alignment vertical="center"/>
    </xf>
    <xf numFmtId="4" fontId="13" fillId="0" borderId="37" xfId="3" applyNumberFormat="1" applyFont="1" applyFill="1" applyBorder="1" applyAlignment="1">
      <alignment vertical="center"/>
    </xf>
    <xf numFmtId="164" fontId="18" fillId="0" borderId="10" xfId="1" applyFont="1" applyFill="1" applyBorder="1" applyAlignment="1">
      <alignment horizontal="center" vertical="center"/>
    </xf>
    <xf numFmtId="4" fontId="13" fillId="0" borderId="0" xfId="3" applyNumberFormat="1" applyFont="1" applyFill="1" applyBorder="1" applyAlignment="1">
      <alignment vertical="center"/>
    </xf>
    <xf numFmtId="0" fontId="33" fillId="0" borderId="0" xfId="3" applyFont="1" applyFill="1" applyBorder="1" applyAlignment="1">
      <alignment vertical="center"/>
    </xf>
    <xf numFmtId="164" fontId="37" fillId="0" borderId="0" xfId="1" applyFont="1" applyFill="1" applyBorder="1" applyAlignment="1">
      <alignment vertical="center"/>
    </xf>
    <xf numFmtId="0" fontId="13" fillId="0" borderId="109" xfId="3" applyFont="1" applyFill="1" applyBorder="1" applyAlignment="1">
      <alignment horizontal="center" vertical="center"/>
    </xf>
    <xf numFmtId="0" fontId="34" fillId="0" borderId="35" xfId="3" applyFont="1" applyFill="1" applyBorder="1" applyAlignment="1">
      <alignment vertical="center"/>
    </xf>
    <xf numFmtId="164" fontId="34" fillId="0" borderId="21" xfId="1" applyFont="1" applyFill="1" applyBorder="1" applyAlignment="1">
      <alignment vertical="center"/>
    </xf>
    <xf numFmtId="0" fontId="34" fillId="0" borderId="24" xfId="3" applyFont="1" applyFill="1" applyBorder="1" applyAlignment="1">
      <alignment vertical="center"/>
    </xf>
    <xf numFmtId="0" fontId="34" fillId="0" borderId="111" xfId="3" applyFont="1" applyFill="1" applyBorder="1" applyAlignment="1">
      <alignment vertical="center"/>
    </xf>
    <xf numFmtId="164" fontId="34" fillId="0" borderId="54" xfId="1" applyFont="1" applyFill="1" applyBorder="1" applyAlignment="1">
      <alignment vertical="center"/>
    </xf>
    <xf numFmtId="164" fontId="34" fillId="0" borderId="44" xfId="1" applyFont="1" applyFill="1" applyBorder="1" applyAlignment="1">
      <alignment vertical="center"/>
    </xf>
    <xf numFmtId="164" fontId="34" fillId="0" borderId="45" xfId="1" applyFont="1" applyFill="1" applyBorder="1" applyAlignment="1">
      <alignment vertical="center"/>
    </xf>
    <xf numFmtId="4" fontId="13" fillId="0" borderId="50" xfId="3" applyNumberFormat="1" applyFont="1" applyFill="1" applyBorder="1" applyAlignment="1">
      <alignment vertical="center"/>
    </xf>
    <xf numFmtId="0" fontId="5" fillId="0" borderId="0" xfId="3" applyFont="1" applyFill="1" applyBorder="1" applyAlignment="1">
      <alignment vertical="center"/>
    </xf>
    <xf numFmtId="0" fontId="27" fillId="0" borderId="0" xfId="3" applyFont="1" applyFill="1" applyBorder="1" applyAlignment="1">
      <alignment vertical="center"/>
    </xf>
    <xf numFmtId="164" fontId="27" fillId="0" borderId="0" xfId="1" applyFont="1" applyFill="1" applyBorder="1" applyAlignment="1">
      <alignment vertical="center"/>
    </xf>
    <xf numFmtId="164" fontId="38" fillId="0" borderId="35" xfId="1" applyFont="1" applyFill="1" applyBorder="1" applyAlignment="1">
      <alignment vertical="center"/>
    </xf>
    <xf numFmtId="0" fontId="34" fillId="0" borderId="42" xfId="3" applyFont="1" applyFill="1" applyBorder="1" applyAlignment="1">
      <alignment vertical="center"/>
    </xf>
    <xf numFmtId="164" fontId="34" fillId="0" borderId="43" xfId="1" applyFont="1" applyFill="1" applyBorder="1" applyAlignment="1">
      <alignment vertical="center"/>
    </xf>
    <xf numFmtId="164" fontId="13" fillId="0" borderId="119" xfId="1" applyFont="1" applyFill="1" applyBorder="1" applyAlignment="1">
      <alignment vertical="center"/>
    </xf>
    <xf numFmtId="43" fontId="5" fillId="0" borderId="0" xfId="3" applyNumberFormat="1" applyFont="1" applyFill="1" applyBorder="1" applyAlignment="1">
      <alignment vertical="center"/>
    </xf>
    <xf numFmtId="0" fontId="5" fillId="0" borderId="35" xfId="3" applyFont="1" applyFill="1" applyBorder="1" applyAlignment="1">
      <alignment vertical="center"/>
    </xf>
    <xf numFmtId="0" fontId="166" fillId="0" borderId="0" xfId="3" applyFont="1" applyFill="1" applyBorder="1" applyAlignment="1">
      <alignment vertical="center"/>
    </xf>
    <xf numFmtId="164" fontId="167" fillId="0" borderId="0" xfId="1" applyFont="1" applyFill="1" applyBorder="1" applyAlignment="1">
      <alignment vertical="center"/>
    </xf>
    <xf numFmtId="0" fontId="167" fillId="0" borderId="35" xfId="3" applyFont="1" applyFill="1" applyBorder="1" applyAlignment="1">
      <alignment vertical="center"/>
    </xf>
    <xf numFmtId="0" fontId="5" fillId="0" borderId="116" xfId="3" applyFont="1" applyFill="1" applyBorder="1" applyAlignment="1">
      <alignment vertical="center"/>
    </xf>
    <xf numFmtId="164" fontId="5" fillId="0" borderId="116" xfId="1" applyFont="1" applyFill="1" applyBorder="1" applyAlignment="1">
      <alignment vertical="center"/>
    </xf>
    <xf numFmtId="0" fontId="5" fillId="0" borderId="120" xfId="3" applyFont="1" applyFill="1" applyBorder="1" applyAlignment="1">
      <alignment vertical="center"/>
    </xf>
    <xf numFmtId="17" fontId="6" fillId="0" borderId="0" xfId="0" quotePrefix="1" applyNumberFormat="1" applyFont="1" applyFill="1" applyAlignment="1"/>
    <xf numFmtId="0" fontId="17" fillId="0" borderId="0" xfId="0" applyFont="1" applyFill="1" applyAlignment="1"/>
    <xf numFmtId="0" fontId="18" fillId="0" borderId="0" xfId="0" applyFont="1" applyFill="1" applyAlignment="1"/>
    <xf numFmtId="0" fontId="18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/>
    </xf>
    <xf numFmtId="0" fontId="20" fillId="0" borderId="0" xfId="0" applyFont="1" applyFill="1" applyAlignment="1">
      <alignment vertical="center"/>
    </xf>
    <xf numFmtId="164" fontId="21" fillId="0" borderId="0" xfId="1" applyFont="1" applyFill="1" applyAlignment="1">
      <alignment vertical="center"/>
    </xf>
    <xf numFmtId="0" fontId="41" fillId="0" borderId="0" xfId="0" applyFont="1" applyFill="1" applyAlignment="1">
      <alignment vertical="center"/>
    </xf>
    <xf numFmtId="164" fontId="41" fillId="0" borderId="0" xfId="1" applyFont="1" applyFill="1" applyAlignment="1">
      <alignment vertical="center"/>
    </xf>
    <xf numFmtId="164" fontId="15" fillId="0" borderId="0" xfId="1" applyFont="1" applyFill="1" applyAlignment="1">
      <alignment vertical="center"/>
    </xf>
    <xf numFmtId="0" fontId="141" fillId="0" borderId="0" xfId="0" applyFont="1" applyFill="1" applyAlignment="1">
      <alignment vertical="center"/>
    </xf>
    <xf numFmtId="0" fontId="20" fillId="0" borderId="0" xfId="0" applyFont="1" applyFill="1"/>
    <xf numFmtId="0" fontId="23" fillId="0" borderId="0" xfId="0" applyFont="1" applyFill="1"/>
    <xf numFmtId="4" fontId="20" fillId="0" borderId="0" xfId="0" applyNumberFormat="1" applyFont="1" applyFill="1"/>
    <xf numFmtId="164" fontId="24" fillId="0" borderId="0" xfId="1" applyFont="1" applyFill="1"/>
    <xf numFmtId="164" fontId="16" fillId="0" borderId="0" xfId="0" applyNumberFormat="1" applyFont="1" applyFill="1"/>
    <xf numFmtId="0" fontId="25" fillId="0" borderId="0" xfId="0" applyFont="1" applyFill="1"/>
    <xf numFmtId="0" fontId="24" fillId="0" borderId="0" xfId="0" applyFont="1" applyFill="1"/>
    <xf numFmtId="164" fontId="22" fillId="0" borderId="0" xfId="1" applyFont="1" applyFill="1" applyAlignment="1">
      <alignment vertical="center"/>
    </xf>
    <xf numFmtId="165" fontId="4" fillId="0" borderId="1" xfId="2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164" fontId="4" fillId="0" borderId="2" xfId="0" applyNumberFormat="1" applyFont="1" applyFill="1" applyBorder="1" applyAlignment="1">
      <alignment vertical="center"/>
    </xf>
    <xf numFmtId="0" fontId="32" fillId="0" borderId="0" xfId="0" applyFont="1" applyFill="1" applyBorder="1" applyAlignment="1">
      <alignment horizontal="center" vertical="center" wrapText="1"/>
    </xf>
    <xf numFmtId="0" fontId="136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15" fontId="32" fillId="0" borderId="0" xfId="0" applyNumberFormat="1" applyFont="1" applyFill="1" applyBorder="1" applyAlignment="1">
      <alignment horizontal="center" vertical="center" wrapText="1"/>
    </xf>
    <xf numFmtId="4" fontId="32" fillId="0" borderId="0" xfId="1" applyNumberFormat="1" applyFont="1" applyFill="1" applyBorder="1" applyAlignment="1">
      <alignment horizontal="center" vertical="center"/>
    </xf>
    <xf numFmtId="1" fontId="32" fillId="0" borderId="37" xfId="0" applyNumberFormat="1" applyFont="1" applyFill="1" applyBorder="1" applyAlignment="1">
      <alignment horizontal="center" vertical="center" wrapText="1"/>
    </xf>
    <xf numFmtId="1" fontId="134" fillId="0" borderId="0" xfId="0" applyNumberFormat="1" applyFont="1" applyBorder="1" applyAlignment="1">
      <alignment horizontal="center"/>
    </xf>
    <xf numFmtId="1" fontId="32" fillId="0" borderId="0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Fill="1" applyBorder="1" applyAlignment="1">
      <alignment vertical="top"/>
    </xf>
    <xf numFmtId="4" fontId="136" fillId="0" borderId="0" xfId="0" applyNumberFormat="1" applyFont="1" applyFill="1" applyBorder="1"/>
    <xf numFmtId="164" fontId="34" fillId="0" borderId="105" xfId="1" applyFont="1" applyFill="1" applyBorder="1" applyAlignment="1">
      <alignment vertical="center"/>
    </xf>
    <xf numFmtId="0" fontId="110" fillId="0" borderId="0" xfId="0" applyFont="1" applyFill="1" applyBorder="1" applyAlignment="1"/>
    <xf numFmtId="0" fontId="110" fillId="0" borderId="0" xfId="0" applyFont="1" applyFill="1" applyBorder="1" applyAlignment="1">
      <alignment horizontal="center"/>
    </xf>
    <xf numFmtId="15" fontId="110" fillId="0" borderId="0" xfId="0" applyNumberFormat="1" applyFont="1" applyFill="1" applyBorder="1" applyAlignment="1">
      <alignment horizontal="center"/>
    </xf>
    <xf numFmtId="0" fontId="136" fillId="0" borderId="0" xfId="0" applyFont="1" applyFill="1" applyBorder="1" applyAlignment="1">
      <alignment horizontal="left" vertical="center" wrapText="1"/>
    </xf>
    <xf numFmtId="0" fontId="134" fillId="0" borderId="0" xfId="0" applyFont="1" applyFill="1" applyBorder="1" applyAlignment="1">
      <alignment horizontal="left" vertical="center" wrapText="1"/>
    </xf>
    <xf numFmtId="17" fontId="134" fillId="0" borderId="0" xfId="0" applyNumberFormat="1" applyFont="1" applyFill="1" applyBorder="1" applyAlignment="1">
      <alignment horizontal="center" vertical="center" wrapText="1"/>
    </xf>
    <xf numFmtId="15" fontId="134" fillId="0" borderId="0" xfId="0" applyNumberFormat="1" applyFont="1" applyFill="1" applyBorder="1" applyAlignment="1">
      <alignment horizontal="center" vertical="center" wrapText="1"/>
    </xf>
    <xf numFmtId="15" fontId="134" fillId="0" borderId="0" xfId="0" applyNumberFormat="1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/>
    </xf>
    <xf numFmtId="164" fontId="136" fillId="0" borderId="0" xfId="1" applyFont="1" applyFill="1" applyBorder="1" applyAlignment="1" applyProtection="1">
      <alignment vertical="center" wrapText="1"/>
    </xf>
    <xf numFmtId="164" fontId="136" fillId="0" borderId="0" xfId="1" applyFont="1" applyFill="1" applyBorder="1" applyAlignment="1" applyProtection="1">
      <alignment horizontal="left" vertical="center"/>
    </xf>
    <xf numFmtId="164" fontId="136" fillId="0" borderId="0" xfId="1" applyFont="1" applyFill="1" applyBorder="1" applyAlignment="1" applyProtection="1">
      <alignment horizontal="left" vertical="center" wrapText="1"/>
    </xf>
    <xf numFmtId="15" fontId="136" fillId="0" borderId="0" xfId="1" applyNumberFormat="1" applyFont="1" applyFill="1" applyBorder="1" applyAlignment="1" applyProtection="1">
      <alignment horizontal="center" vertical="center" wrapText="1"/>
    </xf>
    <xf numFmtId="164" fontId="136" fillId="0" borderId="0" xfId="1" applyFont="1" applyFill="1" applyBorder="1" applyAlignment="1" applyProtection="1">
      <alignment vertical="center"/>
    </xf>
    <xf numFmtId="164" fontId="136" fillId="0" borderId="0" xfId="1" applyFont="1" applyFill="1" applyBorder="1" applyAlignment="1" applyProtection="1">
      <alignment horizontal="center" vertical="center"/>
    </xf>
    <xf numFmtId="164" fontId="136" fillId="0" borderId="0" xfId="1" quotePrefix="1" applyFont="1" applyFill="1" applyBorder="1" applyAlignment="1" applyProtection="1">
      <alignment vertical="center" wrapText="1"/>
    </xf>
    <xf numFmtId="164" fontId="136" fillId="0" borderId="0" xfId="1" quotePrefix="1" applyFont="1" applyFill="1" applyBorder="1" applyAlignment="1" applyProtection="1">
      <alignment horizontal="left" vertical="center"/>
    </xf>
    <xf numFmtId="17" fontId="136" fillId="0" borderId="0" xfId="0" applyNumberFormat="1" applyFont="1" applyFill="1" applyAlignment="1">
      <alignment horizontal="center" vertical="center"/>
    </xf>
    <xf numFmtId="17" fontId="136" fillId="0" borderId="0" xfId="3" applyNumberFormat="1" applyFont="1" applyFill="1" applyAlignment="1">
      <alignment horizontal="left" vertical="center" wrapText="1"/>
    </xf>
    <xf numFmtId="15" fontId="136" fillId="0" borderId="0" xfId="1" quotePrefix="1" applyNumberFormat="1" applyFont="1" applyFill="1" applyBorder="1" applyAlignment="1" applyProtection="1">
      <alignment horizontal="center" vertical="center" wrapText="1"/>
    </xf>
    <xf numFmtId="0" fontId="136" fillId="59" borderId="36" xfId="3" applyFont="1" applyFill="1" applyBorder="1" applyAlignment="1">
      <alignment horizontal="center" vertical="center" wrapText="1"/>
    </xf>
    <xf numFmtId="0" fontId="136" fillId="59" borderId="37" xfId="3" applyFont="1" applyFill="1" applyBorder="1" applyAlignment="1">
      <alignment horizontal="center" vertical="center" wrapText="1"/>
    </xf>
    <xf numFmtId="0" fontId="136" fillId="59" borderId="37" xfId="3" applyFont="1" applyFill="1" applyBorder="1" applyAlignment="1">
      <alignment vertical="center"/>
    </xf>
    <xf numFmtId="0" fontId="136" fillId="59" borderId="37" xfId="3" applyFont="1" applyFill="1" applyBorder="1" applyAlignment="1">
      <alignment horizontal="left" vertical="center"/>
    </xf>
    <xf numFmtId="0" fontId="136" fillId="59" borderId="37" xfId="3" applyFont="1" applyFill="1" applyBorder="1" applyAlignment="1">
      <alignment horizontal="left" vertical="center" wrapText="1"/>
    </xf>
    <xf numFmtId="0" fontId="136" fillId="59" borderId="37" xfId="3" applyFont="1" applyFill="1" applyBorder="1" applyAlignment="1">
      <alignment horizontal="center" vertical="center"/>
    </xf>
    <xf numFmtId="15" fontId="136" fillId="59" borderId="37" xfId="3" applyNumberFormat="1" applyFont="1" applyFill="1" applyBorder="1" applyAlignment="1">
      <alignment horizontal="center" vertical="center" wrapText="1"/>
    </xf>
    <xf numFmtId="4" fontId="136" fillId="59" borderId="50" xfId="1" applyNumberFormat="1" applyFont="1" applyFill="1" applyBorder="1" applyAlignment="1">
      <alignment horizontal="center" vertical="center"/>
    </xf>
    <xf numFmtId="17" fontId="134" fillId="0" borderId="0" xfId="0" applyNumberFormat="1" applyFont="1" applyFill="1" applyBorder="1" applyAlignment="1">
      <alignment horizontal="center" wrapText="1"/>
    </xf>
    <xf numFmtId="15" fontId="134" fillId="0" borderId="0" xfId="0" applyNumberFormat="1" applyFont="1" applyFill="1" applyBorder="1" applyAlignment="1">
      <alignment horizontal="center" wrapText="1"/>
    </xf>
    <xf numFmtId="0" fontId="136" fillId="59" borderId="0" xfId="0" applyFont="1" applyFill="1" applyBorder="1" applyAlignment="1">
      <alignment horizontal="left" readingOrder="1"/>
    </xf>
    <xf numFmtId="17" fontId="136" fillId="59" borderId="0" xfId="0" applyNumberFormat="1" applyFont="1" applyFill="1" applyBorder="1" applyAlignment="1">
      <alignment horizontal="center" wrapText="1"/>
    </xf>
    <xf numFmtId="15" fontId="136" fillId="59" borderId="0" xfId="0" applyNumberFormat="1" applyFont="1" applyFill="1" applyBorder="1" applyAlignment="1">
      <alignment horizontal="center" wrapText="1"/>
    </xf>
    <xf numFmtId="0" fontId="9" fillId="0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/>
    </xf>
    <xf numFmtId="0" fontId="38" fillId="0" borderId="56" xfId="0" applyFont="1" applyFill="1" applyBorder="1" applyAlignment="1">
      <alignment vertical="center"/>
    </xf>
    <xf numFmtId="0" fontId="34" fillId="0" borderId="2" xfId="0" applyFont="1" applyFill="1" applyBorder="1" applyAlignment="1">
      <alignment horizontal="left" vertical="top"/>
    </xf>
    <xf numFmtId="0" fontId="6" fillId="0" borderId="0" xfId="0" applyFont="1" applyFill="1" applyAlignment="1">
      <alignment horizontal="right"/>
    </xf>
    <xf numFmtId="0" fontId="14" fillId="0" borderId="19" xfId="0" applyFont="1" applyFill="1" applyBorder="1" applyAlignment="1">
      <alignment horizontal="left" vertical="center" wrapText="1"/>
    </xf>
    <xf numFmtId="0" fontId="14" fillId="0" borderId="56" xfId="0" applyFont="1" applyFill="1" applyBorder="1" applyAlignment="1">
      <alignment horizontal="left" vertical="center" wrapText="1"/>
    </xf>
    <xf numFmtId="0" fontId="14" fillId="0" borderId="13" xfId="0" applyFont="1" applyFill="1" applyBorder="1" applyAlignment="1">
      <alignment horizontal="left" vertical="center" wrapText="1"/>
    </xf>
    <xf numFmtId="0" fontId="14" fillId="0" borderId="25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14" fillId="0" borderId="52" xfId="0" applyFont="1" applyFill="1" applyBorder="1" applyAlignment="1">
      <alignment horizontal="left" vertical="center" wrapText="1"/>
    </xf>
    <xf numFmtId="0" fontId="130" fillId="0" borderId="85" xfId="0" applyFont="1" applyBorder="1" applyAlignment="1">
      <alignment horizontal="left" vertical="center"/>
    </xf>
    <xf numFmtId="0" fontId="0" fillId="0" borderId="35" xfId="0" applyBorder="1"/>
    <xf numFmtId="17" fontId="36" fillId="0" borderId="0" xfId="0" applyNumberFormat="1" applyFont="1" applyFill="1" applyAlignment="1">
      <alignment horizontal="left"/>
    </xf>
    <xf numFmtId="0" fontId="125" fillId="58" borderId="59" xfId="0" quotePrefix="1" applyFont="1" applyFill="1" applyBorder="1" applyAlignment="1">
      <alignment horizontal="left" vertical="center" wrapText="1"/>
    </xf>
    <xf numFmtId="0" fontId="126" fillId="0" borderId="2" xfId="0" applyFont="1" applyBorder="1" applyAlignment="1">
      <alignment horizontal="left" vertical="center" wrapText="1"/>
    </xf>
    <xf numFmtId="0" fontId="126" fillId="0" borderId="96" xfId="0" applyFont="1" applyBorder="1" applyAlignment="1">
      <alignment horizontal="left" vertical="center" wrapText="1"/>
    </xf>
    <xf numFmtId="0" fontId="50" fillId="0" borderId="85" xfId="0" applyFont="1" applyBorder="1" applyAlignment="1" applyProtection="1">
      <alignment horizontal="right" vertical="center" textRotation="90"/>
    </xf>
    <xf numFmtId="0" fontId="145" fillId="0" borderId="85" xfId="0" applyFont="1" applyBorder="1" applyAlignment="1">
      <alignment vertical="center" wrapText="1"/>
    </xf>
    <xf numFmtId="0" fontId="16" fillId="0" borderId="0" xfId="0" applyFont="1" applyBorder="1" applyAlignment="1">
      <alignment vertical="center" wrapText="1"/>
    </xf>
    <xf numFmtId="0" fontId="16" fillId="0" borderId="86" xfId="0" applyFont="1" applyBorder="1" applyAlignment="1">
      <alignment vertical="center" wrapText="1"/>
    </xf>
    <xf numFmtId="0" fontId="16" fillId="0" borderId="85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86" xfId="0" applyBorder="1" applyAlignment="1">
      <alignment vertical="center" wrapText="1"/>
    </xf>
    <xf numFmtId="0" fontId="0" fillId="0" borderId="85" xfId="0" applyBorder="1" applyAlignment="1">
      <alignment vertical="center" wrapText="1"/>
    </xf>
    <xf numFmtId="0" fontId="50" fillId="0" borderId="17" xfId="0" applyFont="1" applyBorder="1" applyAlignment="1" applyProtection="1">
      <alignment horizontal="center" vertical="center" textRotation="90"/>
    </xf>
    <xf numFmtId="0" fontId="43" fillId="0" borderId="0" xfId="0" applyFont="1" applyAlignment="1">
      <alignment horizontal="center"/>
    </xf>
    <xf numFmtId="0" fontId="7" fillId="0" borderId="0" xfId="0" applyFont="1" applyAlignment="1">
      <alignment horizontal="center" vertical="center" wrapText="1"/>
    </xf>
    <xf numFmtId="164" fontId="6" fillId="0" borderId="0" xfId="1" applyFont="1" applyFill="1" applyBorder="1" applyAlignment="1" applyProtection="1">
      <alignment horizontal="center" vertical="center" wrapText="1"/>
    </xf>
    <xf numFmtId="164" fontId="13" fillId="0" borderId="0" xfId="1" applyFont="1" applyFill="1" applyBorder="1" applyAlignment="1" applyProtection="1">
      <alignment horizontal="center" wrapText="1"/>
    </xf>
    <xf numFmtId="164" fontId="18" fillId="0" borderId="0" xfId="1" applyFont="1" applyFill="1" applyBorder="1" applyAlignment="1" applyProtection="1">
      <alignment horizontal="center" vertical="center" wrapText="1"/>
    </xf>
    <xf numFmtId="0" fontId="45" fillId="0" borderId="0" xfId="0" applyFont="1" applyAlignment="1">
      <alignment horizontal="center"/>
    </xf>
    <xf numFmtId="17" fontId="45" fillId="0" borderId="0" xfId="0" quotePrefix="1" applyNumberFormat="1" applyFont="1" applyAlignment="1">
      <alignment horizontal="center"/>
    </xf>
    <xf numFmtId="164" fontId="152" fillId="0" borderId="0" xfId="1" applyFont="1" applyFill="1" applyBorder="1" applyAlignment="1">
      <alignment horizontal="center" vertical="center"/>
    </xf>
    <xf numFmtId="164" fontId="152" fillId="0" borderId="0" xfId="1" applyFont="1" applyFill="1" applyBorder="1" applyAlignment="1" applyProtection="1">
      <alignment horizontal="right" vertical="center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 wrapText="1"/>
    </xf>
    <xf numFmtId="17" fontId="5" fillId="0" borderId="0" xfId="0" applyNumberFormat="1" applyFont="1" applyFill="1" applyBorder="1" applyAlignment="1">
      <alignment vertical="center"/>
    </xf>
    <xf numFmtId="15" fontId="5" fillId="0" borderId="0" xfId="0" applyNumberFormat="1" applyFont="1" applyFill="1" applyBorder="1" applyAlignment="1">
      <alignment vertical="center"/>
    </xf>
    <xf numFmtId="0" fontId="18" fillId="0" borderId="0" xfId="0" applyFont="1" applyAlignment="1">
      <alignment horizontal="center"/>
    </xf>
  </cellXfs>
  <cellStyles count="298">
    <cellStyle name="20% - Accent1" xfId="32" xr:uid="{00000000-0005-0000-0000-000000000000}"/>
    <cellStyle name="20% - Accent2" xfId="33" xr:uid="{00000000-0005-0000-0000-000001000000}"/>
    <cellStyle name="20% - Accent3" xfId="34" xr:uid="{00000000-0005-0000-0000-000002000000}"/>
    <cellStyle name="20% - Accent4" xfId="35" xr:uid="{00000000-0005-0000-0000-000003000000}"/>
    <cellStyle name="20% - Accent5" xfId="36" xr:uid="{00000000-0005-0000-0000-000004000000}"/>
    <cellStyle name="20% - Accent6" xfId="37" xr:uid="{00000000-0005-0000-0000-000005000000}"/>
    <cellStyle name="20% - Ênfase1" xfId="269" builtinId="30" customBuiltin="1"/>
    <cellStyle name="20% - Ênfase1 2" xfId="38" xr:uid="{00000000-0005-0000-0000-000007000000}"/>
    <cellStyle name="20% - Ênfase1 3" xfId="39" xr:uid="{00000000-0005-0000-0000-000008000000}"/>
    <cellStyle name="20% - Ênfase1 4" xfId="40" xr:uid="{00000000-0005-0000-0000-000009000000}"/>
    <cellStyle name="20% - Ênfase2" xfId="273" builtinId="34" customBuiltin="1"/>
    <cellStyle name="20% - Ênfase2 2" xfId="41" xr:uid="{00000000-0005-0000-0000-00000B000000}"/>
    <cellStyle name="20% - Ênfase2 3" xfId="42" xr:uid="{00000000-0005-0000-0000-00000C000000}"/>
    <cellStyle name="20% - Ênfase2 4" xfId="43" xr:uid="{00000000-0005-0000-0000-00000D000000}"/>
    <cellStyle name="20% - Ênfase3" xfId="277" builtinId="38" customBuiltin="1"/>
    <cellStyle name="20% - Ênfase3 2" xfId="44" xr:uid="{00000000-0005-0000-0000-00000F000000}"/>
    <cellStyle name="20% - Ênfase3 3" xfId="45" xr:uid="{00000000-0005-0000-0000-000010000000}"/>
    <cellStyle name="20% - Ênfase3 4" xfId="46" xr:uid="{00000000-0005-0000-0000-000011000000}"/>
    <cellStyle name="20% - Ênfase4" xfId="281" builtinId="42" customBuiltin="1"/>
    <cellStyle name="20% - Ênfase4 2" xfId="47" xr:uid="{00000000-0005-0000-0000-000013000000}"/>
    <cellStyle name="20% - Ênfase4 3" xfId="48" xr:uid="{00000000-0005-0000-0000-000014000000}"/>
    <cellStyle name="20% - Ênfase4 4" xfId="49" xr:uid="{00000000-0005-0000-0000-000015000000}"/>
    <cellStyle name="20% - Ênfase5" xfId="285" builtinId="46" customBuiltin="1"/>
    <cellStyle name="20% - Ênfase5 2" xfId="50" xr:uid="{00000000-0005-0000-0000-000017000000}"/>
    <cellStyle name="20% - Ênfase5 3" xfId="51" xr:uid="{00000000-0005-0000-0000-000018000000}"/>
    <cellStyle name="20% - Ênfase5 4" xfId="52" xr:uid="{00000000-0005-0000-0000-000019000000}"/>
    <cellStyle name="20% - Ênfase6" xfId="289" builtinId="50" customBuiltin="1"/>
    <cellStyle name="20% - Ênfase6 2" xfId="53" xr:uid="{00000000-0005-0000-0000-00001B000000}"/>
    <cellStyle name="20% - Ênfase6 3" xfId="54" xr:uid="{00000000-0005-0000-0000-00001C000000}"/>
    <cellStyle name="20% - Ênfase6 4" xfId="55" xr:uid="{00000000-0005-0000-0000-00001D000000}"/>
    <cellStyle name="40% - Accent1" xfId="56" xr:uid="{00000000-0005-0000-0000-00001E000000}"/>
    <cellStyle name="40% - Accent2" xfId="57" xr:uid="{00000000-0005-0000-0000-00001F000000}"/>
    <cellStyle name="40% - Accent3" xfId="58" xr:uid="{00000000-0005-0000-0000-000020000000}"/>
    <cellStyle name="40% - Accent4" xfId="59" xr:uid="{00000000-0005-0000-0000-000021000000}"/>
    <cellStyle name="40% - Accent5" xfId="60" xr:uid="{00000000-0005-0000-0000-000022000000}"/>
    <cellStyle name="40% - Accent6" xfId="61" xr:uid="{00000000-0005-0000-0000-000023000000}"/>
    <cellStyle name="40% - Ênfase1" xfId="270" builtinId="31" customBuiltin="1"/>
    <cellStyle name="40% - Ênfase1 2" xfId="62" xr:uid="{00000000-0005-0000-0000-000025000000}"/>
    <cellStyle name="40% - Ênfase1 3" xfId="63" xr:uid="{00000000-0005-0000-0000-000026000000}"/>
    <cellStyle name="40% - Ênfase1 4" xfId="64" xr:uid="{00000000-0005-0000-0000-000027000000}"/>
    <cellStyle name="40% - Ênfase2" xfId="274" builtinId="35" customBuiltin="1"/>
    <cellStyle name="40% - Ênfase2 2" xfId="65" xr:uid="{00000000-0005-0000-0000-000029000000}"/>
    <cellStyle name="40% - Ênfase2 3" xfId="66" xr:uid="{00000000-0005-0000-0000-00002A000000}"/>
    <cellStyle name="40% - Ênfase2 4" xfId="67" xr:uid="{00000000-0005-0000-0000-00002B000000}"/>
    <cellStyle name="40% - Ênfase3" xfId="278" builtinId="39" customBuiltin="1"/>
    <cellStyle name="40% - Ênfase3 2" xfId="68" xr:uid="{00000000-0005-0000-0000-00002D000000}"/>
    <cellStyle name="40% - Ênfase3 3" xfId="69" xr:uid="{00000000-0005-0000-0000-00002E000000}"/>
    <cellStyle name="40% - Ênfase3 4" xfId="70" xr:uid="{00000000-0005-0000-0000-00002F000000}"/>
    <cellStyle name="40% - Ênfase4" xfId="282" builtinId="43" customBuiltin="1"/>
    <cellStyle name="40% - Ênfase4 2" xfId="71" xr:uid="{00000000-0005-0000-0000-000031000000}"/>
    <cellStyle name="40% - Ênfase4 3" xfId="72" xr:uid="{00000000-0005-0000-0000-000032000000}"/>
    <cellStyle name="40% - Ênfase4 4" xfId="73" xr:uid="{00000000-0005-0000-0000-000033000000}"/>
    <cellStyle name="40% - Ênfase5" xfId="286" builtinId="47" customBuiltin="1"/>
    <cellStyle name="40% - Ênfase5 2" xfId="74" xr:uid="{00000000-0005-0000-0000-000035000000}"/>
    <cellStyle name="40% - Ênfase5 3" xfId="75" xr:uid="{00000000-0005-0000-0000-000036000000}"/>
    <cellStyle name="40% - Ênfase5 4" xfId="76" xr:uid="{00000000-0005-0000-0000-000037000000}"/>
    <cellStyle name="40% - Ênfase6" xfId="290" builtinId="51" customBuiltin="1"/>
    <cellStyle name="40% - Ênfase6 2" xfId="77" xr:uid="{00000000-0005-0000-0000-000039000000}"/>
    <cellStyle name="40% - Ênfase6 3" xfId="78" xr:uid="{00000000-0005-0000-0000-00003A000000}"/>
    <cellStyle name="40% - Ênfase6 4" xfId="79" xr:uid="{00000000-0005-0000-0000-00003B000000}"/>
    <cellStyle name="60% - Accent1" xfId="80" xr:uid="{00000000-0005-0000-0000-00003C000000}"/>
    <cellStyle name="60% - Accent2" xfId="81" xr:uid="{00000000-0005-0000-0000-00003D000000}"/>
    <cellStyle name="60% - Accent3" xfId="82" xr:uid="{00000000-0005-0000-0000-00003E000000}"/>
    <cellStyle name="60% - Accent4" xfId="83" xr:uid="{00000000-0005-0000-0000-00003F000000}"/>
    <cellStyle name="60% - Accent5" xfId="84" xr:uid="{00000000-0005-0000-0000-000040000000}"/>
    <cellStyle name="60% - Accent6" xfId="85" xr:uid="{00000000-0005-0000-0000-000041000000}"/>
    <cellStyle name="60% - Ênfase1" xfId="271" builtinId="32" customBuiltin="1"/>
    <cellStyle name="60% - Ênfase1 2" xfId="86" xr:uid="{00000000-0005-0000-0000-000043000000}"/>
    <cellStyle name="60% - Ênfase1 3" xfId="87" xr:uid="{00000000-0005-0000-0000-000044000000}"/>
    <cellStyle name="60% - Ênfase1 4" xfId="88" xr:uid="{00000000-0005-0000-0000-000045000000}"/>
    <cellStyle name="60% - Ênfase2" xfId="275" builtinId="36" customBuiltin="1"/>
    <cellStyle name="60% - Ênfase2 2" xfId="89" xr:uid="{00000000-0005-0000-0000-000047000000}"/>
    <cellStyle name="60% - Ênfase2 3" xfId="90" xr:uid="{00000000-0005-0000-0000-000048000000}"/>
    <cellStyle name="60% - Ênfase2 4" xfId="91" xr:uid="{00000000-0005-0000-0000-000049000000}"/>
    <cellStyle name="60% - Ênfase3" xfId="279" builtinId="40" customBuiltin="1"/>
    <cellStyle name="60% - Ênfase3 2" xfId="92" xr:uid="{00000000-0005-0000-0000-00004B000000}"/>
    <cellStyle name="60% - Ênfase3 3" xfId="93" xr:uid="{00000000-0005-0000-0000-00004C000000}"/>
    <cellStyle name="60% - Ênfase3 4" xfId="94" xr:uid="{00000000-0005-0000-0000-00004D000000}"/>
    <cellStyle name="60% - Ênfase4" xfId="283" builtinId="44" customBuiltin="1"/>
    <cellStyle name="60% - Ênfase4 2" xfId="95" xr:uid="{00000000-0005-0000-0000-00004F000000}"/>
    <cellStyle name="60% - Ênfase4 3" xfId="96" xr:uid="{00000000-0005-0000-0000-000050000000}"/>
    <cellStyle name="60% - Ênfase4 4" xfId="97" xr:uid="{00000000-0005-0000-0000-000051000000}"/>
    <cellStyle name="60% - Ênfase5" xfId="287" builtinId="48" customBuiltin="1"/>
    <cellStyle name="60% - Ênfase5 2" xfId="98" xr:uid="{00000000-0005-0000-0000-000053000000}"/>
    <cellStyle name="60% - Ênfase5 3" xfId="99" xr:uid="{00000000-0005-0000-0000-000054000000}"/>
    <cellStyle name="60% - Ênfase5 4" xfId="100" xr:uid="{00000000-0005-0000-0000-000055000000}"/>
    <cellStyle name="60% - Ênfase6" xfId="291" builtinId="52" customBuiltin="1"/>
    <cellStyle name="60% - Ênfase6 2" xfId="101" xr:uid="{00000000-0005-0000-0000-000057000000}"/>
    <cellStyle name="60% - Ênfase6 3" xfId="102" xr:uid="{00000000-0005-0000-0000-000058000000}"/>
    <cellStyle name="60% - Ênfase6 4" xfId="103" xr:uid="{00000000-0005-0000-0000-000059000000}"/>
    <cellStyle name="Accent1" xfId="104" xr:uid="{00000000-0005-0000-0000-00005A000000}"/>
    <cellStyle name="Accent2" xfId="105" xr:uid="{00000000-0005-0000-0000-00005B000000}"/>
    <cellStyle name="Accent3" xfId="106" xr:uid="{00000000-0005-0000-0000-00005C000000}"/>
    <cellStyle name="Accent4" xfId="107" xr:uid="{00000000-0005-0000-0000-00005D000000}"/>
    <cellStyle name="Accent5" xfId="108" xr:uid="{00000000-0005-0000-0000-00005E000000}"/>
    <cellStyle name="Accent6" xfId="109" xr:uid="{00000000-0005-0000-0000-00005F000000}"/>
    <cellStyle name="Bad" xfId="110" xr:uid="{00000000-0005-0000-0000-000060000000}"/>
    <cellStyle name="Bom" xfId="257" builtinId="26" customBuiltin="1"/>
    <cellStyle name="Bom 2" xfId="111" xr:uid="{00000000-0005-0000-0000-000062000000}"/>
    <cellStyle name="Bom 3" xfId="112" xr:uid="{00000000-0005-0000-0000-000063000000}"/>
    <cellStyle name="Bom 4" xfId="113" xr:uid="{00000000-0005-0000-0000-000064000000}"/>
    <cellStyle name="Calculation" xfId="114" xr:uid="{00000000-0005-0000-0000-000065000000}"/>
    <cellStyle name="Cálculo" xfId="262" builtinId="22" customBuiltin="1"/>
    <cellStyle name="Cálculo 2" xfId="115" xr:uid="{00000000-0005-0000-0000-000067000000}"/>
    <cellStyle name="Cálculo 3" xfId="116" xr:uid="{00000000-0005-0000-0000-000068000000}"/>
    <cellStyle name="Cálculo 4" xfId="117" xr:uid="{00000000-0005-0000-0000-000069000000}"/>
    <cellStyle name="Célula de Verificação" xfId="264" builtinId="23" customBuiltin="1"/>
    <cellStyle name="Célula de Verificação 2" xfId="118" xr:uid="{00000000-0005-0000-0000-00006B000000}"/>
    <cellStyle name="Célula de Verificação 3" xfId="119" xr:uid="{00000000-0005-0000-0000-00006C000000}"/>
    <cellStyle name="Célula de Verificação 4" xfId="120" xr:uid="{00000000-0005-0000-0000-00006D000000}"/>
    <cellStyle name="Célula Vinculada" xfId="263" builtinId="24" customBuiltin="1"/>
    <cellStyle name="Célula Vinculada 2" xfId="121" xr:uid="{00000000-0005-0000-0000-00006F000000}"/>
    <cellStyle name="Célula Vinculada 3" xfId="122" xr:uid="{00000000-0005-0000-0000-000070000000}"/>
    <cellStyle name="Célula Vinculada 4" xfId="123" xr:uid="{00000000-0005-0000-0000-000071000000}"/>
    <cellStyle name="Check Cell" xfId="124" xr:uid="{00000000-0005-0000-0000-000072000000}"/>
    <cellStyle name="Ênfase1" xfId="268" builtinId="29" customBuiltin="1"/>
    <cellStyle name="Ênfase1 2" xfId="125" xr:uid="{00000000-0005-0000-0000-000074000000}"/>
    <cellStyle name="Ênfase1 3" xfId="126" xr:uid="{00000000-0005-0000-0000-000075000000}"/>
    <cellStyle name="Ênfase1 4" xfId="127" xr:uid="{00000000-0005-0000-0000-000076000000}"/>
    <cellStyle name="Ênfase2" xfId="272" builtinId="33" customBuiltin="1"/>
    <cellStyle name="Ênfase2 2" xfId="128" xr:uid="{00000000-0005-0000-0000-000078000000}"/>
    <cellStyle name="Ênfase2 3" xfId="129" xr:uid="{00000000-0005-0000-0000-000079000000}"/>
    <cellStyle name="Ênfase2 4" xfId="130" xr:uid="{00000000-0005-0000-0000-00007A000000}"/>
    <cellStyle name="Ênfase3" xfId="276" builtinId="37" customBuiltin="1"/>
    <cellStyle name="Ênfase3 2" xfId="131" xr:uid="{00000000-0005-0000-0000-00007C000000}"/>
    <cellStyle name="Ênfase3 3" xfId="132" xr:uid="{00000000-0005-0000-0000-00007D000000}"/>
    <cellStyle name="Ênfase3 4" xfId="133" xr:uid="{00000000-0005-0000-0000-00007E000000}"/>
    <cellStyle name="Ênfase4" xfId="280" builtinId="41" customBuiltin="1"/>
    <cellStyle name="Ênfase4 2" xfId="134" xr:uid="{00000000-0005-0000-0000-000080000000}"/>
    <cellStyle name="Ênfase4 3" xfId="135" xr:uid="{00000000-0005-0000-0000-000081000000}"/>
    <cellStyle name="Ênfase4 4" xfId="136" xr:uid="{00000000-0005-0000-0000-000082000000}"/>
    <cellStyle name="Ênfase5" xfId="284" builtinId="45" customBuiltin="1"/>
    <cellStyle name="Ênfase5 2" xfId="137" xr:uid="{00000000-0005-0000-0000-000084000000}"/>
    <cellStyle name="Ênfase5 3" xfId="138" xr:uid="{00000000-0005-0000-0000-000085000000}"/>
    <cellStyle name="Ênfase5 4" xfId="139" xr:uid="{00000000-0005-0000-0000-000086000000}"/>
    <cellStyle name="Ênfase6" xfId="288" builtinId="49" customBuiltin="1"/>
    <cellStyle name="Ênfase6 2" xfId="140" xr:uid="{00000000-0005-0000-0000-000088000000}"/>
    <cellStyle name="Ênfase6 3" xfId="141" xr:uid="{00000000-0005-0000-0000-000089000000}"/>
    <cellStyle name="Ênfase6 4" xfId="142" xr:uid="{00000000-0005-0000-0000-00008A000000}"/>
    <cellStyle name="Entrada" xfId="260" builtinId="20" customBuiltin="1"/>
    <cellStyle name="Entrada 2" xfId="143" xr:uid="{00000000-0005-0000-0000-00008C000000}"/>
    <cellStyle name="Entrada 3" xfId="144" xr:uid="{00000000-0005-0000-0000-00008D000000}"/>
    <cellStyle name="Entrada 4" xfId="145" xr:uid="{00000000-0005-0000-0000-00008E000000}"/>
    <cellStyle name="Euro" xfId="13" xr:uid="{00000000-0005-0000-0000-00008F000000}"/>
    <cellStyle name="Explanatory Text" xfId="146" xr:uid="{00000000-0005-0000-0000-000090000000}"/>
    <cellStyle name="Good" xfId="147" xr:uid="{00000000-0005-0000-0000-000091000000}"/>
    <cellStyle name="Heading 1" xfId="148" xr:uid="{00000000-0005-0000-0000-000092000000}"/>
    <cellStyle name="Heading 2" xfId="149" xr:uid="{00000000-0005-0000-0000-000093000000}"/>
    <cellStyle name="Heading 3" xfId="150" xr:uid="{00000000-0005-0000-0000-000094000000}"/>
    <cellStyle name="Heading 4" xfId="151" xr:uid="{00000000-0005-0000-0000-000095000000}"/>
    <cellStyle name="Incorreto 2" xfId="152" xr:uid="{00000000-0005-0000-0000-000097000000}"/>
    <cellStyle name="Incorreto 3" xfId="153" xr:uid="{00000000-0005-0000-0000-000098000000}"/>
    <cellStyle name="Incorreto 4" xfId="154" xr:uid="{00000000-0005-0000-0000-000099000000}"/>
    <cellStyle name="Indefinido" xfId="14" xr:uid="{00000000-0005-0000-0000-00009A000000}"/>
    <cellStyle name="Input" xfId="155" xr:uid="{00000000-0005-0000-0000-00009B000000}"/>
    <cellStyle name="Linked Cell" xfId="156" xr:uid="{00000000-0005-0000-0000-00009C000000}"/>
    <cellStyle name="Moeda" xfId="2" builtinId="4"/>
    <cellStyle name="Moeda 2" xfId="157" xr:uid="{00000000-0005-0000-0000-00009E000000}"/>
    <cellStyle name="Neutra 2" xfId="158" xr:uid="{00000000-0005-0000-0000-0000A0000000}"/>
    <cellStyle name="Neutra 3" xfId="159" xr:uid="{00000000-0005-0000-0000-0000A1000000}"/>
    <cellStyle name="Neutra 4" xfId="160" xr:uid="{00000000-0005-0000-0000-0000A2000000}"/>
    <cellStyle name="Neutral" xfId="161" xr:uid="{00000000-0005-0000-0000-0000A3000000}"/>
    <cellStyle name="Neutro" xfId="259" builtinId="28" customBuiltin="1"/>
    <cellStyle name="Normal" xfId="0" builtinId="0"/>
    <cellStyle name="Normal 10" xfId="15" xr:uid="{00000000-0005-0000-0000-0000A5000000}"/>
    <cellStyle name="Normal 11" xfId="162" xr:uid="{00000000-0005-0000-0000-0000A6000000}"/>
    <cellStyle name="Normal 12" xfId="163" xr:uid="{00000000-0005-0000-0000-0000A7000000}"/>
    <cellStyle name="Normal 13" xfId="164" xr:uid="{00000000-0005-0000-0000-0000A8000000}"/>
    <cellStyle name="Normal 14" xfId="165" xr:uid="{00000000-0005-0000-0000-0000A9000000}"/>
    <cellStyle name="Normal 15" xfId="166" xr:uid="{00000000-0005-0000-0000-0000AA000000}"/>
    <cellStyle name="Normal 16" xfId="167" xr:uid="{00000000-0005-0000-0000-0000AB000000}"/>
    <cellStyle name="Normal 17" xfId="168" xr:uid="{00000000-0005-0000-0000-0000AC000000}"/>
    <cellStyle name="Normal 18" xfId="169" xr:uid="{00000000-0005-0000-0000-0000AD000000}"/>
    <cellStyle name="Normal 19" xfId="170" xr:uid="{00000000-0005-0000-0000-0000AE000000}"/>
    <cellStyle name="Normal 2" xfId="12" xr:uid="{00000000-0005-0000-0000-0000AF000000}"/>
    <cellStyle name="Normal 2 2" xfId="3" xr:uid="{00000000-0005-0000-0000-0000B0000000}"/>
    <cellStyle name="Normal 2 3" xfId="16" xr:uid="{00000000-0005-0000-0000-0000B1000000}"/>
    <cellStyle name="Normal 2 4" xfId="17" xr:uid="{00000000-0005-0000-0000-0000B2000000}"/>
    <cellStyle name="Normal 2_~7756695" xfId="171" xr:uid="{00000000-0005-0000-0000-0000B3000000}"/>
    <cellStyle name="Normal 20" xfId="172" xr:uid="{00000000-0005-0000-0000-0000B4000000}"/>
    <cellStyle name="Normal 21" xfId="173" xr:uid="{00000000-0005-0000-0000-0000B5000000}"/>
    <cellStyle name="Normal 22" xfId="174" xr:uid="{00000000-0005-0000-0000-0000B6000000}"/>
    <cellStyle name="Normal 23" xfId="292" xr:uid="{00000000-0005-0000-0000-0000B7000000}"/>
    <cellStyle name="Normal 24" xfId="294" xr:uid="{00000000-0005-0000-0000-0000B8000000}"/>
    <cellStyle name="Normal 25" xfId="296" xr:uid="{00000000-0005-0000-0000-0000B9000000}"/>
    <cellStyle name="Normal 3" xfId="18" xr:uid="{00000000-0005-0000-0000-0000BA000000}"/>
    <cellStyle name="Normal 3 2" xfId="175" xr:uid="{00000000-0005-0000-0000-0000BB000000}"/>
    <cellStyle name="Normal 3_emissão nota de débito-abr15" xfId="176" xr:uid="{00000000-0005-0000-0000-0000BC000000}"/>
    <cellStyle name="Normal 4" xfId="19" xr:uid="{00000000-0005-0000-0000-0000BD000000}"/>
    <cellStyle name="Normal 5" xfId="20" xr:uid="{00000000-0005-0000-0000-0000BE000000}"/>
    <cellStyle name="Normal 6" xfId="21" xr:uid="{00000000-0005-0000-0000-0000BF000000}"/>
    <cellStyle name="Normal 6 2" xfId="22" xr:uid="{00000000-0005-0000-0000-0000C0000000}"/>
    <cellStyle name="Normal 7" xfId="23" xr:uid="{00000000-0005-0000-0000-0000C1000000}"/>
    <cellStyle name="Normal 8" xfId="24" xr:uid="{00000000-0005-0000-0000-0000C2000000}"/>
    <cellStyle name="Normal 9" xfId="25" xr:uid="{00000000-0005-0000-0000-0000C3000000}"/>
    <cellStyle name="Normal_Atestação Fatura FUNDAP 032012 NF 7919 (pagto. em maio12) 2" xfId="251" xr:uid="{00000000-0005-0000-0000-0000C4000000}"/>
    <cellStyle name="Normal_Atestação Fatura FUNDAP 122011 NF 7197 (pagto.em fevereiro12) 2" xfId="8" xr:uid="{00000000-0005-0000-0000-0000C5000000}"/>
    <cellStyle name="Normal_CARGA FENIX COND E FUNC CEDIDOS" xfId="297" xr:uid="{00000000-0005-0000-0000-0000C6000000}"/>
    <cellStyle name="Normal_LT4 Regularizações PPT_doc004_jun11" xfId="250" xr:uid="{00000000-0005-0000-0000-0000C7000000}"/>
    <cellStyle name="Normal_matriz Estagiários FUNDAP - NF  (pagto.em    )" xfId="9" xr:uid="{00000000-0005-0000-0000-0000C8000000}"/>
    <cellStyle name="Normal_medicos set11" xfId="10" xr:uid="{00000000-0005-0000-0000-0000C9000000}"/>
    <cellStyle name="Nota 10" xfId="177" xr:uid="{00000000-0005-0000-0000-0000CA000000}"/>
    <cellStyle name="Nota 11" xfId="178" xr:uid="{00000000-0005-0000-0000-0000CB000000}"/>
    <cellStyle name="Nota 12" xfId="179" xr:uid="{00000000-0005-0000-0000-0000CC000000}"/>
    <cellStyle name="Nota 13" xfId="180" xr:uid="{00000000-0005-0000-0000-0000CD000000}"/>
    <cellStyle name="Nota 14" xfId="181" xr:uid="{00000000-0005-0000-0000-0000CE000000}"/>
    <cellStyle name="Nota 15" xfId="182" xr:uid="{00000000-0005-0000-0000-0000CF000000}"/>
    <cellStyle name="Nota 16" xfId="183" xr:uid="{00000000-0005-0000-0000-0000D0000000}"/>
    <cellStyle name="Nota 17" xfId="184" xr:uid="{00000000-0005-0000-0000-0000D1000000}"/>
    <cellStyle name="Nota 18" xfId="185" xr:uid="{00000000-0005-0000-0000-0000D2000000}"/>
    <cellStyle name="Nota 19" xfId="186" xr:uid="{00000000-0005-0000-0000-0000D3000000}"/>
    <cellStyle name="Nota 2" xfId="187" xr:uid="{00000000-0005-0000-0000-0000D4000000}"/>
    <cellStyle name="Nota 20" xfId="188" xr:uid="{00000000-0005-0000-0000-0000D5000000}"/>
    <cellStyle name="Nota 21" xfId="189" xr:uid="{00000000-0005-0000-0000-0000D6000000}"/>
    <cellStyle name="Nota 22" xfId="293" xr:uid="{00000000-0005-0000-0000-0000D7000000}"/>
    <cellStyle name="Nota 3" xfId="190" xr:uid="{00000000-0005-0000-0000-0000D8000000}"/>
    <cellStyle name="Nota 4" xfId="191" xr:uid="{00000000-0005-0000-0000-0000D9000000}"/>
    <cellStyle name="Nota 5" xfId="192" xr:uid="{00000000-0005-0000-0000-0000DA000000}"/>
    <cellStyle name="Nota 6" xfId="193" xr:uid="{00000000-0005-0000-0000-0000DB000000}"/>
    <cellStyle name="Nota 7" xfId="194" xr:uid="{00000000-0005-0000-0000-0000DC000000}"/>
    <cellStyle name="Nota 8" xfId="195" xr:uid="{00000000-0005-0000-0000-0000DD000000}"/>
    <cellStyle name="Nota 9" xfId="196" xr:uid="{00000000-0005-0000-0000-0000DE000000}"/>
    <cellStyle name="Note" xfId="197" xr:uid="{00000000-0005-0000-0000-0000DF000000}"/>
    <cellStyle name="Output" xfId="198" xr:uid="{00000000-0005-0000-0000-0000E0000000}"/>
    <cellStyle name="Porcentagem 2" xfId="199" xr:uid="{00000000-0005-0000-0000-0000E1000000}"/>
    <cellStyle name="Porcentagem 3" xfId="200" xr:uid="{00000000-0005-0000-0000-0000E2000000}"/>
    <cellStyle name="Ruim" xfId="258" builtinId="27" customBuiltin="1"/>
    <cellStyle name="Saída" xfId="261" builtinId="21" customBuiltin="1"/>
    <cellStyle name="Saída 2" xfId="201" xr:uid="{00000000-0005-0000-0000-0000E4000000}"/>
    <cellStyle name="Saída 3" xfId="202" xr:uid="{00000000-0005-0000-0000-0000E5000000}"/>
    <cellStyle name="Saída 4" xfId="203" xr:uid="{00000000-0005-0000-0000-0000E6000000}"/>
    <cellStyle name="Separador de milhares 10" xfId="204" xr:uid="{00000000-0005-0000-0000-0000E8000000}"/>
    <cellStyle name="Separador de milhares 11" xfId="205" xr:uid="{00000000-0005-0000-0000-0000E9000000}"/>
    <cellStyle name="Separador de milhares 12" xfId="206" xr:uid="{00000000-0005-0000-0000-0000EA000000}"/>
    <cellStyle name="Separador de milhares 13" xfId="207" xr:uid="{00000000-0005-0000-0000-0000EB000000}"/>
    <cellStyle name="Separador de milhares 14" xfId="208" xr:uid="{00000000-0005-0000-0000-0000EC000000}"/>
    <cellStyle name="Separador de milhares 15" xfId="209" xr:uid="{00000000-0005-0000-0000-0000ED000000}"/>
    <cellStyle name="Separador de milhares 16" xfId="210" xr:uid="{00000000-0005-0000-0000-0000EE000000}"/>
    <cellStyle name="Separador de milhares 17" xfId="211" xr:uid="{00000000-0005-0000-0000-0000EF000000}"/>
    <cellStyle name="Separador de milhares 18" xfId="212" xr:uid="{00000000-0005-0000-0000-0000F0000000}"/>
    <cellStyle name="Separador de milhares 19" xfId="213" xr:uid="{00000000-0005-0000-0000-0000F1000000}"/>
    <cellStyle name="Separador de milhares 2" xfId="4" xr:uid="{00000000-0005-0000-0000-0000F2000000}"/>
    <cellStyle name="Separador de milhares 2 2" xfId="6" xr:uid="{00000000-0005-0000-0000-0000F3000000}"/>
    <cellStyle name="Separador de milhares 2 3" xfId="214" xr:uid="{00000000-0005-0000-0000-0000F4000000}"/>
    <cellStyle name="Separador de milhares 20" xfId="215" xr:uid="{00000000-0005-0000-0000-0000F5000000}"/>
    <cellStyle name="Separador de milhares 21" xfId="216" xr:uid="{00000000-0005-0000-0000-0000F6000000}"/>
    <cellStyle name="Separador de milhares 22" xfId="217" xr:uid="{00000000-0005-0000-0000-0000F7000000}"/>
    <cellStyle name="Separador de milhares 23" xfId="218" xr:uid="{00000000-0005-0000-0000-0000F8000000}"/>
    <cellStyle name="Separador de milhares 3" xfId="11" xr:uid="{00000000-0005-0000-0000-0000F9000000}"/>
    <cellStyle name="Separador de milhares 3 2" xfId="219" xr:uid="{00000000-0005-0000-0000-0000FA000000}"/>
    <cellStyle name="Separador de milhares 3_~7756695" xfId="220" xr:uid="{00000000-0005-0000-0000-0000FB000000}"/>
    <cellStyle name="Separador de milhares 4" xfId="26" xr:uid="{00000000-0005-0000-0000-0000FC000000}"/>
    <cellStyle name="Separador de milhares 5" xfId="27" xr:uid="{00000000-0005-0000-0000-0000FD000000}"/>
    <cellStyle name="Separador de milhares 5 2" xfId="221" xr:uid="{00000000-0005-0000-0000-0000FE000000}"/>
    <cellStyle name="Separador de milhares 6" xfId="28" xr:uid="{00000000-0005-0000-0000-0000FF000000}"/>
    <cellStyle name="Separador de milhares 7" xfId="7" xr:uid="{00000000-0005-0000-0000-000000010000}"/>
    <cellStyle name="Separador de milhares 8" xfId="31" xr:uid="{00000000-0005-0000-0000-000001010000}"/>
    <cellStyle name="Separador de milhares 8 2" xfId="222" xr:uid="{00000000-0005-0000-0000-000002010000}"/>
    <cellStyle name="Separador de milhares 9" xfId="223" xr:uid="{00000000-0005-0000-0000-000003010000}"/>
    <cellStyle name="Separador de milhares_Pgtos por Nota Debito A_pagamentos N-ABRIL11" xfId="5" xr:uid="{00000000-0005-0000-0000-000004010000}"/>
    <cellStyle name="Texto de Aviso" xfId="265" builtinId="11" customBuiltin="1"/>
    <cellStyle name="Texto de Aviso 2" xfId="224" xr:uid="{00000000-0005-0000-0000-000006010000}"/>
    <cellStyle name="Texto de Aviso 3" xfId="225" xr:uid="{00000000-0005-0000-0000-000007010000}"/>
    <cellStyle name="Texto de Aviso 4" xfId="226" xr:uid="{00000000-0005-0000-0000-000008010000}"/>
    <cellStyle name="Texto Explicativo" xfId="266" builtinId="53" customBuiltin="1"/>
    <cellStyle name="Texto Explicativo 2" xfId="227" xr:uid="{00000000-0005-0000-0000-00000A010000}"/>
    <cellStyle name="Texto Explicativo 3" xfId="228" xr:uid="{00000000-0005-0000-0000-00000B010000}"/>
    <cellStyle name="Texto Explicativo 4" xfId="229" xr:uid="{00000000-0005-0000-0000-00000C010000}"/>
    <cellStyle name="Title" xfId="230" xr:uid="{00000000-0005-0000-0000-00000D010000}"/>
    <cellStyle name="Título" xfId="252" builtinId="15" customBuiltin="1"/>
    <cellStyle name="Título 1" xfId="253" builtinId="16" customBuiltin="1"/>
    <cellStyle name="Título 1 2" xfId="231" xr:uid="{00000000-0005-0000-0000-000010010000}"/>
    <cellStyle name="Título 1 3" xfId="232" xr:uid="{00000000-0005-0000-0000-000011010000}"/>
    <cellStyle name="Título 1 4" xfId="233" xr:uid="{00000000-0005-0000-0000-000012010000}"/>
    <cellStyle name="Título 2" xfId="254" builtinId="17" customBuiltin="1"/>
    <cellStyle name="Título 2 2" xfId="234" xr:uid="{00000000-0005-0000-0000-000014010000}"/>
    <cellStyle name="Título 2 3" xfId="235" xr:uid="{00000000-0005-0000-0000-000015010000}"/>
    <cellStyle name="Título 2 4" xfId="236" xr:uid="{00000000-0005-0000-0000-000016010000}"/>
    <cellStyle name="Título 3" xfId="255" builtinId="18" customBuiltin="1"/>
    <cellStyle name="Título 3 2" xfId="237" xr:uid="{00000000-0005-0000-0000-000018010000}"/>
    <cellStyle name="Título 3 3" xfId="238" xr:uid="{00000000-0005-0000-0000-000019010000}"/>
    <cellStyle name="Título 3 4" xfId="239" xr:uid="{00000000-0005-0000-0000-00001A010000}"/>
    <cellStyle name="Título 4" xfId="256" builtinId="19" customBuiltin="1"/>
    <cellStyle name="Título 4 2" xfId="240" xr:uid="{00000000-0005-0000-0000-00001C010000}"/>
    <cellStyle name="Título 4 3" xfId="241" xr:uid="{00000000-0005-0000-0000-00001D010000}"/>
    <cellStyle name="Título 4 4" xfId="242" xr:uid="{00000000-0005-0000-0000-00001E010000}"/>
    <cellStyle name="Título 5" xfId="243" xr:uid="{00000000-0005-0000-0000-00001F010000}"/>
    <cellStyle name="Título 6" xfId="244" xr:uid="{00000000-0005-0000-0000-000020010000}"/>
    <cellStyle name="Título 7" xfId="245" xr:uid="{00000000-0005-0000-0000-000021010000}"/>
    <cellStyle name="Total" xfId="267" builtinId="25" customBuiltin="1"/>
    <cellStyle name="Total 2" xfId="246" xr:uid="{00000000-0005-0000-0000-000023010000}"/>
    <cellStyle name="Total 3" xfId="247" xr:uid="{00000000-0005-0000-0000-000024010000}"/>
    <cellStyle name="Total 4" xfId="248" xr:uid="{00000000-0005-0000-0000-000025010000}"/>
    <cellStyle name="Vírgula" xfId="1" builtinId="3"/>
    <cellStyle name="Vírgula 2" xfId="29" xr:uid="{00000000-0005-0000-0000-000026010000}"/>
    <cellStyle name="Vírgula 3" xfId="30" xr:uid="{00000000-0005-0000-0000-000027010000}"/>
    <cellStyle name="Vírgula 4" xfId="295" xr:uid="{00000000-0005-0000-0000-000028010000}"/>
    <cellStyle name="Warning Text" xfId="249" xr:uid="{00000000-0005-0000-0000-00002901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CC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externalLink" Target="externalLinks/externalLink1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131445</xdr:rowOff>
    </xdr:from>
    <xdr:to>
      <xdr:col>0</xdr:col>
      <xdr:colOff>1276350</xdr:colOff>
      <xdr:row>4</xdr:row>
      <xdr:rowOff>146685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293370"/>
          <a:ext cx="1047750" cy="567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1035843</xdr:colOff>
      <xdr:row>4</xdr:row>
      <xdr:rowOff>95250</xdr:rowOff>
    </xdr:from>
    <xdr:to>
      <xdr:col>6</xdr:col>
      <xdr:colOff>202406</xdr:colOff>
      <xdr:row>53</xdr:row>
      <xdr:rowOff>142875</xdr:rowOff>
    </xdr:to>
    <xdr:pic>
      <xdr:nvPicPr>
        <xdr:cNvPr id="56322" name="Picture 2">
          <a:extLst>
            <a:ext uri="{FF2B5EF4-FFF2-40B4-BE49-F238E27FC236}">
              <a16:creationId xmlns:a16="http://schemas.microsoft.com/office/drawing/2014/main" id="{00000000-0008-0000-1100-000002D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5843" y="1226344"/>
          <a:ext cx="12144376" cy="83462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964406</xdr:colOff>
      <xdr:row>89</xdr:row>
      <xdr:rowOff>119062</xdr:rowOff>
    </xdr:from>
    <xdr:to>
      <xdr:col>6</xdr:col>
      <xdr:colOff>428625</xdr:colOff>
      <xdr:row>139</xdr:row>
      <xdr:rowOff>47624</xdr:rowOff>
    </xdr:to>
    <xdr:pic>
      <xdr:nvPicPr>
        <xdr:cNvPr id="56324" name="Picture 4">
          <a:extLst>
            <a:ext uri="{FF2B5EF4-FFF2-40B4-BE49-F238E27FC236}">
              <a16:creationId xmlns:a16="http://schemas.microsoft.com/office/drawing/2014/main" id="{00000000-0008-0000-1100-000004D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4406" y="15549562"/>
          <a:ext cx="12442032" cy="8262937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1035844</xdr:colOff>
      <xdr:row>5</xdr:row>
      <xdr:rowOff>273843</xdr:rowOff>
    </xdr:from>
    <xdr:to>
      <xdr:col>7</xdr:col>
      <xdr:colOff>273844</xdr:colOff>
      <xdr:row>49</xdr:row>
      <xdr:rowOff>130969</xdr:rowOff>
    </xdr:to>
    <xdr:pic>
      <xdr:nvPicPr>
        <xdr:cNvPr id="59394" name="Picture 2">
          <a:extLst>
            <a:ext uri="{FF2B5EF4-FFF2-40B4-BE49-F238E27FC236}">
              <a16:creationId xmlns:a16="http://schemas.microsoft.com/office/drawing/2014/main" id="{00000000-0008-0000-1200-000002E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5844" y="1571624"/>
          <a:ext cx="12632531" cy="79890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595314</xdr:colOff>
      <xdr:row>70</xdr:row>
      <xdr:rowOff>47625</xdr:rowOff>
    </xdr:from>
    <xdr:to>
      <xdr:col>7</xdr:col>
      <xdr:colOff>178595</xdr:colOff>
      <xdr:row>112</xdr:row>
      <xdr:rowOff>119063</xdr:rowOff>
    </xdr:to>
    <xdr:pic>
      <xdr:nvPicPr>
        <xdr:cNvPr id="59396" name="Picture 4">
          <a:extLst>
            <a:ext uri="{FF2B5EF4-FFF2-40B4-BE49-F238E27FC236}">
              <a16:creationId xmlns:a16="http://schemas.microsoft.com/office/drawing/2014/main" id="{00000000-0008-0000-1200-000004E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5314" y="12977813"/>
          <a:ext cx="12977812" cy="7072313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539353</xdr:colOff>
      <xdr:row>12</xdr:row>
      <xdr:rowOff>67865</xdr:rowOff>
    </xdr:from>
    <xdr:to>
      <xdr:col>7</xdr:col>
      <xdr:colOff>71438</xdr:colOff>
      <xdr:row>56</xdr:row>
      <xdr:rowOff>152210</xdr:rowOff>
    </xdr:to>
    <xdr:pic>
      <xdr:nvPicPr>
        <xdr:cNvPr id="82946" name="Picture 2">
          <a:extLst>
            <a:ext uri="{FF2B5EF4-FFF2-40B4-BE49-F238E27FC236}">
              <a16:creationId xmlns:a16="http://schemas.microsoft.com/office/drawing/2014/main" id="{00000000-0008-0000-1700-0000024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6200000">
          <a:off x="2549223" y="879776"/>
          <a:ext cx="8085345" cy="121050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575072</xdr:colOff>
      <xdr:row>79</xdr:row>
      <xdr:rowOff>44050</xdr:rowOff>
    </xdr:from>
    <xdr:to>
      <xdr:col>7</xdr:col>
      <xdr:colOff>411887</xdr:colOff>
      <xdr:row>128</xdr:row>
      <xdr:rowOff>142874</xdr:rowOff>
    </xdr:to>
    <xdr:pic>
      <xdr:nvPicPr>
        <xdr:cNvPr id="82948" name="Picture 4">
          <a:extLst>
            <a:ext uri="{FF2B5EF4-FFF2-40B4-BE49-F238E27FC236}">
              <a16:creationId xmlns:a16="http://schemas.microsoft.com/office/drawing/2014/main" id="{00000000-0008-0000-1700-0000044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2646724" y="12628992"/>
          <a:ext cx="8266511" cy="124098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408386</xdr:colOff>
      <xdr:row>149</xdr:row>
      <xdr:rowOff>163113</xdr:rowOff>
    </xdr:from>
    <xdr:to>
      <xdr:col>7</xdr:col>
      <xdr:colOff>607831</xdr:colOff>
      <xdr:row>202</xdr:row>
      <xdr:rowOff>119062</xdr:rowOff>
    </xdr:to>
    <xdr:pic>
      <xdr:nvPicPr>
        <xdr:cNvPr id="82950" name="Picture 6">
          <a:extLst>
            <a:ext uri="{FF2B5EF4-FFF2-40B4-BE49-F238E27FC236}">
              <a16:creationId xmlns:a16="http://schemas.microsoft.com/office/drawing/2014/main" id="{00000000-0008-0000-1700-0000064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16200000">
          <a:off x="2399416" y="24496802"/>
          <a:ext cx="8790386" cy="127724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765571</xdr:colOff>
      <xdr:row>225</xdr:row>
      <xdr:rowOff>8333</xdr:rowOff>
    </xdr:from>
    <xdr:to>
      <xdr:col>7</xdr:col>
      <xdr:colOff>516436</xdr:colOff>
      <xdr:row>276</xdr:row>
      <xdr:rowOff>130968</xdr:rowOff>
    </xdr:to>
    <xdr:pic>
      <xdr:nvPicPr>
        <xdr:cNvPr id="82952" name="Picture 8">
          <a:extLst>
            <a:ext uri="{FF2B5EF4-FFF2-40B4-BE49-F238E27FC236}">
              <a16:creationId xmlns:a16="http://schemas.microsoft.com/office/drawing/2014/main" id="{00000000-0008-0000-1700-0000084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16200000">
          <a:off x="2615655" y="37151218"/>
          <a:ext cx="8623697" cy="123238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522686</xdr:colOff>
      <xdr:row>303</xdr:row>
      <xdr:rowOff>36911</xdr:rowOff>
    </xdr:from>
    <xdr:to>
      <xdr:col>7</xdr:col>
      <xdr:colOff>326001</xdr:colOff>
      <xdr:row>353</xdr:row>
      <xdr:rowOff>130972</xdr:rowOff>
    </xdr:to>
    <xdr:pic>
      <xdr:nvPicPr>
        <xdr:cNvPr id="82954" name="Picture 10">
          <a:extLst>
            <a:ext uri="{FF2B5EF4-FFF2-40B4-BE49-F238E27FC236}">
              <a16:creationId xmlns:a16="http://schemas.microsoft.com/office/drawing/2014/main" id="{00000000-0008-0000-1700-00000A4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16200000">
          <a:off x="2496626" y="50057565"/>
          <a:ext cx="8428436" cy="123763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694135</xdr:colOff>
      <xdr:row>372</xdr:row>
      <xdr:rowOff>103582</xdr:rowOff>
    </xdr:from>
    <xdr:to>
      <xdr:col>7</xdr:col>
      <xdr:colOff>361421</xdr:colOff>
      <xdr:row>425</xdr:row>
      <xdr:rowOff>107155</xdr:rowOff>
    </xdr:to>
    <xdr:pic>
      <xdr:nvPicPr>
        <xdr:cNvPr id="82956" name="Picture 12">
          <a:extLst>
            <a:ext uri="{FF2B5EF4-FFF2-40B4-BE49-F238E27FC236}">
              <a16:creationId xmlns:a16="http://schemas.microsoft.com/office/drawing/2014/main" id="{00000000-0008-0000-1700-00000C4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16200000">
          <a:off x="2395272" y="61898476"/>
          <a:ext cx="8838011" cy="12240286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833439</xdr:colOff>
      <xdr:row>5</xdr:row>
      <xdr:rowOff>154781</xdr:rowOff>
    </xdr:from>
    <xdr:to>
      <xdr:col>6</xdr:col>
      <xdr:colOff>414338</xdr:colOff>
      <xdr:row>56</xdr:row>
      <xdr:rowOff>107156</xdr:rowOff>
    </xdr:to>
    <xdr:pic>
      <xdr:nvPicPr>
        <xdr:cNvPr id="55298" name="Picture 2">
          <a:extLst>
            <a:ext uri="{FF2B5EF4-FFF2-40B4-BE49-F238E27FC236}">
              <a16:creationId xmlns:a16="http://schemas.microsoft.com/office/drawing/2014/main" id="{00000000-0008-0000-1800-000002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3439" y="1583531"/>
          <a:ext cx="12558712" cy="84534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1416844</xdr:colOff>
      <xdr:row>85</xdr:row>
      <xdr:rowOff>23813</xdr:rowOff>
    </xdr:from>
    <xdr:to>
      <xdr:col>5</xdr:col>
      <xdr:colOff>80963</xdr:colOff>
      <xdr:row>128</xdr:row>
      <xdr:rowOff>147638</xdr:rowOff>
    </xdr:to>
    <xdr:pic>
      <xdr:nvPicPr>
        <xdr:cNvPr id="55300" name="Picture 4">
          <a:extLst>
            <a:ext uri="{FF2B5EF4-FFF2-40B4-BE49-F238E27FC236}">
              <a16:creationId xmlns:a16="http://schemas.microsoft.com/office/drawing/2014/main" id="{00000000-0008-0000-1800-000004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16844" y="14787563"/>
          <a:ext cx="11034713" cy="7291388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904875</xdr:colOff>
      <xdr:row>8</xdr:row>
      <xdr:rowOff>11906</xdr:rowOff>
    </xdr:from>
    <xdr:to>
      <xdr:col>7</xdr:col>
      <xdr:colOff>321470</xdr:colOff>
      <xdr:row>49</xdr:row>
      <xdr:rowOff>59531</xdr:rowOff>
    </xdr:to>
    <xdr:pic>
      <xdr:nvPicPr>
        <xdr:cNvPr id="58370" name="Picture 2">
          <a:extLst>
            <a:ext uri="{FF2B5EF4-FFF2-40B4-BE49-F238E27FC236}">
              <a16:creationId xmlns:a16="http://schemas.microsoft.com/office/drawing/2014/main" id="{00000000-0008-0000-1900-000002E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4875" y="1940719"/>
          <a:ext cx="12811126" cy="75485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523874</xdr:colOff>
      <xdr:row>69</xdr:row>
      <xdr:rowOff>142875</xdr:rowOff>
    </xdr:from>
    <xdr:to>
      <xdr:col>6</xdr:col>
      <xdr:colOff>714374</xdr:colOff>
      <xdr:row>112</xdr:row>
      <xdr:rowOff>47625</xdr:rowOff>
    </xdr:to>
    <xdr:pic>
      <xdr:nvPicPr>
        <xdr:cNvPr id="58372" name="Picture 4">
          <a:extLst>
            <a:ext uri="{FF2B5EF4-FFF2-40B4-BE49-F238E27FC236}">
              <a16:creationId xmlns:a16="http://schemas.microsoft.com/office/drawing/2014/main" id="{00000000-0008-0000-1900-000004E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3874" y="12906375"/>
          <a:ext cx="12596813" cy="7072313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389931</xdr:colOff>
      <xdr:row>5</xdr:row>
      <xdr:rowOff>235148</xdr:rowOff>
    </xdr:from>
    <xdr:to>
      <xdr:col>7</xdr:col>
      <xdr:colOff>369093</xdr:colOff>
      <xdr:row>44</xdr:row>
      <xdr:rowOff>72537</xdr:rowOff>
    </xdr:to>
    <xdr:pic>
      <xdr:nvPicPr>
        <xdr:cNvPr id="56322" name="Picture 2">
          <a:extLst>
            <a:ext uri="{FF2B5EF4-FFF2-40B4-BE49-F238E27FC236}">
              <a16:creationId xmlns:a16="http://schemas.microsoft.com/office/drawing/2014/main" id="{00000000-0008-0000-1D00-000002D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9931" y="1759148"/>
          <a:ext cx="12290225" cy="689779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5</xdr:row>
      <xdr:rowOff>57150</xdr:rowOff>
    </xdr:from>
    <xdr:to>
      <xdr:col>1</xdr:col>
      <xdr:colOff>0</xdr:colOff>
      <xdr:row>9</xdr:row>
      <xdr:rowOff>0</xdr:rowOff>
    </xdr:to>
    <xdr:grpSp>
      <xdr:nvGrpSpPr>
        <xdr:cNvPr id="9" name="Group 1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pSpPr>
          <a:grpSpLocks/>
        </xdr:cNvGrpSpPr>
      </xdr:nvGrpSpPr>
      <xdr:grpSpPr bwMode="auto">
        <a:xfrm>
          <a:off x="40640" y="1545067"/>
          <a:ext cx="1259242" cy="767080"/>
          <a:chOff x="65" y="23"/>
          <a:chExt cx="187" cy="91"/>
        </a:xfrm>
      </xdr:grpSpPr>
      <xdr:sp macro="" textlink="">
        <xdr:nvSpPr>
          <xdr:cNvPr id="10" name="Freeform 2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" name="Freeform 3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" name="Freeform 4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" name="Freeform 5"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" name="Freeform 6">
            <a:extLst>
              <a:ext uri="{FF2B5EF4-FFF2-40B4-BE49-F238E27FC236}">
                <a16:creationId xmlns:a16="http://schemas.microsoft.com/office/drawing/2014/main" id="{00000000-0008-0000-0600-00000E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" name="Freeform 7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</xdr:col>
      <xdr:colOff>0</xdr:colOff>
      <xdr:row>5</xdr:row>
      <xdr:rowOff>0</xdr:rowOff>
    </xdr:to>
    <xdr:grpSp>
      <xdr:nvGrpSpPr>
        <xdr:cNvPr id="2" name="Group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>
          <a:grpSpLocks/>
        </xdr:cNvGrpSpPr>
      </xdr:nvGrpSpPr>
      <xdr:grpSpPr bwMode="auto">
        <a:xfrm>
          <a:off x="6483927" y="1833418"/>
          <a:ext cx="0" cy="0"/>
          <a:chOff x="65" y="23"/>
          <a:chExt cx="187" cy="91"/>
        </a:xfrm>
      </xdr:grpSpPr>
      <xdr:sp macro="" textlink="">
        <xdr:nvSpPr>
          <xdr:cNvPr id="3" name="Freeform 9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" name="Freeform 10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" name="Freeform 11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" name="Freeform 12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" name="Freeform 13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" name="Freeform 14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0</xdr:colOff>
      <xdr:row>5</xdr:row>
      <xdr:rowOff>0</xdr:rowOff>
    </xdr:to>
    <xdr:grpSp>
      <xdr:nvGrpSpPr>
        <xdr:cNvPr id="9" name="Group 15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pSpPr>
          <a:grpSpLocks/>
        </xdr:cNvGrpSpPr>
      </xdr:nvGrpSpPr>
      <xdr:grpSpPr bwMode="auto">
        <a:xfrm>
          <a:off x="6483927" y="1833418"/>
          <a:ext cx="0" cy="0"/>
          <a:chOff x="65" y="23"/>
          <a:chExt cx="187" cy="91"/>
        </a:xfrm>
      </xdr:grpSpPr>
      <xdr:sp macro="" textlink="">
        <xdr:nvSpPr>
          <xdr:cNvPr id="10" name="Freeform 16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" name="Freeform 17"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" name="Freeform 18"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" name="Freeform 19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" name="Freeform 20"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21"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0</xdr:colOff>
      <xdr:row>5</xdr:row>
      <xdr:rowOff>0</xdr:rowOff>
    </xdr:to>
    <xdr:grpSp>
      <xdr:nvGrpSpPr>
        <xdr:cNvPr id="16" name="Group 2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pSpPr>
          <a:grpSpLocks/>
        </xdr:cNvGrpSpPr>
      </xdr:nvGrpSpPr>
      <xdr:grpSpPr bwMode="auto">
        <a:xfrm>
          <a:off x="6483927" y="1833418"/>
          <a:ext cx="0" cy="0"/>
          <a:chOff x="65" y="23"/>
          <a:chExt cx="187" cy="91"/>
        </a:xfrm>
      </xdr:grpSpPr>
      <xdr:sp macro="" textlink="">
        <xdr:nvSpPr>
          <xdr:cNvPr id="17" name="Freeform 23">
            <a:extLst>
              <a:ext uri="{FF2B5EF4-FFF2-40B4-BE49-F238E27FC236}">
                <a16:creationId xmlns:a16="http://schemas.microsoft.com/office/drawing/2014/main" id="{00000000-0008-0000-0700-000011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24"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00000000-0008-0000-0700-000013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00000000-0008-0000-0700-000014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27">
            <a:extLst>
              <a:ext uri="{FF2B5EF4-FFF2-40B4-BE49-F238E27FC236}">
                <a16:creationId xmlns:a16="http://schemas.microsoft.com/office/drawing/2014/main" id="{00000000-0008-0000-0700-000015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28">
            <a:extLst>
              <a:ext uri="{FF2B5EF4-FFF2-40B4-BE49-F238E27FC236}">
                <a16:creationId xmlns:a16="http://schemas.microsoft.com/office/drawing/2014/main" id="{00000000-0008-0000-0700-000016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5</xdr:row>
      <xdr:rowOff>0</xdr:rowOff>
    </xdr:to>
    <xdr:grpSp>
      <xdr:nvGrpSpPr>
        <xdr:cNvPr id="23" name="Group 85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GrpSpPr>
          <a:grpSpLocks/>
        </xdr:cNvGrpSpPr>
      </xdr:nvGrpSpPr>
      <xdr:grpSpPr bwMode="auto">
        <a:xfrm>
          <a:off x="0" y="1833418"/>
          <a:ext cx="6483927" cy="0"/>
          <a:chOff x="65" y="23"/>
          <a:chExt cx="187" cy="91"/>
        </a:xfrm>
      </xdr:grpSpPr>
      <xdr:sp macro="" textlink="">
        <xdr:nvSpPr>
          <xdr:cNvPr id="24" name="Freeform 86">
            <a:extLst>
              <a:ext uri="{FF2B5EF4-FFF2-40B4-BE49-F238E27FC236}">
                <a16:creationId xmlns:a16="http://schemas.microsoft.com/office/drawing/2014/main" id="{00000000-0008-0000-0700-000018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87">
            <a:extLst>
              <a:ext uri="{FF2B5EF4-FFF2-40B4-BE49-F238E27FC236}">
                <a16:creationId xmlns:a16="http://schemas.microsoft.com/office/drawing/2014/main" id="{00000000-0008-0000-0700-000019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88">
            <a:extLst>
              <a:ext uri="{FF2B5EF4-FFF2-40B4-BE49-F238E27FC236}">
                <a16:creationId xmlns:a16="http://schemas.microsoft.com/office/drawing/2014/main" id="{00000000-0008-0000-0700-00001A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89">
            <a:extLst>
              <a:ext uri="{FF2B5EF4-FFF2-40B4-BE49-F238E27FC236}">
                <a16:creationId xmlns:a16="http://schemas.microsoft.com/office/drawing/2014/main" id="{00000000-0008-0000-0700-00001B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90">
            <a:extLst>
              <a:ext uri="{FF2B5EF4-FFF2-40B4-BE49-F238E27FC236}">
                <a16:creationId xmlns:a16="http://schemas.microsoft.com/office/drawing/2014/main" id="{00000000-0008-0000-0700-00001C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91">
            <a:extLst>
              <a:ext uri="{FF2B5EF4-FFF2-40B4-BE49-F238E27FC236}">
                <a16:creationId xmlns:a16="http://schemas.microsoft.com/office/drawing/2014/main" id="{00000000-0008-0000-0700-00001D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0</xdr:colOff>
      <xdr:row>5</xdr:row>
      <xdr:rowOff>0</xdr:rowOff>
    </xdr:to>
    <xdr:grpSp>
      <xdr:nvGrpSpPr>
        <xdr:cNvPr id="30" name="Group 100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GrpSpPr>
          <a:grpSpLocks/>
        </xdr:cNvGrpSpPr>
      </xdr:nvGrpSpPr>
      <xdr:grpSpPr bwMode="auto">
        <a:xfrm>
          <a:off x="6483927" y="1833418"/>
          <a:ext cx="0" cy="0"/>
          <a:chOff x="65" y="23"/>
          <a:chExt cx="187" cy="91"/>
        </a:xfrm>
      </xdr:grpSpPr>
      <xdr:sp macro="" textlink="">
        <xdr:nvSpPr>
          <xdr:cNvPr id="31" name="Freeform 101">
            <a:extLst>
              <a:ext uri="{FF2B5EF4-FFF2-40B4-BE49-F238E27FC236}">
                <a16:creationId xmlns:a16="http://schemas.microsoft.com/office/drawing/2014/main" id="{00000000-0008-0000-0700-00001F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102">
            <a:extLst>
              <a:ext uri="{FF2B5EF4-FFF2-40B4-BE49-F238E27FC236}">
                <a16:creationId xmlns:a16="http://schemas.microsoft.com/office/drawing/2014/main" id="{00000000-0008-0000-0700-000020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103">
            <a:extLst>
              <a:ext uri="{FF2B5EF4-FFF2-40B4-BE49-F238E27FC236}">
                <a16:creationId xmlns:a16="http://schemas.microsoft.com/office/drawing/2014/main" id="{00000000-0008-0000-0700-000021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104">
            <a:extLst>
              <a:ext uri="{FF2B5EF4-FFF2-40B4-BE49-F238E27FC236}">
                <a16:creationId xmlns:a16="http://schemas.microsoft.com/office/drawing/2014/main" id="{00000000-0008-0000-0700-000022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105">
            <a:extLst>
              <a:ext uri="{FF2B5EF4-FFF2-40B4-BE49-F238E27FC236}">
                <a16:creationId xmlns:a16="http://schemas.microsoft.com/office/drawing/2014/main" id="{00000000-0008-0000-0700-000023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106">
            <a:extLst>
              <a:ext uri="{FF2B5EF4-FFF2-40B4-BE49-F238E27FC236}">
                <a16:creationId xmlns:a16="http://schemas.microsoft.com/office/drawing/2014/main" id="{00000000-0008-0000-0700-000024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0</xdr:colOff>
      <xdr:row>5</xdr:row>
      <xdr:rowOff>0</xdr:rowOff>
    </xdr:to>
    <xdr:grpSp>
      <xdr:nvGrpSpPr>
        <xdr:cNvPr id="37" name="Group 107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GrpSpPr>
          <a:grpSpLocks/>
        </xdr:cNvGrpSpPr>
      </xdr:nvGrpSpPr>
      <xdr:grpSpPr bwMode="auto">
        <a:xfrm>
          <a:off x="6483927" y="1833418"/>
          <a:ext cx="0" cy="0"/>
          <a:chOff x="65" y="23"/>
          <a:chExt cx="187" cy="91"/>
        </a:xfrm>
      </xdr:grpSpPr>
      <xdr:sp macro="" textlink="">
        <xdr:nvSpPr>
          <xdr:cNvPr id="38" name="Freeform 108">
            <a:extLst>
              <a:ext uri="{FF2B5EF4-FFF2-40B4-BE49-F238E27FC236}">
                <a16:creationId xmlns:a16="http://schemas.microsoft.com/office/drawing/2014/main" id="{00000000-0008-0000-0700-000026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109">
            <a:extLst>
              <a:ext uri="{FF2B5EF4-FFF2-40B4-BE49-F238E27FC236}">
                <a16:creationId xmlns:a16="http://schemas.microsoft.com/office/drawing/2014/main" id="{00000000-0008-0000-0700-000027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110">
            <a:extLst>
              <a:ext uri="{FF2B5EF4-FFF2-40B4-BE49-F238E27FC236}">
                <a16:creationId xmlns:a16="http://schemas.microsoft.com/office/drawing/2014/main" id="{00000000-0008-0000-0700-000028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111">
            <a:extLst>
              <a:ext uri="{FF2B5EF4-FFF2-40B4-BE49-F238E27FC236}">
                <a16:creationId xmlns:a16="http://schemas.microsoft.com/office/drawing/2014/main" id="{00000000-0008-0000-0700-000029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112">
            <a:extLst>
              <a:ext uri="{FF2B5EF4-FFF2-40B4-BE49-F238E27FC236}">
                <a16:creationId xmlns:a16="http://schemas.microsoft.com/office/drawing/2014/main" id="{00000000-0008-0000-0700-00002A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113">
            <a:extLst>
              <a:ext uri="{FF2B5EF4-FFF2-40B4-BE49-F238E27FC236}">
                <a16:creationId xmlns:a16="http://schemas.microsoft.com/office/drawing/2014/main" id="{00000000-0008-0000-0700-00002B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0</xdr:colOff>
      <xdr:row>5</xdr:row>
      <xdr:rowOff>0</xdr:rowOff>
    </xdr:to>
    <xdr:grpSp>
      <xdr:nvGrpSpPr>
        <xdr:cNvPr id="44" name="Group 114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GrpSpPr>
          <a:grpSpLocks/>
        </xdr:cNvGrpSpPr>
      </xdr:nvGrpSpPr>
      <xdr:grpSpPr bwMode="auto">
        <a:xfrm>
          <a:off x="6483927" y="1833418"/>
          <a:ext cx="0" cy="0"/>
          <a:chOff x="65" y="23"/>
          <a:chExt cx="187" cy="91"/>
        </a:xfrm>
      </xdr:grpSpPr>
      <xdr:sp macro="" textlink="">
        <xdr:nvSpPr>
          <xdr:cNvPr id="45" name="Freeform 115">
            <a:extLst>
              <a:ext uri="{FF2B5EF4-FFF2-40B4-BE49-F238E27FC236}">
                <a16:creationId xmlns:a16="http://schemas.microsoft.com/office/drawing/2014/main" id="{00000000-0008-0000-0700-00002D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116">
            <a:extLst>
              <a:ext uri="{FF2B5EF4-FFF2-40B4-BE49-F238E27FC236}">
                <a16:creationId xmlns:a16="http://schemas.microsoft.com/office/drawing/2014/main" id="{00000000-0008-0000-0700-00002E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" name="Freeform 117">
            <a:extLst>
              <a:ext uri="{FF2B5EF4-FFF2-40B4-BE49-F238E27FC236}">
                <a16:creationId xmlns:a16="http://schemas.microsoft.com/office/drawing/2014/main" id="{00000000-0008-0000-0700-00002F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" name="Freeform 118">
            <a:extLst>
              <a:ext uri="{FF2B5EF4-FFF2-40B4-BE49-F238E27FC236}">
                <a16:creationId xmlns:a16="http://schemas.microsoft.com/office/drawing/2014/main" id="{00000000-0008-0000-0700-000030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" name="Freeform 119">
            <a:extLst>
              <a:ext uri="{FF2B5EF4-FFF2-40B4-BE49-F238E27FC236}">
                <a16:creationId xmlns:a16="http://schemas.microsoft.com/office/drawing/2014/main" id="{00000000-0008-0000-0700-000031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" name="Freeform 120">
            <a:extLst>
              <a:ext uri="{FF2B5EF4-FFF2-40B4-BE49-F238E27FC236}">
                <a16:creationId xmlns:a16="http://schemas.microsoft.com/office/drawing/2014/main" id="{00000000-0008-0000-0700-000032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2</xdr:col>
      <xdr:colOff>0</xdr:colOff>
      <xdr:row>5</xdr:row>
      <xdr:rowOff>0</xdr:rowOff>
    </xdr:from>
    <xdr:to>
      <xdr:col>2</xdr:col>
      <xdr:colOff>0</xdr:colOff>
      <xdr:row>5</xdr:row>
      <xdr:rowOff>0</xdr:rowOff>
    </xdr:to>
    <xdr:grpSp>
      <xdr:nvGrpSpPr>
        <xdr:cNvPr id="51" name="Group 128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GrpSpPr>
          <a:grpSpLocks/>
        </xdr:cNvGrpSpPr>
      </xdr:nvGrpSpPr>
      <xdr:grpSpPr bwMode="auto">
        <a:xfrm>
          <a:off x="9217891" y="1833418"/>
          <a:ext cx="0" cy="0"/>
          <a:chOff x="65" y="23"/>
          <a:chExt cx="187" cy="91"/>
        </a:xfrm>
      </xdr:grpSpPr>
      <xdr:sp macro="" textlink="">
        <xdr:nvSpPr>
          <xdr:cNvPr id="52" name="Freeform 129">
            <a:extLst>
              <a:ext uri="{FF2B5EF4-FFF2-40B4-BE49-F238E27FC236}">
                <a16:creationId xmlns:a16="http://schemas.microsoft.com/office/drawing/2014/main" id="{00000000-0008-0000-0700-000034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" name="Freeform 130">
            <a:extLst>
              <a:ext uri="{FF2B5EF4-FFF2-40B4-BE49-F238E27FC236}">
                <a16:creationId xmlns:a16="http://schemas.microsoft.com/office/drawing/2014/main" id="{00000000-0008-0000-0700-000035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" name="Freeform 131">
            <a:extLst>
              <a:ext uri="{FF2B5EF4-FFF2-40B4-BE49-F238E27FC236}">
                <a16:creationId xmlns:a16="http://schemas.microsoft.com/office/drawing/2014/main" id="{00000000-0008-0000-0700-000036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" name="Freeform 132">
            <a:extLst>
              <a:ext uri="{FF2B5EF4-FFF2-40B4-BE49-F238E27FC236}">
                <a16:creationId xmlns:a16="http://schemas.microsoft.com/office/drawing/2014/main" id="{00000000-0008-0000-0700-000037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" name="Freeform 133">
            <a:extLst>
              <a:ext uri="{FF2B5EF4-FFF2-40B4-BE49-F238E27FC236}">
                <a16:creationId xmlns:a16="http://schemas.microsoft.com/office/drawing/2014/main" id="{00000000-0008-0000-0700-000038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" name="Freeform 134">
            <a:extLst>
              <a:ext uri="{FF2B5EF4-FFF2-40B4-BE49-F238E27FC236}">
                <a16:creationId xmlns:a16="http://schemas.microsoft.com/office/drawing/2014/main" id="{00000000-0008-0000-0700-000039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2</xdr:col>
      <xdr:colOff>0</xdr:colOff>
      <xdr:row>5</xdr:row>
      <xdr:rowOff>0</xdr:rowOff>
    </xdr:from>
    <xdr:to>
      <xdr:col>2</xdr:col>
      <xdr:colOff>0</xdr:colOff>
      <xdr:row>5</xdr:row>
      <xdr:rowOff>0</xdr:rowOff>
    </xdr:to>
    <xdr:grpSp>
      <xdr:nvGrpSpPr>
        <xdr:cNvPr id="58" name="Group 135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GrpSpPr>
          <a:grpSpLocks/>
        </xdr:cNvGrpSpPr>
      </xdr:nvGrpSpPr>
      <xdr:grpSpPr bwMode="auto">
        <a:xfrm>
          <a:off x="9217891" y="1833418"/>
          <a:ext cx="0" cy="0"/>
          <a:chOff x="65" y="23"/>
          <a:chExt cx="187" cy="91"/>
        </a:xfrm>
      </xdr:grpSpPr>
      <xdr:sp macro="" textlink="">
        <xdr:nvSpPr>
          <xdr:cNvPr id="59" name="Freeform 136">
            <a:extLst>
              <a:ext uri="{FF2B5EF4-FFF2-40B4-BE49-F238E27FC236}">
                <a16:creationId xmlns:a16="http://schemas.microsoft.com/office/drawing/2014/main" id="{00000000-0008-0000-0700-00003B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0" name="Freeform 137">
            <a:extLst>
              <a:ext uri="{FF2B5EF4-FFF2-40B4-BE49-F238E27FC236}">
                <a16:creationId xmlns:a16="http://schemas.microsoft.com/office/drawing/2014/main" id="{00000000-0008-0000-0700-00003C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" name="Freeform 138">
            <a:extLst>
              <a:ext uri="{FF2B5EF4-FFF2-40B4-BE49-F238E27FC236}">
                <a16:creationId xmlns:a16="http://schemas.microsoft.com/office/drawing/2014/main" id="{00000000-0008-0000-0700-00003D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" name="Freeform 139">
            <a:extLst>
              <a:ext uri="{FF2B5EF4-FFF2-40B4-BE49-F238E27FC236}">
                <a16:creationId xmlns:a16="http://schemas.microsoft.com/office/drawing/2014/main" id="{00000000-0008-0000-0700-00003E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" name="Freeform 140">
            <a:extLst>
              <a:ext uri="{FF2B5EF4-FFF2-40B4-BE49-F238E27FC236}">
                <a16:creationId xmlns:a16="http://schemas.microsoft.com/office/drawing/2014/main" id="{00000000-0008-0000-0700-00003F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" name="Freeform 141">
            <a:extLst>
              <a:ext uri="{FF2B5EF4-FFF2-40B4-BE49-F238E27FC236}">
                <a16:creationId xmlns:a16="http://schemas.microsoft.com/office/drawing/2014/main" id="{00000000-0008-0000-0700-000040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2</xdr:col>
      <xdr:colOff>0</xdr:colOff>
      <xdr:row>5</xdr:row>
      <xdr:rowOff>0</xdr:rowOff>
    </xdr:from>
    <xdr:to>
      <xdr:col>2</xdr:col>
      <xdr:colOff>0</xdr:colOff>
      <xdr:row>5</xdr:row>
      <xdr:rowOff>0</xdr:rowOff>
    </xdr:to>
    <xdr:grpSp>
      <xdr:nvGrpSpPr>
        <xdr:cNvPr id="65" name="Group 14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GrpSpPr>
          <a:grpSpLocks/>
        </xdr:cNvGrpSpPr>
      </xdr:nvGrpSpPr>
      <xdr:grpSpPr bwMode="auto">
        <a:xfrm>
          <a:off x="9217891" y="1833418"/>
          <a:ext cx="0" cy="0"/>
          <a:chOff x="65" y="23"/>
          <a:chExt cx="187" cy="91"/>
        </a:xfrm>
      </xdr:grpSpPr>
      <xdr:sp macro="" textlink="">
        <xdr:nvSpPr>
          <xdr:cNvPr id="66" name="Freeform 143">
            <a:extLst>
              <a:ext uri="{FF2B5EF4-FFF2-40B4-BE49-F238E27FC236}">
                <a16:creationId xmlns:a16="http://schemas.microsoft.com/office/drawing/2014/main" id="{00000000-0008-0000-0700-000042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" name="Freeform 144">
            <a:extLst>
              <a:ext uri="{FF2B5EF4-FFF2-40B4-BE49-F238E27FC236}">
                <a16:creationId xmlns:a16="http://schemas.microsoft.com/office/drawing/2014/main" id="{00000000-0008-0000-0700-000043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" name="Freeform 145">
            <a:extLst>
              <a:ext uri="{FF2B5EF4-FFF2-40B4-BE49-F238E27FC236}">
                <a16:creationId xmlns:a16="http://schemas.microsoft.com/office/drawing/2014/main" id="{00000000-0008-0000-0700-000044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" name="Freeform 146">
            <a:extLst>
              <a:ext uri="{FF2B5EF4-FFF2-40B4-BE49-F238E27FC236}">
                <a16:creationId xmlns:a16="http://schemas.microsoft.com/office/drawing/2014/main" id="{00000000-0008-0000-0700-000045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" name="Freeform 147">
            <a:extLst>
              <a:ext uri="{FF2B5EF4-FFF2-40B4-BE49-F238E27FC236}">
                <a16:creationId xmlns:a16="http://schemas.microsoft.com/office/drawing/2014/main" id="{00000000-0008-0000-0700-000046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" name="Freeform 148">
            <a:extLst>
              <a:ext uri="{FF2B5EF4-FFF2-40B4-BE49-F238E27FC236}">
                <a16:creationId xmlns:a16="http://schemas.microsoft.com/office/drawing/2014/main" id="{00000000-0008-0000-0700-000047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2</xdr:col>
      <xdr:colOff>0</xdr:colOff>
      <xdr:row>5</xdr:row>
      <xdr:rowOff>0</xdr:rowOff>
    </xdr:from>
    <xdr:to>
      <xdr:col>2</xdr:col>
      <xdr:colOff>0</xdr:colOff>
      <xdr:row>5</xdr:row>
      <xdr:rowOff>0</xdr:rowOff>
    </xdr:to>
    <xdr:grpSp>
      <xdr:nvGrpSpPr>
        <xdr:cNvPr id="72" name="Group 156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GrpSpPr>
          <a:grpSpLocks/>
        </xdr:cNvGrpSpPr>
      </xdr:nvGrpSpPr>
      <xdr:grpSpPr bwMode="auto">
        <a:xfrm>
          <a:off x="9217891" y="1833418"/>
          <a:ext cx="0" cy="0"/>
          <a:chOff x="65" y="23"/>
          <a:chExt cx="187" cy="91"/>
        </a:xfrm>
      </xdr:grpSpPr>
      <xdr:sp macro="" textlink="">
        <xdr:nvSpPr>
          <xdr:cNvPr id="73" name="Freeform 157">
            <a:extLst>
              <a:ext uri="{FF2B5EF4-FFF2-40B4-BE49-F238E27FC236}">
                <a16:creationId xmlns:a16="http://schemas.microsoft.com/office/drawing/2014/main" id="{00000000-0008-0000-0700-000049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" name="Freeform 158">
            <a:extLst>
              <a:ext uri="{FF2B5EF4-FFF2-40B4-BE49-F238E27FC236}">
                <a16:creationId xmlns:a16="http://schemas.microsoft.com/office/drawing/2014/main" id="{00000000-0008-0000-0700-00004A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" name="Freeform 159">
            <a:extLst>
              <a:ext uri="{FF2B5EF4-FFF2-40B4-BE49-F238E27FC236}">
                <a16:creationId xmlns:a16="http://schemas.microsoft.com/office/drawing/2014/main" id="{00000000-0008-0000-0700-00004B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" name="Freeform 160">
            <a:extLst>
              <a:ext uri="{FF2B5EF4-FFF2-40B4-BE49-F238E27FC236}">
                <a16:creationId xmlns:a16="http://schemas.microsoft.com/office/drawing/2014/main" id="{00000000-0008-0000-0700-00004C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" name="Freeform 161">
            <a:extLst>
              <a:ext uri="{FF2B5EF4-FFF2-40B4-BE49-F238E27FC236}">
                <a16:creationId xmlns:a16="http://schemas.microsoft.com/office/drawing/2014/main" id="{00000000-0008-0000-0700-00004D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" name="Freeform 162">
            <a:extLst>
              <a:ext uri="{FF2B5EF4-FFF2-40B4-BE49-F238E27FC236}">
                <a16:creationId xmlns:a16="http://schemas.microsoft.com/office/drawing/2014/main" id="{00000000-0008-0000-0700-00004E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2</xdr:col>
      <xdr:colOff>0</xdr:colOff>
      <xdr:row>5</xdr:row>
      <xdr:rowOff>0</xdr:rowOff>
    </xdr:from>
    <xdr:to>
      <xdr:col>2</xdr:col>
      <xdr:colOff>0</xdr:colOff>
      <xdr:row>5</xdr:row>
      <xdr:rowOff>0</xdr:rowOff>
    </xdr:to>
    <xdr:grpSp>
      <xdr:nvGrpSpPr>
        <xdr:cNvPr id="79" name="Group 163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GrpSpPr>
          <a:grpSpLocks/>
        </xdr:cNvGrpSpPr>
      </xdr:nvGrpSpPr>
      <xdr:grpSpPr bwMode="auto">
        <a:xfrm>
          <a:off x="9217891" y="1833418"/>
          <a:ext cx="0" cy="0"/>
          <a:chOff x="65" y="23"/>
          <a:chExt cx="187" cy="91"/>
        </a:xfrm>
      </xdr:grpSpPr>
      <xdr:sp macro="" textlink="">
        <xdr:nvSpPr>
          <xdr:cNvPr id="80" name="Freeform 164">
            <a:extLst>
              <a:ext uri="{FF2B5EF4-FFF2-40B4-BE49-F238E27FC236}">
                <a16:creationId xmlns:a16="http://schemas.microsoft.com/office/drawing/2014/main" id="{00000000-0008-0000-0700-000050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" name="Freeform 165">
            <a:extLst>
              <a:ext uri="{FF2B5EF4-FFF2-40B4-BE49-F238E27FC236}">
                <a16:creationId xmlns:a16="http://schemas.microsoft.com/office/drawing/2014/main" id="{00000000-0008-0000-0700-000051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" name="Freeform 166">
            <a:extLst>
              <a:ext uri="{FF2B5EF4-FFF2-40B4-BE49-F238E27FC236}">
                <a16:creationId xmlns:a16="http://schemas.microsoft.com/office/drawing/2014/main" id="{00000000-0008-0000-0700-000052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3" name="Freeform 167">
            <a:extLst>
              <a:ext uri="{FF2B5EF4-FFF2-40B4-BE49-F238E27FC236}">
                <a16:creationId xmlns:a16="http://schemas.microsoft.com/office/drawing/2014/main" id="{00000000-0008-0000-0700-000053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" name="Freeform 168">
            <a:extLst>
              <a:ext uri="{FF2B5EF4-FFF2-40B4-BE49-F238E27FC236}">
                <a16:creationId xmlns:a16="http://schemas.microsoft.com/office/drawing/2014/main" id="{00000000-0008-0000-0700-000054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" name="Freeform 169">
            <a:extLst>
              <a:ext uri="{FF2B5EF4-FFF2-40B4-BE49-F238E27FC236}">
                <a16:creationId xmlns:a16="http://schemas.microsoft.com/office/drawing/2014/main" id="{00000000-0008-0000-0700-000055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2</xdr:col>
      <xdr:colOff>0</xdr:colOff>
      <xdr:row>5</xdr:row>
      <xdr:rowOff>0</xdr:rowOff>
    </xdr:from>
    <xdr:to>
      <xdr:col>2</xdr:col>
      <xdr:colOff>0</xdr:colOff>
      <xdr:row>5</xdr:row>
      <xdr:rowOff>0</xdr:rowOff>
    </xdr:to>
    <xdr:grpSp>
      <xdr:nvGrpSpPr>
        <xdr:cNvPr id="86" name="Group 170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GrpSpPr>
          <a:grpSpLocks/>
        </xdr:cNvGrpSpPr>
      </xdr:nvGrpSpPr>
      <xdr:grpSpPr bwMode="auto">
        <a:xfrm>
          <a:off x="9217891" y="1833418"/>
          <a:ext cx="0" cy="0"/>
          <a:chOff x="65" y="23"/>
          <a:chExt cx="187" cy="91"/>
        </a:xfrm>
      </xdr:grpSpPr>
      <xdr:sp macro="" textlink="">
        <xdr:nvSpPr>
          <xdr:cNvPr id="87" name="Freeform 171">
            <a:extLst>
              <a:ext uri="{FF2B5EF4-FFF2-40B4-BE49-F238E27FC236}">
                <a16:creationId xmlns:a16="http://schemas.microsoft.com/office/drawing/2014/main" id="{00000000-0008-0000-0700-000057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8" name="Freeform 172">
            <a:extLst>
              <a:ext uri="{FF2B5EF4-FFF2-40B4-BE49-F238E27FC236}">
                <a16:creationId xmlns:a16="http://schemas.microsoft.com/office/drawing/2014/main" id="{00000000-0008-0000-0700-000058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" name="Freeform 173">
            <a:extLst>
              <a:ext uri="{FF2B5EF4-FFF2-40B4-BE49-F238E27FC236}">
                <a16:creationId xmlns:a16="http://schemas.microsoft.com/office/drawing/2014/main" id="{00000000-0008-0000-0700-000059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" name="Freeform 174">
            <a:extLst>
              <a:ext uri="{FF2B5EF4-FFF2-40B4-BE49-F238E27FC236}">
                <a16:creationId xmlns:a16="http://schemas.microsoft.com/office/drawing/2014/main" id="{00000000-0008-0000-0700-00005A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" name="Freeform 175">
            <a:extLst>
              <a:ext uri="{FF2B5EF4-FFF2-40B4-BE49-F238E27FC236}">
                <a16:creationId xmlns:a16="http://schemas.microsoft.com/office/drawing/2014/main" id="{00000000-0008-0000-0700-00005B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" name="Freeform 176">
            <a:extLst>
              <a:ext uri="{FF2B5EF4-FFF2-40B4-BE49-F238E27FC236}">
                <a16:creationId xmlns:a16="http://schemas.microsoft.com/office/drawing/2014/main" id="{00000000-0008-0000-0700-00005C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0</xdr:colOff>
      <xdr:row>5</xdr:row>
      <xdr:rowOff>0</xdr:rowOff>
    </xdr:to>
    <xdr:grpSp>
      <xdr:nvGrpSpPr>
        <xdr:cNvPr id="93" name="Group 8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GrpSpPr>
          <a:grpSpLocks/>
        </xdr:cNvGrpSpPr>
      </xdr:nvGrpSpPr>
      <xdr:grpSpPr bwMode="auto">
        <a:xfrm>
          <a:off x="6483927" y="1833418"/>
          <a:ext cx="0" cy="0"/>
          <a:chOff x="65" y="23"/>
          <a:chExt cx="187" cy="91"/>
        </a:xfrm>
      </xdr:grpSpPr>
      <xdr:sp macro="" textlink="">
        <xdr:nvSpPr>
          <xdr:cNvPr id="94" name="Freeform 9">
            <a:extLst>
              <a:ext uri="{FF2B5EF4-FFF2-40B4-BE49-F238E27FC236}">
                <a16:creationId xmlns:a16="http://schemas.microsoft.com/office/drawing/2014/main" id="{00000000-0008-0000-0700-00005E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" name="Freeform 10">
            <a:extLst>
              <a:ext uri="{FF2B5EF4-FFF2-40B4-BE49-F238E27FC236}">
                <a16:creationId xmlns:a16="http://schemas.microsoft.com/office/drawing/2014/main" id="{00000000-0008-0000-0700-00005F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" name="Freeform 11">
            <a:extLst>
              <a:ext uri="{FF2B5EF4-FFF2-40B4-BE49-F238E27FC236}">
                <a16:creationId xmlns:a16="http://schemas.microsoft.com/office/drawing/2014/main" id="{00000000-0008-0000-0700-000060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7" name="Freeform 12">
            <a:extLst>
              <a:ext uri="{FF2B5EF4-FFF2-40B4-BE49-F238E27FC236}">
                <a16:creationId xmlns:a16="http://schemas.microsoft.com/office/drawing/2014/main" id="{00000000-0008-0000-0700-000061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" name="Freeform 13">
            <a:extLst>
              <a:ext uri="{FF2B5EF4-FFF2-40B4-BE49-F238E27FC236}">
                <a16:creationId xmlns:a16="http://schemas.microsoft.com/office/drawing/2014/main" id="{00000000-0008-0000-0700-000062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" name="Freeform 14">
            <a:extLst>
              <a:ext uri="{FF2B5EF4-FFF2-40B4-BE49-F238E27FC236}">
                <a16:creationId xmlns:a16="http://schemas.microsoft.com/office/drawing/2014/main" id="{00000000-0008-0000-0700-000063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0</xdr:colOff>
      <xdr:row>5</xdr:row>
      <xdr:rowOff>0</xdr:rowOff>
    </xdr:to>
    <xdr:grpSp>
      <xdr:nvGrpSpPr>
        <xdr:cNvPr id="100" name="Group 15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GrpSpPr>
          <a:grpSpLocks/>
        </xdr:cNvGrpSpPr>
      </xdr:nvGrpSpPr>
      <xdr:grpSpPr bwMode="auto">
        <a:xfrm>
          <a:off x="6483927" y="1833418"/>
          <a:ext cx="0" cy="0"/>
          <a:chOff x="65" y="23"/>
          <a:chExt cx="187" cy="91"/>
        </a:xfrm>
      </xdr:grpSpPr>
      <xdr:sp macro="" textlink="">
        <xdr:nvSpPr>
          <xdr:cNvPr id="101" name="Freeform 16">
            <a:extLst>
              <a:ext uri="{FF2B5EF4-FFF2-40B4-BE49-F238E27FC236}">
                <a16:creationId xmlns:a16="http://schemas.microsoft.com/office/drawing/2014/main" id="{00000000-0008-0000-0700-000065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" name="Freeform 17">
            <a:extLst>
              <a:ext uri="{FF2B5EF4-FFF2-40B4-BE49-F238E27FC236}">
                <a16:creationId xmlns:a16="http://schemas.microsoft.com/office/drawing/2014/main" id="{00000000-0008-0000-0700-000066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" name="Freeform 18">
            <a:extLst>
              <a:ext uri="{FF2B5EF4-FFF2-40B4-BE49-F238E27FC236}">
                <a16:creationId xmlns:a16="http://schemas.microsoft.com/office/drawing/2014/main" id="{00000000-0008-0000-0700-000067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" name="Freeform 19">
            <a:extLst>
              <a:ext uri="{FF2B5EF4-FFF2-40B4-BE49-F238E27FC236}">
                <a16:creationId xmlns:a16="http://schemas.microsoft.com/office/drawing/2014/main" id="{00000000-0008-0000-0700-000068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" name="Freeform 20">
            <a:extLst>
              <a:ext uri="{FF2B5EF4-FFF2-40B4-BE49-F238E27FC236}">
                <a16:creationId xmlns:a16="http://schemas.microsoft.com/office/drawing/2014/main" id="{00000000-0008-0000-0700-000069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6" name="Freeform 21">
            <a:extLst>
              <a:ext uri="{FF2B5EF4-FFF2-40B4-BE49-F238E27FC236}">
                <a16:creationId xmlns:a16="http://schemas.microsoft.com/office/drawing/2014/main" id="{00000000-0008-0000-0700-00006A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0</xdr:colOff>
      <xdr:row>5</xdr:row>
      <xdr:rowOff>0</xdr:rowOff>
    </xdr:to>
    <xdr:grpSp>
      <xdr:nvGrpSpPr>
        <xdr:cNvPr id="107" name="Group 2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GrpSpPr>
          <a:grpSpLocks/>
        </xdr:cNvGrpSpPr>
      </xdr:nvGrpSpPr>
      <xdr:grpSpPr bwMode="auto">
        <a:xfrm>
          <a:off x="6483927" y="1833418"/>
          <a:ext cx="0" cy="0"/>
          <a:chOff x="65" y="23"/>
          <a:chExt cx="187" cy="91"/>
        </a:xfrm>
      </xdr:grpSpPr>
      <xdr:sp macro="" textlink="">
        <xdr:nvSpPr>
          <xdr:cNvPr id="108" name="Freeform 23">
            <a:extLst>
              <a:ext uri="{FF2B5EF4-FFF2-40B4-BE49-F238E27FC236}">
                <a16:creationId xmlns:a16="http://schemas.microsoft.com/office/drawing/2014/main" id="{00000000-0008-0000-0700-00006C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" name="Freeform 24">
            <a:extLst>
              <a:ext uri="{FF2B5EF4-FFF2-40B4-BE49-F238E27FC236}">
                <a16:creationId xmlns:a16="http://schemas.microsoft.com/office/drawing/2014/main" id="{00000000-0008-0000-0700-00006D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" name="Freeform 25">
            <a:extLst>
              <a:ext uri="{FF2B5EF4-FFF2-40B4-BE49-F238E27FC236}">
                <a16:creationId xmlns:a16="http://schemas.microsoft.com/office/drawing/2014/main" id="{00000000-0008-0000-0700-00006E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" name="Freeform 26">
            <a:extLst>
              <a:ext uri="{FF2B5EF4-FFF2-40B4-BE49-F238E27FC236}">
                <a16:creationId xmlns:a16="http://schemas.microsoft.com/office/drawing/2014/main" id="{00000000-0008-0000-0700-00006F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" name="Freeform 27">
            <a:extLst>
              <a:ext uri="{FF2B5EF4-FFF2-40B4-BE49-F238E27FC236}">
                <a16:creationId xmlns:a16="http://schemas.microsoft.com/office/drawing/2014/main" id="{00000000-0008-0000-0700-000070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" name="Freeform 28">
            <a:extLst>
              <a:ext uri="{FF2B5EF4-FFF2-40B4-BE49-F238E27FC236}">
                <a16:creationId xmlns:a16="http://schemas.microsoft.com/office/drawing/2014/main" id="{00000000-0008-0000-0700-000071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5</xdr:row>
      <xdr:rowOff>0</xdr:rowOff>
    </xdr:from>
    <xdr:to>
      <xdr:col>1</xdr:col>
      <xdr:colOff>0</xdr:colOff>
      <xdr:row>5</xdr:row>
      <xdr:rowOff>0</xdr:rowOff>
    </xdr:to>
    <xdr:grpSp>
      <xdr:nvGrpSpPr>
        <xdr:cNvPr id="114" name="Group 85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GrpSpPr>
          <a:grpSpLocks/>
        </xdr:cNvGrpSpPr>
      </xdr:nvGrpSpPr>
      <xdr:grpSpPr bwMode="auto">
        <a:xfrm>
          <a:off x="0" y="1833418"/>
          <a:ext cx="6483927" cy="0"/>
          <a:chOff x="65" y="23"/>
          <a:chExt cx="187" cy="91"/>
        </a:xfrm>
      </xdr:grpSpPr>
      <xdr:sp macro="" textlink="">
        <xdr:nvSpPr>
          <xdr:cNvPr id="115" name="Freeform 86">
            <a:extLst>
              <a:ext uri="{FF2B5EF4-FFF2-40B4-BE49-F238E27FC236}">
                <a16:creationId xmlns:a16="http://schemas.microsoft.com/office/drawing/2014/main" id="{00000000-0008-0000-0700-000073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" name="Freeform 87">
            <a:extLst>
              <a:ext uri="{FF2B5EF4-FFF2-40B4-BE49-F238E27FC236}">
                <a16:creationId xmlns:a16="http://schemas.microsoft.com/office/drawing/2014/main" id="{00000000-0008-0000-0700-000074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" name="Freeform 88">
            <a:extLst>
              <a:ext uri="{FF2B5EF4-FFF2-40B4-BE49-F238E27FC236}">
                <a16:creationId xmlns:a16="http://schemas.microsoft.com/office/drawing/2014/main" id="{00000000-0008-0000-0700-000075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" name="Freeform 89">
            <a:extLst>
              <a:ext uri="{FF2B5EF4-FFF2-40B4-BE49-F238E27FC236}">
                <a16:creationId xmlns:a16="http://schemas.microsoft.com/office/drawing/2014/main" id="{00000000-0008-0000-0700-000076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" name="Freeform 90">
            <a:extLst>
              <a:ext uri="{FF2B5EF4-FFF2-40B4-BE49-F238E27FC236}">
                <a16:creationId xmlns:a16="http://schemas.microsoft.com/office/drawing/2014/main" id="{00000000-0008-0000-0700-000077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0" name="Freeform 91">
            <a:extLst>
              <a:ext uri="{FF2B5EF4-FFF2-40B4-BE49-F238E27FC236}">
                <a16:creationId xmlns:a16="http://schemas.microsoft.com/office/drawing/2014/main" id="{00000000-0008-0000-0700-000078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0</xdr:colOff>
      <xdr:row>5</xdr:row>
      <xdr:rowOff>0</xdr:rowOff>
    </xdr:to>
    <xdr:grpSp>
      <xdr:nvGrpSpPr>
        <xdr:cNvPr id="121" name="Group 100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GrpSpPr>
          <a:grpSpLocks/>
        </xdr:cNvGrpSpPr>
      </xdr:nvGrpSpPr>
      <xdr:grpSpPr bwMode="auto">
        <a:xfrm>
          <a:off x="6483927" y="1833418"/>
          <a:ext cx="0" cy="0"/>
          <a:chOff x="65" y="23"/>
          <a:chExt cx="187" cy="91"/>
        </a:xfrm>
      </xdr:grpSpPr>
      <xdr:sp macro="" textlink="">
        <xdr:nvSpPr>
          <xdr:cNvPr id="122" name="Freeform 101">
            <a:extLst>
              <a:ext uri="{FF2B5EF4-FFF2-40B4-BE49-F238E27FC236}">
                <a16:creationId xmlns:a16="http://schemas.microsoft.com/office/drawing/2014/main" id="{00000000-0008-0000-0700-00007A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" name="Freeform 102">
            <a:extLst>
              <a:ext uri="{FF2B5EF4-FFF2-40B4-BE49-F238E27FC236}">
                <a16:creationId xmlns:a16="http://schemas.microsoft.com/office/drawing/2014/main" id="{00000000-0008-0000-0700-00007B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" name="Freeform 103">
            <a:extLst>
              <a:ext uri="{FF2B5EF4-FFF2-40B4-BE49-F238E27FC236}">
                <a16:creationId xmlns:a16="http://schemas.microsoft.com/office/drawing/2014/main" id="{00000000-0008-0000-0700-00007C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" name="Freeform 104">
            <a:extLst>
              <a:ext uri="{FF2B5EF4-FFF2-40B4-BE49-F238E27FC236}">
                <a16:creationId xmlns:a16="http://schemas.microsoft.com/office/drawing/2014/main" id="{00000000-0008-0000-0700-00007D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" name="Freeform 105">
            <a:extLst>
              <a:ext uri="{FF2B5EF4-FFF2-40B4-BE49-F238E27FC236}">
                <a16:creationId xmlns:a16="http://schemas.microsoft.com/office/drawing/2014/main" id="{00000000-0008-0000-0700-00007E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06">
            <a:extLst>
              <a:ext uri="{FF2B5EF4-FFF2-40B4-BE49-F238E27FC236}">
                <a16:creationId xmlns:a16="http://schemas.microsoft.com/office/drawing/2014/main" id="{00000000-0008-0000-0700-00007F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0</xdr:colOff>
      <xdr:row>5</xdr:row>
      <xdr:rowOff>0</xdr:rowOff>
    </xdr:to>
    <xdr:grpSp>
      <xdr:nvGrpSpPr>
        <xdr:cNvPr id="128" name="Group 107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GrpSpPr>
          <a:grpSpLocks/>
        </xdr:cNvGrpSpPr>
      </xdr:nvGrpSpPr>
      <xdr:grpSpPr bwMode="auto">
        <a:xfrm>
          <a:off x="6483927" y="1833418"/>
          <a:ext cx="0" cy="0"/>
          <a:chOff x="65" y="23"/>
          <a:chExt cx="187" cy="91"/>
        </a:xfrm>
      </xdr:grpSpPr>
      <xdr:sp macro="" textlink="">
        <xdr:nvSpPr>
          <xdr:cNvPr id="129" name="Freeform 108">
            <a:extLst>
              <a:ext uri="{FF2B5EF4-FFF2-40B4-BE49-F238E27FC236}">
                <a16:creationId xmlns:a16="http://schemas.microsoft.com/office/drawing/2014/main" id="{00000000-0008-0000-0700-000081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" name="Freeform 109">
            <a:extLst>
              <a:ext uri="{FF2B5EF4-FFF2-40B4-BE49-F238E27FC236}">
                <a16:creationId xmlns:a16="http://schemas.microsoft.com/office/drawing/2014/main" id="{00000000-0008-0000-0700-000082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" name="Freeform 110">
            <a:extLst>
              <a:ext uri="{FF2B5EF4-FFF2-40B4-BE49-F238E27FC236}">
                <a16:creationId xmlns:a16="http://schemas.microsoft.com/office/drawing/2014/main" id="{00000000-0008-0000-0700-000083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" name="Freeform 111">
            <a:extLst>
              <a:ext uri="{FF2B5EF4-FFF2-40B4-BE49-F238E27FC236}">
                <a16:creationId xmlns:a16="http://schemas.microsoft.com/office/drawing/2014/main" id="{00000000-0008-0000-0700-000084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" name="Freeform 112">
            <a:extLst>
              <a:ext uri="{FF2B5EF4-FFF2-40B4-BE49-F238E27FC236}">
                <a16:creationId xmlns:a16="http://schemas.microsoft.com/office/drawing/2014/main" id="{00000000-0008-0000-0700-000085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" name="Freeform 113">
            <a:extLst>
              <a:ext uri="{FF2B5EF4-FFF2-40B4-BE49-F238E27FC236}">
                <a16:creationId xmlns:a16="http://schemas.microsoft.com/office/drawing/2014/main" id="{00000000-0008-0000-0700-000086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0</xdr:colOff>
      <xdr:row>5</xdr:row>
      <xdr:rowOff>0</xdr:rowOff>
    </xdr:to>
    <xdr:grpSp>
      <xdr:nvGrpSpPr>
        <xdr:cNvPr id="135" name="Group 114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GrpSpPr>
          <a:grpSpLocks/>
        </xdr:cNvGrpSpPr>
      </xdr:nvGrpSpPr>
      <xdr:grpSpPr bwMode="auto">
        <a:xfrm>
          <a:off x="6483927" y="1833418"/>
          <a:ext cx="0" cy="0"/>
          <a:chOff x="65" y="23"/>
          <a:chExt cx="187" cy="91"/>
        </a:xfrm>
      </xdr:grpSpPr>
      <xdr:sp macro="" textlink="">
        <xdr:nvSpPr>
          <xdr:cNvPr id="136" name="Freeform 115">
            <a:extLst>
              <a:ext uri="{FF2B5EF4-FFF2-40B4-BE49-F238E27FC236}">
                <a16:creationId xmlns:a16="http://schemas.microsoft.com/office/drawing/2014/main" id="{00000000-0008-0000-0700-000088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7" name="Freeform 116">
            <a:extLst>
              <a:ext uri="{FF2B5EF4-FFF2-40B4-BE49-F238E27FC236}">
                <a16:creationId xmlns:a16="http://schemas.microsoft.com/office/drawing/2014/main" id="{00000000-0008-0000-0700-000089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8" name="Freeform 117">
            <a:extLst>
              <a:ext uri="{FF2B5EF4-FFF2-40B4-BE49-F238E27FC236}">
                <a16:creationId xmlns:a16="http://schemas.microsoft.com/office/drawing/2014/main" id="{00000000-0008-0000-0700-00008A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" name="Freeform 118">
            <a:extLst>
              <a:ext uri="{FF2B5EF4-FFF2-40B4-BE49-F238E27FC236}">
                <a16:creationId xmlns:a16="http://schemas.microsoft.com/office/drawing/2014/main" id="{00000000-0008-0000-0700-00008B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" name="Freeform 119">
            <a:extLst>
              <a:ext uri="{FF2B5EF4-FFF2-40B4-BE49-F238E27FC236}">
                <a16:creationId xmlns:a16="http://schemas.microsoft.com/office/drawing/2014/main" id="{00000000-0008-0000-0700-00008C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1" name="Freeform 120">
            <a:extLst>
              <a:ext uri="{FF2B5EF4-FFF2-40B4-BE49-F238E27FC236}">
                <a16:creationId xmlns:a16="http://schemas.microsoft.com/office/drawing/2014/main" id="{00000000-0008-0000-0700-00008D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2</xdr:col>
      <xdr:colOff>0</xdr:colOff>
      <xdr:row>5</xdr:row>
      <xdr:rowOff>0</xdr:rowOff>
    </xdr:from>
    <xdr:to>
      <xdr:col>2</xdr:col>
      <xdr:colOff>0</xdr:colOff>
      <xdr:row>5</xdr:row>
      <xdr:rowOff>0</xdr:rowOff>
    </xdr:to>
    <xdr:grpSp>
      <xdr:nvGrpSpPr>
        <xdr:cNvPr id="142" name="Group 128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GrpSpPr>
          <a:grpSpLocks/>
        </xdr:cNvGrpSpPr>
      </xdr:nvGrpSpPr>
      <xdr:grpSpPr bwMode="auto">
        <a:xfrm>
          <a:off x="9217891" y="1833418"/>
          <a:ext cx="0" cy="0"/>
          <a:chOff x="65" y="23"/>
          <a:chExt cx="187" cy="91"/>
        </a:xfrm>
      </xdr:grpSpPr>
      <xdr:sp macro="" textlink="">
        <xdr:nvSpPr>
          <xdr:cNvPr id="143" name="Freeform 129">
            <a:extLst>
              <a:ext uri="{FF2B5EF4-FFF2-40B4-BE49-F238E27FC236}">
                <a16:creationId xmlns:a16="http://schemas.microsoft.com/office/drawing/2014/main" id="{00000000-0008-0000-0700-00008F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4" name="Freeform 130">
            <a:extLst>
              <a:ext uri="{FF2B5EF4-FFF2-40B4-BE49-F238E27FC236}">
                <a16:creationId xmlns:a16="http://schemas.microsoft.com/office/drawing/2014/main" id="{00000000-0008-0000-0700-000090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5" name="Freeform 131">
            <a:extLst>
              <a:ext uri="{FF2B5EF4-FFF2-40B4-BE49-F238E27FC236}">
                <a16:creationId xmlns:a16="http://schemas.microsoft.com/office/drawing/2014/main" id="{00000000-0008-0000-0700-000091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" name="Freeform 132">
            <a:extLst>
              <a:ext uri="{FF2B5EF4-FFF2-40B4-BE49-F238E27FC236}">
                <a16:creationId xmlns:a16="http://schemas.microsoft.com/office/drawing/2014/main" id="{00000000-0008-0000-0700-000092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" name="Freeform 133">
            <a:extLst>
              <a:ext uri="{FF2B5EF4-FFF2-40B4-BE49-F238E27FC236}">
                <a16:creationId xmlns:a16="http://schemas.microsoft.com/office/drawing/2014/main" id="{00000000-0008-0000-0700-000093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8" name="Freeform 134">
            <a:extLst>
              <a:ext uri="{FF2B5EF4-FFF2-40B4-BE49-F238E27FC236}">
                <a16:creationId xmlns:a16="http://schemas.microsoft.com/office/drawing/2014/main" id="{00000000-0008-0000-0700-000094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2</xdr:col>
      <xdr:colOff>0</xdr:colOff>
      <xdr:row>5</xdr:row>
      <xdr:rowOff>0</xdr:rowOff>
    </xdr:from>
    <xdr:to>
      <xdr:col>2</xdr:col>
      <xdr:colOff>0</xdr:colOff>
      <xdr:row>5</xdr:row>
      <xdr:rowOff>0</xdr:rowOff>
    </xdr:to>
    <xdr:grpSp>
      <xdr:nvGrpSpPr>
        <xdr:cNvPr id="149" name="Group 135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GrpSpPr>
          <a:grpSpLocks/>
        </xdr:cNvGrpSpPr>
      </xdr:nvGrpSpPr>
      <xdr:grpSpPr bwMode="auto">
        <a:xfrm>
          <a:off x="9217891" y="1833418"/>
          <a:ext cx="0" cy="0"/>
          <a:chOff x="65" y="23"/>
          <a:chExt cx="187" cy="91"/>
        </a:xfrm>
      </xdr:grpSpPr>
      <xdr:sp macro="" textlink="">
        <xdr:nvSpPr>
          <xdr:cNvPr id="150" name="Freeform 136">
            <a:extLst>
              <a:ext uri="{FF2B5EF4-FFF2-40B4-BE49-F238E27FC236}">
                <a16:creationId xmlns:a16="http://schemas.microsoft.com/office/drawing/2014/main" id="{00000000-0008-0000-0700-000096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1" name="Freeform 137">
            <a:extLst>
              <a:ext uri="{FF2B5EF4-FFF2-40B4-BE49-F238E27FC236}">
                <a16:creationId xmlns:a16="http://schemas.microsoft.com/office/drawing/2014/main" id="{00000000-0008-0000-0700-000097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" name="Freeform 138">
            <a:extLst>
              <a:ext uri="{FF2B5EF4-FFF2-40B4-BE49-F238E27FC236}">
                <a16:creationId xmlns:a16="http://schemas.microsoft.com/office/drawing/2014/main" id="{00000000-0008-0000-0700-000098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" name="Freeform 139">
            <a:extLst>
              <a:ext uri="{FF2B5EF4-FFF2-40B4-BE49-F238E27FC236}">
                <a16:creationId xmlns:a16="http://schemas.microsoft.com/office/drawing/2014/main" id="{00000000-0008-0000-0700-000099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" name="Freeform 140">
            <a:extLst>
              <a:ext uri="{FF2B5EF4-FFF2-40B4-BE49-F238E27FC236}">
                <a16:creationId xmlns:a16="http://schemas.microsoft.com/office/drawing/2014/main" id="{00000000-0008-0000-0700-00009A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5" name="Freeform 141">
            <a:extLst>
              <a:ext uri="{FF2B5EF4-FFF2-40B4-BE49-F238E27FC236}">
                <a16:creationId xmlns:a16="http://schemas.microsoft.com/office/drawing/2014/main" id="{00000000-0008-0000-0700-00009B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2</xdr:col>
      <xdr:colOff>0</xdr:colOff>
      <xdr:row>5</xdr:row>
      <xdr:rowOff>0</xdr:rowOff>
    </xdr:from>
    <xdr:to>
      <xdr:col>2</xdr:col>
      <xdr:colOff>0</xdr:colOff>
      <xdr:row>5</xdr:row>
      <xdr:rowOff>0</xdr:rowOff>
    </xdr:to>
    <xdr:grpSp>
      <xdr:nvGrpSpPr>
        <xdr:cNvPr id="156" name="Group 142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GrpSpPr>
          <a:grpSpLocks/>
        </xdr:cNvGrpSpPr>
      </xdr:nvGrpSpPr>
      <xdr:grpSpPr bwMode="auto">
        <a:xfrm>
          <a:off x="9217891" y="1833418"/>
          <a:ext cx="0" cy="0"/>
          <a:chOff x="65" y="23"/>
          <a:chExt cx="187" cy="91"/>
        </a:xfrm>
      </xdr:grpSpPr>
      <xdr:sp macro="" textlink="">
        <xdr:nvSpPr>
          <xdr:cNvPr id="157" name="Freeform 143">
            <a:extLst>
              <a:ext uri="{FF2B5EF4-FFF2-40B4-BE49-F238E27FC236}">
                <a16:creationId xmlns:a16="http://schemas.microsoft.com/office/drawing/2014/main" id="{00000000-0008-0000-0700-00009D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8" name="Freeform 144">
            <a:extLst>
              <a:ext uri="{FF2B5EF4-FFF2-40B4-BE49-F238E27FC236}">
                <a16:creationId xmlns:a16="http://schemas.microsoft.com/office/drawing/2014/main" id="{00000000-0008-0000-0700-00009E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" name="Freeform 145">
            <a:extLst>
              <a:ext uri="{FF2B5EF4-FFF2-40B4-BE49-F238E27FC236}">
                <a16:creationId xmlns:a16="http://schemas.microsoft.com/office/drawing/2014/main" id="{00000000-0008-0000-0700-00009F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" name="Freeform 146">
            <a:extLst>
              <a:ext uri="{FF2B5EF4-FFF2-40B4-BE49-F238E27FC236}">
                <a16:creationId xmlns:a16="http://schemas.microsoft.com/office/drawing/2014/main" id="{00000000-0008-0000-0700-0000A0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" name="Freeform 147">
            <a:extLst>
              <a:ext uri="{FF2B5EF4-FFF2-40B4-BE49-F238E27FC236}">
                <a16:creationId xmlns:a16="http://schemas.microsoft.com/office/drawing/2014/main" id="{00000000-0008-0000-0700-0000A1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2" name="Freeform 148">
            <a:extLst>
              <a:ext uri="{FF2B5EF4-FFF2-40B4-BE49-F238E27FC236}">
                <a16:creationId xmlns:a16="http://schemas.microsoft.com/office/drawing/2014/main" id="{00000000-0008-0000-0700-0000A2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2</xdr:col>
      <xdr:colOff>0</xdr:colOff>
      <xdr:row>5</xdr:row>
      <xdr:rowOff>0</xdr:rowOff>
    </xdr:from>
    <xdr:to>
      <xdr:col>2</xdr:col>
      <xdr:colOff>0</xdr:colOff>
      <xdr:row>5</xdr:row>
      <xdr:rowOff>0</xdr:rowOff>
    </xdr:to>
    <xdr:grpSp>
      <xdr:nvGrpSpPr>
        <xdr:cNvPr id="163" name="Group 156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GrpSpPr>
          <a:grpSpLocks/>
        </xdr:cNvGrpSpPr>
      </xdr:nvGrpSpPr>
      <xdr:grpSpPr bwMode="auto">
        <a:xfrm>
          <a:off x="9217891" y="1833418"/>
          <a:ext cx="0" cy="0"/>
          <a:chOff x="65" y="23"/>
          <a:chExt cx="187" cy="91"/>
        </a:xfrm>
      </xdr:grpSpPr>
      <xdr:sp macro="" textlink="">
        <xdr:nvSpPr>
          <xdr:cNvPr id="164" name="Freeform 157">
            <a:extLst>
              <a:ext uri="{FF2B5EF4-FFF2-40B4-BE49-F238E27FC236}">
                <a16:creationId xmlns:a16="http://schemas.microsoft.com/office/drawing/2014/main" id="{00000000-0008-0000-0700-0000A4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5" name="Freeform 158">
            <a:extLst>
              <a:ext uri="{FF2B5EF4-FFF2-40B4-BE49-F238E27FC236}">
                <a16:creationId xmlns:a16="http://schemas.microsoft.com/office/drawing/2014/main" id="{00000000-0008-0000-0700-0000A5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" name="Freeform 159">
            <a:extLst>
              <a:ext uri="{FF2B5EF4-FFF2-40B4-BE49-F238E27FC236}">
                <a16:creationId xmlns:a16="http://schemas.microsoft.com/office/drawing/2014/main" id="{00000000-0008-0000-0700-0000A6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" name="Freeform 160">
            <a:extLst>
              <a:ext uri="{FF2B5EF4-FFF2-40B4-BE49-F238E27FC236}">
                <a16:creationId xmlns:a16="http://schemas.microsoft.com/office/drawing/2014/main" id="{00000000-0008-0000-0700-0000A7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8" name="Freeform 161">
            <a:extLst>
              <a:ext uri="{FF2B5EF4-FFF2-40B4-BE49-F238E27FC236}">
                <a16:creationId xmlns:a16="http://schemas.microsoft.com/office/drawing/2014/main" id="{00000000-0008-0000-0700-0000A8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9" name="Freeform 162">
            <a:extLst>
              <a:ext uri="{FF2B5EF4-FFF2-40B4-BE49-F238E27FC236}">
                <a16:creationId xmlns:a16="http://schemas.microsoft.com/office/drawing/2014/main" id="{00000000-0008-0000-0700-0000A9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2</xdr:col>
      <xdr:colOff>0</xdr:colOff>
      <xdr:row>5</xdr:row>
      <xdr:rowOff>0</xdr:rowOff>
    </xdr:from>
    <xdr:to>
      <xdr:col>2</xdr:col>
      <xdr:colOff>0</xdr:colOff>
      <xdr:row>5</xdr:row>
      <xdr:rowOff>0</xdr:rowOff>
    </xdr:to>
    <xdr:grpSp>
      <xdr:nvGrpSpPr>
        <xdr:cNvPr id="170" name="Group 163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GrpSpPr>
          <a:grpSpLocks/>
        </xdr:cNvGrpSpPr>
      </xdr:nvGrpSpPr>
      <xdr:grpSpPr bwMode="auto">
        <a:xfrm>
          <a:off x="9217891" y="1833418"/>
          <a:ext cx="0" cy="0"/>
          <a:chOff x="65" y="23"/>
          <a:chExt cx="187" cy="91"/>
        </a:xfrm>
      </xdr:grpSpPr>
      <xdr:sp macro="" textlink="">
        <xdr:nvSpPr>
          <xdr:cNvPr id="171" name="Freeform 164">
            <a:extLst>
              <a:ext uri="{FF2B5EF4-FFF2-40B4-BE49-F238E27FC236}">
                <a16:creationId xmlns:a16="http://schemas.microsoft.com/office/drawing/2014/main" id="{00000000-0008-0000-0700-0000AB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" name="Freeform 165">
            <a:extLst>
              <a:ext uri="{FF2B5EF4-FFF2-40B4-BE49-F238E27FC236}">
                <a16:creationId xmlns:a16="http://schemas.microsoft.com/office/drawing/2014/main" id="{00000000-0008-0000-0700-0000AC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" name="Freeform 166">
            <a:extLst>
              <a:ext uri="{FF2B5EF4-FFF2-40B4-BE49-F238E27FC236}">
                <a16:creationId xmlns:a16="http://schemas.microsoft.com/office/drawing/2014/main" id="{00000000-0008-0000-0700-0000AD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" name="Freeform 167">
            <a:extLst>
              <a:ext uri="{FF2B5EF4-FFF2-40B4-BE49-F238E27FC236}">
                <a16:creationId xmlns:a16="http://schemas.microsoft.com/office/drawing/2014/main" id="{00000000-0008-0000-0700-0000AE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5" name="Freeform 168">
            <a:extLst>
              <a:ext uri="{FF2B5EF4-FFF2-40B4-BE49-F238E27FC236}">
                <a16:creationId xmlns:a16="http://schemas.microsoft.com/office/drawing/2014/main" id="{00000000-0008-0000-0700-0000AF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6" name="Freeform 169">
            <a:extLst>
              <a:ext uri="{FF2B5EF4-FFF2-40B4-BE49-F238E27FC236}">
                <a16:creationId xmlns:a16="http://schemas.microsoft.com/office/drawing/2014/main" id="{00000000-0008-0000-0700-0000B0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2</xdr:col>
      <xdr:colOff>0</xdr:colOff>
      <xdr:row>5</xdr:row>
      <xdr:rowOff>0</xdr:rowOff>
    </xdr:from>
    <xdr:to>
      <xdr:col>2</xdr:col>
      <xdr:colOff>0</xdr:colOff>
      <xdr:row>5</xdr:row>
      <xdr:rowOff>0</xdr:rowOff>
    </xdr:to>
    <xdr:grpSp>
      <xdr:nvGrpSpPr>
        <xdr:cNvPr id="177" name="Group 170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GrpSpPr>
          <a:grpSpLocks/>
        </xdr:cNvGrpSpPr>
      </xdr:nvGrpSpPr>
      <xdr:grpSpPr bwMode="auto">
        <a:xfrm>
          <a:off x="9217891" y="1833418"/>
          <a:ext cx="0" cy="0"/>
          <a:chOff x="65" y="23"/>
          <a:chExt cx="187" cy="91"/>
        </a:xfrm>
      </xdr:grpSpPr>
      <xdr:sp macro="" textlink="">
        <xdr:nvSpPr>
          <xdr:cNvPr id="178" name="Freeform 171">
            <a:extLst>
              <a:ext uri="{FF2B5EF4-FFF2-40B4-BE49-F238E27FC236}">
                <a16:creationId xmlns:a16="http://schemas.microsoft.com/office/drawing/2014/main" id="{00000000-0008-0000-0700-0000B2000000}"/>
              </a:ext>
            </a:extLst>
          </xdr:cNvPr>
          <xdr:cNvSpPr>
            <a:spLocks noEditPoints="1"/>
          </xdr:cNvSpPr>
        </xdr:nvSpPr>
        <xdr:spPr bwMode="auto">
          <a:xfrm>
            <a:off x="219" y="69"/>
            <a:ext cx="33" cy="25"/>
          </a:xfrm>
          <a:custGeom>
            <a:avLst/>
            <a:gdLst>
              <a:gd name="T0" fmla="*/ 0 w 2853"/>
              <a:gd name="T1" fmla="*/ 0 h 2213"/>
              <a:gd name="T2" fmla="*/ 0 w 2853"/>
              <a:gd name="T3" fmla="*/ 0 h 2213"/>
              <a:gd name="T4" fmla="*/ 0 w 2853"/>
              <a:gd name="T5" fmla="*/ 0 h 2213"/>
              <a:gd name="T6" fmla="*/ 0 w 2853"/>
              <a:gd name="T7" fmla="*/ 0 h 2213"/>
              <a:gd name="T8" fmla="*/ 0 w 2853"/>
              <a:gd name="T9" fmla="*/ 0 h 2213"/>
              <a:gd name="T10" fmla="*/ 0 w 2853"/>
              <a:gd name="T11" fmla="*/ 0 h 2213"/>
              <a:gd name="T12" fmla="*/ 0 w 2853"/>
              <a:gd name="T13" fmla="*/ 0 h 2213"/>
              <a:gd name="T14" fmla="*/ 0 w 2853"/>
              <a:gd name="T15" fmla="*/ 0 h 2213"/>
              <a:gd name="T16" fmla="*/ 0 w 2853"/>
              <a:gd name="T17" fmla="*/ 0 h 2213"/>
              <a:gd name="T18" fmla="*/ 0 w 2853"/>
              <a:gd name="T19" fmla="*/ 0 h 2213"/>
              <a:gd name="T20" fmla="*/ 0 w 2853"/>
              <a:gd name="T21" fmla="*/ 0 h 2213"/>
              <a:gd name="T22" fmla="*/ 0 w 2853"/>
              <a:gd name="T23" fmla="*/ 0 h 2213"/>
              <a:gd name="T24" fmla="*/ 0 w 2853"/>
              <a:gd name="T25" fmla="*/ 0 h 2213"/>
              <a:gd name="T26" fmla="*/ 0 w 2853"/>
              <a:gd name="T27" fmla="*/ 0 h 2213"/>
              <a:gd name="T28" fmla="*/ 0 w 2853"/>
              <a:gd name="T29" fmla="*/ 0 h 2213"/>
              <a:gd name="T30" fmla="*/ 0 w 2853"/>
              <a:gd name="T31" fmla="*/ 0 h 2213"/>
              <a:gd name="T32" fmla="*/ 0 w 2853"/>
              <a:gd name="T33" fmla="*/ 0 h 2213"/>
              <a:gd name="T34" fmla="*/ 0 w 2853"/>
              <a:gd name="T35" fmla="*/ 0 h 2213"/>
              <a:gd name="T36" fmla="*/ 0 w 2853"/>
              <a:gd name="T37" fmla="*/ 0 h 2213"/>
              <a:gd name="T38" fmla="*/ 0 w 2853"/>
              <a:gd name="T39" fmla="*/ 0 h 2213"/>
              <a:gd name="T40" fmla="*/ 0 w 2853"/>
              <a:gd name="T41" fmla="*/ 0 h 2213"/>
              <a:gd name="T42" fmla="*/ 0 w 2853"/>
              <a:gd name="T43" fmla="*/ 0 h 2213"/>
              <a:gd name="T44" fmla="*/ 0 w 2853"/>
              <a:gd name="T45" fmla="*/ 0 h 2213"/>
              <a:gd name="T46" fmla="*/ 0 w 2853"/>
              <a:gd name="T47" fmla="*/ 0 h 2213"/>
              <a:gd name="T48" fmla="*/ 0 w 2853"/>
              <a:gd name="T49" fmla="*/ 0 h 2213"/>
              <a:gd name="T50" fmla="*/ 0 w 2853"/>
              <a:gd name="T51" fmla="*/ 0 h 2213"/>
              <a:gd name="T52" fmla="*/ 0 w 2853"/>
              <a:gd name="T53" fmla="*/ 0 h 2213"/>
              <a:gd name="T54" fmla="*/ 0 w 2853"/>
              <a:gd name="T55" fmla="*/ 0 h 2213"/>
              <a:gd name="T56" fmla="*/ 0 w 2853"/>
              <a:gd name="T57" fmla="*/ 0 h 2213"/>
              <a:gd name="T58" fmla="*/ 0 w 2853"/>
              <a:gd name="T59" fmla="*/ 0 h 2213"/>
              <a:gd name="T60" fmla="*/ 0 w 2853"/>
              <a:gd name="T61" fmla="*/ 0 h 2213"/>
              <a:gd name="T62" fmla="*/ 0 w 2853"/>
              <a:gd name="T63" fmla="*/ 0 h 2213"/>
              <a:gd name="T64" fmla="*/ 0 w 2853"/>
              <a:gd name="T65" fmla="*/ 0 h 2213"/>
              <a:gd name="T66" fmla="*/ 0 w 2853"/>
              <a:gd name="T67" fmla="*/ 0 h 2213"/>
              <a:gd name="T68" fmla="*/ 0 w 2853"/>
              <a:gd name="T69" fmla="*/ 0 h 2213"/>
              <a:gd name="T70" fmla="*/ 0 w 2853"/>
              <a:gd name="T71" fmla="*/ 0 h 2213"/>
              <a:gd name="T72" fmla="*/ 0 w 2853"/>
              <a:gd name="T73" fmla="*/ 0 h 2213"/>
              <a:gd name="T74" fmla="*/ 0 w 2853"/>
              <a:gd name="T75" fmla="*/ 0 h 2213"/>
              <a:gd name="T76" fmla="*/ 0 w 2853"/>
              <a:gd name="T77" fmla="*/ 0 h 2213"/>
              <a:gd name="T78" fmla="*/ 0 w 2853"/>
              <a:gd name="T79" fmla="*/ 0 h 2213"/>
              <a:gd name="T80" fmla="*/ 0 w 2853"/>
              <a:gd name="T81" fmla="*/ 0 h 2213"/>
              <a:gd name="T82" fmla="*/ 0 w 2853"/>
              <a:gd name="T83" fmla="*/ 0 h 2213"/>
              <a:gd name="T84" fmla="*/ 0 w 2853"/>
              <a:gd name="T85" fmla="*/ 0 h 2213"/>
              <a:gd name="T86" fmla="*/ 0 w 2853"/>
              <a:gd name="T87" fmla="*/ 0 h 2213"/>
              <a:gd name="T88" fmla="*/ 0 w 2853"/>
              <a:gd name="T89" fmla="*/ 0 h 2213"/>
              <a:gd name="T90" fmla="*/ 0 w 2853"/>
              <a:gd name="T91" fmla="*/ 0 h 2213"/>
              <a:gd name="T92" fmla="*/ 0 w 2853"/>
              <a:gd name="T93" fmla="*/ 0 h 2213"/>
              <a:gd name="T94" fmla="*/ 0 w 2853"/>
              <a:gd name="T95" fmla="*/ 0 h 2213"/>
              <a:gd name="T96" fmla="*/ 0 w 2853"/>
              <a:gd name="T97" fmla="*/ 0 h 2213"/>
              <a:gd name="T98" fmla="*/ 0 w 2853"/>
              <a:gd name="T99" fmla="*/ 0 h 2213"/>
              <a:gd name="T100" fmla="*/ 0 w 2853"/>
              <a:gd name="T101" fmla="*/ 0 h 2213"/>
              <a:gd name="T102" fmla="*/ 0 w 2853"/>
              <a:gd name="T103" fmla="*/ 0 h 2213"/>
              <a:gd name="T104" fmla="*/ 0 w 2853"/>
              <a:gd name="T105" fmla="*/ 0 h 2213"/>
              <a:gd name="T106" fmla="*/ 0 w 2853"/>
              <a:gd name="T107" fmla="*/ 0 h 2213"/>
              <a:gd name="T108" fmla="*/ 0 w 2853"/>
              <a:gd name="T109" fmla="*/ 0 h 2213"/>
              <a:gd name="T110" fmla="*/ 0 w 2853"/>
              <a:gd name="T111" fmla="*/ 0 h 2213"/>
              <a:gd name="T112" fmla="*/ 0 w 2853"/>
              <a:gd name="T113" fmla="*/ 0 h 2213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2853"/>
              <a:gd name="T172" fmla="*/ 0 h 2213"/>
              <a:gd name="T173" fmla="*/ 2853 w 2853"/>
              <a:gd name="T174" fmla="*/ 2213 h 2213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2853" h="2213">
                <a:moveTo>
                  <a:pt x="1906" y="985"/>
                </a:moveTo>
                <a:lnTo>
                  <a:pt x="2034" y="985"/>
                </a:lnTo>
                <a:lnTo>
                  <a:pt x="2073" y="985"/>
                </a:lnTo>
                <a:lnTo>
                  <a:pt x="2111" y="984"/>
                </a:lnTo>
                <a:lnTo>
                  <a:pt x="2147" y="983"/>
                </a:lnTo>
                <a:lnTo>
                  <a:pt x="2183" y="981"/>
                </a:lnTo>
                <a:lnTo>
                  <a:pt x="2215" y="978"/>
                </a:lnTo>
                <a:lnTo>
                  <a:pt x="2247" y="975"/>
                </a:lnTo>
                <a:lnTo>
                  <a:pt x="2276" y="971"/>
                </a:lnTo>
                <a:lnTo>
                  <a:pt x="2304" y="967"/>
                </a:lnTo>
                <a:lnTo>
                  <a:pt x="2330" y="962"/>
                </a:lnTo>
                <a:lnTo>
                  <a:pt x="2355" y="956"/>
                </a:lnTo>
                <a:lnTo>
                  <a:pt x="2379" y="950"/>
                </a:lnTo>
                <a:lnTo>
                  <a:pt x="2400" y="943"/>
                </a:lnTo>
                <a:lnTo>
                  <a:pt x="2420" y="935"/>
                </a:lnTo>
                <a:lnTo>
                  <a:pt x="2438" y="927"/>
                </a:lnTo>
                <a:lnTo>
                  <a:pt x="2454" y="919"/>
                </a:lnTo>
                <a:lnTo>
                  <a:pt x="2469" y="910"/>
                </a:lnTo>
                <a:lnTo>
                  <a:pt x="2483" y="900"/>
                </a:lnTo>
                <a:lnTo>
                  <a:pt x="2495" y="889"/>
                </a:lnTo>
                <a:lnTo>
                  <a:pt x="2507" y="878"/>
                </a:lnTo>
                <a:lnTo>
                  <a:pt x="2518" y="865"/>
                </a:lnTo>
                <a:lnTo>
                  <a:pt x="2528" y="851"/>
                </a:lnTo>
                <a:lnTo>
                  <a:pt x="2537" y="837"/>
                </a:lnTo>
                <a:lnTo>
                  <a:pt x="2545" y="822"/>
                </a:lnTo>
                <a:lnTo>
                  <a:pt x="2553" y="806"/>
                </a:lnTo>
                <a:lnTo>
                  <a:pt x="2560" y="789"/>
                </a:lnTo>
                <a:lnTo>
                  <a:pt x="2566" y="772"/>
                </a:lnTo>
                <a:lnTo>
                  <a:pt x="2571" y="752"/>
                </a:lnTo>
                <a:lnTo>
                  <a:pt x="2575" y="733"/>
                </a:lnTo>
                <a:lnTo>
                  <a:pt x="2578" y="713"/>
                </a:lnTo>
                <a:lnTo>
                  <a:pt x="2580" y="691"/>
                </a:lnTo>
                <a:lnTo>
                  <a:pt x="2581" y="668"/>
                </a:lnTo>
                <a:lnTo>
                  <a:pt x="2582" y="646"/>
                </a:lnTo>
                <a:lnTo>
                  <a:pt x="2581" y="621"/>
                </a:lnTo>
                <a:lnTo>
                  <a:pt x="2580" y="598"/>
                </a:lnTo>
                <a:lnTo>
                  <a:pt x="2578" y="574"/>
                </a:lnTo>
                <a:lnTo>
                  <a:pt x="2574" y="552"/>
                </a:lnTo>
                <a:lnTo>
                  <a:pt x="2570" y="532"/>
                </a:lnTo>
                <a:lnTo>
                  <a:pt x="2565" y="512"/>
                </a:lnTo>
                <a:lnTo>
                  <a:pt x="2560" y="492"/>
                </a:lnTo>
                <a:lnTo>
                  <a:pt x="2552" y="474"/>
                </a:lnTo>
                <a:lnTo>
                  <a:pt x="2544" y="457"/>
                </a:lnTo>
                <a:lnTo>
                  <a:pt x="2536" y="441"/>
                </a:lnTo>
                <a:lnTo>
                  <a:pt x="2526" y="425"/>
                </a:lnTo>
                <a:lnTo>
                  <a:pt x="2516" y="410"/>
                </a:lnTo>
                <a:lnTo>
                  <a:pt x="2505" y="397"/>
                </a:lnTo>
                <a:lnTo>
                  <a:pt x="2493" y="384"/>
                </a:lnTo>
                <a:lnTo>
                  <a:pt x="2480" y="373"/>
                </a:lnTo>
                <a:lnTo>
                  <a:pt x="2466" y="362"/>
                </a:lnTo>
                <a:lnTo>
                  <a:pt x="2451" y="352"/>
                </a:lnTo>
                <a:lnTo>
                  <a:pt x="2435" y="343"/>
                </a:lnTo>
                <a:lnTo>
                  <a:pt x="2416" y="335"/>
                </a:lnTo>
                <a:lnTo>
                  <a:pt x="2397" y="326"/>
                </a:lnTo>
                <a:lnTo>
                  <a:pt x="2375" y="319"/>
                </a:lnTo>
                <a:lnTo>
                  <a:pt x="2351" y="312"/>
                </a:lnTo>
                <a:lnTo>
                  <a:pt x="2327" y="306"/>
                </a:lnTo>
                <a:lnTo>
                  <a:pt x="2301" y="300"/>
                </a:lnTo>
                <a:lnTo>
                  <a:pt x="2273" y="296"/>
                </a:lnTo>
                <a:lnTo>
                  <a:pt x="2244" y="292"/>
                </a:lnTo>
                <a:lnTo>
                  <a:pt x="2213" y="288"/>
                </a:lnTo>
                <a:lnTo>
                  <a:pt x="2180" y="285"/>
                </a:lnTo>
                <a:lnTo>
                  <a:pt x="2145" y="283"/>
                </a:lnTo>
                <a:lnTo>
                  <a:pt x="2110" y="281"/>
                </a:lnTo>
                <a:lnTo>
                  <a:pt x="2073" y="280"/>
                </a:lnTo>
                <a:lnTo>
                  <a:pt x="2034" y="280"/>
                </a:lnTo>
                <a:lnTo>
                  <a:pt x="1906" y="280"/>
                </a:lnTo>
                <a:lnTo>
                  <a:pt x="1906" y="985"/>
                </a:lnTo>
                <a:close/>
                <a:moveTo>
                  <a:pt x="1906" y="1213"/>
                </a:moveTo>
                <a:lnTo>
                  <a:pt x="1906" y="2159"/>
                </a:lnTo>
                <a:lnTo>
                  <a:pt x="1661" y="2159"/>
                </a:lnTo>
                <a:lnTo>
                  <a:pt x="1661" y="51"/>
                </a:lnTo>
                <a:lnTo>
                  <a:pt x="2104" y="51"/>
                </a:lnTo>
                <a:lnTo>
                  <a:pt x="2160" y="51"/>
                </a:lnTo>
                <a:lnTo>
                  <a:pt x="2213" y="52"/>
                </a:lnTo>
                <a:lnTo>
                  <a:pt x="2262" y="54"/>
                </a:lnTo>
                <a:lnTo>
                  <a:pt x="2306" y="57"/>
                </a:lnTo>
                <a:lnTo>
                  <a:pt x="2347" y="60"/>
                </a:lnTo>
                <a:lnTo>
                  <a:pt x="2385" y="64"/>
                </a:lnTo>
                <a:lnTo>
                  <a:pt x="2418" y="70"/>
                </a:lnTo>
                <a:lnTo>
                  <a:pt x="2447" y="76"/>
                </a:lnTo>
                <a:lnTo>
                  <a:pt x="2474" y="82"/>
                </a:lnTo>
                <a:lnTo>
                  <a:pt x="2500" y="90"/>
                </a:lnTo>
                <a:lnTo>
                  <a:pt x="2525" y="98"/>
                </a:lnTo>
                <a:lnTo>
                  <a:pt x="2549" y="108"/>
                </a:lnTo>
                <a:lnTo>
                  <a:pt x="2573" y="118"/>
                </a:lnTo>
                <a:lnTo>
                  <a:pt x="2596" y="130"/>
                </a:lnTo>
                <a:lnTo>
                  <a:pt x="2617" y="142"/>
                </a:lnTo>
                <a:lnTo>
                  <a:pt x="2638" y="157"/>
                </a:lnTo>
                <a:lnTo>
                  <a:pt x="2650" y="166"/>
                </a:lnTo>
                <a:lnTo>
                  <a:pt x="2662" y="175"/>
                </a:lnTo>
                <a:lnTo>
                  <a:pt x="2674" y="185"/>
                </a:lnTo>
                <a:lnTo>
                  <a:pt x="2685" y="195"/>
                </a:lnTo>
                <a:lnTo>
                  <a:pt x="2696" y="206"/>
                </a:lnTo>
                <a:lnTo>
                  <a:pt x="2707" y="217"/>
                </a:lnTo>
                <a:lnTo>
                  <a:pt x="2717" y="229"/>
                </a:lnTo>
                <a:lnTo>
                  <a:pt x="2727" y="241"/>
                </a:lnTo>
                <a:lnTo>
                  <a:pt x="2737" y="254"/>
                </a:lnTo>
                <a:lnTo>
                  <a:pt x="2746" y="267"/>
                </a:lnTo>
                <a:lnTo>
                  <a:pt x="2756" y="280"/>
                </a:lnTo>
                <a:lnTo>
                  <a:pt x="2765" y="294"/>
                </a:lnTo>
                <a:lnTo>
                  <a:pt x="2781" y="322"/>
                </a:lnTo>
                <a:lnTo>
                  <a:pt x="2796" y="353"/>
                </a:lnTo>
                <a:lnTo>
                  <a:pt x="2809" y="385"/>
                </a:lnTo>
                <a:lnTo>
                  <a:pt x="2821" y="417"/>
                </a:lnTo>
                <a:lnTo>
                  <a:pt x="2831" y="451"/>
                </a:lnTo>
                <a:lnTo>
                  <a:pt x="2839" y="485"/>
                </a:lnTo>
                <a:lnTo>
                  <a:pt x="2845" y="521"/>
                </a:lnTo>
                <a:lnTo>
                  <a:pt x="2849" y="557"/>
                </a:lnTo>
                <a:lnTo>
                  <a:pt x="2852" y="593"/>
                </a:lnTo>
                <a:lnTo>
                  <a:pt x="2853" y="632"/>
                </a:lnTo>
                <a:lnTo>
                  <a:pt x="2852" y="669"/>
                </a:lnTo>
                <a:lnTo>
                  <a:pt x="2849" y="706"/>
                </a:lnTo>
                <a:lnTo>
                  <a:pt x="2845" y="742"/>
                </a:lnTo>
                <a:lnTo>
                  <a:pt x="2839" y="778"/>
                </a:lnTo>
                <a:lnTo>
                  <a:pt x="2831" y="811"/>
                </a:lnTo>
                <a:lnTo>
                  <a:pt x="2821" y="845"/>
                </a:lnTo>
                <a:lnTo>
                  <a:pt x="2809" y="878"/>
                </a:lnTo>
                <a:lnTo>
                  <a:pt x="2796" y="909"/>
                </a:lnTo>
                <a:lnTo>
                  <a:pt x="2781" y="939"/>
                </a:lnTo>
                <a:lnTo>
                  <a:pt x="2765" y="969"/>
                </a:lnTo>
                <a:lnTo>
                  <a:pt x="2756" y="982"/>
                </a:lnTo>
                <a:lnTo>
                  <a:pt x="2746" y="996"/>
                </a:lnTo>
                <a:lnTo>
                  <a:pt x="2737" y="1009"/>
                </a:lnTo>
                <a:lnTo>
                  <a:pt x="2727" y="1021"/>
                </a:lnTo>
                <a:lnTo>
                  <a:pt x="2717" y="1033"/>
                </a:lnTo>
                <a:lnTo>
                  <a:pt x="2707" y="1046"/>
                </a:lnTo>
                <a:lnTo>
                  <a:pt x="2696" y="1057"/>
                </a:lnTo>
                <a:lnTo>
                  <a:pt x="2685" y="1067"/>
                </a:lnTo>
                <a:lnTo>
                  <a:pt x="2674" y="1078"/>
                </a:lnTo>
                <a:lnTo>
                  <a:pt x="2662" y="1088"/>
                </a:lnTo>
                <a:lnTo>
                  <a:pt x="2650" y="1097"/>
                </a:lnTo>
                <a:lnTo>
                  <a:pt x="2638" y="1106"/>
                </a:lnTo>
                <a:lnTo>
                  <a:pt x="2617" y="1120"/>
                </a:lnTo>
                <a:lnTo>
                  <a:pt x="2596" y="1134"/>
                </a:lnTo>
                <a:lnTo>
                  <a:pt x="2573" y="1145"/>
                </a:lnTo>
                <a:lnTo>
                  <a:pt x="2549" y="1156"/>
                </a:lnTo>
                <a:lnTo>
                  <a:pt x="2525" y="1166"/>
                </a:lnTo>
                <a:lnTo>
                  <a:pt x="2500" y="1174"/>
                </a:lnTo>
                <a:lnTo>
                  <a:pt x="2474" y="1182"/>
                </a:lnTo>
                <a:lnTo>
                  <a:pt x="2448" y="1188"/>
                </a:lnTo>
                <a:lnTo>
                  <a:pt x="2419" y="1194"/>
                </a:lnTo>
                <a:lnTo>
                  <a:pt x="2386" y="1199"/>
                </a:lnTo>
                <a:lnTo>
                  <a:pt x="2348" y="1203"/>
                </a:lnTo>
                <a:lnTo>
                  <a:pt x="2307" y="1206"/>
                </a:lnTo>
                <a:lnTo>
                  <a:pt x="2263" y="1209"/>
                </a:lnTo>
                <a:lnTo>
                  <a:pt x="2214" y="1212"/>
                </a:lnTo>
                <a:lnTo>
                  <a:pt x="2160" y="1213"/>
                </a:lnTo>
                <a:lnTo>
                  <a:pt x="2104" y="1213"/>
                </a:lnTo>
                <a:lnTo>
                  <a:pt x="2034" y="1213"/>
                </a:lnTo>
                <a:lnTo>
                  <a:pt x="1906" y="1213"/>
                </a:lnTo>
                <a:close/>
                <a:moveTo>
                  <a:pt x="909" y="988"/>
                </a:moveTo>
                <a:lnTo>
                  <a:pt x="935" y="999"/>
                </a:lnTo>
                <a:lnTo>
                  <a:pt x="959" y="1011"/>
                </a:lnTo>
                <a:lnTo>
                  <a:pt x="983" y="1023"/>
                </a:lnTo>
                <a:lnTo>
                  <a:pt x="1007" y="1036"/>
                </a:lnTo>
                <a:lnTo>
                  <a:pt x="1029" y="1049"/>
                </a:lnTo>
                <a:lnTo>
                  <a:pt x="1050" y="1063"/>
                </a:lnTo>
                <a:lnTo>
                  <a:pt x="1071" y="1076"/>
                </a:lnTo>
                <a:lnTo>
                  <a:pt x="1090" y="1090"/>
                </a:lnTo>
                <a:lnTo>
                  <a:pt x="1109" y="1105"/>
                </a:lnTo>
                <a:lnTo>
                  <a:pt x="1128" y="1120"/>
                </a:lnTo>
                <a:lnTo>
                  <a:pt x="1145" y="1137"/>
                </a:lnTo>
                <a:lnTo>
                  <a:pt x="1162" y="1153"/>
                </a:lnTo>
                <a:lnTo>
                  <a:pt x="1178" y="1169"/>
                </a:lnTo>
                <a:lnTo>
                  <a:pt x="1194" y="1186"/>
                </a:lnTo>
                <a:lnTo>
                  <a:pt x="1208" y="1203"/>
                </a:lnTo>
                <a:lnTo>
                  <a:pt x="1222" y="1222"/>
                </a:lnTo>
                <a:lnTo>
                  <a:pt x="1234" y="1240"/>
                </a:lnTo>
                <a:lnTo>
                  <a:pt x="1246" y="1259"/>
                </a:lnTo>
                <a:lnTo>
                  <a:pt x="1257" y="1278"/>
                </a:lnTo>
                <a:lnTo>
                  <a:pt x="1267" y="1297"/>
                </a:lnTo>
                <a:lnTo>
                  <a:pt x="1276" y="1318"/>
                </a:lnTo>
                <a:lnTo>
                  <a:pt x="1285" y="1338"/>
                </a:lnTo>
                <a:lnTo>
                  <a:pt x="1292" y="1359"/>
                </a:lnTo>
                <a:lnTo>
                  <a:pt x="1299" y="1380"/>
                </a:lnTo>
                <a:lnTo>
                  <a:pt x="1305" y="1403"/>
                </a:lnTo>
                <a:lnTo>
                  <a:pt x="1311" y="1424"/>
                </a:lnTo>
                <a:lnTo>
                  <a:pt x="1315" y="1447"/>
                </a:lnTo>
                <a:lnTo>
                  <a:pt x="1319" y="1469"/>
                </a:lnTo>
                <a:lnTo>
                  <a:pt x="1322" y="1493"/>
                </a:lnTo>
                <a:lnTo>
                  <a:pt x="1324" y="1517"/>
                </a:lnTo>
                <a:lnTo>
                  <a:pt x="1325" y="1541"/>
                </a:lnTo>
                <a:lnTo>
                  <a:pt x="1325" y="1566"/>
                </a:lnTo>
                <a:lnTo>
                  <a:pt x="1325" y="1602"/>
                </a:lnTo>
                <a:lnTo>
                  <a:pt x="1322" y="1636"/>
                </a:lnTo>
                <a:lnTo>
                  <a:pt x="1319" y="1671"/>
                </a:lnTo>
                <a:lnTo>
                  <a:pt x="1314" y="1704"/>
                </a:lnTo>
                <a:lnTo>
                  <a:pt x="1307" y="1736"/>
                </a:lnTo>
                <a:lnTo>
                  <a:pt x="1299" y="1768"/>
                </a:lnTo>
                <a:lnTo>
                  <a:pt x="1290" y="1799"/>
                </a:lnTo>
                <a:lnTo>
                  <a:pt x="1279" y="1829"/>
                </a:lnTo>
                <a:lnTo>
                  <a:pt x="1267" y="1858"/>
                </a:lnTo>
                <a:lnTo>
                  <a:pt x="1253" y="1885"/>
                </a:lnTo>
                <a:lnTo>
                  <a:pt x="1238" y="1912"/>
                </a:lnTo>
                <a:lnTo>
                  <a:pt x="1222" y="1939"/>
                </a:lnTo>
                <a:lnTo>
                  <a:pt x="1204" y="1964"/>
                </a:lnTo>
                <a:lnTo>
                  <a:pt x="1183" y="1988"/>
                </a:lnTo>
                <a:lnTo>
                  <a:pt x="1162" y="2012"/>
                </a:lnTo>
                <a:lnTo>
                  <a:pt x="1140" y="2035"/>
                </a:lnTo>
                <a:lnTo>
                  <a:pt x="1116" y="2056"/>
                </a:lnTo>
                <a:lnTo>
                  <a:pt x="1092" y="2076"/>
                </a:lnTo>
                <a:lnTo>
                  <a:pt x="1066" y="2096"/>
                </a:lnTo>
                <a:lnTo>
                  <a:pt x="1040" y="2113"/>
                </a:lnTo>
                <a:lnTo>
                  <a:pt x="1013" y="2129"/>
                </a:lnTo>
                <a:lnTo>
                  <a:pt x="983" y="2143"/>
                </a:lnTo>
                <a:lnTo>
                  <a:pt x="954" y="2156"/>
                </a:lnTo>
                <a:lnTo>
                  <a:pt x="924" y="2168"/>
                </a:lnTo>
                <a:lnTo>
                  <a:pt x="893" y="2179"/>
                </a:lnTo>
                <a:lnTo>
                  <a:pt x="861" y="2188"/>
                </a:lnTo>
                <a:lnTo>
                  <a:pt x="828" y="2196"/>
                </a:lnTo>
                <a:lnTo>
                  <a:pt x="793" y="2202"/>
                </a:lnTo>
                <a:lnTo>
                  <a:pt x="758" y="2207"/>
                </a:lnTo>
                <a:lnTo>
                  <a:pt x="722" y="2210"/>
                </a:lnTo>
                <a:lnTo>
                  <a:pt x="686" y="2212"/>
                </a:lnTo>
                <a:lnTo>
                  <a:pt x="648" y="2213"/>
                </a:lnTo>
                <a:lnTo>
                  <a:pt x="617" y="2212"/>
                </a:lnTo>
                <a:lnTo>
                  <a:pt x="586" y="2211"/>
                </a:lnTo>
                <a:lnTo>
                  <a:pt x="557" y="2208"/>
                </a:lnTo>
                <a:lnTo>
                  <a:pt x="528" y="2205"/>
                </a:lnTo>
                <a:lnTo>
                  <a:pt x="500" y="2201"/>
                </a:lnTo>
                <a:lnTo>
                  <a:pt x="472" y="2195"/>
                </a:lnTo>
                <a:lnTo>
                  <a:pt x="445" y="2189"/>
                </a:lnTo>
                <a:lnTo>
                  <a:pt x="419" y="2181"/>
                </a:lnTo>
                <a:lnTo>
                  <a:pt x="392" y="2172"/>
                </a:lnTo>
                <a:lnTo>
                  <a:pt x="367" y="2163"/>
                </a:lnTo>
                <a:lnTo>
                  <a:pt x="342" y="2152"/>
                </a:lnTo>
                <a:lnTo>
                  <a:pt x="318" y="2141"/>
                </a:lnTo>
                <a:lnTo>
                  <a:pt x="295" y="2129"/>
                </a:lnTo>
                <a:lnTo>
                  <a:pt x="273" y="2115"/>
                </a:lnTo>
                <a:lnTo>
                  <a:pt x="251" y="2101"/>
                </a:lnTo>
                <a:lnTo>
                  <a:pt x="229" y="2085"/>
                </a:lnTo>
                <a:lnTo>
                  <a:pt x="209" y="2069"/>
                </a:lnTo>
                <a:lnTo>
                  <a:pt x="188" y="2052"/>
                </a:lnTo>
                <a:lnTo>
                  <a:pt x="169" y="2034"/>
                </a:lnTo>
                <a:lnTo>
                  <a:pt x="151" y="2015"/>
                </a:lnTo>
                <a:lnTo>
                  <a:pt x="134" y="1995"/>
                </a:lnTo>
                <a:lnTo>
                  <a:pt x="118" y="1974"/>
                </a:lnTo>
                <a:lnTo>
                  <a:pt x="102" y="1953"/>
                </a:lnTo>
                <a:lnTo>
                  <a:pt x="88" y="1931"/>
                </a:lnTo>
                <a:lnTo>
                  <a:pt x="74" y="1907"/>
                </a:lnTo>
                <a:lnTo>
                  <a:pt x="61" y="1884"/>
                </a:lnTo>
                <a:lnTo>
                  <a:pt x="49" y="1859"/>
                </a:lnTo>
                <a:lnTo>
                  <a:pt x="38" y="1834"/>
                </a:lnTo>
                <a:lnTo>
                  <a:pt x="27" y="1807"/>
                </a:lnTo>
                <a:lnTo>
                  <a:pt x="18" y="1780"/>
                </a:lnTo>
                <a:lnTo>
                  <a:pt x="8" y="1752"/>
                </a:lnTo>
                <a:lnTo>
                  <a:pt x="0" y="1723"/>
                </a:lnTo>
                <a:lnTo>
                  <a:pt x="229" y="1610"/>
                </a:lnTo>
                <a:lnTo>
                  <a:pt x="235" y="1634"/>
                </a:lnTo>
                <a:lnTo>
                  <a:pt x="242" y="1657"/>
                </a:lnTo>
                <a:lnTo>
                  <a:pt x="249" y="1679"/>
                </a:lnTo>
                <a:lnTo>
                  <a:pt x="256" y="1700"/>
                </a:lnTo>
                <a:lnTo>
                  <a:pt x="264" y="1721"/>
                </a:lnTo>
                <a:lnTo>
                  <a:pt x="272" y="1742"/>
                </a:lnTo>
                <a:lnTo>
                  <a:pt x="281" y="1761"/>
                </a:lnTo>
                <a:lnTo>
                  <a:pt x="290" y="1779"/>
                </a:lnTo>
                <a:lnTo>
                  <a:pt x="300" y="1797"/>
                </a:lnTo>
                <a:lnTo>
                  <a:pt x="310" y="1813"/>
                </a:lnTo>
                <a:lnTo>
                  <a:pt x="321" y="1830"/>
                </a:lnTo>
                <a:lnTo>
                  <a:pt x="332" y="1846"/>
                </a:lnTo>
                <a:lnTo>
                  <a:pt x="343" y="1861"/>
                </a:lnTo>
                <a:lnTo>
                  <a:pt x="355" y="1874"/>
                </a:lnTo>
                <a:lnTo>
                  <a:pt x="368" y="1888"/>
                </a:lnTo>
                <a:lnTo>
                  <a:pt x="381" y="1900"/>
                </a:lnTo>
                <a:lnTo>
                  <a:pt x="394" y="1912"/>
                </a:lnTo>
                <a:lnTo>
                  <a:pt x="409" y="1924"/>
                </a:lnTo>
                <a:lnTo>
                  <a:pt x="423" y="1934"/>
                </a:lnTo>
                <a:lnTo>
                  <a:pt x="438" y="1944"/>
                </a:lnTo>
                <a:lnTo>
                  <a:pt x="453" y="1953"/>
                </a:lnTo>
                <a:lnTo>
                  <a:pt x="469" y="1961"/>
                </a:lnTo>
                <a:lnTo>
                  <a:pt x="485" y="1968"/>
                </a:lnTo>
                <a:lnTo>
                  <a:pt x="501" y="1974"/>
                </a:lnTo>
                <a:lnTo>
                  <a:pt x="518" y="1980"/>
                </a:lnTo>
                <a:lnTo>
                  <a:pt x="535" y="1985"/>
                </a:lnTo>
                <a:lnTo>
                  <a:pt x="553" y="1989"/>
                </a:lnTo>
                <a:lnTo>
                  <a:pt x="571" y="1993"/>
                </a:lnTo>
                <a:lnTo>
                  <a:pt x="589" y="1995"/>
                </a:lnTo>
                <a:lnTo>
                  <a:pt x="609" y="1997"/>
                </a:lnTo>
                <a:lnTo>
                  <a:pt x="628" y="1999"/>
                </a:lnTo>
                <a:lnTo>
                  <a:pt x="648" y="1999"/>
                </a:lnTo>
                <a:lnTo>
                  <a:pt x="671" y="1998"/>
                </a:lnTo>
                <a:lnTo>
                  <a:pt x="694" y="1997"/>
                </a:lnTo>
                <a:lnTo>
                  <a:pt x="716" y="1995"/>
                </a:lnTo>
                <a:lnTo>
                  <a:pt x="738" y="1992"/>
                </a:lnTo>
                <a:lnTo>
                  <a:pt x="759" y="1988"/>
                </a:lnTo>
                <a:lnTo>
                  <a:pt x="779" y="1984"/>
                </a:lnTo>
                <a:lnTo>
                  <a:pt x="800" y="1978"/>
                </a:lnTo>
                <a:lnTo>
                  <a:pt x="820" y="1972"/>
                </a:lnTo>
                <a:lnTo>
                  <a:pt x="838" y="1965"/>
                </a:lnTo>
                <a:lnTo>
                  <a:pt x="856" y="1957"/>
                </a:lnTo>
                <a:lnTo>
                  <a:pt x="874" y="1948"/>
                </a:lnTo>
                <a:lnTo>
                  <a:pt x="891" y="1938"/>
                </a:lnTo>
                <a:lnTo>
                  <a:pt x="908" y="1928"/>
                </a:lnTo>
                <a:lnTo>
                  <a:pt x="924" y="1917"/>
                </a:lnTo>
                <a:lnTo>
                  <a:pt x="939" y="1903"/>
                </a:lnTo>
                <a:lnTo>
                  <a:pt x="954" y="1890"/>
                </a:lnTo>
                <a:lnTo>
                  <a:pt x="968" y="1877"/>
                </a:lnTo>
                <a:lnTo>
                  <a:pt x="981" y="1862"/>
                </a:lnTo>
                <a:lnTo>
                  <a:pt x="994" y="1848"/>
                </a:lnTo>
                <a:lnTo>
                  <a:pt x="1006" y="1833"/>
                </a:lnTo>
                <a:lnTo>
                  <a:pt x="1016" y="1816"/>
                </a:lnTo>
                <a:lnTo>
                  <a:pt x="1026" y="1800"/>
                </a:lnTo>
                <a:lnTo>
                  <a:pt x="1034" y="1783"/>
                </a:lnTo>
                <a:lnTo>
                  <a:pt x="1042" y="1766"/>
                </a:lnTo>
                <a:lnTo>
                  <a:pt x="1049" y="1748"/>
                </a:lnTo>
                <a:lnTo>
                  <a:pt x="1055" y="1729"/>
                </a:lnTo>
                <a:lnTo>
                  <a:pt x="1060" y="1710"/>
                </a:lnTo>
                <a:lnTo>
                  <a:pt x="1064" y="1691"/>
                </a:lnTo>
                <a:lnTo>
                  <a:pt x="1067" y="1671"/>
                </a:lnTo>
                <a:lnTo>
                  <a:pt x="1069" y="1651"/>
                </a:lnTo>
                <a:lnTo>
                  <a:pt x="1071" y="1629"/>
                </a:lnTo>
                <a:lnTo>
                  <a:pt x="1071" y="1608"/>
                </a:lnTo>
                <a:lnTo>
                  <a:pt x="1071" y="1590"/>
                </a:lnTo>
                <a:lnTo>
                  <a:pt x="1070" y="1573"/>
                </a:lnTo>
                <a:lnTo>
                  <a:pt x="1068" y="1556"/>
                </a:lnTo>
                <a:lnTo>
                  <a:pt x="1066" y="1539"/>
                </a:lnTo>
                <a:lnTo>
                  <a:pt x="1063" y="1523"/>
                </a:lnTo>
                <a:lnTo>
                  <a:pt x="1060" y="1507"/>
                </a:lnTo>
                <a:lnTo>
                  <a:pt x="1056" y="1491"/>
                </a:lnTo>
                <a:lnTo>
                  <a:pt x="1051" y="1476"/>
                </a:lnTo>
                <a:lnTo>
                  <a:pt x="1046" y="1460"/>
                </a:lnTo>
                <a:lnTo>
                  <a:pt x="1040" y="1445"/>
                </a:lnTo>
                <a:lnTo>
                  <a:pt x="1033" y="1431"/>
                </a:lnTo>
                <a:lnTo>
                  <a:pt x="1026" y="1417"/>
                </a:lnTo>
                <a:lnTo>
                  <a:pt x="1018" y="1403"/>
                </a:lnTo>
                <a:lnTo>
                  <a:pt x="1009" y="1389"/>
                </a:lnTo>
                <a:lnTo>
                  <a:pt x="1000" y="1375"/>
                </a:lnTo>
                <a:lnTo>
                  <a:pt x="989" y="1362"/>
                </a:lnTo>
                <a:lnTo>
                  <a:pt x="979" y="1349"/>
                </a:lnTo>
                <a:lnTo>
                  <a:pt x="968" y="1337"/>
                </a:lnTo>
                <a:lnTo>
                  <a:pt x="956" y="1324"/>
                </a:lnTo>
                <a:lnTo>
                  <a:pt x="943" y="1312"/>
                </a:lnTo>
                <a:lnTo>
                  <a:pt x="930" y="1301"/>
                </a:lnTo>
                <a:lnTo>
                  <a:pt x="917" y="1288"/>
                </a:lnTo>
                <a:lnTo>
                  <a:pt x="902" y="1277"/>
                </a:lnTo>
                <a:lnTo>
                  <a:pt x="887" y="1266"/>
                </a:lnTo>
                <a:lnTo>
                  <a:pt x="872" y="1255"/>
                </a:lnTo>
                <a:lnTo>
                  <a:pt x="855" y="1244"/>
                </a:lnTo>
                <a:lnTo>
                  <a:pt x="838" y="1234"/>
                </a:lnTo>
                <a:lnTo>
                  <a:pt x="821" y="1224"/>
                </a:lnTo>
                <a:lnTo>
                  <a:pt x="783" y="1204"/>
                </a:lnTo>
                <a:lnTo>
                  <a:pt x="743" y="1185"/>
                </a:lnTo>
                <a:lnTo>
                  <a:pt x="486" y="1076"/>
                </a:lnTo>
                <a:lnTo>
                  <a:pt x="460" y="1065"/>
                </a:lnTo>
                <a:lnTo>
                  <a:pt x="435" y="1054"/>
                </a:lnTo>
                <a:lnTo>
                  <a:pt x="411" y="1042"/>
                </a:lnTo>
                <a:lnTo>
                  <a:pt x="387" y="1028"/>
                </a:lnTo>
                <a:lnTo>
                  <a:pt x="365" y="1016"/>
                </a:lnTo>
                <a:lnTo>
                  <a:pt x="343" y="1003"/>
                </a:lnTo>
                <a:lnTo>
                  <a:pt x="322" y="990"/>
                </a:lnTo>
                <a:lnTo>
                  <a:pt x="302" y="976"/>
                </a:lnTo>
                <a:lnTo>
                  <a:pt x="283" y="962"/>
                </a:lnTo>
                <a:lnTo>
                  <a:pt x="265" y="947"/>
                </a:lnTo>
                <a:lnTo>
                  <a:pt x="247" y="931"/>
                </a:lnTo>
                <a:lnTo>
                  <a:pt x="231" y="916"/>
                </a:lnTo>
                <a:lnTo>
                  <a:pt x="215" y="900"/>
                </a:lnTo>
                <a:lnTo>
                  <a:pt x="199" y="884"/>
                </a:lnTo>
                <a:lnTo>
                  <a:pt x="185" y="867"/>
                </a:lnTo>
                <a:lnTo>
                  <a:pt x="172" y="849"/>
                </a:lnTo>
                <a:lnTo>
                  <a:pt x="159" y="832"/>
                </a:lnTo>
                <a:lnTo>
                  <a:pt x="148" y="814"/>
                </a:lnTo>
                <a:lnTo>
                  <a:pt x="137" y="796"/>
                </a:lnTo>
                <a:lnTo>
                  <a:pt x="127" y="778"/>
                </a:lnTo>
                <a:lnTo>
                  <a:pt x="117" y="758"/>
                </a:lnTo>
                <a:lnTo>
                  <a:pt x="109" y="738"/>
                </a:lnTo>
                <a:lnTo>
                  <a:pt x="101" y="719"/>
                </a:lnTo>
                <a:lnTo>
                  <a:pt x="94" y="698"/>
                </a:lnTo>
                <a:lnTo>
                  <a:pt x="88" y="677"/>
                </a:lnTo>
                <a:lnTo>
                  <a:pt x="83" y="656"/>
                </a:lnTo>
                <a:lnTo>
                  <a:pt x="79" y="634"/>
                </a:lnTo>
                <a:lnTo>
                  <a:pt x="75" y="612"/>
                </a:lnTo>
                <a:lnTo>
                  <a:pt x="72" y="589"/>
                </a:lnTo>
                <a:lnTo>
                  <a:pt x="70" y="566"/>
                </a:lnTo>
                <a:lnTo>
                  <a:pt x="69" y="543"/>
                </a:lnTo>
                <a:lnTo>
                  <a:pt x="69" y="519"/>
                </a:lnTo>
                <a:lnTo>
                  <a:pt x="69" y="491"/>
                </a:lnTo>
                <a:lnTo>
                  <a:pt x="71" y="464"/>
                </a:lnTo>
                <a:lnTo>
                  <a:pt x="74" y="438"/>
                </a:lnTo>
                <a:lnTo>
                  <a:pt x="79" y="411"/>
                </a:lnTo>
                <a:lnTo>
                  <a:pt x="85" y="386"/>
                </a:lnTo>
                <a:lnTo>
                  <a:pt x="92" y="361"/>
                </a:lnTo>
                <a:lnTo>
                  <a:pt x="100" y="338"/>
                </a:lnTo>
                <a:lnTo>
                  <a:pt x="110" y="313"/>
                </a:lnTo>
                <a:lnTo>
                  <a:pt x="121" y="291"/>
                </a:lnTo>
                <a:lnTo>
                  <a:pt x="134" y="269"/>
                </a:lnTo>
                <a:lnTo>
                  <a:pt x="147" y="247"/>
                </a:lnTo>
                <a:lnTo>
                  <a:pt x="162" y="225"/>
                </a:lnTo>
                <a:lnTo>
                  <a:pt x="179" y="205"/>
                </a:lnTo>
                <a:lnTo>
                  <a:pt x="196" y="185"/>
                </a:lnTo>
                <a:lnTo>
                  <a:pt x="216" y="166"/>
                </a:lnTo>
                <a:lnTo>
                  <a:pt x="237" y="147"/>
                </a:lnTo>
                <a:lnTo>
                  <a:pt x="258" y="129"/>
                </a:lnTo>
                <a:lnTo>
                  <a:pt x="280" y="113"/>
                </a:lnTo>
                <a:lnTo>
                  <a:pt x="302" y="98"/>
                </a:lnTo>
                <a:lnTo>
                  <a:pt x="326" y="83"/>
                </a:lnTo>
                <a:lnTo>
                  <a:pt x="350" y="70"/>
                </a:lnTo>
                <a:lnTo>
                  <a:pt x="374" y="57"/>
                </a:lnTo>
                <a:lnTo>
                  <a:pt x="400" y="47"/>
                </a:lnTo>
                <a:lnTo>
                  <a:pt x="427" y="37"/>
                </a:lnTo>
                <a:lnTo>
                  <a:pt x="454" y="28"/>
                </a:lnTo>
                <a:lnTo>
                  <a:pt x="482" y="21"/>
                </a:lnTo>
                <a:lnTo>
                  <a:pt x="510" y="15"/>
                </a:lnTo>
                <a:lnTo>
                  <a:pt x="539" y="10"/>
                </a:lnTo>
                <a:lnTo>
                  <a:pt x="569" y="6"/>
                </a:lnTo>
                <a:lnTo>
                  <a:pt x="600" y="3"/>
                </a:lnTo>
                <a:lnTo>
                  <a:pt x="632" y="1"/>
                </a:lnTo>
                <a:lnTo>
                  <a:pt x="664" y="0"/>
                </a:lnTo>
                <a:lnTo>
                  <a:pt x="687" y="1"/>
                </a:lnTo>
                <a:lnTo>
                  <a:pt x="710" y="2"/>
                </a:lnTo>
                <a:lnTo>
                  <a:pt x="733" y="3"/>
                </a:lnTo>
                <a:lnTo>
                  <a:pt x="756" y="5"/>
                </a:lnTo>
                <a:lnTo>
                  <a:pt x="777" y="8"/>
                </a:lnTo>
                <a:lnTo>
                  <a:pt x="800" y="12"/>
                </a:lnTo>
                <a:lnTo>
                  <a:pt x="821" y="16"/>
                </a:lnTo>
                <a:lnTo>
                  <a:pt x="842" y="20"/>
                </a:lnTo>
                <a:lnTo>
                  <a:pt x="862" y="26"/>
                </a:lnTo>
                <a:lnTo>
                  <a:pt x="882" y="32"/>
                </a:lnTo>
                <a:lnTo>
                  <a:pt x="902" y="38"/>
                </a:lnTo>
                <a:lnTo>
                  <a:pt x="921" y="45"/>
                </a:lnTo>
                <a:lnTo>
                  <a:pt x="939" y="53"/>
                </a:lnTo>
                <a:lnTo>
                  <a:pt x="958" y="62"/>
                </a:lnTo>
                <a:lnTo>
                  <a:pt x="976" y="72"/>
                </a:lnTo>
                <a:lnTo>
                  <a:pt x="994" y="81"/>
                </a:lnTo>
                <a:lnTo>
                  <a:pt x="1011" y="91"/>
                </a:lnTo>
                <a:lnTo>
                  <a:pt x="1028" y="102"/>
                </a:lnTo>
                <a:lnTo>
                  <a:pt x="1044" y="114"/>
                </a:lnTo>
                <a:lnTo>
                  <a:pt x="1060" y="126"/>
                </a:lnTo>
                <a:lnTo>
                  <a:pt x="1075" y="138"/>
                </a:lnTo>
                <a:lnTo>
                  <a:pt x="1090" y="152"/>
                </a:lnTo>
                <a:lnTo>
                  <a:pt x="1104" y="167"/>
                </a:lnTo>
                <a:lnTo>
                  <a:pt x="1118" y="181"/>
                </a:lnTo>
                <a:lnTo>
                  <a:pt x="1131" y="196"/>
                </a:lnTo>
                <a:lnTo>
                  <a:pt x="1144" y="212"/>
                </a:lnTo>
                <a:lnTo>
                  <a:pt x="1156" y="228"/>
                </a:lnTo>
                <a:lnTo>
                  <a:pt x="1168" y="246"/>
                </a:lnTo>
                <a:lnTo>
                  <a:pt x="1179" y="263"/>
                </a:lnTo>
                <a:lnTo>
                  <a:pt x="1191" y="281"/>
                </a:lnTo>
                <a:lnTo>
                  <a:pt x="1202" y="299"/>
                </a:lnTo>
                <a:lnTo>
                  <a:pt x="1211" y="318"/>
                </a:lnTo>
                <a:lnTo>
                  <a:pt x="1004" y="451"/>
                </a:lnTo>
                <a:lnTo>
                  <a:pt x="985" y="422"/>
                </a:lnTo>
                <a:lnTo>
                  <a:pt x="966" y="394"/>
                </a:lnTo>
                <a:lnTo>
                  <a:pt x="947" y="368"/>
                </a:lnTo>
                <a:lnTo>
                  <a:pt x="928" y="345"/>
                </a:lnTo>
                <a:lnTo>
                  <a:pt x="908" y="322"/>
                </a:lnTo>
                <a:lnTo>
                  <a:pt x="887" y="303"/>
                </a:lnTo>
                <a:lnTo>
                  <a:pt x="866" y="285"/>
                </a:lnTo>
                <a:lnTo>
                  <a:pt x="845" y="269"/>
                </a:lnTo>
                <a:lnTo>
                  <a:pt x="822" y="256"/>
                </a:lnTo>
                <a:lnTo>
                  <a:pt x="799" y="242"/>
                </a:lnTo>
                <a:lnTo>
                  <a:pt x="775" y="232"/>
                </a:lnTo>
                <a:lnTo>
                  <a:pt x="750" y="224"/>
                </a:lnTo>
                <a:lnTo>
                  <a:pt x="725" y="217"/>
                </a:lnTo>
                <a:lnTo>
                  <a:pt x="699" y="213"/>
                </a:lnTo>
                <a:lnTo>
                  <a:pt x="672" y="210"/>
                </a:lnTo>
                <a:lnTo>
                  <a:pt x="645" y="209"/>
                </a:lnTo>
                <a:lnTo>
                  <a:pt x="628" y="209"/>
                </a:lnTo>
                <a:lnTo>
                  <a:pt x="611" y="210"/>
                </a:lnTo>
                <a:lnTo>
                  <a:pt x="593" y="212"/>
                </a:lnTo>
                <a:lnTo>
                  <a:pt x="577" y="214"/>
                </a:lnTo>
                <a:lnTo>
                  <a:pt x="561" y="217"/>
                </a:lnTo>
                <a:lnTo>
                  <a:pt x="546" y="221"/>
                </a:lnTo>
                <a:lnTo>
                  <a:pt x="531" y="225"/>
                </a:lnTo>
                <a:lnTo>
                  <a:pt x="516" y="230"/>
                </a:lnTo>
                <a:lnTo>
                  <a:pt x="502" y="236"/>
                </a:lnTo>
                <a:lnTo>
                  <a:pt x="488" y="244"/>
                </a:lnTo>
                <a:lnTo>
                  <a:pt x="475" y="251"/>
                </a:lnTo>
                <a:lnTo>
                  <a:pt x="462" y="258"/>
                </a:lnTo>
                <a:lnTo>
                  <a:pt x="449" y="267"/>
                </a:lnTo>
                <a:lnTo>
                  <a:pt x="437" y="276"/>
                </a:lnTo>
                <a:lnTo>
                  <a:pt x="425" y="285"/>
                </a:lnTo>
                <a:lnTo>
                  <a:pt x="414" y="296"/>
                </a:lnTo>
                <a:lnTo>
                  <a:pt x="403" y="306"/>
                </a:lnTo>
                <a:lnTo>
                  <a:pt x="392" y="318"/>
                </a:lnTo>
                <a:lnTo>
                  <a:pt x="382" y="329"/>
                </a:lnTo>
                <a:lnTo>
                  <a:pt x="373" y="342"/>
                </a:lnTo>
                <a:lnTo>
                  <a:pt x="365" y="354"/>
                </a:lnTo>
                <a:lnTo>
                  <a:pt x="358" y="367"/>
                </a:lnTo>
                <a:lnTo>
                  <a:pt x="351" y="380"/>
                </a:lnTo>
                <a:lnTo>
                  <a:pt x="345" y="394"/>
                </a:lnTo>
                <a:lnTo>
                  <a:pt x="340" y="407"/>
                </a:lnTo>
                <a:lnTo>
                  <a:pt x="335" y="423"/>
                </a:lnTo>
                <a:lnTo>
                  <a:pt x="332" y="437"/>
                </a:lnTo>
                <a:lnTo>
                  <a:pt x="328" y="452"/>
                </a:lnTo>
                <a:lnTo>
                  <a:pt x="326" y="467"/>
                </a:lnTo>
                <a:lnTo>
                  <a:pt x="324" y="483"/>
                </a:lnTo>
                <a:lnTo>
                  <a:pt x="323" y="499"/>
                </a:lnTo>
                <a:lnTo>
                  <a:pt x="323" y="516"/>
                </a:lnTo>
                <a:lnTo>
                  <a:pt x="323" y="530"/>
                </a:lnTo>
                <a:lnTo>
                  <a:pt x="324" y="544"/>
                </a:lnTo>
                <a:lnTo>
                  <a:pt x="325" y="557"/>
                </a:lnTo>
                <a:lnTo>
                  <a:pt x="327" y="570"/>
                </a:lnTo>
                <a:lnTo>
                  <a:pt x="330" y="583"/>
                </a:lnTo>
                <a:lnTo>
                  <a:pt x="333" y="596"/>
                </a:lnTo>
                <a:lnTo>
                  <a:pt x="336" y="609"/>
                </a:lnTo>
                <a:lnTo>
                  <a:pt x="340" y="621"/>
                </a:lnTo>
                <a:lnTo>
                  <a:pt x="345" y="633"/>
                </a:lnTo>
                <a:lnTo>
                  <a:pt x="350" y="644"/>
                </a:lnTo>
                <a:lnTo>
                  <a:pt x="355" y="656"/>
                </a:lnTo>
                <a:lnTo>
                  <a:pt x="362" y="667"/>
                </a:lnTo>
                <a:lnTo>
                  <a:pt x="368" y="678"/>
                </a:lnTo>
                <a:lnTo>
                  <a:pt x="376" y="690"/>
                </a:lnTo>
                <a:lnTo>
                  <a:pt x="384" y="700"/>
                </a:lnTo>
                <a:lnTo>
                  <a:pt x="392" y="710"/>
                </a:lnTo>
                <a:lnTo>
                  <a:pt x="402" y="720"/>
                </a:lnTo>
                <a:lnTo>
                  <a:pt x="411" y="730"/>
                </a:lnTo>
                <a:lnTo>
                  <a:pt x="421" y="740"/>
                </a:lnTo>
                <a:lnTo>
                  <a:pt x="432" y="750"/>
                </a:lnTo>
                <a:lnTo>
                  <a:pt x="455" y="769"/>
                </a:lnTo>
                <a:lnTo>
                  <a:pt x="481" y="788"/>
                </a:lnTo>
                <a:lnTo>
                  <a:pt x="509" y="806"/>
                </a:lnTo>
                <a:lnTo>
                  <a:pt x="539" y="823"/>
                </a:lnTo>
                <a:lnTo>
                  <a:pt x="572" y="839"/>
                </a:lnTo>
                <a:lnTo>
                  <a:pt x="608" y="855"/>
                </a:lnTo>
                <a:lnTo>
                  <a:pt x="909" y="988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" name="Freeform 172">
            <a:extLst>
              <a:ext uri="{FF2B5EF4-FFF2-40B4-BE49-F238E27FC236}">
                <a16:creationId xmlns:a16="http://schemas.microsoft.com/office/drawing/2014/main" id="{00000000-0008-0000-0700-0000B3000000}"/>
              </a:ext>
            </a:extLst>
          </xdr:cNvPr>
          <xdr:cNvSpPr>
            <a:spLocks noEditPoints="1"/>
          </xdr:cNvSpPr>
        </xdr:nvSpPr>
        <xdr:spPr bwMode="auto">
          <a:xfrm>
            <a:off x="112" y="69"/>
            <a:ext cx="103" cy="26"/>
          </a:xfrm>
          <a:custGeom>
            <a:avLst/>
            <a:gdLst>
              <a:gd name="T0" fmla="*/ 0 w 8923"/>
              <a:gd name="T1" fmla="*/ 0 h 2213"/>
              <a:gd name="T2" fmla="*/ 0 w 8923"/>
              <a:gd name="T3" fmla="*/ 0 h 2213"/>
              <a:gd name="T4" fmla="*/ 0 w 8923"/>
              <a:gd name="T5" fmla="*/ 0 h 2213"/>
              <a:gd name="T6" fmla="*/ 0 w 8923"/>
              <a:gd name="T7" fmla="*/ 0 h 2213"/>
              <a:gd name="T8" fmla="*/ 0 w 8923"/>
              <a:gd name="T9" fmla="*/ 0 h 2213"/>
              <a:gd name="T10" fmla="*/ 0 w 8923"/>
              <a:gd name="T11" fmla="*/ 0 h 2213"/>
              <a:gd name="T12" fmla="*/ 0 w 8923"/>
              <a:gd name="T13" fmla="*/ 0 h 2213"/>
              <a:gd name="T14" fmla="*/ 0 w 8923"/>
              <a:gd name="T15" fmla="*/ 0 h 2213"/>
              <a:gd name="T16" fmla="*/ 0 w 8923"/>
              <a:gd name="T17" fmla="*/ 0 h 2213"/>
              <a:gd name="T18" fmla="*/ 0 w 8923"/>
              <a:gd name="T19" fmla="*/ 0 h 2213"/>
              <a:gd name="T20" fmla="*/ 0 w 8923"/>
              <a:gd name="T21" fmla="*/ 0 h 2213"/>
              <a:gd name="T22" fmla="*/ 0 w 8923"/>
              <a:gd name="T23" fmla="*/ 0 h 2213"/>
              <a:gd name="T24" fmla="*/ 0 w 8923"/>
              <a:gd name="T25" fmla="*/ 0 h 2213"/>
              <a:gd name="T26" fmla="*/ 0 w 8923"/>
              <a:gd name="T27" fmla="*/ 0 h 2213"/>
              <a:gd name="T28" fmla="*/ 0 w 8923"/>
              <a:gd name="T29" fmla="*/ 0 h 2213"/>
              <a:gd name="T30" fmla="*/ 0 w 8923"/>
              <a:gd name="T31" fmla="*/ 0 h 2213"/>
              <a:gd name="T32" fmla="*/ 0 w 8923"/>
              <a:gd name="T33" fmla="*/ 0 h 2213"/>
              <a:gd name="T34" fmla="*/ 0 w 8923"/>
              <a:gd name="T35" fmla="*/ 0 h 2213"/>
              <a:gd name="T36" fmla="*/ 0 w 8923"/>
              <a:gd name="T37" fmla="*/ 0 h 2213"/>
              <a:gd name="T38" fmla="*/ 0 w 8923"/>
              <a:gd name="T39" fmla="*/ 0 h 2213"/>
              <a:gd name="T40" fmla="*/ 0 w 8923"/>
              <a:gd name="T41" fmla="*/ 0 h 2213"/>
              <a:gd name="T42" fmla="*/ 0 w 8923"/>
              <a:gd name="T43" fmla="*/ 0 h 2213"/>
              <a:gd name="T44" fmla="*/ 0 w 8923"/>
              <a:gd name="T45" fmla="*/ 0 h 2213"/>
              <a:gd name="T46" fmla="*/ 0 w 8923"/>
              <a:gd name="T47" fmla="*/ 0 h 2213"/>
              <a:gd name="T48" fmla="*/ 0 w 8923"/>
              <a:gd name="T49" fmla="*/ 0 h 2213"/>
              <a:gd name="T50" fmla="*/ 0 w 8923"/>
              <a:gd name="T51" fmla="*/ 0 h 2213"/>
              <a:gd name="T52" fmla="*/ 0 w 8923"/>
              <a:gd name="T53" fmla="*/ 0 h 2213"/>
              <a:gd name="T54" fmla="*/ 0 w 8923"/>
              <a:gd name="T55" fmla="*/ 0 h 2213"/>
              <a:gd name="T56" fmla="*/ 0 w 8923"/>
              <a:gd name="T57" fmla="*/ 0 h 2213"/>
              <a:gd name="T58" fmla="*/ 0 w 8923"/>
              <a:gd name="T59" fmla="*/ 0 h 2213"/>
              <a:gd name="T60" fmla="*/ 0 w 8923"/>
              <a:gd name="T61" fmla="*/ 0 h 2213"/>
              <a:gd name="T62" fmla="*/ 0 w 8923"/>
              <a:gd name="T63" fmla="*/ 0 h 2213"/>
              <a:gd name="T64" fmla="*/ 0 w 8923"/>
              <a:gd name="T65" fmla="*/ 0 h 2213"/>
              <a:gd name="T66" fmla="*/ 0 w 8923"/>
              <a:gd name="T67" fmla="*/ 0 h 2213"/>
              <a:gd name="T68" fmla="*/ 0 w 8923"/>
              <a:gd name="T69" fmla="*/ 0 h 2213"/>
              <a:gd name="T70" fmla="*/ 0 w 8923"/>
              <a:gd name="T71" fmla="*/ 0 h 2213"/>
              <a:gd name="T72" fmla="*/ 0 w 8923"/>
              <a:gd name="T73" fmla="*/ 0 h 2213"/>
              <a:gd name="T74" fmla="*/ 0 w 8923"/>
              <a:gd name="T75" fmla="*/ 0 h 2213"/>
              <a:gd name="T76" fmla="*/ 0 w 8923"/>
              <a:gd name="T77" fmla="*/ 0 h 2213"/>
              <a:gd name="T78" fmla="*/ 0 w 8923"/>
              <a:gd name="T79" fmla="*/ 0 h 2213"/>
              <a:gd name="T80" fmla="*/ 0 w 8923"/>
              <a:gd name="T81" fmla="*/ 0 h 2213"/>
              <a:gd name="T82" fmla="*/ 0 w 8923"/>
              <a:gd name="T83" fmla="*/ 0 h 2213"/>
              <a:gd name="T84" fmla="*/ 0 w 8923"/>
              <a:gd name="T85" fmla="*/ 0 h 2213"/>
              <a:gd name="T86" fmla="*/ 0 w 8923"/>
              <a:gd name="T87" fmla="*/ 0 h 2213"/>
              <a:gd name="T88" fmla="*/ 0 w 8923"/>
              <a:gd name="T89" fmla="*/ 0 h 2213"/>
              <a:gd name="T90" fmla="*/ 0 w 8923"/>
              <a:gd name="T91" fmla="*/ 0 h 2213"/>
              <a:gd name="T92" fmla="*/ 0 w 8923"/>
              <a:gd name="T93" fmla="*/ 0 h 2213"/>
              <a:gd name="T94" fmla="*/ 0 w 8923"/>
              <a:gd name="T95" fmla="*/ 0 h 2213"/>
              <a:gd name="T96" fmla="*/ 0 w 8923"/>
              <a:gd name="T97" fmla="*/ 0 h 2213"/>
              <a:gd name="T98" fmla="*/ 0 w 8923"/>
              <a:gd name="T99" fmla="*/ 0 h 2213"/>
              <a:gd name="T100" fmla="*/ 0 w 8923"/>
              <a:gd name="T101" fmla="*/ 0 h 2213"/>
              <a:gd name="T102" fmla="*/ 0 w 8923"/>
              <a:gd name="T103" fmla="*/ 0 h 2213"/>
              <a:gd name="T104" fmla="*/ 0 w 8923"/>
              <a:gd name="T105" fmla="*/ 0 h 2213"/>
              <a:gd name="T106" fmla="*/ 0 w 8923"/>
              <a:gd name="T107" fmla="*/ 0 h 2213"/>
              <a:gd name="T108" fmla="*/ 0 w 8923"/>
              <a:gd name="T109" fmla="*/ 0 h 2213"/>
              <a:gd name="T110" fmla="*/ 0 w 8923"/>
              <a:gd name="T111" fmla="*/ 0 h 2213"/>
              <a:gd name="T112" fmla="*/ 0 w 8923"/>
              <a:gd name="T113" fmla="*/ 0 h 2213"/>
              <a:gd name="T114" fmla="*/ 0 w 8923"/>
              <a:gd name="T115" fmla="*/ 0 h 2213"/>
              <a:gd name="T116" fmla="*/ 0 w 8923"/>
              <a:gd name="T117" fmla="*/ 0 h 2213"/>
              <a:gd name="T118" fmla="*/ 0 w 8923"/>
              <a:gd name="T119" fmla="*/ 0 h 2213"/>
              <a:gd name="T120" fmla="*/ 0 w 8923"/>
              <a:gd name="T121" fmla="*/ 0 h 2213"/>
              <a:gd name="T122" fmla="*/ 0 w 8923"/>
              <a:gd name="T123" fmla="*/ 0 h 2213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8923"/>
              <a:gd name="T187" fmla="*/ 0 h 2213"/>
              <a:gd name="T188" fmla="*/ 8923 w 8923"/>
              <a:gd name="T189" fmla="*/ 2213 h 2213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8923" h="2213">
                <a:moveTo>
                  <a:pt x="7808" y="2156"/>
                </a:moveTo>
                <a:lnTo>
                  <a:pt x="7808" y="48"/>
                </a:lnTo>
                <a:lnTo>
                  <a:pt x="8923" y="48"/>
                </a:lnTo>
                <a:lnTo>
                  <a:pt x="8923" y="277"/>
                </a:lnTo>
                <a:lnTo>
                  <a:pt x="8060" y="277"/>
                </a:lnTo>
                <a:lnTo>
                  <a:pt x="8060" y="882"/>
                </a:lnTo>
                <a:lnTo>
                  <a:pt x="8923" y="882"/>
                </a:lnTo>
                <a:lnTo>
                  <a:pt x="8923" y="1115"/>
                </a:lnTo>
                <a:lnTo>
                  <a:pt x="8060" y="1115"/>
                </a:lnTo>
                <a:lnTo>
                  <a:pt x="8060" y="1923"/>
                </a:lnTo>
                <a:lnTo>
                  <a:pt x="8923" y="1923"/>
                </a:lnTo>
                <a:lnTo>
                  <a:pt x="8923" y="2156"/>
                </a:lnTo>
                <a:lnTo>
                  <a:pt x="7808" y="2156"/>
                </a:lnTo>
                <a:close/>
                <a:moveTo>
                  <a:pt x="5662" y="2156"/>
                </a:moveTo>
                <a:lnTo>
                  <a:pt x="5662" y="48"/>
                </a:lnTo>
                <a:lnTo>
                  <a:pt x="6068" y="48"/>
                </a:lnTo>
                <a:lnTo>
                  <a:pt x="6177" y="48"/>
                </a:lnTo>
                <a:lnTo>
                  <a:pt x="6278" y="50"/>
                </a:lnTo>
                <a:lnTo>
                  <a:pt x="6369" y="54"/>
                </a:lnTo>
                <a:lnTo>
                  <a:pt x="6452" y="59"/>
                </a:lnTo>
                <a:lnTo>
                  <a:pt x="6491" y="62"/>
                </a:lnTo>
                <a:lnTo>
                  <a:pt x="6528" y="66"/>
                </a:lnTo>
                <a:lnTo>
                  <a:pt x="6562" y="70"/>
                </a:lnTo>
                <a:lnTo>
                  <a:pt x="6594" y="74"/>
                </a:lnTo>
                <a:lnTo>
                  <a:pt x="6624" y="78"/>
                </a:lnTo>
                <a:lnTo>
                  <a:pt x="6653" y="83"/>
                </a:lnTo>
                <a:lnTo>
                  <a:pt x="6680" y="88"/>
                </a:lnTo>
                <a:lnTo>
                  <a:pt x="6704" y="93"/>
                </a:lnTo>
                <a:lnTo>
                  <a:pt x="6726" y="99"/>
                </a:lnTo>
                <a:lnTo>
                  <a:pt x="6749" y="105"/>
                </a:lnTo>
                <a:lnTo>
                  <a:pt x="6771" y="112"/>
                </a:lnTo>
                <a:lnTo>
                  <a:pt x="6792" y="120"/>
                </a:lnTo>
                <a:lnTo>
                  <a:pt x="6814" y="127"/>
                </a:lnTo>
                <a:lnTo>
                  <a:pt x="6835" y="136"/>
                </a:lnTo>
                <a:lnTo>
                  <a:pt x="6855" y="144"/>
                </a:lnTo>
                <a:lnTo>
                  <a:pt x="6877" y="154"/>
                </a:lnTo>
                <a:lnTo>
                  <a:pt x="6897" y="164"/>
                </a:lnTo>
                <a:lnTo>
                  <a:pt x="6916" y="174"/>
                </a:lnTo>
                <a:lnTo>
                  <a:pt x="6935" y="185"/>
                </a:lnTo>
                <a:lnTo>
                  <a:pt x="6954" y="196"/>
                </a:lnTo>
                <a:lnTo>
                  <a:pt x="6973" y="207"/>
                </a:lnTo>
                <a:lnTo>
                  <a:pt x="6991" y="219"/>
                </a:lnTo>
                <a:lnTo>
                  <a:pt x="7009" y="232"/>
                </a:lnTo>
                <a:lnTo>
                  <a:pt x="7026" y="245"/>
                </a:lnTo>
                <a:lnTo>
                  <a:pt x="7048" y="263"/>
                </a:lnTo>
                <a:lnTo>
                  <a:pt x="7071" y="281"/>
                </a:lnTo>
                <a:lnTo>
                  <a:pt x="7092" y="300"/>
                </a:lnTo>
                <a:lnTo>
                  <a:pt x="7112" y="319"/>
                </a:lnTo>
                <a:lnTo>
                  <a:pt x="7132" y="340"/>
                </a:lnTo>
                <a:lnTo>
                  <a:pt x="7150" y="361"/>
                </a:lnTo>
                <a:lnTo>
                  <a:pt x="7169" y="382"/>
                </a:lnTo>
                <a:lnTo>
                  <a:pt x="7186" y="404"/>
                </a:lnTo>
                <a:lnTo>
                  <a:pt x="7203" y="427"/>
                </a:lnTo>
                <a:lnTo>
                  <a:pt x="7219" y="450"/>
                </a:lnTo>
                <a:lnTo>
                  <a:pt x="7235" y="474"/>
                </a:lnTo>
                <a:lnTo>
                  <a:pt x="7249" y="498"/>
                </a:lnTo>
                <a:lnTo>
                  <a:pt x="7264" y="524"/>
                </a:lnTo>
                <a:lnTo>
                  <a:pt x="7278" y="549"/>
                </a:lnTo>
                <a:lnTo>
                  <a:pt x="7291" y="575"/>
                </a:lnTo>
                <a:lnTo>
                  <a:pt x="7303" y="603"/>
                </a:lnTo>
                <a:lnTo>
                  <a:pt x="7314" y="630"/>
                </a:lnTo>
                <a:lnTo>
                  <a:pt x="7324" y="658"/>
                </a:lnTo>
                <a:lnTo>
                  <a:pt x="7334" y="687"/>
                </a:lnTo>
                <a:lnTo>
                  <a:pt x="7343" y="715"/>
                </a:lnTo>
                <a:lnTo>
                  <a:pt x="7352" y="745"/>
                </a:lnTo>
                <a:lnTo>
                  <a:pt x="7360" y="775"/>
                </a:lnTo>
                <a:lnTo>
                  <a:pt x="7366" y="806"/>
                </a:lnTo>
                <a:lnTo>
                  <a:pt x="7373" y="836"/>
                </a:lnTo>
                <a:lnTo>
                  <a:pt x="7378" y="868"/>
                </a:lnTo>
                <a:lnTo>
                  <a:pt x="7383" y="900"/>
                </a:lnTo>
                <a:lnTo>
                  <a:pt x="7387" y="932"/>
                </a:lnTo>
                <a:lnTo>
                  <a:pt x="7390" y="966"/>
                </a:lnTo>
                <a:lnTo>
                  <a:pt x="7393" y="999"/>
                </a:lnTo>
                <a:lnTo>
                  <a:pt x="7394" y="1034"/>
                </a:lnTo>
                <a:lnTo>
                  <a:pt x="7395" y="1068"/>
                </a:lnTo>
                <a:lnTo>
                  <a:pt x="7396" y="1103"/>
                </a:lnTo>
                <a:lnTo>
                  <a:pt x="7395" y="1139"/>
                </a:lnTo>
                <a:lnTo>
                  <a:pt x="7394" y="1173"/>
                </a:lnTo>
                <a:lnTo>
                  <a:pt x="7393" y="1208"/>
                </a:lnTo>
                <a:lnTo>
                  <a:pt x="7390" y="1241"/>
                </a:lnTo>
                <a:lnTo>
                  <a:pt x="7387" y="1273"/>
                </a:lnTo>
                <a:lnTo>
                  <a:pt x="7383" y="1307"/>
                </a:lnTo>
                <a:lnTo>
                  <a:pt x="7378" y="1338"/>
                </a:lnTo>
                <a:lnTo>
                  <a:pt x="7373" y="1369"/>
                </a:lnTo>
                <a:lnTo>
                  <a:pt x="7367" y="1401"/>
                </a:lnTo>
                <a:lnTo>
                  <a:pt x="7360" y="1431"/>
                </a:lnTo>
                <a:lnTo>
                  <a:pt x="7352" y="1461"/>
                </a:lnTo>
                <a:lnTo>
                  <a:pt x="7344" y="1491"/>
                </a:lnTo>
                <a:lnTo>
                  <a:pt x="7335" y="1519"/>
                </a:lnTo>
                <a:lnTo>
                  <a:pt x="7325" y="1547"/>
                </a:lnTo>
                <a:lnTo>
                  <a:pt x="7314" y="1576"/>
                </a:lnTo>
                <a:lnTo>
                  <a:pt x="7303" y="1603"/>
                </a:lnTo>
                <a:lnTo>
                  <a:pt x="7291" y="1629"/>
                </a:lnTo>
                <a:lnTo>
                  <a:pt x="7279" y="1656"/>
                </a:lnTo>
                <a:lnTo>
                  <a:pt x="7265" y="1681"/>
                </a:lnTo>
                <a:lnTo>
                  <a:pt x="7250" y="1706"/>
                </a:lnTo>
                <a:lnTo>
                  <a:pt x="7235" y="1730"/>
                </a:lnTo>
                <a:lnTo>
                  <a:pt x="7220" y="1755"/>
                </a:lnTo>
                <a:lnTo>
                  <a:pt x="7204" y="1778"/>
                </a:lnTo>
                <a:lnTo>
                  <a:pt x="7187" y="1800"/>
                </a:lnTo>
                <a:lnTo>
                  <a:pt x="7169" y="1822"/>
                </a:lnTo>
                <a:lnTo>
                  <a:pt x="7151" y="1844"/>
                </a:lnTo>
                <a:lnTo>
                  <a:pt x="7132" y="1865"/>
                </a:lnTo>
                <a:lnTo>
                  <a:pt x="7113" y="1884"/>
                </a:lnTo>
                <a:lnTo>
                  <a:pt x="7092" y="1904"/>
                </a:lnTo>
                <a:lnTo>
                  <a:pt x="7071" y="1924"/>
                </a:lnTo>
                <a:lnTo>
                  <a:pt x="7048" y="1942"/>
                </a:lnTo>
                <a:lnTo>
                  <a:pt x="7026" y="1959"/>
                </a:lnTo>
                <a:lnTo>
                  <a:pt x="7009" y="1972"/>
                </a:lnTo>
                <a:lnTo>
                  <a:pt x="6991" y="1985"/>
                </a:lnTo>
                <a:lnTo>
                  <a:pt x="6973" y="1997"/>
                </a:lnTo>
                <a:lnTo>
                  <a:pt x="6955" y="2009"/>
                </a:lnTo>
                <a:lnTo>
                  <a:pt x="6936" y="2020"/>
                </a:lnTo>
                <a:lnTo>
                  <a:pt x="6917" y="2031"/>
                </a:lnTo>
                <a:lnTo>
                  <a:pt x="6898" y="2041"/>
                </a:lnTo>
                <a:lnTo>
                  <a:pt x="6878" y="2050"/>
                </a:lnTo>
                <a:lnTo>
                  <a:pt x="6858" y="2060"/>
                </a:lnTo>
                <a:lnTo>
                  <a:pt x="6838" y="2068"/>
                </a:lnTo>
                <a:lnTo>
                  <a:pt x="6817" y="2077"/>
                </a:lnTo>
                <a:lnTo>
                  <a:pt x="6797" y="2084"/>
                </a:lnTo>
                <a:lnTo>
                  <a:pt x="6776" y="2093"/>
                </a:lnTo>
                <a:lnTo>
                  <a:pt x="6754" y="2099"/>
                </a:lnTo>
                <a:lnTo>
                  <a:pt x="6733" y="2106"/>
                </a:lnTo>
                <a:lnTo>
                  <a:pt x="6711" y="2111"/>
                </a:lnTo>
                <a:lnTo>
                  <a:pt x="6688" y="2117"/>
                </a:lnTo>
                <a:lnTo>
                  <a:pt x="6663" y="2122"/>
                </a:lnTo>
                <a:lnTo>
                  <a:pt x="6637" y="2127"/>
                </a:lnTo>
                <a:lnTo>
                  <a:pt x="6610" y="2131"/>
                </a:lnTo>
                <a:lnTo>
                  <a:pt x="6581" y="2135"/>
                </a:lnTo>
                <a:lnTo>
                  <a:pt x="6550" y="2139"/>
                </a:lnTo>
                <a:lnTo>
                  <a:pt x="6518" y="2142"/>
                </a:lnTo>
                <a:lnTo>
                  <a:pt x="6485" y="2145"/>
                </a:lnTo>
                <a:lnTo>
                  <a:pt x="6412" y="2150"/>
                </a:lnTo>
                <a:lnTo>
                  <a:pt x="6334" y="2153"/>
                </a:lnTo>
                <a:lnTo>
                  <a:pt x="6249" y="2156"/>
                </a:lnTo>
                <a:lnTo>
                  <a:pt x="6159" y="2156"/>
                </a:lnTo>
                <a:lnTo>
                  <a:pt x="6068" y="2156"/>
                </a:lnTo>
                <a:lnTo>
                  <a:pt x="5662" y="2156"/>
                </a:lnTo>
                <a:close/>
                <a:moveTo>
                  <a:pt x="5917" y="1921"/>
                </a:moveTo>
                <a:lnTo>
                  <a:pt x="6077" y="1921"/>
                </a:lnTo>
                <a:lnTo>
                  <a:pt x="6171" y="1920"/>
                </a:lnTo>
                <a:lnTo>
                  <a:pt x="6257" y="1919"/>
                </a:lnTo>
                <a:lnTo>
                  <a:pt x="6336" y="1916"/>
                </a:lnTo>
                <a:lnTo>
                  <a:pt x="6407" y="1913"/>
                </a:lnTo>
                <a:lnTo>
                  <a:pt x="6471" y="1907"/>
                </a:lnTo>
                <a:lnTo>
                  <a:pt x="6527" y="1901"/>
                </a:lnTo>
                <a:lnTo>
                  <a:pt x="6553" y="1898"/>
                </a:lnTo>
                <a:lnTo>
                  <a:pt x="6576" y="1894"/>
                </a:lnTo>
                <a:lnTo>
                  <a:pt x="6597" y="1890"/>
                </a:lnTo>
                <a:lnTo>
                  <a:pt x="6617" y="1886"/>
                </a:lnTo>
                <a:lnTo>
                  <a:pt x="6654" y="1877"/>
                </a:lnTo>
                <a:lnTo>
                  <a:pt x="6690" y="1867"/>
                </a:lnTo>
                <a:lnTo>
                  <a:pt x="6723" y="1855"/>
                </a:lnTo>
                <a:lnTo>
                  <a:pt x="6755" y="1841"/>
                </a:lnTo>
                <a:lnTo>
                  <a:pt x="6770" y="1834"/>
                </a:lnTo>
                <a:lnTo>
                  <a:pt x="6785" y="1826"/>
                </a:lnTo>
                <a:lnTo>
                  <a:pt x="6800" y="1817"/>
                </a:lnTo>
                <a:lnTo>
                  <a:pt x="6814" y="1809"/>
                </a:lnTo>
                <a:lnTo>
                  <a:pt x="6828" y="1800"/>
                </a:lnTo>
                <a:lnTo>
                  <a:pt x="6841" y="1790"/>
                </a:lnTo>
                <a:lnTo>
                  <a:pt x="6854" y="1781"/>
                </a:lnTo>
                <a:lnTo>
                  <a:pt x="6868" y="1771"/>
                </a:lnTo>
                <a:lnTo>
                  <a:pt x="6884" y="1757"/>
                </a:lnTo>
                <a:lnTo>
                  <a:pt x="6899" y="1743"/>
                </a:lnTo>
                <a:lnTo>
                  <a:pt x="6914" y="1728"/>
                </a:lnTo>
                <a:lnTo>
                  <a:pt x="6929" y="1713"/>
                </a:lnTo>
                <a:lnTo>
                  <a:pt x="6943" y="1697"/>
                </a:lnTo>
                <a:lnTo>
                  <a:pt x="6956" y="1681"/>
                </a:lnTo>
                <a:lnTo>
                  <a:pt x="6969" y="1665"/>
                </a:lnTo>
                <a:lnTo>
                  <a:pt x="6982" y="1648"/>
                </a:lnTo>
                <a:lnTo>
                  <a:pt x="6994" y="1629"/>
                </a:lnTo>
                <a:lnTo>
                  <a:pt x="7005" y="1611"/>
                </a:lnTo>
                <a:lnTo>
                  <a:pt x="7016" y="1593"/>
                </a:lnTo>
                <a:lnTo>
                  <a:pt x="7027" y="1574"/>
                </a:lnTo>
                <a:lnTo>
                  <a:pt x="7037" y="1553"/>
                </a:lnTo>
                <a:lnTo>
                  <a:pt x="7047" y="1533"/>
                </a:lnTo>
                <a:lnTo>
                  <a:pt x="7056" y="1513"/>
                </a:lnTo>
                <a:lnTo>
                  <a:pt x="7066" y="1492"/>
                </a:lnTo>
                <a:lnTo>
                  <a:pt x="7074" y="1470"/>
                </a:lnTo>
                <a:lnTo>
                  <a:pt x="7082" y="1448"/>
                </a:lnTo>
                <a:lnTo>
                  <a:pt x="7089" y="1426"/>
                </a:lnTo>
                <a:lnTo>
                  <a:pt x="7095" y="1404"/>
                </a:lnTo>
                <a:lnTo>
                  <a:pt x="7101" y="1380"/>
                </a:lnTo>
                <a:lnTo>
                  <a:pt x="7107" y="1357"/>
                </a:lnTo>
                <a:lnTo>
                  <a:pt x="7112" y="1333"/>
                </a:lnTo>
                <a:lnTo>
                  <a:pt x="7117" y="1309"/>
                </a:lnTo>
                <a:lnTo>
                  <a:pt x="7120" y="1284"/>
                </a:lnTo>
                <a:lnTo>
                  <a:pt x="7124" y="1259"/>
                </a:lnTo>
                <a:lnTo>
                  <a:pt x="7127" y="1234"/>
                </a:lnTo>
                <a:lnTo>
                  <a:pt x="7129" y="1209"/>
                </a:lnTo>
                <a:lnTo>
                  <a:pt x="7131" y="1182"/>
                </a:lnTo>
                <a:lnTo>
                  <a:pt x="7132" y="1155"/>
                </a:lnTo>
                <a:lnTo>
                  <a:pt x="7133" y="1129"/>
                </a:lnTo>
                <a:lnTo>
                  <a:pt x="7134" y="1101"/>
                </a:lnTo>
                <a:lnTo>
                  <a:pt x="7133" y="1073"/>
                </a:lnTo>
                <a:lnTo>
                  <a:pt x="7132" y="1047"/>
                </a:lnTo>
                <a:lnTo>
                  <a:pt x="7131" y="1019"/>
                </a:lnTo>
                <a:lnTo>
                  <a:pt x="7129" y="993"/>
                </a:lnTo>
                <a:lnTo>
                  <a:pt x="7127" y="968"/>
                </a:lnTo>
                <a:lnTo>
                  <a:pt x="7124" y="942"/>
                </a:lnTo>
                <a:lnTo>
                  <a:pt x="7121" y="917"/>
                </a:lnTo>
                <a:lnTo>
                  <a:pt x="7117" y="893"/>
                </a:lnTo>
                <a:lnTo>
                  <a:pt x="7112" y="869"/>
                </a:lnTo>
                <a:lnTo>
                  <a:pt x="7107" y="844"/>
                </a:lnTo>
                <a:lnTo>
                  <a:pt x="7102" y="821"/>
                </a:lnTo>
                <a:lnTo>
                  <a:pt x="7096" y="799"/>
                </a:lnTo>
                <a:lnTo>
                  <a:pt x="7089" y="777"/>
                </a:lnTo>
                <a:lnTo>
                  <a:pt x="7082" y="754"/>
                </a:lnTo>
                <a:lnTo>
                  <a:pt x="7075" y="732"/>
                </a:lnTo>
                <a:lnTo>
                  <a:pt x="7067" y="711"/>
                </a:lnTo>
                <a:lnTo>
                  <a:pt x="7057" y="691"/>
                </a:lnTo>
                <a:lnTo>
                  <a:pt x="7048" y="670"/>
                </a:lnTo>
                <a:lnTo>
                  <a:pt x="7038" y="650"/>
                </a:lnTo>
                <a:lnTo>
                  <a:pt x="7028" y="631"/>
                </a:lnTo>
                <a:lnTo>
                  <a:pt x="7018" y="612"/>
                </a:lnTo>
                <a:lnTo>
                  <a:pt x="7006" y="594"/>
                </a:lnTo>
                <a:lnTo>
                  <a:pt x="6995" y="575"/>
                </a:lnTo>
                <a:lnTo>
                  <a:pt x="6983" y="558"/>
                </a:lnTo>
                <a:lnTo>
                  <a:pt x="6970" y="541"/>
                </a:lnTo>
                <a:lnTo>
                  <a:pt x="6957" y="525"/>
                </a:lnTo>
                <a:lnTo>
                  <a:pt x="6943" y="509"/>
                </a:lnTo>
                <a:lnTo>
                  <a:pt x="6929" y="492"/>
                </a:lnTo>
                <a:lnTo>
                  <a:pt x="6915" y="477"/>
                </a:lnTo>
                <a:lnTo>
                  <a:pt x="6900" y="462"/>
                </a:lnTo>
                <a:lnTo>
                  <a:pt x="6884" y="448"/>
                </a:lnTo>
                <a:lnTo>
                  <a:pt x="6868" y="434"/>
                </a:lnTo>
                <a:lnTo>
                  <a:pt x="6854" y="424"/>
                </a:lnTo>
                <a:lnTo>
                  <a:pt x="6841" y="413"/>
                </a:lnTo>
                <a:lnTo>
                  <a:pt x="6828" y="404"/>
                </a:lnTo>
                <a:lnTo>
                  <a:pt x="6814" y="395"/>
                </a:lnTo>
                <a:lnTo>
                  <a:pt x="6785" y="378"/>
                </a:lnTo>
                <a:lnTo>
                  <a:pt x="6754" y="363"/>
                </a:lnTo>
                <a:lnTo>
                  <a:pt x="6722" y="349"/>
                </a:lnTo>
                <a:lnTo>
                  <a:pt x="6688" y="336"/>
                </a:lnTo>
                <a:lnTo>
                  <a:pt x="6651" y="324"/>
                </a:lnTo>
                <a:lnTo>
                  <a:pt x="6614" y="315"/>
                </a:lnTo>
                <a:lnTo>
                  <a:pt x="6594" y="311"/>
                </a:lnTo>
                <a:lnTo>
                  <a:pt x="6572" y="307"/>
                </a:lnTo>
                <a:lnTo>
                  <a:pt x="6548" y="303"/>
                </a:lnTo>
                <a:lnTo>
                  <a:pt x="6523" y="300"/>
                </a:lnTo>
                <a:lnTo>
                  <a:pt x="6466" y="294"/>
                </a:lnTo>
                <a:lnTo>
                  <a:pt x="6403" y="289"/>
                </a:lnTo>
                <a:lnTo>
                  <a:pt x="6332" y="285"/>
                </a:lnTo>
                <a:lnTo>
                  <a:pt x="6254" y="282"/>
                </a:lnTo>
                <a:lnTo>
                  <a:pt x="6169" y="281"/>
                </a:lnTo>
                <a:lnTo>
                  <a:pt x="6077" y="280"/>
                </a:lnTo>
                <a:lnTo>
                  <a:pt x="5917" y="280"/>
                </a:lnTo>
                <a:lnTo>
                  <a:pt x="5917" y="1921"/>
                </a:lnTo>
                <a:close/>
                <a:moveTo>
                  <a:pt x="5251" y="1106"/>
                </a:moveTo>
                <a:lnTo>
                  <a:pt x="5251" y="1135"/>
                </a:lnTo>
                <a:lnTo>
                  <a:pt x="5250" y="1163"/>
                </a:lnTo>
                <a:lnTo>
                  <a:pt x="5248" y="1190"/>
                </a:lnTo>
                <a:lnTo>
                  <a:pt x="5246" y="1218"/>
                </a:lnTo>
                <a:lnTo>
                  <a:pt x="5243" y="1245"/>
                </a:lnTo>
                <a:lnTo>
                  <a:pt x="5239" y="1272"/>
                </a:lnTo>
                <a:lnTo>
                  <a:pt x="5235" y="1300"/>
                </a:lnTo>
                <a:lnTo>
                  <a:pt x="5230" y="1326"/>
                </a:lnTo>
                <a:lnTo>
                  <a:pt x="5225" y="1353"/>
                </a:lnTo>
                <a:lnTo>
                  <a:pt x="5218" y="1379"/>
                </a:lnTo>
                <a:lnTo>
                  <a:pt x="5211" y="1405"/>
                </a:lnTo>
                <a:lnTo>
                  <a:pt x="5204" y="1431"/>
                </a:lnTo>
                <a:lnTo>
                  <a:pt x="5196" y="1457"/>
                </a:lnTo>
                <a:lnTo>
                  <a:pt x="5187" y="1483"/>
                </a:lnTo>
                <a:lnTo>
                  <a:pt x="5178" y="1508"/>
                </a:lnTo>
                <a:lnTo>
                  <a:pt x="5168" y="1533"/>
                </a:lnTo>
                <a:lnTo>
                  <a:pt x="5157" y="1557"/>
                </a:lnTo>
                <a:lnTo>
                  <a:pt x="5145" y="1582"/>
                </a:lnTo>
                <a:lnTo>
                  <a:pt x="5134" y="1606"/>
                </a:lnTo>
                <a:lnTo>
                  <a:pt x="5121" y="1630"/>
                </a:lnTo>
                <a:lnTo>
                  <a:pt x="5108" y="1654"/>
                </a:lnTo>
                <a:lnTo>
                  <a:pt x="5093" y="1677"/>
                </a:lnTo>
                <a:lnTo>
                  <a:pt x="5079" y="1699"/>
                </a:lnTo>
                <a:lnTo>
                  <a:pt x="5064" y="1721"/>
                </a:lnTo>
                <a:lnTo>
                  <a:pt x="5049" y="1744"/>
                </a:lnTo>
                <a:lnTo>
                  <a:pt x="5032" y="1766"/>
                </a:lnTo>
                <a:lnTo>
                  <a:pt x="5016" y="1787"/>
                </a:lnTo>
                <a:lnTo>
                  <a:pt x="4999" y="1808"/>
                </a:lnTo>
                <a:lnTo>
                  <a:pt x="4981" y="1829"/>
                </a:lnTo>
                <a:lnTo>
                  <a:pt x="4962" y="1849"/>
                </a:lnTo>
                <a:lnTo>
                  <a:pt x="4943" y="1869"/>
                </a:lnTo>
                <a:lnTo>
                  <a:pt x="4924" y="1888"/>
                </a:lnTo>
                <a:lnTo>
                  <a:pt x="4903" y="1907"/>
                </a:lnTo>
                <a:lnTo>
                  <a:pt x="4882" y="1927"/>
                </a:lnTo>
                <a:lnTo>
                  <a:pt x="4861" y="1945"/>
                </a:lnTo>
                <a:lnTo>
                  <a:pt x="4840" y="1962"/>
                </a:lnTo>
                <a:lnTo>
                  <a:pt x="4818" y="1979"/>
                </a:lnTo>
                <a:lnTo>
                  <a:pt x="4796" y="1995"/>
                </a:lnTo>
                <a:lnTo>
                  <a:pt x="4774" y="2011"/>
                </a:lnTo>
                <a:lnTo>
                  <a:pt x="4751" y="2026"/>
                </a:lnTo>
                <a:lnTo>
                  <a:pt x="4728" y="2041"/>
                </a:lnTo>
                <a:lnTo>
                  <a:pt x="4703" y="2055"/>
                </a:lnTo>
                <a:lnTo>
                  <a:pt x="4679" y="2069"/>
                </a:lnTo>
                <a:lnTo>
                  <a:pt x="4655" y="2081"/>
                </a:lnTo>
                <a:lnTo>
                  <a:pt x="4630" y="2095"/>
                </a:lnTo>
                <a:lnTo>
                  <a:pt x="4605" y="2107"/>
                </a:lnTo>
                <a:lnTo>
                  <a:pt x="4580" y="2118"/>
                </a:lnTo>
                <a:lnTo>
                  <a:pt x="4554" y="2129"/>
                </a:lnTo>
                <a:lnTo>
                  <a:pt x="4528" y="2139"/>
                </a:lnTo>
                <a:lnTo>
                  <a:pt x="4501" y="2148"/>
                </a:lnTo>
                <a:lnTo>
                  <a:pt x="4475" y="2157"/>
                </a:lnTo>
                <a:lnTo>
                  <a:pt x="4448" y="2165"/>
                </a:lnTo>
                <a:lnTo>
                  <a:pt x="4422" y="2173"/>
                </a:lnTo>
                <a:lnTo>
                  <a:pt x="4395" y="2180"/>
                </a:lnTo>
                <a:lnTo>
                  <a:pt x="4368" y="2187"/>
                </a:lnTo>
                <a:lnTo>
                  <a:pt x="4341" y="2192"/>
                </a:lnTo>
                <a:lnTo>
                  <a:pt x="4313" y="2197"/>
                </a:lnTo>
                <a:lnTo>
                  <a:pt x="4286" y="2201"/>
                </a:lnTo>
                <a:lnTo>
                  <a:pt x="4259" y="2205"/>
                </a:lnTo>
                <a:lnTo>
                  <a:pt x="4232" y="2208"/>
                </a:lnTo>
                <a:lnTo>
                  <a:pt x="4204" y="2210"/>
                </a:lnTo>
                <a:lnTo>
                  <a:pt x="4177" y="2211"/>
                </a:lnTo>
                <a:lnTo>
                  <a:pt x="4149" y="2212"/>
                </a:lnTo>
                <a:lnTo>
                  <a:pt x="4122" y="2213"/>
                </a:lnTo>
                <a:lnTo>
                  <a:pt x="4093" y="2212"/>
                </a:lnTo>
                <a:lnTo>
                  <a:pt x="4065" y="2211"/>
                </a:lnTo>
                <a:lnTo>
                  <a:pt x="4037" y="2210"/>
                </a:lnTo>
                <a:lnTo>
                  <a:pt x="4010" y="2208"/>
                </a:lnTo>
                <a:lnTo>
                  <a:pt x="3983" y="2205"/>
                </a:lnTo>
                <a:lnTo>
                  <a:pt x="3956" y="2201"/>
                </a:lnTo>
                <a:lnTo>
                  <a:pt x="3928" y="2197"/>
                </a:lnTo>
                <a:lnTo>
                  <a:pt x="3901" y="2192"/>
                </a:lnTo>
                <a:lnTo>
                  <a:pt x="3874" y="2187"/>
                </a:lnTo>
                <a:lnTo>
                  <a:pt x="3847" y="2180"/>
                </a:lnTo>
                <a:lnTo>
                  <a:pt x="3820" y="2173"/>
                </a:lnTo>
                <a:lnTo>
                  <a:pt x="3794" y="2165"/>
                </a:lnTo>
                <a:lnTo>
                  <a:pt x="3768" y="2157"/>
                </a:lnTo>
                <a:lnTo>
                  <a:pt x="3742" y="2148"/>
                </a:lnTo>
                <a:lnTo>
                  <a:pt x="3714" y="2139"/>
                </a:lnTo>
                <a:lnTo>
                  <a:pt x="3689" y="2129"/>
                </a:lnTo>
                <a:lnTo>
                  <a:pt x="3663" y="2118"/>
                </a:lnTo>
                <a:lnTo>
                  <a:pt x="3638" y="2107"/>
                </a:lnTo>
                <a:lnTo>
                  <a:pt x="3613" y="2095"/>
                </a:lnTo>
                <a:lnTo>
                  <a:pt x="3588" y="2081"/>
                </a:lnTo>
                <a:lnTo>
                  <a:pt x="3564" y="2069"/>
                </a:lnTo>
                <a:lnTo>
                  <a:pt x="3540" y="2055"/>
                </a:lnTo>
                <a:lnTo>
                  <a:pt x="3516" y="2041"/>
                </a:lnTo>
                <a:lnTo>
                  <a:pt x="3493" y="2026"/>
                </a:lnTo>
                <a:lnTo>
                  <a:pt x="3470" y="2011"/>
                </a:lnTo>
                <a:lnTo>
                  <a:pt x="3448" y="1995"/>
                </a:lnTo>
                <a:lnTo>
                  <a:pt x="3426" y="1979"/>
                </a:lnTo>
                <a:lnTo>
                  <a:pt x="3404" y="1962"/>
                </a:lnTo>
                <a:lnTo>
                  <a:pt x="3383" y="1945"/>
                </a:lnTo>
                <a:lnTo>
                  <a:pt x="3362" y="1927"/>
                </a:lnTo>
                <a:lnTo>
                  <a:pt x="3342" y="1907"/>
                </a:lnTo>
                <a:lnTo>
                  <a:pt x="3321" y="1888"/>
                </a:lnTo>
                <a:lnTo>
                  <a:pt x="3301" y="1869"/>
                </a:lnTo>
                <a:lnTo>
                  <a:pt x="3282" y="1849"/>
                </a:lnTo>
                <a:lnTo>
                  <a:pt x="3263" y="1829"/>
                </a:lnTo>
                <a:lnTo>
                  <a:pt x="3245" y="1807"/>
                </a:lnTo>
                <a:lnTo>
                  <a:pt x="3227" y="1786"/>
                </a:lnTo>
                <a:lnTo>
                  <a:pt x="3211" y="1765"/>
                </a:lnTo>
                <a:lnTo>
                  <a:pt x="3194" y="1743"/>
                </a:lnTo>
                <a:lnTo>
                  <a:pt x="3179" y="1720"/>
                </a:lnTo>
                <a:lnTo>
                  <a:pt x="3164" y="1698"/>
                </a:lnTo>
                <a:lnTo>
                  <a:pt x="3149" y="1676"/>
                </a:lnTo>
                <a:lnTo>
                  <a:pt x="3135" y="1653"/>
                </a:lnTo>
                <a:lnTo>
                  <a:pt x="3122" y="1628"/>
                </a:lnTo>
                <a:lnTo>
                  <a:pt x="3109" y="1605"/>
                </a:lnTo>
                <a:lnTo>
                  <a:pt x="3097" y="1581"/>
                </a:lnTo>
                <a:lnTo>
                  <a:pt x="3086" y="1556"/>
                </a:lnTo>
                <a:lnTo>
                  <a:pt x="3075" y="1531"/>
                </a:lnTo>
                <a:lnTo>
                  <a:pt x="3065" y="1506"/>
                </a:lnTo>
                <a:lnTo>
                  <a:pt x="3055" y="1481"/>
                </a:lnTo>
                <a:lnTo>
                  <a:pt x="3046" y="1455"/>
                </a:lnTo>
                <a:lnTo>
                  <a:pt x="3038" y="1430"/>
                </a:lnTo>
                <a:lnTo>
                  <a:pt x="3030" y="1404"/>
                </a:lnTo>
                <a:lnTo>
                  <a:pt x="3023" y="1377"/>
                </a:lnTo>
                <a:lnTo>
                  <a:pt x="3017" y="1351"/>
                </a:lnTo>
                <a:lnTo>
                  <a:pt x="3011" y="1325"/>
                </a:lnTo>
                <a:lnTo>
                  <a:pt x="3006" y="1299"/>
                </a:lnTo>
                <a:lnTo>
                  <a:pt x="3002" y="1271"/>
                </a:lnTo>
                <a:lnTo>
                  <a:pt x="2999" y="1245"/>
                </a:lnTo>
                <a:lnTo>
                  <a:pt x="2996" y="1218"/>
                </a:lnTo>
                <a:lnTo>
                  <a:pt x="2993" y="1190"/>
                </a:lnTo>
                <a:lnTo>
                  <a:pt x="2992" y="1162"/>
                </a:lnTo>
                <a:lnTo>
                  <a:pt x="2991" y="1135"/>
                </a:lnTo>
                <a:lnTo>
                  <a:pt x="2990" y="1106"/>
                </a:lnTo>
                <a:lnTo>
                  <a:pt x="2991" y="1078"/>
                </a:lnTo>
                <a:lnTo>
                  <a:pt x="2992" y="1050"/>
                </a:lnTo>
                <a:lnTo>
                  <a:pt x="2993" y="1022"/>
                </a:lnTo>
                <a:lnTo>
                  <a:pt x="2996" y="995"/>
                </a:lnTo>
                <a:lnTo>
                  <a:pt x="2999" y="968"/>
                </a:lnTo>
                <a:lnTo>
                  <a:pt x="3002" y="940"/>
                </a:lnTo>
                <a:lnTo>
                  <a:pt x="3006" y="913"/>
                </a:lnTo>
                <a:lnTo>
                  <a:pt x="3011" y="887"/>
                </a:lnTo>
                <a:lnTo>
                  <a:pt x="3017" y="860"/>
                </a:lnTo>
                <a:lnTo>
                  <a:pt x="3023" y="833"/>
                </a:lnTo>
                <a:lnTo>
                  <a:pt x="3030" y="807"/>
                </a:lnTo>
                <a:lnTo>
                  <a:pt x="3038" y="782"/>
                </a:lnTo>
                <a:lnTo>
                  <a:pt x="3046" y="755"/>
                </a:lnTo>
                <a:lnTo>
                  <a:pt x="3055" y="730"/>
                </a:lnTo>
                <a:lnTo>
                  <a:pt x="3065" y="705"/>
                </a:lnTo>
                <a:lnTo>
                  <a:pt x="3075" y="680"/>
                </a:lnTo>
                <a:lnTo>
                  <a:pt x="3086" y="654"/>
                </a:lnTo>
                <a:lnTo>
                  <a:pt x="3097" y="630"/>
                </a:lnTo>
                <a:lnTo>
                  <a:pt x="3109" y="606"/>
                </a:lnTo>
                <a:lnTo>
                  <a:pt x="3122" y="581"/>
                </a:lnTo>
                <a:lnTo>
                  <a:pt x="3135" y="558"/>
                </a:lnTo>
                <a:lnTo>
                  <a:pt x="3149" y="535"/>
                </a:lnTo>
                <a:lnTo>
                  <a:pt x="3164" y="512"/>
                </a:lnTo>
                <a:lnTo>
                  <a:pt x="3179" y="489"/>
                </a:lnTo>
                <a:lnTo>
                  <a:pt x="3194" y="467"/>
                </a:lnTo>
                <a:lnTo>
                  <a:pt x="3211" y="445"/>
                </a:lnTo>
                <a:lnTo>
                  <a:pt x="3227" y="424"/>
                </a:lnTo>
                <a:lnTo>
                  <a:pt x="3245" y="402"/>
                </a:lnTo>
                <a:lnTo>
                  <a:pt x="3263" y="382"/>
                </a:lnTo>
                <a:lnTo>
                  <a:pt x="3282" y="361"/>
                </a:lnTo>
                <a:lnTo>
                  <a:pt x="3301" y="341"/>
                </a:lnTo>
                <a:lnTo>
                  <a:pt x="3321" y="321"/>
                </a:lnTo>
                <a:lnTo>
                  <a:pt x="3341" y="302"/>
                </a:lnTo>
                <a:lnTo>
                  <a:pt x="3362" y="284"/>
                </a:lnTo>
                <a:lnTo>
                  <a:pt x="3383" y="266"/>
                </a:lnTo>
                <a:lnTo>
                  <a:pt x="3404" y="249"/>
                </a:lnTo>
                <a:lnTo>
                  <a:pt x="3425" y="231"/>
                </a:lnTo>
                <a:lnTo>
                  <a:pt x="3447" y="215"/>
                </a:lnTo>
                <a:lnTo>
                  <a:pt x="3469" y="200"/>
                </a:lnTo>
                <a:lnTo>
                  <a:pt x="3492" y="185"/>
                </a:lnTo>
                <a:lnTo>
                  <a:pt x="3515" y="171"/>
                </a:lnTo>
                <a:lnTo>
                  <a:pt x="3540" y="157"/>
                </a:lnTo>
                <a:lnTo>
                  <a:pt x="3563" y="142"/>
                </a:lnTo>
                <a:lnTo>
                  <a:pt x="3588" y="130"/>
                </a:lnTo>
                <a:lnTo>
                  <a:pt x="3612" y="117"/>
                </a:lnTo>
                <a:lnTo>
                  <a:pt x="3637" y="106"/>
                </a:lnTo>
                <a:lnTo>
                  <a:pt x="3663" y="95"/>
                </a:lnTo>
                <a:lnTo>
                  <a:pt x="3688" y="84"/>
                </a:lnTo>
                <a:lnTo>
                  <a:pt x="3714" y="74"/>
                </a:lnTo>
                <a:lnTo>
                  <a:pt x="3741" y="65"/>
                </a:lnTo>
                <a:lnTo>
                  <a:pt x="3767" y="55"/>
                </a:lnTo>
                <a:lnTo>
                  <a:pt x="3794" y="47"/>
                </a:lnTo>
                <a:lnTo>
                  <a:pt x="3820" y="40"/>
                </a:lnTo>
                <a:lnTo>
                  <a:pt x="3847" y="33"/>
                </a:lnTo>
                <a:lnTo>
                  <a:pt x="3873" y="27"/>
                </a:lnTo>
                <a:lnTo>
                  <a:pt x="3900" y="21"/>
                </a:lnTo>
                <a:lnTo>
                  <a:pt x="3928" y="16"/>
                </a:lnTo>
                <a:lnTo>
                  <a:pt x="3955" y="12"/>
                </a:lnTo>
                <a:lnTo>
                  <a:pt x="3983" y="9"/>
                </a:lnTo>
                <a:lnTo>
                  <a:pt x="4010" y="6"/>
                </a:lnTo>
                <a:lnTo>
                  <a:pt x="4037" y="3"/>
                </a:lnTo>
                <a:lnTo>
                  <a:pt x="4065" y="2"/>
                </a:lnTo>
                <a:lnTo>
                  <a:pt x="4093" y="1"/>
                </a:lnTo>
                <a:lnTo>
                  <a:pt x="4122" y="0"/>
                </a:lnTo>
                <a:lnTo>
                  <a:pt x="4149" y="1"/>
                </a:lnTo>
                <a:lnTo>
                  <a:pt x="4177" y="2"/>
                </a:lnTo>
                <a:lnTo>
                  <a:pt x="4205" y="3"/>
                </a:lnTo>
                <a:lnTo>
                  <a:pt x="4232" y="6"/>
                </a:lnTo>
                <a:lnTo>
                  <a:pt x="4260" y="9"/>
                </a:lnTo>
                <a:lnTo>
                  <a:pt x="4287" y="12"/>
                </a:lnTo>
                <a:lnTo>
                  <a:pt x="4314" y="16"/>
                </a:lnTo>
                <a:lnTo>
                  <a:pt x="4342" y="21"/>
                </a:lnTo>
                <a:lnTo>
                  <a:pt x="4369" y="27"/>
                </a:lnTo>
                <a:lnTo>
                  <a:pt x="4396" y="33"/>
                </a:lnTo>
                <a:lnTo>
                  <a:pt x="4423" y="40"/>
                </a:lnTo>
                <a:lnTo>
                  <a:pt x="4449" y="47"/>
                </a:lnTo>
                <a:lnTo>
                  <a:pt x="4476" y="55"/>
                </a:lnTo>
                <a:lnTo>
                  <a:pt x="4502" y="65"/>
                </a:lnTo>
                <a:lnTo>
                  <a:pt x="4529" y="74"/>
                </a:lnTo>
                <a:lnTo>
                  <a:pt x="4555" y="84"/>
                </a:lnTo>
                <a:lnTo>
                  <a:pt x="4581" y="95"/>
                </a:lnTo>
                <a:lnTo>
                  <a:pt x="4606" y="106"/>
                </a:lnTo>
                <a:lnTo>
                  <a:pt x="4631" y="117"/>
                </a:lnTo>
                <a:lnTo>
                  <a:pt x="4656" y="130"/>
                </a:lnTo>
                <a:lnTo>
                  <a:pt x="4681" y="142"/>
                </a:lnTo>
                <a:lnTo>
                  <a:pt x="4704" y="157"/>
                </a:lnTo>
                <a:lnTo>
                  <a:pt x="4729" y="171"/>
                </a:lnTo>
                <a:lnTo>
                  <a:pt x="4752" y="185"/>
                </a:lnTo>
                <a:lnTo>
                  <a:pt x="4775" y="200"/>
                </a:lnTo>
                <a:lnTo>
                  <a:pt x="4797" y="215"/>
                </a:lnTo>
                <a:lnTo>
                  <a:pt x="4819" y="231"/>
                </a:lnTo>
                <a:lnTo>
                  <a:pt x="4841" y="249"/>
                </a:lnTo>
                <a:lnTo>
                  <a:pt x="4862" y="266"/>
                </a:lnTo>
                <a:lnTo>
                  <a:pt x="4882" y="284"/>
                </a:lnTo>
                <a:lnTo>
                  <a:pt x="4903" y="302"/>
                </a:lnTo>
                <a:lnTo>
                  <a:pt x="4924" y="321"/>
                </a:lnTo>
                <a:lnTo>
                  <a:pt x="4943" y="341"/>
                </a:lnTo>
                <a:lnTo>
                  <a:pt x="4962" y="361"/>
                </a:lnTo>
                <a:lnTo>
                  <a:pt x="4981" y="381"/>
                </a:lnTo>
                <a:lnTo>
                  <a:pt x="4999" y="402"/>
                </a:lnTo>
                <a:lnTo>
                  <a:pt x="5016" y="423"/>
                </a:lnTo>
                <a:lnTo>
                  <a:pt x="5032" y="445"/>
                </a:lnTo>
                <a:lnTo>
                  <a:pt x="5049" y="466"/>
                </a:lnTo>
                <a:lnTo>
                  <a:pt x="5064" y="488"/>
                </a:lnTo>
                <a:lnTo>
                  <a:pt x="5079" y="511"/>
                </a:lnTo>
                <a:lnTo>
                  <a:pt x="5093" y="534"/>
                </a:lnTo>
                <a:lnTo>
                  <a:pt x="5108" y="557"/>
                </a:lnTo>
                <a:lnTo>
                  <a:pt x="5121" y="580"/>
                </a:lnTo>
                <a:lnTo>
                  <a:pt x="5134" y="604"/>
                </a:lnTo>
                <a:lnTo>
                  <a:pt x="5145" y="628"/>
                </a:lnTo>
                <a:lnTo>
                  <a:pt x="5157" y="652"/>
                </a:lnTo>
                <a:lnTo>
                  <a:pt x="5168" y="677"/>
                </a:lnTo>
                <a:lnTo>
                  <a:pt x="5178" y="703"/>
                </a:lnTo>
                <a:lnTo>
                  <a:pt x="5187" y="728"/>
                </a:lnTo>
                <a:lnTo>
                  <a:pt x="5196" y="754"/>
                </a:lnTo>
                <a:lnTo>
                  <a:pt x="5204" y="780"/>
                </a:lnTo>
                <a:lnTo>
                  <a:pt x="5211" y="806"/>
                </a:lnTo>
                <a:lnTo>
                  <a:pt x="5218" y="832"/>
                </a:lnTo>
                <a:lnTo>
                  <a:pt x="5225" y="859"/>
                </a:lnTo>
                <a:lnTo>
                  <a:pt x="5230" y="886"/>
                </a:lnTo>
                <a:lnTo>
                  <a:pt x="5235" y="912"/>
                </a:lnTo>
                <a:lnTo>
                  <a:pt x="5239" y="939"/>
                </a:lnTo>
                <a:lnTo>
                  <a:pt x="5243" y="967"/>
                </a:lnTo>
                <a:lnTo>
                  <a:pt x="5246" y="994"/>
                </a:lnTo>
                <a:lnTo>
                  <a:pt x="5248" y="1022"/>
                </a:lnTo>
                <a:lnTo>
                  <a:pt x="5250" y="1050"/>
                </a:lnTo>
                <a:lnTo>
                  <a:pt x="5251" y="1078"/>
                </a:lnTo>
                <a:lnTo>
                  <a:pt x="5251" y="1106"/>
                </a:lnTo>
                <a:close/>
                <a:moveTo>
                  <a:pt x="4122" y="1976"/>
                </a:moveTo>
                <a:lnTo>
                  <a:pt x="4164" y="1975"/>
                </a:lnTo>
                <a:lnTo>
                  <a:pt x="4207" y="1972"/>
                </a:lnTo>
                <a:lnTo>
                  <a:pt x="4228" y="1970"/>
                </a:lnTo>
                <a:lnTo>
                  <a:pt x="4248" y="1967"/>
                </a:lnTo>
                <a:lnTo>
                  <a:pt x="4269" y="1964"/>
                </a:lnTo>
                <a:lnTo>
                  <a:pt x="4290" y="1960"/>
                </a:lnTo>
                <a:lnTo>
                  <a:pt x="4310" y="1956"/>
                </a:lnTo>
                <a:lnTo>
                  <a:pt x="4332" y="1951"/>
                </a:lnTo>
                <a:lnTo>
                  <a:pt x="4352" y="1946"/>
                </a:lnTo>
                <a:lnTo>
                  <a:pt x="4372" y="1940"/>
                </a:lnTo>
                <a:lnTo>
                  <a:pt x="4392" y="1934"/>
                </a:lnTo>
                <a:lnTo>
                  <a:pt x="4412" y="1927"/>
                </a:lnTo>
                <a:lnTo>
                  <a:pt x="4432" y="1920"/>
                </a:lnTo>
                <a:lnTo>
                  <a:pt x="4451" y="1912"/>
                </a:lnTo>
                <a:lnTo>
                  <a:pt x="4471" y="1902"/>
                </a:lnTo>
                <a:lnTo>
                  <a:pt x="4490" y="1894"/>
                </a:lnTo>
                <a:lnTo>
                  <a:pt x="4509" y="1884"/>
                </a:lnTo>
                <a:lnTo>
                  <a:pt x="4528" y="1875"/>
                </a:lnTo>
                <a:lnTo>
                  <a:pt x="4547" y="1864"/>
                </a:lnTo>
                <a:lnTo>
                  <a:pt x="4565" y="1854"/>
                </a:lnTo>
                <a:lnTo>
                  <a:pt x="4583" y="1843"/>
                </a:lnTo>
                <a:lnTo>
                  <a:pt x="4600" y="1831"/>
                </a:lnTo>
                <a:lnTo>
                  <a:pt x="4618" y="1818"/>
                </a:lnTo>
                <a:lnTo>
                  <a:pt x="4635" y="1805"/>
                </a:lnTo>
                <a:lnTo>
                  <a:pt x="4652" y="1793"/>
                </a:lnTo>
                <a:lnTo>
                  <a:pt x="4669" y="1779"/>
                </a:lnTo>
                <a:lnTo>
                  <a:pt x="4702" y="1751"/>
                </a:lnTo>
                <a:lnTo>
                  <a:pt x="4734" y="1720"/>
                </a:lnTo>
                <a:lnTo>
                  <a:pt x="4749" y="1704"/>
                </a:lnTo>
                <a:lnTo>
                  <a:pt x="4764" y="1689"/>
                </a:lnTo>
                <a:lnTo>
                  <a:pt x="4778" y="1673"/>
                </a:lnTo>
                <a:lnTo>
                  <a:pt x="4792" y="1657"/>
                </a:lnTo>
                <a:lnTo>
                  <a:pt x="4806" y="1639"/>
                </a:lnTo>
                <a:lnTo>
                  <a:pt x="4819" y="1623"/>
                </a:lnTo>
                <a:lnTo>
                  <a:pt x="4831" y="1606"/>
                </a:lnTo>
                <a:lnTo>
                  <a:pt x="4843" y="1588"/>
                </a:lnTo>
                <a:lnTo>
                  <a:pt x="4855" y="1571"/>
                </a:lnTo>
                <a:lnTo>
                  <a:pt x="4866" y="1552"/>
                </a:lnTo>
                <a:lnTo>
                  <a:pt x="4876" y="1534"/>
                </a:lnTo>
                <a:lnTo>
                  <a:pt x="4887" y="1516"/>
                </a:lnTo>
                <a:lnTo>
                  <a:pt x="4896" y="1497"/>
                </a:lnTo>
                <a:lnTo>
                  <a:pt x="4907" y="1479"/>
                </a:lnTo>
                <a:lnTo>
                  <a:pt x="4915" y="1459"/>
                </a:lnTo>
                <a:lnTo>
                  <a:pt x="4924" y="1439"/>
                </a:lnTo>
                <a:lnTo>
                  <a:pt x="4932" y="1420"/>
                </a:lnTo>
                <a:lnTo>
                  <a:pt x="4939" y="1400"/>
                </a:lnTo>
                <a:lnTo>
                  <a:pt x="4946" y="1379"/>
                </a:lnTo>
                <a:lnTo>
                  <a:pt x="4952" y="1359"/>
                </a:lnTo>
                <a:lnTo>
                  <a:pt x="4958" y="1339"/>
                </a:lnTo>
                <a:lnTo>
                  <a:pt x="4963" y="1319"/>
                </a:lnTo>
                <a:lnTo>
                  <a:pt x="4968" y="1299"/>
                </a:lnTo>
                <a:lnTo>
                  <a:pt x="4972" y="1277"/>
                </a:lnTo>
                <a:lnTo>
                  <a:pt x="4979" y="1236"/>
                </a:lnTo>
                <a:lnTo>
                  <a:pt x="4984" y="1193"/>
                </a:lnTo>
                <a:lnTo>
                  <a:pt x="4987" y="1150"/>
                </a:lnTo>
                <a:lnTo>
                  <a:pt x="4988" y="1106"/>
                </a:lnTo>
                <a:lnTo>
                  <a:pt x="4987" y="1063"/>
                </a:lnTo>
                <a:lnTo>
                  <a:pt x="4984" y="1019"/>
                </a:lnTo>
                <a:lnTo>
                  <a:pt x="4979" y="976"/>
                </a:lnTo>
                <a:lnTo>
                  <a:pt x="4972" y="933"/>
                </a:lnTo>
                <a:lnTo>
                  <a:pt x="4968" y="913"/>
                </a:lnTo>
                <a:lnTo>
                  <a:pt x="4963" y="892"/>
                </a:lnTo>
                <a:lnTo>
                  <a:pt x="4958" y="872"/>
                </a:lnTo>
                <a:lnTo>
                  <a:pt x="4952" y="850"/>
                </a:lnTo>
                <a:lnTo>
                  <a:pt x="4946" y="830"/>
                </a:lnTo>
                <a:lnTo>
                  <a:pt x="4939" y="810"/>
                </a:lnTo>
                <a:lnTo>
                  <a:pt x="4931" y="790"/>
                </a:lnTo>
                <a:lnTo>
                  <a:pt x="4923" y="770"/>
                </a:lnTo>
                <a:lnTo>
                  <a:pt x="4906" y="730"/>
                </a:lnTo>
                <a:lnTo>
                  <a:pt x="4886" y="692"/>
                </a:lnTo>
                <a:lnTo>
                  <a:pt x="4865" y="655"/>
                </a:lnTo>
                <a:lnTo>
                  <a:pt x="4842" y="619"/>
                </a:lnTo>
                <a:lnTo>
                  <a:pt x="4818" y="584"/>
                </a:lnTo>
                <a:lnTo>
                  <a:pt x="4792" y="551"/>
                </a:lnTo>
                <a:lnTo>
                  <a:pt x="4778" y="535"/>
                </a:lnTo>
                <a:lnTo>
                  <a:pt x="4764" y="519"/>
                </a:lnTo>
                <a:lnTo>
                  <a:pt x="4749" y="502"/>
                </a:lnTo>
                <a:lnTo>
                  <a:pt x="4734" y="487"/>
                </a:lnTo>
                <a:lnTo>
                  <a:pt x="4702" y="457"/>
                </a:lnTo>
                <a:lnTo>
                  <a:pt x="4670" y="430"/>
                </a:lnTo>
                <a:lnTo>
                  <a:pt x="4636" y="402"/>
                </a:lnTo>
                <a:lnTo>
                  <a:pt x="4602" y="378"/>
                </a:lnTo>
                <a:lnTo>
                  <a:pt x="4566" y="356"/>
                </a:lnTo>
                <a:lnTo>
                  <a:pt x="4530" y="335"/>
                </a:lnTo>
                <a:lnTo>
                  <a:pt x="4491" y="315"/>
                </a:lnTo>
                <a:lnTo>
                  <a:pt x="4453" y="298"/>
                </a:lnTo>
                <a:lnTo>
                  <a:pt x="4413" y="283"/>
                </a:lnTo>
                <a:lnTo>
                  <a:pt x="4373" y="270"/>
                </a:lnTo>
                <a:lnTo>
                  <a:pt x="4333" y="259"/>
                </a:lnTo>
                <a:lnTo>
                  <a:pt x="4291" y="250"/>
                </a:lnTo>
                <a:lnTo>
                  <a:pt x="4249" y="243"/>
                </a:lnTo>
                <a:lnTo>
                  <a:pt x="4207" y="237"/>
                </a:lnTo>
                <a:lnTo>
                  <a:pt x="4165" y="234"/>
                </a:lnTo>
                <a:lnTo>
                  <a:pt x="4122" y="233"/>
                </a:lnTo>
                <a:lnTo>
                  <a:pt x="4077" y="234"/>
                </a:lnTo>
                <a:lnTo>
                  <a:pt x="4034" y="237"/>
                </a:lnTo>
                <a:lnTo>
                  <a:pt x="3991" y="243"/>
                </a:lnTo>
                <a:lnTo>
                  <a:pt x="3949" y="250"/>
                </a:lnTo>
                <a:lnTo>
                  <a:pt x="3907" y="259"/>
                </a:lnTo>
                <a:lnTo>
                  <a:pt x="3866" y="270"/>
                </a:lnTo>
                <a:lnTo>
                  <a:pt x="3826" y="283"/>
                </a:lnTo>
                <a:lnTo>
                  <a:pt x="3787" y="298"/>
                </a:lnTo>
                <a:lnTo>
                  <a:pt x="3767" y="307"/>
                </a:lnTo>
                <a:lnTo>
                  <a:pt x="3748" y="315"/>
                </a:lnTo>
                <a:lnTo>
                  <a:pt x="3729" y="325"/>
                </a:lnTo>
                <a:lnTo>
                  <a:pt x="3710" y="335"/>
                </a:lnTo>
                <a:lnTo>
                  <a:pt x="3691" y="345"/>
                </a:lnTo>
                <a:lnTo>
                  <a:pt x="3673" y="356"/>
                </a:lnTo>
                <a:lnTo>
                  <a:pt x="3655" y="367"/>
                </a:lnTo>
                <a:lnTo>
                  <a:pt x="3638" y="378"/>
                </a:lnTo>
                <a:lnTo>
                  <a:pt x="3621" y="390"/>
                </a:lnTo>
                <a:lnTo>
                  <a:pt x="3604" y="402"/>
                </a:lnTo>
                <a:lnTo>
                  <a:pt x="3587" y="415"/>
                </a:lnTo>
                <a:lnTo>
                  <a:pt x="3571" y="430"/>
                </a:lnTo>
                <a:lnTo>
                  <a:pt x="3555" y="443"/>
                </a:lnTo>
                <a:lnTo>
                  <a:pt x="3539" y="457"/>
                </a:lnTo>
                <a:lnTo>
                  <a:pt x="3522" y="472"/>
                </a:lnTo>
                <a:lnTo>
                  <a:pt x="3507" y="487"/>
                </a:lnTo>
                <a:lnTo>
                  <a:pt x="3492" y="503"/>
                </a:lnTo>
                <a:lnTo>
                  <a:pt x="3477" y="520"/>
                </a:lnTo>
                <a:lnTo>
                  <a:pt x="3463" y="536"/>
                </a:lnTo>
                <a:lnTo>
                  <a:pt x="3449" y="552"/>
                </a:lnTo>
                <a:lnTo>
                  <a:pt x="3436" y="569"/>
                </a:lnTo>
                <a:lnTo>
                  <a:pt x="3423" y="586"/>
                </a:lnTo>
                <a:lnTo>
                  <a:pt x="3410" y="604"/>
                </a:lnTo>
                <a:lnTo>
                  <a:pt x="3398" y="621"/>
                </a:lnTo>
                <a:lnTo>
                  <a:pt x="3387" y="639"/>
                </a:lnTo>
                <a:lnTo>
                  <a:pt x="3376" y="657"/>
                </a:lnTo>
                <a:lnTo>
                  <a:pt x="3365" y="675"/>
                </a:lnTo>
                <a:lnTo>
                  <a:pt x="3355" y="694"/>
                </a:lnTo>
                <a:lnTo>
                  <a:pt x="3345" y="713"/>
                </a:lnTo>
                <a:lnTo>
                  <a:pt x="3335" y="732"/>
                </a:lnTo>
                <a:lnTo>
                  <a:pt x="3326" y="751"/>
                </a:lnTo>
                <a:lnTo>
                  <a:pt x="3318" y="772"/>
                </a:lnTo>
                <a:lnTo>
                  <a:pt x="3310" y="791"/>
                </a:lnTo>
                <a:lnTo>
                  <a:pt x="3302" y="811"/>
                </a:lnTo>
                <a:lnTo>
                  <a:pt x="3296" y="831"/>
                </a:lnTo>
                <a:lnTo>
                  <a:pt x="3289" y="851"/>
                </a:lnTo>
                <a:lnTo>
                  <a:pt x="3283" y="872"/>
                </a:lnTo>
                <a:lnTo>
                  <a:pt x="3278" y="893"/>
                </a:lnTo>
                <a:lnTo>
                  <a:pt x="3273" y="913"/>
                </a:lnTo>
                <a:lnTo>
                  <a:pt x="3269" y="934"/>
                </a:lnTo>
                <a:lnTo>
                  <a:pt x="3265" y="956"/>
                </a:lnTo>
                <a:lnTo>
                  <a:pt x="3262" y="976"/>
                </a:lnTo>
                <a:lnTo>
                  <a:pt x="3259" y="998"/>
                </a:lnTo>
                <a:lnTo>
                  <a:pt x="3257" y="1019"/>
                </a:lnTo>
                <a:lnTo>
                  <a:pt x="3255" y="1041"/>
                </a:lnTo>
                <a:lnTo>
                  <a:pt x="3254" y="1063"/>
                </a:lnTo>
                <a:lnTo>
                  <a:pt x="3253" y="1084"/>
                </a:lnTo>
                <a:lnTo>
                  <a:pt x="3253" y="1106"/>
                </a:lnTo>
                <a:lnTo>
                  <a:pt x="3254" y="1150"/>
                </a:lnTo>
                <a:lnTo>
                  <a:pt x="3257" y="1193"/>
                </a:lnTo>
                <a:lnTo>
                  <a:pt x="3259" y="1215"/>
                </a:lnTo>
                <a:lnTo>
                  <a:pt x="3262" y="1236"/>
                </a:lnTo>
                <a:lnTo>
                  <a:pt x="3265" y="1256"/>
                </a:lnTo>
                <a:lnTo>
                  <a:pt x="3269" y="1277"/>
                </a:lnTo>
                <a:lnTo>
                  <a:pt x="3273" y="1298"/>
                </a:lnTo>
                <a:lnTo>
                  <a:pt x="3278" y="1318"/>
                </a:lnTo>
                <a:lnTo>
                  <a:pt x="3283" y="1339"/>
                </a:lnTo>
                <a:lnTo>
                  <a:pt x="3289" y="1358"/>
                </a:lnTo>
                <a:lnTo>
                  <a:pt x="3295" y="1378"/>
                </a:lnTo>
                <a:lnTo>
                  <a:pt x="3302" y="1399"/>
                </a:lnTo>
                <a:lnTo>
                  <a:pt x="3309" y="1418"/>
                </a:lnTo>
                <a:lnTo>
                  <a:pt x="3317" y="1438"/>
                </a:lnTo>
                <a:lnTo>
                  <a:pt x="3325" y="1457"/>
                </a:lnTo>
                <a:lnTo>
                  <a:pt x="3334" y="1477"/>
                </a:lnTo>
                <a:lnTo>
                  <a:pt x="3344" y="1495"/>
                </a:lnTo>
                <a:lnTo>
                  <a:pt x="3354" y="1514"/>
                </a:lnTo>
                <a:lnTo>
                  <a:pt x="3364" y="1532"/>
                </a:lnTo>
                <a:lnTo>
                  <a:pt x="3375" y="1550"/>
                </a:lnTo>
                <a:lnTo>
                  <a:pt x="3386" y="1569"/>
                </a:lnTo>
                <a:lnTo>
                  <a:pt x="3397" y="1586"/>
                </a:lnTo>
                <a:lnTo>
                  <a:pt x="3409" y="1604"/>
                </a:lnTo>
                <a:lnTo>
                  <a:pt x="3422" y="1621"/>
                </a:lnTo>
                <a:lnTo>
                  <a:pt x="3435" y="1638"/>
                </a:lnTo>
                <a:lnTo>
                  <a:pt x="3448" y="1655"/>
                </a:lnTo>
                <a:lnTo>
                  <a:pt x="3462" y="1672"/>
                </a:lnTo>
                <a:lnTo>
                  <a:pt x="3477" y="1688"/>
                </a:lnTo>
                <a:lnTo>
                  <a:pt x="3492" y="1704"/>
                </a:lnTo>
                <a:lnTo>
                  <a:pt x="3507" y="1720"/>
                </a:lnTo>
                <a:lnTo>
                  <a:pt x="3523" y="1736"/>
                </a:lnTo>
                <a:lnTo>
                  <a:pt x="3540" y="1751"/>
                </a:lnTo>
                <a:lnTo>
                  <a:pt x="3557" y="1766"/>
                </a:lnTo>
                <a:lnTo>
                  <a:pt x="3573" y="1780"/>
                </a:lnTo>
                <a:lnTo>
                  <a:pt x="3590" y="1793"/>
                </a:lnTo>
                <a:lnTo>
                  <a:pt x="3607" y="1806"/>
                </a:lnTo>
                <a:lnTo>
                  <a:pt x="3624" y="1819"/>
                </a:lnTo>
                <a:lnTo>
                  <a:pt x="3642" y="1832"/>
                </a:lnTo>
                <a:lnTo>
                  <a:pt x="3659" y="1843"/>
                </a:lnTo>
                <a:lnTo>
                  <a:pt x="3677" y="1855"/>
                </a:lnTo>
                <a:lnTo>
                  <a:pt x="3695" y="1865"/>
                </a:lnTo>
                <a:lnTo>
                  <a:pt x="3714" y="1875"/>
                </a:lnTo>
                <a:lnTo>
                  <a:pt x="3733" y="1885"/>
                </a:lnTo>
                <a:lnTo>
                  <a:pt x="3752" y="1894"/>
                </a:lnTo>
                <a:lnTo>
                  <a:pt x="3771" y="1903"/>
                </a:lnTo>
                <a:lnTo>
                  <a:pt x="3790" y="1912"/>
                </a:lnTo>
                <a:lnTo>
                  <a:pt x="3810" y="1920"/>
                </a:lnTo>
                <a:lnTo>
                  <a:pt x="3829" y="1927"/>
                </a:lnTo>
                <a:lnTo>
                  <a:pt x="3849" y="1934"/>
                </a:lnTo>
                <a:lnTo>
                  <a:pt x="3869" y="1940"/>
                </a:lnTo>
                <a:lnTo>
                  <a:pt x="3889" y="1946"/>
                </a:lnTo>
                <a:lnTo>
                  <a:pt x="3909" y="1951"/>
                </a:lnTo>
                <a:lnTo>
                  <a:pt x="3931" y="1956"/>
                </a:lnTo>
                <a:lnTo>
                  <a:pt x="3951" y="1960"/>
                </a:lnTo>
                <a:lnTo>
                  <a:pt x="3972" y="1964"/>
                </a:lnTo>
                <a:lnTo>
                  <a:pt x="3992" y="1967"/>
                </a:lnTo>
                <a:lnTo>
                  <a:pt x="4013" y="1970"/>
                </a:lnTo>
                <a:lnTo>
                  <a:pt x="4035" y="1972"/>
                </a:lnTo>
                <a:lnTo>
                  <a:pt x="4077" y="1975"/>
                </a:lnTo>
                <a:lnTo>
                  <a:pt x="4122" y="1976"/>
                </a:lnTo>
                <a:close/>
                <a:moveTo>
                  <a:pt x="1749" y="260"/>
                </a:moveTo>
                <a:lnTo>
                  <a:pt x="1749" y="965"/>
                </a:lnTo>
                <a:lnTo>
                  <a:pt x="1941" y="965"/>
                </a:lnTo>
                <a:lnTo>
                  <a:pt x="1978" y="965"/>
                </a:lnTo>
                <a:lnTo>
                  <a:pt x="2012" y="964"/>
                </a:lnTo>
                <a:lnTo>
                  <a:pt x="2045" y="963"/>
                </a:lnTo>
                <a:lnTo>
                  <a:pt x="2076" y="961"/>
                </a:lnTo>
                <a:lnTo>
                  <a:pt x="2106" y="958"/>
                </a:lnTo>
                <a:lnTo>
                  <a:pt x="2135" y="955"/>
                </a:lnTo>
                <a:lnTo>
                  <a:pt x="2162" y="951"/>
                </a:lnTo>
                <a:lnTo>
                  <a:pt x="2188" y="947"/>
                </a:lnTo>
                <a:lnTo>
                  <a:pt x="2212" y="941"/>
                </a:lnTo>
                <a:lnTo>
                  <a:pt x="2234" y="935"/>
                </a:lnTo>
                <a:lnTo>
                  <a:pt x="2255" y="929"/>
                </a:lnTo>
                <a:lnTo>
                  <a:pt x="2274" y="922"/>
                </a:lnTo>
                <a:lnTo>
                  <a:pt x="2292" y="915"/>
                </a:lnTo>
                <a:lnTo>
                  <a:pt x="2308" y="907"/>
                </a:lnTo>
                <a:lnTo>
                  <a:pt x="2322" y="899"/>
                </a:lnTo>
                <a:lnTo>
                  <a:pt x="2336" y="890"/>
                </a:lnTo>
                <a:lnTo>
                  <a:pt x="2348" y="880"/>
                </a:lnTo>
                <a:lnTo>
                  <a:pt x="2360" y="869"/>
                </a:lnTo>
                <a:lnTo>
                  <a:pt x="2370" y="858"/>
                </a:lnTo>
                <a:lnTo>
                  <a:pt x="2380" y="844"/>
                </a:lnTo>
                <a:lnTo>
                  <a:pt x="2389" y="831"/>
                </a:lnTo>
                <a:lnTo>
                  <a:pt x="2397" y="817"/>
                </a:lnTo>
                <a:lnTo>
                  <a:pt x="2405" y="802"/>
                </a:lnTo>
                <a:lnTo>
                  <a:pt x="2411" y="786"/>
                </a:lnTo>
                <a:lnTo>
                  <a:pt x="2417" y="769"/>
                </a:lnTo>
                <a:lnTo>
                  <a:pt x="2422" y="751"/>
                </a:lnTo>
                <a:lnTo>
                  <a:pt x="2426" y="732"/>
                </a:lnTo>
                <a:lnTo>
                  <a:pt x="2430" y="713"/>
                </a:lnTo>
                <a:lnTo>
                  <a:pt x="2432" y="693"/>
                </a:lnTo>
                <a:lnTo>
                  <a:pt x="2434" y="671"/>
                </a:lnTo>
                <a:lnTo>
                  <a:pt x="2435" y="648"/>
                </a:lnTo>
                <a:lnTo>
                  <a:pt x="2436" y="626"/>
                </a:lnTo>
                <a:lnTo>
                  <a:pt x="2435" y="601"/>
                </a:lnTo>
                <a:lnTo>
                  <a:pt x="2434" y="576"/>
                </a:lnTo>
                <a:lnTo>
                  <a:pt x="2432" y="554"/>
                </a:lnTo>
                <a:lnTo>
                  <a:pt x="2430" y="532"/>
                </a:lnTo>
                <a:lnTo>
                  <a:pt x="2426" y="511"/>
                </a:lnTo>
                <a:lnTo>
                  <a:pt x="2422" y="490"/>
                </a:lnTo>
                <a:lnTo>
                  <a:pt x="2416" y="471"/>
                </a:lnTo>
                <a:lnTo>
                  <a:pt x="2410" y="453"/>
                </a:lnTo>
                <a:lnTo>
                  <a:pt x="2404" y="436"/>
                </a:lnTo>
                <a:lnTo>
                  <a:pt x="2396" y="420"/>
                </a:lnTo>
                <a:lnTo>
                  <a:pt x="2388" y="403"/>
                </a:lnTo>
                <a:lnTo>
                  <a:pt x="2379" y="389"/>
                </a:lnTo>
                <a:lnTo>
                  <a:pt x="2369" y="376"/>
                </a:lnTo>
                <a:lnTo>
                  <a:pt x="2358" y="363"/>
                </a:lnTo>
                <a:lnTo>
                  <a:pt x="2345" y="352"/>
                </a:lnTo>
                <a:lnTo>
                  <a:pt x="2333" y="341"/>
                </a:lnTo>
                <a:lnTo>
                  <a:pt x="2319" y="331"/>
                </a:lnTo>
                <a:lnTo>
                  <a:pt x="2304" y="321"/>
                </a:lnTo>
                <a:lnTo>
                  <a:pt x="2288" y="313"/>
                </a:lnTo>
                <a:lnTo>
                  <a:pt x="2270" y="305"/>
                </a:lnTo>
                <a:lnTo>
                  <a:pt x="2251" y="298"/>
                </a:lnTo>
                <a:lnTo>
                  <a:pt x="2230" y="291"/>
                </a:lnTo>
                <a:lnTo>
                  <a:pt x="2208" y="285"/>
                </a:lnTo>
                <a:lnTo>
                  <a:pt x="2184" y="280"/>
                </a:lnTo>
                <a:lnTo>
                  <a:pt x="2158" y="275"/>
                </a:lnTo>
                <a:lnTo>
                  <a:pt x="2131" y="271"/>
                </a:lnTo>
                <a:lnTo>
                  <a:pt x="2103" y="268"/>
                </a:lnTo>
                <a:lnTo>
                  <a:pt x="2074" y="265"/>
                </a:lnTo>
                <a:lnTo>
                  <a:pt x="2043" y="263"/>
                </a:lnTo>
                <a:lnTo>
                  <a:pt x="2011" y="261"/>
                </a:lnTo>
                <a:lnTo>
                  <a:pt x="1977" y="260"/>
                </a:lnTo>
                <a:lnTo>
                  <a:pt x="1941" y="260"/>
                </a:lnTo>
                <a:lnTo>
                  <a:pt x="1749" y="260"/>
                </a:lnTo>
                <a:close/>
                <a:moveTo>
                  <a:pt x="1504" y="2156"/>
                </a:moveTo>
                <a:lnTo>
                  <a:pt x="1504" y="48"/>
                </a:lnTo>
                <a:lnTo>
                  <a:pt x="2001" y="48"/>
                </a:lnTo>
                <a:lnTo>
                  <a:pt x="2052" y="48"/>
                </a:lnTo>
                <a:lnTo>
                  <a:pt x="2099" y="49"/>
                </a:lnTo>
                <a:lnTo>
                  <a:pt x="2143" y="51"/>
                </a:lnTo>
                <a:lnTo>
                  <a:pt x="2185" y="53"/>
                </a:lnTo>
                <a:lnTo>
                  <a:pt x="2222" y="57"/>
                </a:lnTo>
                <a:lnTo>
                  <a:pt x="2255" y="61"/>
                </a:lnTo>
                <a:lnTo>
                  <a:pt x="2285" y="66"/>
                </a:lnTo>
                <a:lnTo>
                  <a:pt x="2312" y="72"/>
                </a:lnTo>
                <a:lnTo>
                  <a:pt x="2336" y="78"/>
                </a:lnTo>
                <a:lnTo>
                  <a:pt x="2361" y="86"/>
                </a:lnTo>
                <a:lnTo>
                  <a:pt x="2383" y="94"/>
                </a:lnTo>
                <a:lnTo>
                  <a:pt x="2405" y="104"/>
                </a:lnTo>
                <a:lnTo>
                  <a:pt x="2427" y="115"/>
                </a:lnTo>
                <a:lnTo>
                  <a:pt x="2447" y="126"/>
                </a:lnTo>
                <a:lnTo>
                  <a:pt x="2467" y="139"/>
                </a:lnTo>
                <a:lnTo>
                  <a:pt x="2486" y="154"/>
                </a:lnTo>
                <a:lnTo>
                  <a:pt x="2509" y="172"/>
                </a:lnTo>
                <a:lnTo>
                  <a:pt x="2530" y="193"/>
                </a:lnTo>
                <a:lnTo>
                  <a:pt x="2550" y="215"/>
                </a:lnTo>
                <a:lnTo>
                  <a:pt x="2570" y="238"/>
                </a:lnTo>
                <a:lnTo>
                  <a:pt x="2588" y="265"/>
                </a:lnTo>
                <a:lnTo>
                  <a:pt x="2604" y="291"/>
                </a:lnTo>
                <a:lnTo>
                  <a:pt x="2619" y="319"/>
                </a:lnTo>
                <a:lnTo>
                  <a:pt x="2632" y="350"/>
                </a:lnTo>
                <a:lnTo>
                  <a:pt x="2644" y="381"/>
                </a:lnTo>
                <a:lnTo>
                  <a:pt x="2655" y="413"/>
                </a:lnTo>
                <a:lnTo>
                  <a:pt x="2664" y="446"/>
                </a:lnTo>
                <a:lnTo>
                  <a:pt x="2671" y="479"/>
                </a:lnTo>
                <a:lnTo>
                  <a:pt x="2677" y="514"/>
                </a:lnTo>
                <a:lnTo>
                  <a:pt x="2681" y="549"/>
                </a:lnTo>
                <a:lnTo>
                  <a:pt x="2683" y="585"/>
                </a:lnTo>
                <a:lnTo>
                  <a:pt x="2684" y="623"/>
                </a:lnTo>
                <a:lnTo>
                  <a:pt x="2683" y="654"/>
                </a:lnTo>
                <a:lnTo>
                  <a:pt x="2682" y="686"/>
                </a:lnTo>
                <a:lnTo>
                  <a:pt x="2679" y="715"/>
                </a:lnTo>
                <a:lnTo>
                  <a:pt x="2675" y="744"/>
                </a:lnTo>
                <a:lnTo>
                  <a:pt x="2670" y="773"/>
                </a:lnTo>
                <a:lnTo>
                  <a:pt x="2664" y="799"/>
                </a:lnTo>
                <a:lnTo>
                  <a:pt x="2656" y="825"/>
                </a:lnTo>
                <a:lnTo>
                  <a:pt x="2648" y="850"/>
                </a:lnTo>
                <a:lnTo>
                  <a:pt x="2638" y="875"/>
                </a:lnTo>
                <a:lnTo>
                  <a:pt x="2628" y="898"/>
                </a:lnTo>
                <a:lnTo>
                  <a:pt x="2616" y="920"/>
                </a:lnTo>
                <a:lnTo>
                  <a:pt x="2603" y="941"/>
                </a:lnTo>
                <a:lnTo>
                  <a:pt x="2589" y="962"/>
                </a:lnTo>
                <a:lnTo>
                  <a:pt x="2573" y="981"/>
                </a:lnTo>
                <a:lnTo>
                  <a:pt x="2557" y="999"/>
                </a:lnTo>
                <a:lnTo>
                  <a:pt x="2538" y="1016"/>
                </a:lnTo>
                <a:lnTo>
                  <a:pt x="2520" y="1033"/>
                </a:lnTo>
                <a:lnTo>
                  <a:pt x="2500" y="1048"/>
                </a:lnTo>
                <a:lnTo>
                  <a:pt x="2479" y="1062"/>
                </a:lnTo>
                <a:lnTo>
                  <a:pt x="2458" y="1075"/>
                </a:lnTo>
                <a:lnTo>
                  <a:pt x="2435" y="1087"/>
                </a:lnTo>
                <a:lnTo>
                  <a:pt x="2411" y="1098"/>
                </a:lnTo>
                <a:lnTo>
                  <a:pt x="2386" y="1108"/>
                </a:lnTo>
                <a:lnTo>
                  <a:pt x="2360" y="1117"/>
                </a:lnTo>
                <a:lnTo>
                  <a:pt x="2332" y="1126"/>
                </a:lnTo>
                <a:lnTo>
                  <a:pt x="2304" y="1133"/>
                </a:lnTo>
                <a:lnTo>
                  <a:pt x="2275" y="1138"/>
                </a:lnTo>
                <a:lnTo>
                  <a:pt x="2245" y="1143"/>
                </a:lnTo>
                <a:lnTo>
                  <a:pt x="2214" y="1147"/>
                </a:lnTo>
                <a:lnTo>
                  <a:pt x="2182" y="1149"/>
                </a:lnTo>
                <a:lnTo>
                  <a:pt x="2147" y="1151"/>
                </a:lnTo>
                <a:lnTo>
                  <a:pt x="2113" y="1151"/>
                </a:lnTo>
                <a:lnTo>
                  <a:pt x="2068" y="1151"/>
                </a:lnTo>
                <a:lnTo>
                  <a:pt x="2876" y="2156"/>
                </a:lnTo>
                <a:lnTo>
                  <a:pt x="2558" y="2156"/>
                </a:lnTo>
                <a:lnTo>
                  <a:pt x="1786" y="1151"/>
                </a:lnTo>
                <a:lnTo>
                  <a:pt x="1749" y="1151"/>
                </a:lnTo>
                <a:lnTo>
                  <a:pt x="1749" y="2156"/>
                </a:lnTo>
                <a:lnTo>
                  <a:pt x="1504" y="2156"/>
                </a:lnTo>
                <a:close/>
                <a:moveTo>
                  <a:pt x="247" y="982"/>
                </a:moveTo>
                <a:lnTo>
                  <a:pt x="373" y="982"/>
                </a:lnTo>
                <a:lnTo>
                  <a:pt x="414" y="982"/>
                </a:lnTo>
                <a:lnTo>
                  <a:pt x="451" y="981"/>
                </a:lnTo>
                <a:lnTo>
                  <a:pt x="488" y="980"/>
                </a:lnTo>
                <a:lnTo>
                  <a:pt x="522" y="978"/>
                </a:lnTo>
                <a:lnTo>
                  <a:pt x="555" y="975"/>
                </a:lnTo>
                <a:lnTo>
                  <a:pt x="586" y="972"/>
                </a:lnTo>
                <a:lnTo>
                  <a:pt x="617" y="968"/>
                </a:lnTo>
                <a:lnTo>
                  <a:pt x="645" y="964"/>
                </a:lnTo>
                <a:lnTo>
                  <a:pt x="671" y="959"/>
                </a:lnTo>
                <a:lnTo>
                  <a:pt x="696" y="953"/>
                </a:lnTo>
                <a:lnTo>
                  <a:pt x="719" y="947"/>
                </a:lnTo>
                <a:lnTo>
                  <a:pt x="740" y="940"/>
                </a:lnTo>
                <a:lnTo>
                  <a:pt x="760" y="932"/>
                </a:lnTo>
                <a:lnTo>
                  <a:pt x="778" y="924"/>
                </a:lnTo>
                <a:lnTo>
                  <a:pt x="795" y="916"/>
                </a:lnTo>
                <a:lnTo>
                  <a:pt x="810" y="907"/>
                </a:lnTo>
                <a:lnTo>
                  <a:pt x="823" y="897"/>
                </a:lnTo>
                <a:lnTo>
                  <a:pt x="836" y="886"/>
                </a:lnTo>
                <a:lnTo>
                  <a:pt x="847" y="875"/>
                </a:lnTo>
                <a:lnTo>
                  <a:pt x="858" y="862"/>
                </a:lnTo>
                <a:lnTo>
                  <a:pt x="868" y="848"/>
                </a:lnTo>
                <a:lnTo>
                  <a:pt x="877" y="834"/>
                </a:lnTo>
                <a:lnTo>
                  <a:pt x="886" y="819"/>
                </a:lnTo>
                <a:lnTo>
                  <a:pt x="893" y="803"/>
                </a:lnTo>
                <a:lnTo>
                  <a:pt x="900" y="786"/>
                </a:lnTo>
                <a:lnTo>
                  <a:pt x="905" y="769"/>
                </a:lnTo>
                <a:lnTo>
                  <a:pt x="910" y="749"/>
                </a:lnTo>
                <a:lnTo>
                  <a:pt x="914" y="730"/>
                </a:lnTo>
                <a:lnTo>
                  <a:pt x="917" y="710"/>
                </a:lnTo>
                <a:lnTo>
                  <a:pt x="919" y="688"/>
                </a:lnTo>
                <a:lnTo>
                  <a:pt x="921" y="665"/>
                </a:lnTo>
                <a:lnTo>
                  <a:pt x="921" y="643"/>
                </a:lnTo>
                <a:lnTo>
                  <a:pt x="921" y="618"/>
                </a:lnTo>
                <a:lnTo>
                  <a:pt x="919" y="595"/>
                </a:lnTo>
                <a:lnTo>
                  <a:pt x="917" y="571"/>
                </a:lnTo>
                <a:lnTo>
                  <a:pt x="914" y="549"/>
                </a:lnTo>
                <a:lnTo>
                  <a:pt x="910" y="529"/>
                </a:lnTo>
                <a:lnTo>
                  <a:pt x="905" y="509"/>
                </a:lnTo>
                <a:lnTo>
                  <a:pt x="899" y="489"/>
                </a:lnTo>
                <a:lnTo>
                  <a:pt x="892" y="471"/>
                </a:lnTo>
                <a:lnTo>
                  <a:pt x="885" y="454"/>
                </a:lnTo>
                <a:lnTo>
                  <a:pt x="876" y="438"/>
                </a:lnTo>
                <a:lnTo>
                  <a:pt x="867" y="422"/>
                </a:lnTo>
                <a:lnTo>
                  <a:pt x="857" y="407"/>
                </a:lnTo>
                <a:lnTo>
                  <a:pt x="845" y="394"/>
                </a:lnTo>
                <a:lnTo>
                  <a:pt x="833" y="381"/>
                </a:lnTo>
                <a:lnTo>
                  <a:pt x="821" y="370"/>
                </a:lnTo>
                <a:lnTo>
                  <a:pt x="807" y="359"/>
                </a:lnTo>
                <a:lnTo>
                  <a:pt x="792" y="349"/>
                </a:lnTo>
                <a:lnTo>
                  <a:pt x="774" y="340"/>
                </a:lnTo>
                <a:lnTo>
                  <a:pt x="756" y="332"/>
                </a:lnTo>
                <a:lnTo>
                  <a:pt x="736" y="323"/>
                </a:lnTo>
                <a:lnTo>
                  <a:pt x="715" y="316"/>
                </a:lnTo>
                <a:lnTo>
                  <a:pt x="692" y="309"/>
                </a:lnTo>
                <a:lnTo>
                  <a:pt x="667" y="303"/>
                </a:lnTo>
                <a:lnTo>
                  <a:pt x="641" y="297"/>
                </a:lnTo>
                <a:lnTo>
                  <a:pt x="613" y="293"/>
                </a:lnTo>
                <a:lnTo>
                  <a:pt x="583" y="289"/>
                </a:lnTo>
                <a:lnTo>
                  <a:pt x="552" y="285"/>
                </a:lnTo>
                <a:lnTo>
                  <a:pt x="520" y="282"/>
                </a:lnTo>
                <a:lnTo>
                  <a:pt x="486" y="280"/>
                </a:lnTo>
                <a:lnTo>
                  <a:pt x="450" y="278"/>
                </a:lnTo>
                <a:lnTo>
                  <a:pt x="413" y="277"/>
                </a:lnTo>
                <a:lnTo>
                  <a:pt x="373" y="277"/>
                </a:lnTo>
                <a:lnTo>
                  <a:pt x="247" y="277"/>
                </a:lnTo>
                <a:lnTo>
                  <a:pt x="247" y="982"/>
                </a:lnTo>
                <a:close/>
                <a:moveTo>
                  <a:pt x="247" y="1210"/>
                </a:moveTo>
                <a:lnTo>
                  <a:pt x="247" y="2156"/>
                </a:lnTo>
                <a:lnTo>
                  <a:pt x="0" y="2156"/>
                </a:lnTo>
                <a:lnTo>
                  <a:pt x="0" y="48"/>
                </a:lnTo>
                <a:lnTo>
                  <a:pt x="445" y="48"/>
                </a:lnTo>
                <a:lnTo>
                  <a:pt x="501" y="48"/>
                </a:lnTo>
                <a:lnTo>
                  <a:pt x="553" y="49"/>
                </a:lnTo>
                <a:lnTo>
                  <a:pt x="602" y="51"/>
                </a:lnTo>
                <a:lnTo>
                  <a:pt x="647" y="54"/>
                </a:lnTo>
                <a:lnTo>
                  <a:pt x="687" y="57"/>
                </a:lnTo>
                <a:lnTo>
                  <a:pt x="724" y="61"/>
                </a:lnTo>
                <a:lnTo>
                  <a:pt x="757" y="67"/>
                </a:lnTo>
                <a:lnTo>
                  <a:pt x="788" y="73"/>
                </a:lnTo>
                <a:lnTo>
                  <a:pt x="814" y="79"/>
                </a:lnTo>
                <a:lnTo>
                  <a:pt x="840" y="87"/>
                </a:lnTo>
                <a:lnTo>
                  <a:pt x="865" y="95"/>
                </a:lnTo>
                <a:lnTo>
                  <a:pt x="889" y="105"/>
                </a:lnTo>
                <a:lnTo>
                  <a:pt x="913" y="115"/>
                </a:lnTo>
                <a:lnTo>
                  <a:pt x="935" y="127"/>
                </a:lnTo>
                <a:lnTo>
                  <a:pt x="956" y="139"/>
                </a:lnTo>
                <a:lnTo>
                  <a:pt x="977" y="154"/>
                </a:lnTo>
                <a:lnTo>
                  <a:pt x="990" y="163"/>
                </a:lnTo>
                <a:lnTo>
                  <a:pt x="1002" y="172"/>
                </a:lnTo>
                <a:lnTo>
                  <a:pt x="1014" y="182"/>
                </a:lnTo>
                <a:lnTo>
                  <a:pt x="1026" y="192"/>
                </a:lnTo>
                <a:lnTo>
                  <a:pt x="1037" y="203"/>
                </a:lnTo>
                <a:lnTo>
                  <a:pt x="1047" y="214"/>
                </a:lnTo>
                <a:lnTo>
                  <a:pt x="1058" y="226"/>
                </a:lnTo>
                <a:lnTo>
                  <a:pt x="1068" y="238"/>
                </a:lnTo>
                <a:lnTo>
                  <a:pt x="1087" y="264"/>
                </a:lnTo>
                <a:lnTo>
                  <a:pt x="1104" y="291"/>
                </a:lnTo>
                <a:lnTo>
                  <a:pt x="1121" y="319"/>
                </a:lnTo>
                <a:lnTo>
                  <a:pt x="1136" y="350"/>
                </a:lnTo>
                <a:lnTo>
                  <a:pt x="1149" y="382"/>
                </a:lnTo>
                <a:lnTo>
                  <a:pt x="1160" y="414"/>
                </a:lnTo>
                <a:lnTo>
                  <a:pt x="1170" y="448"/>
                </a:lnTo>
                <a:lnTo>
                  <a:pt x="1179" y="482"/>
                </a:lnTo>
                <a:lnTo>
                  <a:pt x="1185" y="518"/>
                </a:lnTo>
                <a:lnTo>
                  <a:pt x="1190" y="554"/>
                </a:lnTo>
                <a:lnTo>
                  <a:pt x="1193" y="590"/>
                </a:lnTo>
                <a:lnTo>
                  <a:pt x="1193" y="629"/>
                </a:lnTo>
                <a:lnTo>
                  <a:pt x="1193" y="666"/>
                </a:lnTo>
                <a:lnTo>
                  <a:pt x="1190" y="703"/>
                </a:lnTo>
                <a:lnTo>
                  <a:pt x="1185" y="739"/>
                </a:lnTo>
                <a:lnTo>
                  <a:pt x="1179" y="775"/>
                </a:lnTo>
                <a:lnTo>
                  <a:pt x="1170" y="808"/>
                </a:lnTo>
                <a:lnTo>
                  <a:pt x="1160" y="842"/>
                </a:lnTo>
                <a:lnTo>
                  <a:pt x="1149" y="875"/>
                </a:lnTo>
                <a:lnTo>
                  <a:pt x="1136" y="906"/>
                </a:lnTo>
                <a:lnTo>
                  <a:pt x="1121" y="936"/>
                </a:lnTo>
                <a:lnTo>
                  <a:pt x="1104" y="966"/>
                </a:lnTo>
                <a:lnTo>
                  <a:pt x="1096" y="979"/>
                </a:lnTo>
                <a:lnTo>
                  <a:pt x="1087" y="993"/>
                </a:lnTo>
                <a:lnTo>
                  <a:pt x="1077" y="1006"/>
                </a:lnTo>
                <a:lnTo>
                  <a:pt x="1068" y="1018"/>
                </a:lnTo>
                <a:lnTo>
                  <a:pt x="1058" y="1030"/>
                </a:lnTo>
                <a:lnTo>
                  <a:pt x="1047" y="1043"/>
                </a:lnTo>
                <a:lnTo>
                  <a:pt x="1037" y="1054"/>
                </a:lnTo>
                <a:lnTo>
                  <a:pt x="1026" y="1064"/>
                </a:lnTo>
                <a:lnTo>
                  <a:pt x="1014" y="1075"/>
                </a:lnTo>
                <a:lnTo>
                  <a:pt x="1002" y="1085"/>
                </a:lnTo>
                <a:lnTo>
                  <a:pt x="990" y="1094"/>
                </a:lnTo>
                <a:lnTo>
                  <a:pt x="977" y="1103"/>
                </a:lnTo>
                <a:lnTo>
                  <a:pt x="956" y="1117"/>
                </a:lnTo>
                <a:lnTo>
                  <a:pt x="935" y="1131"/>
                </a:lnTo>
                <a:lnTo>
                  <a:pt x="913" y="1142"/>
                </a:lnTo>
                <a:lnTo>
                  <a:pt x="890" y="1153"/>
                </a:lnTo>
                <a:lnTo>
                  <a:pt x="866" y="1163"/>
                </a:lnTo>
                <a:lnTo>
                  <a:pt x="841" y="1171"/>
                </a:lnTo>
                <a:lnTo>
                  <a:pt x="815" y="1179"/>
                </a:lnTo>
                <a:lnTo>
                  <a:pt x="788" y="1185"/>
                </a:lnTo>
                <a:lnTo>
                  <a:pt x="758" y="1191"/>
                </a:lnTo>
                <a:lnTo>
                  <a:pt x="725" y="1196"/>
                </a:lnTo>
                <a:lnTo>
                  <a:pt x="688" y="1200"/>
                </a:lnTo>
                <a:lnTo>
                  <a:pt x="648" y="1203"/>
                </a:lnTo>
                <a:lnTo>
                  <a:pt x="603" y="1206"/>
                </a:lnTo>
                <a:lnTo>
                  <a:pt x="553" y="1209"/>
                </a:lnTo>
                <a:lnTo>
                  <a:pt x="501" y="1210"/>
                </a:lnTo>
                <a:lnTo>
                  <a:pt x="445" y="1210"/>
                </a:lnTo>
                <a:lnTo>
                  <a:pt x="373" y="1210"/>
                </a:lnTo>
                <a:lnTo>
                  <a:pt x="247" y="1210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" name="Freeform 173">
            <a:extLst>
              <a:ext uri="{FF2B5EF4-FFF2-40B4-BE49-F238E27FC236}">
                <a16:creationId xmlns:a16="http://schemas.microsoft.com/office/drawing/2014/main" id="{00000000-0008-0000-0700-0000B4000000}"/>
              </a:ext>
            </a:extLst>
          </xdr:cNvPr>
          <xdr:cNvSpPr>
            <a:spLocks/>
          </xdr:cNvSpPr>
        </xdr:nvSpPr>
        <xdr:spPr bwMode="auto">
          <a:xfrm>
            <a:off x="150" y="37"/>
            <a:ext cx="19" cy="18"/>
          </a:xfrm>
          <a:custGeom>
            <a:avLst/>
            <a:gdLst>
              <a:gd name="T0" fmla="*/ 0 w 1577"/>
              <a:gd name="T1" fmla="*/ 0 h 1587"/>
              <a:gd name="T2" fmla="*/ 0 w 1577"/>
              <a:gd name="T3" fmla="*/ 0 h 1587"/>
              <a:gd name="T4" fmla="*/ 0 w 1577"/>
              <a:gd name="T5" fmla="*/ 0 h 1587"/>
              <a:gd name="T6" fmla="*/ 0 w 1577"/>
              <a:gd name="T7" fmla="*/ 0 h 1587"/>
              <a:gd name="T8" fmla="*/ 0 w 1577"/>
              <a:gd name="T9" fmla="*/ 0 h 1587"/>
              <a:gd name="T10" fmla="*/ 0 w 1577"/>
              <a:gd name="T11" fmla="*/ 0 h 1587"/>
              <a:gd name="T12" fmla="*/ 0 w 1577"/>
              <a:gd name="T13" fmla="*/ 0 h 1587"/>
              <a:gd name="T14" fmla="*/ 0 w 1577"/>
              <a:gd name="T15" fmla="*/ 0 h 1587"/>
              <a:gd name="T16" fmla="*/ 0 w 1577"/>
              <a:gd name="T17" fmla="*/ 0 h 1587"/>
              <a:gd name="T18" fmla="*/ 0 w 1577"/>
              <a:gd name="T19" fmla="*/ 0 h 1587"/>
              <a:gd name="T20" fmla="*/ 0 w 1577"/>
              <a:gd name="T21" fmla="*/ 0 h 1587"/>
              <a:gd name="T22" fmla="*/ 0 w 1577"/>
              <a:gd name="T23" fmla="*/ 0 h 1587"/>
              <a:gd name="T24" fmla="*/ 0 w 1577"/>
              <a:gd name="T25" fmla="*/ 0 h 1587"/>
              <a:gd name="T26" fmla="*/ 0 w 1577"/>
              <a:gd name="T27" fmla="*/ 0 h 1587"/>
              <a:gd name="T28" fmla="*/ 0 w 1577"/>
              <a:gd name="T29" fmla="*/ 0 h 1587"/>
              <a:gd name="T30" fmla="*/ 0 w 1577"/>
              <a:gd name="T31" fmla="*/ 0 h 1587"/>
              <a:gd name="T32" fmla="*/ 0 w 1577"/>
              <a:gd name="T33" fmla="*/ 0 h 1587"/>
              <a:gd name="T34" fmla="*/ 0 w 1577"/>
              <a:gd name="T35" fmla="*/ 0 h 1587"/>
              <a:gd name="T36" fmla="*/ 0 w 1577"/>
              <a:gd name="T37" fmla="*/ 0 h 1587"/>
              <a:gd name="T38" fmla="*/ 0 w 1577"/>
              <a:gd name="T39" fmla="*/ 0 h 1587"/>
              <a:gd name="T40" fmla="*/ 0 w 1577"/>
              <a:gd name="T41" fmla="*/ 0 h 1587"/>
              <a:gd name="T42" fmla="*/ 0 w 1577"/>
              <a:gd name="T43" fmla="*/ 0 h 1587"/>
              <a:gd name="T44" fmla="*/ 0 w 1577"/>
              <a:gd name="T45" fmla="*/ 0 h 1587"/>
              <a:gd name="T46" fmla="*/ 0 w 1577"/>
              <a:gd name="T47" fmla="*/ 0 h 1587"/>
              <a:gd name="T48" fmla="*/ 0 w 1577"/>
              <a:gd name="T49" fmla="*/ 0 h 1587"/>
              <a:gd name="T50" fmla="*/ 0 w 1577"/>
              <a:gd name="T51" fmla="*/ 0 h 1587"/>
              <a:gd name="T52" fmla="*/ 0 w 1577"/>
              <a:gd name="T53" fmla="*/ 0 h 1587"/>
              <a:gd name="T54" fmla="*/ 0 w 1577"/>
              <a:gd name="T55" fmla="*/ 0 h 1587"/>
              <a:gd name="T56" fmla="*/ 0 w 1577"/>
              <a:gd name="T57" fmla="*/ 0 h 1587"/>
              <a:gd name="T58" fmla="*/ 0 w 1577"/>
              <a:gd name="T59" fmla="*/ 0 h 1587"/>
              <a:gd name="T60" fmla="*/ 0 w 1577"/>
              <a:gd name="T61" fmla="*/ 0 h 1587"/>
              <a:gd name="T62" fmla="*/ 0 w 1577"/>
              <a:gd name="T63" fmla="*/ 0 h 1587"/>
              <a:gd name="T64" fmla="*/ 0 w 1577"/>
              <a:gd name="T65" fmla="*/ 0 h 1587"/>
              <a:gd name="T66" fmla="*/ 0 w 1577"/>
              <a:gd name="T67" fmla="*/ 0 h 1587"/>
              <a:gd name="T68" fmla="*/ 0 w 1577"/>
              <a:gd name="T69" fmla="*/ 0 h 1587"/>
              <a:gd name="T70" fmla="*/ 0 w 1577"/>
              <a:gd name="T71" fmla="*/ 0 h 1587"/>
              <a:gd name="T72" fmla="*/ 0 w 1577"/>
              <a:gd name="T73" fmla="*/ 0 h 1587"/>
              <a:gd name="T74" fmla="*/ 0 w 1577"/>
              <a:gd name="T75" fmla="*/ 0 h 1587"/>
              <a:gd name="T76" fmla="*/ 0 w 1577"/>
              <a:gd name="T77" fmla="*/ 0 h 1587"/>
              <a:gd name="T78" fmla="*/ 0 w 1577"/>
              <a:gd name="T79" fmla="*/ 0 h 1587"/>
              <a:gd name="T80" fmla="*/ 0 w 1577"/>
              <a:gd name="T81" fmla="*/ 0 h 1587"/>
              <a:gd name="T82" fmla="*/ 0 w 1577"/>
              <a:gd name="T83" fmla="*/ 0 h 1587"/>
              <a:gd name="T84" fmla="*/ 0 w 1577"/>
              <a:gd name="T85" fmla="*/ 0 h 158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577"/>
              <a:gd name="T130" fmla="*/ 0 h 1587"/>
              <a:gd name="T131" fmla="*/ 1577 w 1577"/>
              <a:gd name="T132" fmla="*/ 1587 h 158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577" h="1587">
                <a:moveTo>
                  <a:pt x="788" y="1587"/>
                </a:moveTo>
                <a:lnTo>
                  <a:pt x="830" y="1586"/>
                </a:lnTo>
                <a:lnTo>
                  <a:pt x="869" y="1583"/>
                </a:lnTo>
                <a:lnTo>
                  <a:pt x="909" y="1578"/>
                </a:lnTo>
                <a:lnTo>
                  <a:pt x="947" y="1571"/>
                </a:lnTo>
                <a:lnTo>
                  <a:pt x="985" y="1562"/>
                </a:lnTo>
                <a:lnTo>
                  <a:pt x="1023" y="1552"/>
                </a:lnTo>
                <a:lnTo>
                  <a:pt x="1060" y="1539"/>
                </a:lnTo>
                <a:lnTo>
                  <a:pt x="1095" y="1525"/>
                </a:lnTo>
                <a:lnTo>
                  <a:pt x="1130" y="1509"/>
                </a:lnTo>
                <a:lnTo>
                  <a:pt x="1164" y="1491"/>
                </a:lnTo>
                <a:lnTo>
                  <a:pt x="1198" y="1472"/>
                </a:lnTo>
                <a:lnTo>
                  <a:pt x="1229" y="1452"/>
                </a:lnTo>
                <a:lnTo>
                  <a:pt x="1260" y="1430"/>
                </a:lnTo>
                <a:lnTo>
                  <a:pt x="1290" y="1405"/>
                </a:lnTo>
                <a:lnTo>
                  <a:pt x="1318" y="1381"/>
                </a:lnTo>
                <a:lnTo>
                  <a:pt x="1346" y="1355"/>
                </a:lnTo>
                <a:lnTo>
                  <a:pt x="1372" y="1327"/>
                </a:lnTo>
                <a:lnTo>
                  <a:pt x="1397" y="1298"/>
                </a:lnTo>
                <a:lnTo>
                  <a:pt x="1421" y="1268"/>
                </a:lnTo>
                <a:lnTo>
                  <a:pt x="1442" y="1237"/>
                </a:lnTo>
                <a:lnTo>
                  <a:pt x="1463" y="1205"/>
                </a:lnTo>
                <a:lnTo>
                  <a:pt x="1482" y="1172"/>
                </a:lnTo>
                <a:lnTo>
                  <a:pt x="1499" y="1137"/>
                </a:lnTo>
                <a:lnTo>
                  <a:pt x="1515" y="1102"/>
                </a:lnTo>
                <a:lnTo>
                  <a:pt x="1529" y="1066"/>
                </a:lnTo>
                <a:lnTo>
                  <a:pt x="1541" y="1029"/>
                </a:lnTo>
                <a:lnTo>
                  <a:pt x="1552" y="992"/>
                </a:lnTo>
                <a:lnTo>
                  <a:pt x="1561" y="953"/>
                </a:lnTo>
                <a:lnTo>
                  <a:pt x="1568" y="915"/>
                </a:lnTo>
                <a:lnTo>
                  <a:pt x="1573" y="875"/>
                </a:lnTo>
                <a:lnTo>
                  <a:pt x="1576" y="835"/>
                </a:lnTo>
                <a:lnTo>
                  <a:pt x="1577" y="794"/>
                </a:lnTo>
                <a:lnTo>
                  <a:pt x="1576" y="753"/>
                </a:lnTo>
                <a:lnTo>
                  <a:pt x="1573" y="713"/>
                </a:lnTo>
                <a:lnTo>
                  <a:pt x="1568" y="673"/>
                </a:lnTo>
                <a:lnTo>
                  <a:pt x="1561" y="635"/>
                </a:lnTo>
                <a:lnTo>
                  <a:pt x="1552" y="596"/>
                </a:lnTo>
                <a:lnTo>
                  <a:pt x="1541" y="559"/>
                </a:lnTo>
                <a:lnTo>
                  <a:pt x="1529" y="521"/>
                </a:lnTo>
                <a:lnTo>
                  <a:pt x="1515" y="486"/>
                </a:lnTo>
                <a:lnTo>
                  <a:pt x="1499" y="450"/>
                </a:lnTo>
                <a:lnTo>
                  <a:pt x="1482" y="416"/>
                </a:lnTo>
                <a:lnTo>
                  <a:pt x="1463" y="384"/>
                </a:lnTo>
                <a:lnTo>
                  <a:pt x="1442" y="351"/>
                </a:lnTo>
                <a:lnTo>
                  <a:pt x="1421" y="320"/>
                </a:lnTo>
                <a:lnTo>
                  <a:pt x="1397" y="290"/>
                </a:lnTo>
                <a:lnTo>
                  <a:pt x="1372" y="261"/>
                </a:lnTo>
                <a:lnTo>
                  <a:pt x="1346" y="233"/>
                </a:lnTo>
                <a:lnTo>
                  <a:pt x="1318" y="208"/>
                </a:lnTo>
                <a:lnTo>
                  <a:pt x="1290" y="182"/>
                </a:lnTo>
                <a:lnTo>
                  <a:pt x="1260" y="159"/>
                </a:lnTo>
                <a:lnTo>
                  <a:pt x="1229" y="137"/>
                </a:lnTo>
                <a:lnTo>
                  <a:pt x="1198" y="116"/>
                </a:lnTo>
                <a:lnTo>
                  <a:pt x="1164" y="96"/>
                </a:lnTo>
                <a:lnTo>
                  <a:pt x="1130" y="79"/>
                </a:lnTo>
                <a:lnTo>
                  <a:pt x="1095" y="63"/>
                </a:lnTo>
                <a:lnTo>
                  <a:pt x="1060" y="49"/>
                </a:lnTo>
                <a:lnTo>
                  <a:pt x="1023" y="37"/>
                </a:lnTo>
                <a:lnTo>
                  <a:pt x="985" y="26"/>
                </a:lnTo>
                <a:lnTo>
                  <a:pt x="947" y="17"/>
                </a:lnTo>
                <a:lnTo>
                  <a:pt x="909" y="9"/>
                </a:lnTo>
                <a:lnTo>
                  <a:pt x="869" y="4"/>
                </a:lnTo>
                <a:lnTo>
                  <a:pt x="830" y="1"/>
                </a:lnTo>
                <a:lnTo>
                  <a:pt x="788" y="0"/>
                </a:lnTo>
                <a:lnTo>
                  <a:pt x="748" y="1"/>
                </a:lnTo>
                <a:lnTo>
                  <a:pt x="708" y="4"/>
                </a:lnTo>
                <a:lnTo>
                  <a:pt x="669" y="9"/>
                </a:lnTo>
                <a:lnTo>
                  <a:pt x="631" y="17"/>
                </a:lnTo>
                <a:lnTo>
                  <a:pt x="592" y="26"/>
                </a:lnTo>
                <a:lnTo>
                  <a:pt x="555" y="37"/>
                </a:lnTo>
                <a:lnTo>
                  <a:pt x="518" y="49"/>
                </a:lnTo>
                <a:lnTo>
                  <a:pt x="483" y="63"/>
                </a:lnTo>
                <a:lnTo>
                  <a:pt x="448" y="79"/>
                </a:lnTo>
                <a:lnTo>
                  <a:pt x="414" y="96"/>
                </a:lnTo>
                <a:lnTo>
                  <a:pt x="380" y="116"/>
                </a:lnTo>
                <a:lnTo>
                  <a:pt x="348" y="137"/>
                </a:lnTo>
                <a:lnTo>
                  <a:pt x="318" y="159"/>
                </a:lnTo>
                <a:lnTo>
                  <a:pt x="288" y="182"/>
                </a:lnTo>
                <a:lnTo>
                  <a:pt x="260" y="208"/>
                </a:lnTo>
                <a:lnTo>
                  <a:pt x="232" y="233"/>
                </a:lnTo>
                <a:lnTo>
                  <a:pt x="205" y="261"/>
                </a:lnTo>
                <a:lnTo>
                  <a:pt x="181" y="290"/>
                </a:lnTo>
                <a:lnTo>
                  <a:pt x="157" y="320"/>
                </a:lnTo>
                <a:lnTo>
                  <a:pt x="135" y="351"/>
                </a:lnTo>
                <a:lnTo>
                  <a:pt x="115" y="384"/>
                </a:lnTo>
                <a:lnTo>
                  <a:pt x="96" y="416"/>
                </a:lnTo>
                <a:lnTo>
                  <a:pt x="79" y="450"/>
                </a:lnTo>
                <a:lnTo>
                  <a:pt x="63" y="486"/>
                </a:lnTo>
                <a:lnTo>
                  <a:pt x="49" y="521"/>
                </a:lnTo>
                <a:lnTo>
                  <a:pt x="37" y="559"/>
                </a:lnTo>
                <a:lnTo>
                  <a:pt x="26" y="596"/>
                </a:lnTo>
                <a:lnTo>
                  <a:pt x="17" y="635"/>
                </a:lnTo>
                <a:lnTo>
                  <a:pt x="9" y="673"/>
                </a:lnTo>
                <a:lnTo>
                  <a:pt x="4" y="713"/>
                </a:lnTo>
                <a:lnTo>
                  <a:pt x="1" y="753"/>
                </a:lnTo>
                <a:lnTo>
                  <a:pt x="0" y="794"/>
                </a:lnTo>
                <a:lnTo>
                  <a:pt x="1" y="835"/>
                </a:lnTo>
                <a:lnTo>
                  <a:pt x="4" y="875"/>
                </a:lnTo>
                <a:lnTo>
                  <a:pt x="9" y="915"/>
                </a:lnTo>
                <a:lnTo>
                  <a:pt x="17" y="953"/>
                </a:lnTo>
                <a:lnTo>
                  <a:pt x="26" y="992"/>
                </a:lnTo>
                <a:lnTo>
                  <a:pt x="37" y="1029"/>
                </a:lnTo>
                <a:lnTo>
                  <a:pt x="49" y="1066"/>
                </a:lnTo>
                <a:lnTo>
                  <a:pt x="63" y="1102"/>
                </a:lnTo>
                <a:lnTo>
                  <a:pt x="79" y="1137"/>
                </a:lnTo>
                <a:lnTo>
                  <a:pt x="96" y="1172"/>
                </a:lnTo>
                <a:lnTo>
                  <a:pt x="115" y="1205"/>
                </a:lnTo>
                <a:lnTo>
                  <a:pt x="135" y="1237"/>
                </a:lnTo>
                <a:lnTo>
                  <a:pt x="157" y="1268"/>
                </a:lnTo>
                <a:lnTo>
                  <a:pt x="181" y="1298"/>
                </a:lnTo>
                <a:lnTo>
                  <a:pt x="205" y="1327"/>
                </a:lnTo>
                <a:lnTo>
                  <a:pt x="232" y="1355"/>
                </a:lnTo>
                <a:lnTo>
                  <a:pt x="260" y="1381"/>
                </a:lnTo>
                <a:lnTo>
                  <a:pt x="288" y="1405"/>
                </a:lnTo>
                <a:lnTo>
                  <a:pt x="318" y="1430"/>
                </a:lnTo>
                <a:lnTo>
                  <a:pt x="348" y="1452"/>
                </a:lnTo>
                <a:lnTo>
                  <a:pt x="380" y="1472"/>
                </a:lnTo>
                <a:lnTo>
                  <a:pt x="414" y="1491"/>
                </a:lnTo>
                <a:lnTo>
                  <a:pt x="448" y="1509"/>
                </a:lnTo>
                <a:lnTo>
                  <a:pt x="483" y="1525"/>
                </a:lnTo>
                <a:lnTo>
                  <a:pt x="518" y="1539"/>
                </a:lnTo>
                <a:lnTo>
                  <a:pt x="555" y="1552"/>
                </a:lnTo>
                <a:lnTo>
                  <a:pt x="592" y="1562"/>
                </a:lnTo>
                <a:lnTo>
                  <a:pt x="631" y="1571"/>
                </a:lnTo>
                <a:lnTo>
                  <a:pt x="669" y="1578"/>
                </a:lnTo>
                <a:lnTo>
                  <a:pt x="708" y="1583"/>
                </a:lnTo>
                <a:lnTo>
                  <a:pt x="748" y="1586"/>
                </a:lnTo>
                <a:lnTo>
                  <a:pt x="788" y="158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" name="Freeform 174">
            <a:extLst>
              <a:ext uri="{FF2B5EF4-FFF2-40B4-BE49-F238E27FC236}">
                <a16:creationId xmlns:a16="http://schemas.microsoft.com/office/drawing/2014/main" id="{00000000-0008-0000-0700-0000B5000000}"/>
              </a:ext>
            </a:extLst>
          </xdr:cNvPr>
          <xdr:cNvSpPr>
            <a:spLocks/>
          </xdr:cNvSpPr>
        </xdr:nvSpPr>
        <xdr:spPr bwMode="auto">
          <a:xfrm>
            <a:off x="83" y="41"/>
            <a:ext cx="66" cy="54"/>
          </a:xfrm>
          <a:custGeom>
            <a:avLst/>
            <a:gdLst>
              <a:gd name="T0" fmla="*/ 0 w 5630"/>
              <a:gd name="T1" fmla="*/ 0 h 4637"/>
              <a:gd name="T2" fmla="*/ 0 w 5630"/>
              <a:gd name="T3" fmla="*/ 0 h 4637"/>
              <a:gd name="T4" fmla="*/ 0 w 5630"/>
              <a:gd name="T5" fmla="*/ 0 h 4637"/>
              <a:gd name="T6" fmla="*/ 0 w 5630"/>
              <a:gd name="T7" fmla="*/ 0 h 4637"/>
              <a:gd name="T8" fmla="*/ 0 w 5630"/>
              <a:gd name="T9" fmla="*/ 0 h 4637"/>
              <a:gd name="T10" fmla="*/ 0 w 5630"/>
              <a:gd name="T11" fmla="*/ 0 h 4637"/>
              <a:gd name="T12" fmla="*/ 0 w 5630"/>
              <a:gd name="T13" fmla="*/ 0 h 4637"/>
              <a:gd name="T14" fmla="*/ 0 w 5630"/>
              <a:gd name="T15" fmla="*/ 0 h 4637"/>
              <a:gd name="T16" fmla="*/ 0 w 5630"/>
              <a:gd name="T17" fmla="*/ 0 h 4637"/>
              <a:gd name="T18" fmla="*/ 0 w 5630"/>
              <a:gd name="T19" fmla="*/ 0 h 4637"/>
              <a:gd name="T20" fmla="*/ 0 w 5630"/>
              <a:gd name="T21" fmla="*/ 0 h 4637"/>
              <a:gd name="T22" fmla="*/ 0 w 5630"/>
              <a:gd name="T23" fmla="*/ 0 h 4637"/>
              <a:gd name="T24" fmla="*/ 0 w 5630"/>
              <a:gd name="T25" fmla="*/ 0 h 4637"/>
              <a:gd name="T26" fmla="*/ 0 w 5630"/>
              <a:gd name="T27" fmla="*/ 0 h 4637"/>
              <a:gd name="T28" fmla="*/ 0 w 5630"/>
              <a:gd name="T29" fmla="*/ 0 h 4637"/>
              <a:gd name="T30" fmla="*/ 0 w 5630"/>
              <a:gd name="T31" fmla="*/ 0 h 4637"/>
              <a:gd name="T32" fmla="*/ 0 w 5630"/>
              <a:gd name="T33" fmla="*/ 0 h 4637"/>
              <a:gd name="T34" fmla="*/ 0 w 5630"/>
              <a:gd name="T35" fmla="*/ 0 h 4637"/>
              <a:gd name="T36" fmla="*/ 0 w 5630"/>
              <a:gd name="T37" fmla="*/ 0 h 4637"/>
              <a:gd name="T38" fmla="*/ 0 w 5630"/>
              <a:gd name="T39" fmla="*/ 0 h 4637"/>
              <a:gd name="T40" fmla="*/ 0 w 5630"/>
              <a:gd name="T41" fmla="*/ 0 h 4637"/>
              <a:gd name="T42" fmla="*/ 0 w 5630"/>
              <a:gd name="T43" fmla="*/ 0 h 4637"/>
              <a:gd name="T44" fmla="*/ 0 w 5630"/>
              <a:gd name="T45" fmla="*/ 0 h 4637"/>
              <a:gd name="T46" fmla="*/ 0 w 5630"/>
              <a:gd name="T47" fmla="*/ 0 h 4637"/>
              <a:gd name="T48" fmla="*/ 0 w 5630"/>
              <a:gd name="T49" fmla="*/ 0 h 4637"/>
              <a:gd name="T50" fmla="*/ 0 w 5630"/>
              <a:gd name="T51" fmla="*/ 0 h 4637"/>
              <a:gd name="T52" fmla="*/ 0 w 5630"/>
              <a:gd name="T53" fmla="*/ 0 h 4637"/>
              <a:gd name="T54" fmla="*/ 0 w 5630"/>
              <a:gd name="T55" fmla="*/ 0 h 4637"/>
              <a:gd name="T56" fmla="*/ 0 w 5630"/>
              <a:gd name="T57" fmla="*/ 0 h 4637"/>
              <a:gd name="T58" fmla="*/ 0 w 5630"/>
              <a:gd name="T59" fmla="*/ 0 h 4637"/>
              <a:gd name="T60" fmla="*/ 0 w 5630"/>
              <a:gd name="T61" fmla="*/ 0 h 4637"/>
              <a:gd name="T62" fmla="*/ 0 w 5630"/>
              <a:gd name="T63" fmla="*/ 0 h 4637"/>
              <a:gd name="T64" fmla="*/ 0 w 5630"/>
              <a:gd name="T65" fmla="*/ 0 h 4637"/>
              <a:gd name="T66" fmla="*/ 0 w 5630"/>
              <a:gd name="T67" fmla="*/ 0 h 4637"/>
              <a:gd name="T68" fmla="*/ 0 w 5630"/>
              <a:gd name="T69" fmla="*/ 0 h 4637"/>
              <a:gd name="T70" fmla="*/ 0 w 5630"/>
              <a:gd name="T71" fmla="*/ 0 h 4637"/>
              <a:gd name="T72" fmla="*/ 0 w 5630"/>
              <a:gd name="T73" fmla="*/ 0 h 4637"/>
              <a:gd name="T74" fmla="*/ 0 w 5630"/>
              <a:gd name="T75" fmla="*/ 0 h 4637"/>
              <a:gd name="T76" fmla="*/ 0 w 5630"/>
              <a:gd name="T77" fmla="*/ 0 h 4637"/>
              <a:gd name="T78" fmla="*/ 0 w 5630"/>
              <a:gd name="T79" fmla="*/ 0 h 4637"/>
              <a:gd name="T80" fmla="*/ 0 w 5630"/>
              <a:gd name="T81" fmla="*/ 0 h 4637"/>
              <a:gd name="T82" fmla="*/ 0 w 5630"/>
              <a:gd name="T83" fmla="*/ 0 h 4637"/>
              <a:gd name="T84" fmla="*/ 0 w 5630"/>
              <a:gd name="T85" fmla="*/ 0 h 4637"/>
              <a:gd name="T86" fmla="*/ 0 w 5630"/>
              <a:gd name="T87" fmla="*/ 0 h 4637"/>
              <a:gd name="T88" fmla="*/ 0 w 5630"/>
              <a:gd name="T89" fmla="*/ 0 h 4637"/>
              <a:gd name="T90" fmla="*/ 0 w 5630"/>
              <a:gd name="T91" fmla="*/ 0 h 4637"/>
              <a:gd name="T92" fmla="*/ 0 w 5630"/>
              <a:gd name="T93" fmla="*/ 0 h 4637"/>
              <a:gd name="T94" fmla="*/ 0 w 5630"/>
              <a:gd name="T95" fmla="*/ 0 h 4637"/>
              <a:gd name="T96" fmla="*/ 0 w 5630"/>
              <a:gd name="T97" fmla="*/ 0 h 4637"/>
              <a:gd name="T98" fmla="*/ 0 w 5630"/>
              <a:gd name="T99" fmla="*/ 0 h 4637"/>
              <a:gd name="T100" fmla="*/ 0 w 5630"/>
              <a:gd name="T101" fmla="*/ 0 h 4637"/>
              <a:gd name="T102" fmla="*/ 0 w 5630"/>
              <a:gd name="T103" fmla="*/ 0 h 4637"/>
              <a:gd name="T104" fmla="*/ 0 w 5630"/>
              <a:gd name="T105" fmla="*/ 0 h 4637"/>
              <a:gd name="T106" fmla="*/ 0 w 5630"/>
              <a:gd name="T107" fmla="*/ 0 h 4637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30"/>
              <a:gd name="T163" fmla="*/ 0 h 4637"/>
              <a:gd name="T164" fmla="*/ 5630 w 5630"/>
              <a:gd name="T165" fmla="*/ 4637 h 4637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30" h="4637">
                <a:moveTo>
                  <a:pt x="0" y="4637"/>
                </a:moveTo>
                <a:lnTo>
                  <a:pt x="24" y="4535"/>
                </a:lnTo>
                <a:lnTo>
                  <a:pt x="50" y="4434"/>
                </a:lnTo>
                <a:lnTo>
                  <a:pt x="77" y="4333"/>
                </a:lnTo>
                <a:lnTo>
                  <a:pt x="107" y="4234"/>
                </a:lnTo>
                <a:lnTo>
                  <a:pt x="138" y="4135"/>
                </a:lnTo>
                <a:lnTo>
                  <a:pt x="170" y="4037"/>
                </a:lnTo>
                <a:lnTo>
                  <a:pt x="204" y="3939"/>
                </a:lnTo>
                <a:lnTo>
                  <a:pt x="240" y="3843"/>
                </a:lnTo>
                <a:lnTo>
                  <a:pt x="277" y="3747"/>
                </a:lnTo>
                <a:lnTo>
                  <a:pt x="317" y="3652"/>
                </a:lnTo>
                <a:lnTo>
                  <a:pt x="357" y="3558"/>
                </a:lnTo>
                <a:lnTo>
                  <a:pt x="399" y="3465"/>
                </a:lnTo>
                <a:lnTo>
                  <a:pt x="443" y="3372"/>
                </a:lnTo>
                <a:lnTo>
                  <a:pt x="488" y="3281"/>
                </a:lnTo>
                <a:lnTo>
                  <a:pt x="535" y="3189"/>
                </a:lnTo>
                <a:lnTo>
                  <a:pt x="583" y="3099"/>
                </a:lnTo>
                <a:lnTo>
                  <a:pt x="633" y="3010"/>
                </a:lnTo>
                <a:lnTo>
                  <a:pt x="683" y="2922"/>
                </a:lnTo>
                <a:lnTo>
                  <a:pt x="737" y="2835"/>
                </a:lnTo>
                <a:lnTo>
                  <a:pt x="791" y="2749"/>
                </a:lnTo>
                <a:lnTo>
                  <a:pt x="846" y="2665"/>
                </a:lnTo>
                <a:lnTo>
                  <a:pt x="903" y="2581"/>
                </a:lnTo>
                <a:lnTo>
                  <a:pt x="961" y="2498"/>
                </a:lnTo>
                <a:lnTo>
                  <a:pt x="1020" y="2416"/>
                </a:lnTo>
                <a:lnTo>
                  <a:pt x="1081" y="2335"/>
                </a:lnTo>
                <a:lnTo>
                  <a:pt x="1144" y="2255"/>
                </a:lnTo>
                <a:lnTo>
                  <a:pt x="1207" y="2176"/>
                </a:lnTo>
                <a:lnTo>
                  <a:pt x="1272" y="2098"/>
                </a:lnTo>
                <a:lnTo>
                  <a:pt x="1338" y="2021"/>
                </a:lnTo>
                <a:lnTo>
                  <a:pt x="1405" y="1946"/>
                </a:lnTo>
                <a:lnTo>
                  <a:pt x="1475" y="1871"/>
                </a:lnTo>
                <a:lnTo>
                  <a:pt x="1544" y="1799"/>
                </a:lnTo>
                <a:lnTo>
                  <a:pt x="1642" y="1700"/>
                </a:lnTo>
                <a:lnTo>
                  <a:pt x="1744" y="1602"/>
                </a:lnTo>
                <a:lnTo>
                  <a:pt x="1847" y="1507"/>
                </a:lnTo>
                <a:lnTo>
                  <a:pt x="1953" y="1415"/>
                </a:lnTo>
                <a:lnTo>
                  <a:pt x="2060" y="1325"/>
                </a:lnTo>
                <a:lnTo>
                  <a:pt x="2170" y="1238"/>
                </a:lnTo>
                <a:lnTo>
                  <a:pt x="2282" y="1153"/>
                </a:lnTo>
                <a:lnTo>
                  <a:pt x="2396" y="1071"/>
                </a:lnTo>
                <a:lnTo>
                  <a:pt x="2512" y="992"/>
                </a:lnTo>
                <a:lnTo>
                  <a:pt x="2629" y="916"/>
                </a:lnTo>
                <a:lnTo>
                  <a:pt x="2749" y="842"/>
                </a:lnTo>
                <a:lnTo>
                  <a:pt x="2871" y="770"/>
                </a:lnTo>
                <a:lnTo>
                  <a:pt x="2993" y="702"/>
                </a:lnTo>
                <a:lnTo>
                  <a:pt x="3118" y="636"/>
                </a:lnTo>
                <a:lnTo>
                  <a:pt x="3245" y="574"/>
                </a:lnTo>
                <a:lnTo>
                  <a:pt x="3373" y="514"/>
                </a:lnTo>
                <a:lnTo>
                  <a:pt x="3503" y="457"/>
                </a:lnTo>
                <a:lnTo>
                  <a:pt x="3635" y="404"/>
                </a:lnTo>
                <a:lnTo>
                  <a:pt x="3767" y="353"/>
                </a:lnTo>
                <a:lnTo>
                  <a:pt x="3902" y="307"/>
                </a:lnTo>
                <a:lnTo>
                  <a:pt x="4038" y="262"/>
                </a:lnTo>
                <a:lnTo>
                  <a:pt x="4175" y="222"/>
                </a:lnTo>
                <a:lnTo>
                  <a:pt x="4313" y="184"/>
                </a:lnTo>
                <a:lnTo>
                  <a:pt x="4454" y="150"/>
                </a:lnTo>
                <a:lnTo>
                  <a:pt x="4594" y="119"/>
                </a:lnTo>
                <a:lnTo>
                  <a:pt x="4737" y="91"/>
                </a:lnTo>
                <a:lnTo>
                  <a:pt x="4880" y="67"/>
                </a:lnTo>
                <a:lnTo>
                  <a:pt x="5025" y="47"/>
                </a:lnTo>
                <a:lnTo>
                  <a:pt x="5170" y="30"/>
                </a:lnTo>
                <a:lnTo>
                  <a:pt x="5317" y="16"/>
                </a:lnTo>
                <a:lnTo>
                  <a:pt x="5465" y="6"/>
                </a:lnTo>
                <a:lnTo>
                  <a:pt x="5614" y="0"/>
                </a:lnTo>
                <a:lnTo>
                  <a:pt x="5602" y="27"/>
                </a:lnTo>
                <a:lnTo>
                  <a:pt x="5590" y="53"/>
                </a:lnTo>
                <a:lnTo>
                  <a:pt x="5579" y="79"/>
                </a:lnTo>
                <a:lnTo>
                  <a:pt x="5570" y="106"/>
                </a:lnTo>
                <a:lnTo>
                  <a:pt x="5560" y="134"/>
                </a:lnTo>
                <a:lnTo>
                  <a:pt x="5552" y="162"/>
                </a:lnTo>
                <a:lnTo>
                  <a:pt x="5544" y="190"/>
                </a:lnTo>
                <a:lnTo>
                  <a:pt x="5538" y="219"/>
                </a:lnTo>
                <a:lnTo>
                  <a:pt x="5532" y="247"/>
                </a:lnTo>
                <a:lnTo>
                  <a:pt x="5526" y="276"/>
                </a:lnTo>
                <a:lnTo>
                  <a:pt x="5522" y="306"/>
                </a:lnTo>
                <a:lnTo>
                  <a:pt x="5518" y="335"/>
                </a:lnTo>
                <a:lnTo>
                  <a:pt x="5515" y="364"/>
                </a:lnTo>
                <a:lnTo>
                  <a:pt x="5513" y="395"/>
                </a:lnTo>
                <a:lnTo>
                  <a:pt x="5512" y="425"/>
                </a:lnTo>
                <a:lnTo>
                  <a:pt x="5511" y="455"/>
                </a:lnTo>
                <a:lnTo>
                  <a:pt x="5512" y="488"/>
                </a:lnTo>
                <a:lnTo>
                  <a:pt x="5513" y="520"/>
                </a:lnTo>
                <a:lnTo>
                  <a:pt x="5516" y="552"/>
                </a:lnTo>
                <a:lnTo>
                  <a:pt x="5519" y="585"/>
                </a:lnTo>
                <a:lnTo>
                  <a:pt x="5523" y="616"/>
                </a:lnTo>
                <a:lnTo>
                  <a:pt x="5529" y="648"/>
                </a:lnTo>
                <a:lnTo>
                  <a:pt x="5535" y="679"/>
                </a:lnTo>
                <a:lnTo>
                  <a:pt x="5542" y="710"/>
                </a:lnTo>
                <a:lnTo>
                  <a:pt x="5550" y="741"/>
                </a:lnTo>
                <a:lnTo>
                  <a:pt x="5559" y="770"/>
                </a:lnTo>
                <a:lnTo>
                  <a:pt x="5568" y="800"/>
                </a:lnTo>
                <a:lnTo>
                  <a:pt x="5579" y="830"/>
                </a:lnTo>
                <a:lnTo>
                  <a:pt x="5590" y="858"/>
                </a:lnTo>
                <a:lnTo>
                  <a:pt x="5603" y="887"/>
                </a:lnTo>
                <a:lnTo>
                  <a:pt x="5616" y="915"/>
                </a:lnTo>
                <a:lnTo>
                  <a:pt x="5630" y="943"/>
                </a:lnTo>
                <a:lnTo>
                  <a:pt x="5505" y="948"/>
                </a:lnTo>
                <a:lnTo>
                  <a:pt x="5380" y="956"/>
                </a:lnTo>
                <a:lnTo>
                  <a:pt x="5258" y="967"/>
                </a:lnTo>
                <a:lnTo>
                  <a:pt x="5135" y="982"/>
                </a:lnTo>
                <a:lnTo>
                  <a:pt x="5014" y="1000"/>
                </a:lnTo>
                <a:lnTo>
                  <a:pt x="4893" y="1020"/>
                </a:lnTo>
                <a:lnTo>
                  <a:pt x="4773" y="1043"/>
                </a:lnTo>
                <a:lnTo>
                  <a:pt x="4655" y="1069"/>
                </a:lnTo>
                <a:lnTo>
                  <a:pt x="4537" y="1098"/>
                </a:lnTo>
                <a:lnTo>
                  <a:pt x="4422" y="1130"/>
                </a:lnTo>
                <a:lnTo>
                  <a:pt x="4306" y="1164"/>
                </a:lnTo>
                <a:lnTo>
                  <a:pt x="4192" y="1201"/>
                </a:lnTo>
                <a:lnTo>
                  <a:pt x="4079" y="1241"/>
                </a:lnTo>
                <a:lnTo>
                  <a:pt x="3967" y="1283"/>
                </a:lnTo>
                <a:lnTo>
                  <a:pt x="3858" y="1328"/>
                </a:lnTo>
                <a:lnTo>
                  <a:pt x="3748" y="1376"/>
                </a:lnTo>
                <a:lnTo>
                  <a:pt x="3641" y="1426"/>
                </a:lnTo>
                <a:lnTo>
                  <a:pt x="3534" y="1478"/>
                </a:lnTo>
                <a:lnTo>
                  <a:pt x="3429" y="1534"/>
                </a:lnTo>
                <a:lnTo>
                  <a:pt x="3326" y="1591"/>
                </a:lnTo>
                <a:lnTo>
                  <a:pt x="3224" y="1651"/>
                </a:lnTo>
                <a:lnTo>
                  <a:pt x="3124" y="1713"/>
                </a:lnTo>
                <a:lnTo>
                  <a:pt x="3025" y="1777"/>
                </a:lnTo>
                <a:lnTo>
                  <a:pt x="2928" y="1844"/>
                </a:lnTo>
                <a:lnTo>
                  <a:pt x="2832" y="1913"/>
                </a:lnTo>
                <a:lnTo>
                  <a:pt x="2739" y="1984"/>
                </a:lnTo>
                <a:lnTo>
                  <a:pt x="2646" y="2057"/>
                </a:lnTo>
                <a:lnTo>
                  <a:pt x="2556" y="2132"/>
                </a:lnTo>
                <a:lnTo>
                  <a:pt x="2468" y="2209"/>
                </a:lnTo>
                <a:lnTo>
                  <a:pt x="2381" y="2289"/>
                </a:lnTo>
                <a:lnTo>
                  <a:pt x="2296" y="2370"/>
                </a:lnTo>
                <a:lnTo>
                  <a:pt x="2213" y="2454"/>
                </a:lnTo>
                <a:lnTo>
                  <a:pt x="2159" y="2511"/>
                </a:lnTo>
                <a:lnTo>
                  <a:pt x="2106" y="2568"/>
                </a:lnTo>
                <a:lnTo>
                  <a:pt x="2052" y="2627"/>
                </a:lnTo>
                <a:lnTo>
                  <a:pt x="2001" y="2686"/>
                </a:lnTo>
                <a:lnTo>
                  <a:pt x="1950" y="2746"/>
                </a:lnTo>
                <a:lnTo>
                  <a:pt x="1901" y="2807"/>
                </a:lnTo>
                <a:lnTo>
                  <a:pt x="1851" y="2869"/>
                </a:lnTo>
                <a:lnTo>
                  <a:pt x="1803" y="2932"/>
                </a:lnTo>
                <a:lnTo>
                  <a:pt x="1757" y="2994"/>
                </a:lnTo>
                <a:lnTo>
                  <a:pt x="1711" y="3059"/>
                </a:lnTo>
                <a:lnTo>
                  <a:pt x="1665" y="3124"/>
                </a:lnTo>
                <a:lnTo>
                  <a:pt x="1621" y="3189"/>
                </a:lnTo>
                <a:lnTo>
                  <a:pt x="1578" y="3255"/>
                </a:lnTo>
                <a:lnTo>
                  <a:pt x="1537" y="3322"/>
                </a:lnTo>
                <a:lnTo>
                  <a:pt x="1496" y="3390"/>
                </a:lnTo>
                <a:lnTo>
                  <a:pt x="1455" y="3459"/>
                </a:lnTo>
                <a:lnTo>
                  <a:pt x="1416" y="3527"/>
                </a:lnTo>
                <a:lnTo>
                  <a:pt x="1378" y="3597"/>
                </a:lnTo>
                <a:lnTo>
                  <a:pt x="1342" y="3667"/>
                </a:lnTo>
                <a:lnTo>
                  <a:pt x="1306" y="3739"/>
                </a:lnTo>
                <a:lnTo>
                  <a:pt x="1271" y="3810"/>
                </a:lnTo>
                <a:lnTo>
                  <a:pt x="1237" y="3882"/>
                </a:lnTo>
                <a:lnTo>
                  <a:pt x="1205" y="3955"/>
                </a:lnTo>
                <a:lnTo>
                  <a:pt x="1174" y="4029"/>
                </a:lnTo>
                <a:lnTo>
                  <a:pt x="1144" y="4103"/>
                </a:lnTo>
                <a:lnTo>
                  <a:pt x="1115" y="4178"/>
                </a:lnTo>
                <a:lnTo>
                  <a:pt x="1087" y="4253"/>
                </a:lnTo>
                <a:lnTo>
                  <a:pt x="1060" y="4328"/>
                </a:lnTo>
                <a:lnTo>
                  <a:pt x="1034" y="4404"/>
                </a:lnTo>
                <a:lnTo>
                  <a:pt x="1010" y="4481"/>
                </a:lnTo>
                <a:lnTo>
                  <a:pt x="987" y="4559"/>
                </a:lnTo>
                <a:lnTo>
                  <a:pt x="965" y="4637"/>
                </a:lnTo>
                <a:lnTo>
                  <a:pt x="0" y="4637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2" name="Freeform 175">
            <a:extLst>
              <a:ext uri="{FF2B5EF4-FFF2-40B4-BE49-F238E27FC236}">
                <a16:creationId xmlns:a16="http://schemas.microsoft.com/office/drawing/2014/main" id="{00000000-0008-0000-0700-0000B6000000}"/>
              </a:ext>
            </a:extLst>
          </xdr:cNvPr>
          <xdr:cNvSpPr>
            <a:spLocks/>
          </xdr:cNvSpPr>
        </xdr:nvSpPr>
        <xdr:spPr bwMode="auto">
          <a:xfrm>
            <a:off x="65" y="23"/>
            <a:ext cx="104" cy="72"/>
          </a:xfrm>
          <a:custGeom>
            <a:avLst/>
            <a:gdLst>
              <a:gd name="T0" fmla="*/ 0 w 8921"/>
              <a:gd name="T1" fmla="*/ 0 h 6178"/>
              <a:gd name="T2" fmla="*/ 0 w 8921"/>
              <a:gd name="T3" fmla="*/ 0 h 6178"/>
              <a:gd name="T4" fmla="*/ 0 w 8921"/>
              <a:gd name="T5" fmla="*/ 0 h 6178"/>
              <a:gd name="T6" fmla="*/ 0 w 8921"/>
              <a:gd name="T7" fmla="*/ 0 h 6178"/>
              <a:gd name="T8" fmla="*/ 0 w 8921"/>
              <a:gd name="T9" fmla="*/ 0 h 6178"/>
              <a:gd name="T10" fmla="*/ 0 w 8921"/>
              <a:gd name="T11" fmla="*/ 0 h 6178"/>
              <a:gd name="T12" fmla="*/ 0 w 8921"/>
              <a:gd name="T13" fmla="*/ 0 h 6178"/>
              <a:gd name="T14" fmla="*/ 0 w 8921"/>
              <a:gd name="T15" fmla="*/ 0 h 6178"/>
              <a:gd name="T16" fmla="*/ 0 w 8921"/>
              <a:gd name="T17" fmla="*/ 0 h 6178"/>
              <a:gd name="T18" fmla="*/ 0 w 8921"/>
              <a:gd name="T19" fmla="*/ 0 h 6178"/>
              <a:gd name="T20" fmla="*/ 0 w 8921"/>
              <a:gd name="T21" fmla="*/ 0 h 6178"/>
              <a:gd name="T22" fmla="*/ 0 w 8921"/>
              <a:gd name="T23" fmla="*/ 0 h 6178"/>
              <a:gd name="T24" fmla="*/ 0 w 8921"/>
              <a:gd name="T25" fmla="*/ 0 h 6178"/>
              <a:gd name="T26" fmla="*/ 0 w 8921"/>
              <a:gd name="T27" fmla="*/ 0 h 6178"/>
              <a:gd name="T28" fmla="*/ 0 w 8921"/>
              <a:gd name="T29" fmla="*/ 0 h 6178"/>
              <a:gd name="T30" fmla="*/ 0 w 8921"/>
              <a:gd name="T31" fmla="*/ 0 h 6178"/>
              <a:gd name="T32" fmla="*/ 0 w 8921"/>
              <a:gd name="T33" fmla="*/ 0 h 6178"/>
              <a:gd name="T34" fmla="*/ 0 w 8921"/>
              <a:gd name="T35" fmla="*/ 0 h 6178"/>
              <a:gd name="T36" fmla="*/ 0 w 8921"/>
              <a:gd name="T37" fmla="*/ 0 h 6178"/>
              <a:gd name="T38" fmla="*/ 0 w 8921"/>
              <a:gd name="T39" fmla="*/ 0 h 6178"/>
              <a:gd name="T40" fmla="*/ 0 w 8921"/>
              <a:gd name="T41" fmla="*/ 0 h 6178"/>
              <a:gd name="T42" fmla="*/ 0 w 8921"/>
              <a:gd name="T43" fmla="*/ 0 h 6178"/>
              <a:gd name="T44" fmla="*/ 0 w 8921"/>
              <a:gd name="T45" fmla="*/ 0 h 6178"/>
              <a:gd name="T46" fmla="*/ 0 w 8921"/>
              <a:gd name="T47" fmla="*/ 0 h 6178"/>
              <a:gd name="T48" fmla="*/ 0 w 8921"/>
              <a:gd name="T49" fmla="*/ 0 h 6178"/>
              <a:gd name="T50" fmla="*/ 0 w 8921"/>
              <a:gd name="T51" fmla="*/ 0 h 6178"/>
              <a:gd name="T52" fmla="*/ 0 w 8921"/>
              <a:gd name="T53" fmla="*/ 0 h 6178"/>
              <a:gd name="T54" fmla="*/ 0 w 8921"/>
              <a:gd name="T55" fmla="*/ 0 h 6178"/>
              <a:gd name="T56" fmla="*/ 0 w 8921"/>
              <a:gd name="T57" fmla="*/ 0 h 6178"/>
              <a:gd name="T58" fmla="*/ 0 w 8921"/>
              <a:gd name="T59" fmla="*/ 0 h 6178"/>
              <a:gd name="T60" fmla="*/ 0 w 8921"/>
              <a:gd name="T61" fmla="*/ 0 h 6178"/>
              <a:gd name="T62" fmla="*/ 0 w 8921"/>
              <a:gd name="T63" fmla="*/ 0 h 6178"/>
              <a:gd name="T64" fmla="*/ 0 w 8921"/>
              <a:gd name="T65" fmla="*/ 0 h 6178"/>
              <a:gd name="T66" fmla="*/ 0 w 8921"/>
              <a:gd name="T67" fmla="*/ 0 h 6178"/>
              <a:gd name="T68" fmla="*/ 0 w 8921"/>
              <a:gd name="T69" fmla="*/ 0 h 6178"/>
              <a:gd name="T70" fmla="*/ 0 w 8921"/>
              <a:gd name="T71" fmla="*/ 0 h 6178"/>
              <a:gd name="T72" fmla="*/ 0 w 8921"/>
              <a:gd name="T73" fmla="*/ 0 h 6178"/>
              <a:gd name="T74" fmla="*/ 0 w 8921"/>
              <a:gd name="T75" fmla="*/ 0 h 6178"/>
              <a:gd name="T76" fmla="*/ 0 w 8921"/>
              <a:gd name="T77" fmla="*/ 0 h 6178"/>
              <a:gd name="T78" fmla="*/ 0 w 8921"/>
              <a:gd name="T79" fmla="*/ 0 h 6178"/>
              <a:gd name="T80" fmla="*/ 0 w 8921"/>
              <a:gd name="T81" fmla="*/ 0 h 6178"/>
              <a:gd name="T82" fmla="*/ 0 w 8921"/>
              <a:gd name="T83" fmla="*/ 0 h 6178"/>
              <a:gd name="T84" fmla="*/ 0 w 8921"/>
              <a:gd name="T85" fmla="*/ 0 h 6178"/>
              <a:gd name="T86" fmla="*/ 0 w 8921"/>
              <a:gd name="T87" fmla="*/ 0 h 6178"/>
              <a:gd name="T88" fmla="*/ 0 w 8921"/>
              <a:gd name="T89" fmla="*/ 0 h 617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8921"/>
              <a:gd name="T136" fmla="*/ 0 h 6178"/>
              <a:gd name="T137" fmla="*/ 8921 w 8921"/>
              <a:gd name="T138" fmla="*/ 6178 h 617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8921" h="6178">
                <a:moveTo>
                  <a:pt x="5" y="6178"/>
                </a:moveTo>
                <a:lnTo>
                  <a:pt x="32" y="6034"/>
                </a:lnTo>
                <a:lnTo>
                  <a:pt x="62" y="5892"/>
                </a:lnTo>
                <a:lnTo>
                  <a:pt x="94" y="5750"/>
                </a:lnTo>
                <a:lnTo>
                  <a:pt x="130" y="5609"/>
                </a:lnTo>
                <a:lnTo>
                  <a:pt x="168" y="5470"/>
                </a:lnTo>
                <a:lnTo>
                  <a:pt x="208" y="5331"/>
                </a:lnTo>
                <a:lnTo>
                  <a:pt x="251" y="5194"/>
                </a:lnTo>
                <a:lnTo>
                  <a:pt x="297" y="5057"/>
                </a:lnTo>
                <a:lnTo>
                  <a:pt x="345" y="4923"/>
                </a:lnTo>
                <a:lnTo>
                  <a:pt x="395" y="4788"/>
                </a:lnTo>
                <a:lnTo>
                  <a:pt x="448" y="4656"/>
                </a:lnTo>
                <a:lnTo>
                  <a:pt x="504" y="4524"/>
                </a:lnTo>
                <a:lnTo>
                  <a:pt x="561" y="4395"/>
                </a:lnTo>
                <a:lnTo>
                  <a:pt x="621" y="4265"/>
                </a:lnTo>
                <a:lnTo>
                  <a:pt x="683" y="4138"/>
                </a:lnTo>
                <a:lnTo>
                  <a:pt x="749" y="4011"/>
                </a:lnTo>
                <a:lnTo>
                  <a:pt x="815" y="3887"/>
                </a:lnTo>
                <a:lnTo>
                  <a:pt x="885" y="3763"/>
                </a:lnTo>
                <a:lnTo>
                  <a:pt x="957" y="3642"/>
                </a:lnTo>
                <a:lnTo>
                  <a:pt x="1030" y="3522"/>
                </a:lnTo>
                <a:lnTo>
                  <a:pt x="1106" y="3402"/>
                </a:lnTo>
                <a:lnTo>
                  <a:pt x="1184" y="3285"/>
                </a:lnTo>
                <a:lnTo>
                  <a:pt x="1264" y="3170"/>
                </a:lnTo>
                <a:lnTo>
                  <a:pt x="1347" y="3055"/>
                </a:lnTo>
                <a:lnTo>
                  <a:pt x="1431" y="2943"/>
                </a:lnTo>
                <a:lnTo>
                  <a:pt x="1518" y="2832"/>
                </a:lnTo>
                <a:lnTo>
                  <a:pt x="1606" y="2723"/>
                </a:lnTo>
                <a:lnTo>
                  <a:pt x="1696" y="2615"/>
                </a:lnTo>
                <a:lnTo>
                  <a:pt x="1788" y="2509"/>
                </a:lnTo>
                <a:lnTo>
                  <a:pt x="1883" y="2405"/>
                </a:lnTo>
                <a:lnTo>
                  <a:pt x="1979" y="2303"/>
                </a:lnTo>
                <a:lnTo>
                  <a:pt x="2077" y="2203"/>
                </a:lnTo>
                <a:lnTo>
                  <a:pt x="2123" y="2156"/>
                </a:lnTo>
                <a:lnTo>
                  <a:pt x="2169" y="2111"/>
                </a:lnTo>
                <a:lnTo>
                  <a:pt x="2216" y="2065"/>
                </a:lnTo>
                <a:lnTo>
                  <a:pt x="2264" y="2021"/>
                </a:lnTo>
                <a:lnTo>
                  <a:pt x="2312" y="1976"/>
                </a:lnTo>
                <a:lnTo>
                  <a:pt x="2359" y="1932"/>
                </a:lnTo>
                <a:lnTo>
                  <a:pt x="2408" y="1888"/>
                </a:lnTo>
                <a:lnTo>
                  <a:pt x="2457" y="1846"/>
                </a:lnTo>
                <a:lnTo>
                  <a:pt x="2506" y="1802"/>
                </a:lnTo>
                <a:lnTo>
                  <a:pt x="2556" y="1761"/>
                </a:lnTo>
                <a:lnTo>
                  <a:pt x="2605" y="1718"/>
                </a:lnTo>
                <a:lnTo>
                  <a:pt x="2657" y="1677"/>
                </a:lnTo>
                <a:lnTo>
                  <a:pt x="2707" y="1636"/>
                </a:lnTo>
                <a:lnTo>
                  <a:pt x="2758" y="1595"/>
                </a:lnTo>
                <a:lnTo>
                  <a:pt x="2809" y="1555"/>
                </a:lnTo>
                <a:lnTo>
                  <a:pt x="2862" y="1515"/>
                </a:lnTo>
                <a:lnTo>
                  <a:pt x="2913" y="1475"/>
                </a:lnTo>
                <a:lnTo>
                  <a:pt x="2966" y="1437"/>
                </a:lnTo>
                <a:lnTo>
                  <a:pt x="3018" y="1399"/>
                </a:lnTo>
                <a:lnTo>
                  <a:pt x="3072" y="1361"/>
                </a:lnTo>
                <a:lnTo>
                  <a:pt x="3125" y="1324"/>
                </a:lnTo>
                <a:lnTo>
                  <a:pt x="3179" y="1286"/>
                </a:lnTo>
                <a:lnTo>
                  <a:pt x="3233" y="1250"/>
                </a:lnTo>
                <a:lnTo>
                  <a:pt x="3288" y="1213"/>
                </a:lnTo>
                <a:lnTo>
                  <a:pt x="3342" y="1178"/>
                </a:lnTo>
                <a:lnTo>
                  <a:pt x="3397" y="1143"/>
                </a:lnTo>
                <a:lnTo>
                  <a:pt x="3453" y="1108"/>
                </a:lnTo>
                <a:lnTo>
                  <a:pt x="3509" y="1074"/>
                </a:lnTo>
                <a:lnTo>
                  <a:pt x="3565" y="1041"/>
                </a:lnTo>
                <a:lnTo>
                  <a:pt x="3621" y="1007"/>
                </a:lnTo>
                <a:lnTo>
                  <a:pt x="3678" y="974"/>
                </a:lnTo>
                <a:lnTo>
                  <a:pt x="3735" y="941"/>
                </a:lnTo>
                <a:lnTo>
                  <a:pt x="0" y="941"/>
                </a:lnTo>
                <a:lnTo>
                  <a:pt x="0" y="0"/>
                </a:lnTo>
                <a:lnTo>
                  <a:pt x="8921" y="0"/>
                </a:lnTo>
                <a:lnTo>
                  <a:pt x="8921" y="941"/>
                </a:lnTo>
                <a:lnTo>
                  <a:pt x="7347" y="941"/>
                </a:lnTo>
                <a:lnTo>
                  <a:pt x="7180" y="944"/>
                </a:lnTo>
                <a:lnTo>
                  <a:pt x="7013" y="950"/>
                </a:lnTo>
                <a:lnTo>
                  <a:pt x="6847" y="961"/>
                </a:lnTo>
                <a:lnTo>
                  <a:pt x="6682" y="976"/>
                </a:lnTo>
                <a:lnTo>
                  <a:pt x="6518" y="995"/>
                </a:lnTo>
                <a:lnTo>
                  <a:pt x="6356" y="1017"/>
                </a:lnTo>
                <a:lnTo>
                  <a:pt x="6196" y="1045"/>
                </a:lnTo>
                <a:lnTo>
                  <a:pt x="6036" y="1076"/>
                </a:lnTo>
                <a:lnTo>
                  <a:pt x="5877" y="1110"/>
                </a:lnTo>
                <a:lnTo>
                  <a:pt x="5720" y="1149"/>
                </a:lnTo>
                <a:lnTo>
                  <a:pt x="5565" y="1191"/>
                </a:lnTo>
                <a:lnTo>
                  <a:pt x="5412" y="1238"/>
                </a:lnTo>
                <a:lnTo>
                  <a:pt x="5259" y="1288"/>
                </a:lnTo>
                <a:lnTo>
                  <a:pt x="5109" y="1341"/>
                </a:lnTo>
                <a:lnTo>
                  <a:pt x="4959" y="1399"/>
                </a:lnTo>
                <a:lnTo>
                  <a:pt x="4813" y="1459"/>
                </a:lnTo>
                <a:lnTo>
                  <a:pt x="4668" y="1523"/>
                </a:lnTo>
                <a:lnTo>
                  <a:pt x="4524" y="1591"/>
                </a:lnTo>
                <a:lnTo>
                  <a:pt x="4382" y="1662"/>
                </a:lnTo>
                <a:lnTo>
                  <a:pt x="4243" y="1736"/>
                </a:lnTo>
                <a:lnTo>
                  <a:pt x="4105" y="1814"/>
                </a:lnTo>
                <a:lnTo>
                  <a:pt x="3969" y="1894"/>
                </a:lnTo>
                <a:lnTo>
                  <a:pt x="3836" y="1978"/>
                </a:lnTo>
                <a:lnTo>
                  <a:pt x="3705" y="2066"/>
                </a:lnTo>
                <a:lnTo>
                  <a:pt x="3576" y="2156"/>
                </a:lnTo>
                <a:lnTo>
                  <a:pt x="3449" y="2249"/>
                </a:lnTo>
                <a:lnTo>
                  <a:pt x="3325" y="2345"/>
                </a:lnTo>
                <a:lnTo>
                  <a:pt x="3202" y="2444"/>
                </a:lnTo>
                <a:lnTo>
                  <a:pt x="3083" y="2547"/>
                </a:lnTo>
                <a:lnTo>
                  <a:pt x="2965" y="2651"/>
                </a:lnTo>
                <a:lnTo>
                  <a:pt x="2851" y="2758"/>
                </a:lnTo>
                <a:lnTo>
                  <a:pt x="2739" y="2868"/>
                </a:lnTo>
                <a:lnTo>
                  <a:pt x="2657" y="2952"/>
                </a:lnTo>
                <a:lnTo>
                  <a:pt x="2576" y="3038"/>
                </a:lnTo>
                <a:lnTo>
                  <a:pt x="2497" y="3125"/>
                </a:lnTo>
                <a:lnTo>
                  <a:pt x="2419" y="3214"/>
                </a:lnTo>
                <a:lnTo>
                  <a:pt x="2343" y="3303"/>
                </a:lnTo>
                <a:lnTo>
                  <a:pt x="2269" y="3395"/>
                </a:lnTo>
                <a:lnTo>
                  <a:pt x="2196" y="3487"/>
                </a:lnTo>
                <a:lnTo>
                  <a:pt x="2125" y="3581"/>
                </a:lnTo>
                <a:lnTo>
                  <a:pt x="2054" y="3676"/>
                </a:lnTo>
                <a:lnTo>
                  <a:pt x="1987" y="3774"/>
                </a:lnTo>
                <a:lnTo>
                  <a:pt x="1921" y="3871"/>
                </a:lnTo>
                <a:lnTo>
                  <a:pt x="1856" y="3970"/>
                </a:lnTo>
                <a:lnTo>
                  <a:pt x="1793" y="4070"/>
                </a:lnTo>
                <a:lnTo>
                  <a:pt x="1733" y="4172"/>
                </a:lnTo>
                <a:lnTo>
                  <a:pt x="1674" y="4274"/>
                </a:lnTo>
                <a:lnTo>
                  <a:pt x="1616" y="4378"/>
                </a:lnTo>
                <a:lnTo>
                  <a:pt x="1560" y="4483"/>
                </a:lnTo>
                <a:lnTo>
                  <a:pt x="1507" y="4589"/>
                </a:lnTo>
                <a:lnTo>
                  <a:pt x="1454" y="4696"/>
                </a:lnTo>
                <a:lnTo>
                  <a:pt x="1404" y="4804"/>
                </a:lnTo>
                <a:lnTo>
                  <a:pt x="1356" y="4914"/>
                </a:lnTo>
                <a:lnTo>
                  <a:pt x="1310" y="5024"/>
                </a:lnTo>
                <a:lnTo>
                  <a:pt x="1265" y="5135"/>
                </a:lnTo>
                <a:lnTo>
                  <a:pt x="1223" y="5247"/>
                </a:lnTo>
                <a:lnTo>
                  <a:pt x="1183" y="5361"/>
                </a:lnTo>
                <a:lnTo>
                  <a:pt x="1145" y="5475"/>
                </a:lnTo>
                <a:lnTo>
                  <a:pt x="1109" y="5589"/>
                </a:lnTo>
                <a:lnTo>
                  <a:pt x="1074" y="5706"/>
                </a:lnTo>
                <a:lnTo>
                  <a:pt x="1042" y="5822"/>
                </a:lnTo>
                <a:lnTo>
                  <a:pt x="1012" y="5940"/>
                </a:lnTo>
                <a:lnTo>
                  <a:pt x="985" y="6059"/>
                </a:lnTo>
                <a:lnTo>
                  <a:pt x="959" y="6178"/>
                </a:lnTo>
                <a:lnTo>
                  <a:pt x="5" y="6178"/>
                </a:lnTo>
                <a:close/>
              </a:path>
            </a:pathLst>
          </a:custGeom>
          <a:solidFill>
            <a:srgbClr val="0000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3" name="Freeform 176">
            <a:extLst>
              <a:ext uri="{FF2B5EF4-FFF2-40B4-BE49-F238E27FC236}">
                <a16:creationId xmlns:a16="http://schemas.microsoft.com/office/drawing/2014/main" id="{00000000-0008-0000-0700-0000B7000000}"/>
              </a:ext>
            </a:extLst>
          </xdr:cNvPr>
          <xdr:cNvSpPr>
            <a:spLocks noEditPoints="1"/>
          </xdr:cNvSpPr>
        </xdr:nvSpPr>
        <xdr:spPr bwMode="auto">
          <a:xfrm>
            <a:off x="65" y="98"/>
            <a:ext cx="187" cy="16"/>
          </a:xfrm>
          <a:custGeom>
            <a:avLst/>
            <a:gdLst>
              <a:gd name="T0" fmla="*/ 0 w 16082"/>
              <a:gd name="T1" fmla="*/ 0 h 1307"/>
              <a:gd name="T2" fmla="*/ 0 w 16082"/>
              <a:gd name="T3" fmla="*/ 0 h 1307"/>
              <a:gd name="T4" fmla="*/ 0 w 16082"/>
              <a:gd name="T5" fmla="*/ 0 h 1307"/>
              <a:gd name="T6" fmla="*/ 0 w 16082"/>
              <a:gd name="T7" fmla="*/ 0 h 1307"/>
              <a:gd name="T8" fmla="*/ 0 w 16082"/>
              <a:gd name="T9" fmla="*/ 0 h 1307"/>
              <a:gd name="T10" fmla="*/ 0 w 16082"/>
              <a:gd name="T11" fmla="*/ 0 h 1307"/>
              <a:gd name="T12" fmla="*/ 0 w 16082"/>
              <a:gd name="T13" fmla="*/ 0 h 1307"/>
              <a:gd name="T14" fmla="*/ 0 w 16082"/>
              <a:gd name="T15" fmla="*/ 0 h 1307"/>
              <a:gd name="T16" fmla="*/ 0 w 16082"/>
              <a:gd name="T17" fmla="*/ 0 h 1307"/>
              <a:gd name="T18" fmla="*/ 0 w 16082"/>
              <a:gd name="T19" fmla="*/ 0 h 1307"/>
              <a:gd name="T20" fmla="*/ 0 w 16082"/>
              <a:gd name="T21" fmla="*/ 0 h 1307"/>
              <a:gd name="T22" fmla="*/ 0 w 16082"/>
              <a:gd name="T23" fmla="*/ 0 h 1307"/>
              <a:gd name="T24" fmla="*/ 0 w 16082"/>
              <a:gd name="T25" fmla="*/ 0 h 1307"/>
              <a:gd name="T26" fmla="*/ 0 w 16082"/>
              <a:gd name="T27" fmla="*/ 0 h 1307"/>
              <a:gd name="T28" fmla="*/ 0 w 16082"/>
              <a:gd name="T29" fmla="*/ 0 h 1307"/>
              <a:gd name="T30" fmla="*/ 0 w 16082"/>
              <a:gd name="T31" fmla="*/ 0 h 1307"/>
              <a:gd name="T32" fmla="*/ 0 w 16082"/>
              <a:gd name="T33" fmla="*/ 0 h 1307"/>
              <a:gd name="T34" fmla="*/ 0 w 16082"/>
              <a:gd name="T35" fmla="*/ 0 h 1307"/>
              <a:gd name="T36" fmla="*/ 0 w 16082"/>
              <a:gd name="T37" fmla="*/ 0 h 1307"/>
              <a:gd name="T38" fmla="*/ 0 w 16082"/>
              <a:gd name="T39" fmla="*/ 0 h 1307"/>
              <a:gd name="T40" fmla="*/ 0 w 16082"/>
              <a:gd name="T41" fmla="*/ 0 h 1307"/>
              <a:gd name="T42" fmla="*/ 0 w 16082"/>
              <a:gd name="T43" fmla="*/ 0 h 1307"/>
              <a:gd name="T44" fmla="*/ 0 w 16082"/>
              <a:gd name="T45" fmla="*/ 0 h 1307"/>
              <a:gd name="T46" fmla="*/ 0 w 16082"/>
              <a:gd name="T47" fmla="*/ 0 h 1307"/>
              <a:gd name="T48" fmla="*/ 0 w 16082"/>
              <a:gd name="T49" fmla="*/ 0 h 1307"/>
              <a:gd name="T50" fmla="*/ 0 w 16082"/>
              <a:gd name="T51" fmla="*/ 0 h 1307"/>
              <a:gd name="T52" fmla="*/ 0 w 16082"/>
              <a:gd name="T53" fmla="*/ 0 h 1307"/>
              <a:gd name="T54" fmla="*/ 0 w 16082"/>
              <a:gd name="T55" fmla="*/ 0 h 1307"/>
              <a:gd name="T56" fmla="*/ 0 w 16082"/>
              <a:gd name="T57" fmla="*/ 0 h 1307"/>
              <a:gd name="T58" fmla="*/ 0 w 16082"/>
              <a:gd name="T59" fmla="*/ 0 h 1307"/>
              <a:gd name="T60" fmla="*/ 0 w 16082"/>
              <a:gd name="T61" fmla="*/ 0 h 1307"/>
              <a:gd name="T62" fmla="*/ 0 w 16082"/>
              <a:gd name="T63" fmla="*/ 0 h 1307"/>
              <a:gd name="T64" fmla="*/ 0 w 16082"/>
              <a:gd name="T65" fmla="*/ 0 h 1307"/>
              <a:gd name="T66" fmla="*/ 0 w 16082"/>
              <a:gd name="T67" fmla="*/ 0 h 1307"/>
              <a:gd name="T68" fmla="*/ 0 w 16082"/>
              <a:gd name="T69" fmla="*/ 0 h 1307"/>
              <a:gd name="T70" fmla="*/ 0 w 16082"/>
              <a:gd name="T71" fmla="*/ 0 h 1307"/>
              <a:gd name="T72" fmla="*/ 0 w 16082"/>
              <a:gd name="T73" fmla="*/ 0 h 1307"/>
              <a:gd name="T74" fmla="*/ 0 w 16082"/>
              <a:gd name="T75" fmla="*/ 0 h 1307"/>
              <a:gd name="T76" fmla="*/ 0 w 16082"/>
              <a:gd name="T77" fmla="*/ 0 h 1307"/>
              <a:gd name="T78" fmla="*/ 0 w 16082"/>
              <a:gd name="T79" fmla="*/ 0 h 1307"/>
              <a:gd name="T80" fmla="*/ 0 w 16082"/>
              <a:gd name="T81" fmla="*/ 0 h 1307"/>
              <a:gd name="T82" fmla="*/ 0 w 16082"/>
              <a:gd name="T83" fmla="*/ 0 h 1307"/>
              <a:gd name="T84" fmla="*/ 0 w 16082"/>
              <a:gd name="T85" fmla="*/ 0 h 1307"/>
              <a:gd name="T86" fmla="*/ 0 w 16082"/>
              <a:gd name="T87" fmla="*/ 0 h 1307"/>
              <a:gd name="T88" fmla="*/ 0 w 16082"/>
              <a:gd name="T89" fmla="*/ 0 h 1307"/>
              <a:gd name="T90" fmla="*/ 0 w 16082"/>
              <a:gd name="T91" fmla="*/ 0 h 1307"/>
              <a:gd name="T92" fmla="*/ 0 w 16082"/>
              <a:gd name="T93" fmla="*/ 0 h 1307"/>
              <a:gd name="T94" fmla="*/ 0 w 16082"/>
              <a:gd name="T95" fmla="*/ 0 h 1307"/>
              <a:gd name="T96" fmla="*/ 0 w 16082"/>
              <a:gd name="T97" fmla="*/ 0 h 1307"/>
              <a:gd name="T98" fmla="*/ 0 w 16082"/>
              <a:gd name="T99" fmla="*/ 0 h 1307"/>
              <a:gd name="T100" fmla="*/ 0 w 16082"/>
              <a:gd name="T101" fmla="*/ 0 h 1307"/>
              <a:gd name="T102" fmla="*/ 0 w 16082"/>
              <a:gd name="T103" fmla="*/ 0 h 1307"/>
              <a:gd name="T104" fmla="*/ 0 w 16082"/>
              <a:gd name="T105" fmla="*/ 0 h 1307"/>
              <a:gd name="T106" fmla="*/ 0 w 16082"/>
              <a:gd name="T107" fmla="*/ 0 h 1307"/>
              <a:gd name="T108" fmla="*/ 0 w 16082"/>
              <a:gd name="T109" fmla="*/ 0 h 1307"/>
              <a:gd name="T110" fmla="*/ 0 w 16082"/>
              <a:gd name="T111" fmla="*/ 0 h 1307"/>
              <a:gd name="T112" fmla="*/ 0 w 16082"/>
              <a:gd name="T113" fmla="*/ 0 h 1307"/>
              <a:gd name="T114" fmla="*/ 0 w 16082"/>
              <a:gd name="T115" fmla="*/ 0 h 1307"/>
              <a:gd name="T116" fmla="*/ 0 w 16082"/>
              <a:gd name="T117" fmla="*/ 0 h 1307"/>
              <a:gd name="T118" fmla="*/ 0 w 16082"/>
              <a:gd name="T119" fmla="*/ 0 h 1307"/>
              <a:gd name="T120" fmla="*/ 0 w 16082"/>
              <a:gd name="T121" fmla="*/ 0 h 1307"/>
              <a:gd name="T122" fmla="*/ 0 w 16082"/>
              <a:gd name="T123" fmla="*/ 0 h 1307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16082"/>
              <a:gd name="T187" fmla="*/ 0 h 1307"/>
              <a:gd name="T188" fmla="*/ 16082 w 16082"/>
              <a:gd name="T189" fmla="*/ 1307 h 1307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16082" h="1307">
                <a:moveTo>
                  <a:pt x="395" y="983"/>
                </a:moveTo>
                <a:lnTo>
                  <a:pt x="395" y="136"/>
                </a:lnTo>
                <a:lnTo>
                  <a:pt x="0" y="136"/>
                </a:lnTo>
                <a:lnTo>
                  <a:pt x="0" y="10"/>
                </a:lnTo>
                <a:lnTo>
                  <a:pt x="943" y="10"/>
                </a:lnTo>
                <a:lnTo>
                  <a:pt x="943" y="136"/>
                </a:lnTo>
                <a:lnTo>
                  <a:pt x="548" y="136"/>
                </a:lnTo>
                <a:lnTo>
                  <a:pt x="548" y="983"/>
                </a:lnTo>
                <a:lnTo>
                  <a:pt x="395" y="983"/>
                </a:lnTo>
                <a:close/>
                <a:moveTo>
                  <a:pt x="1392" y="915"/>
                </a:moveTo>
                <a:lnTo>
                  <a:pt x="1374" y="925"/>
                </a:lnTo>
                <a:lnTo>
                  <a:pt x="1357" y="934"/>
                </a:lnTo>
                <a:lnTo>
                  <a:pt x="1339" y="943"/>
                </a:lnTo>
                <a:lnTo>
                  <a:pt x="1321" y="951"/>
                </a:lnTo>
                <a:lnTo>
                  <a:pt x="1303" y="959"/>
                </a:lnTo>
                <a:lnTo>
                  <a:pt x="1284" y="965"/>
                </a:lnTo>
                <a:lnTo>
                  <a:pt x="1265" y="972"/>
                </a:lnTo>
                <a:lnTo>
                  <a:pt x="1246" y="977"/>
                </a:lnTo>
                <a:lnTo>
                  <a:pt x="1227" y="982"/>
                </a:lnTo>
                <a:lnTo>
                  <a:pt x="1209" y="986"/>
                </a:lnTo>
                <a:lnTo>
                  <a:pt x="1190" y="989"/>
                </a:lnTo>
                <a:lnTo>
                  <a:pt x="1170" y="992"/>
                </a:lnTo>
                <a:lnTo>
                  <a:pt x="1151" y="994"/>
                </a:lnTo>
                <a:lnTo>
                  <a:pt x="1132" y="996"/>
                </a:lnTo>
                <a:lnTo>
                  <a:pt x="1112" y="997"/>
                </a:lnTo>
                <a:lnTo>
                  <a:pt x="1092" y="997"/>
                </a:lnTo>
                <a:lnTo>
                  <a:pt x="1070" y="997"/>
                </a:lnTo>
                <a:lnTo>
                  <a:pt x="1050" y="996"/>
                </a:lnTo>
                <a:lnTo>
                  <a:pt x="1031" y="994"/>
                </a:lnTo>
                <a:lnTo>
                  <a:pt x="1011" y="991"/>
                </a:lnTo>
                <a:lnTo>
                  <a:pt x="993" y="988"/>
                </a:lnTo>
                <a:lnTo>
                  <a:pt x="975" y="984"/>
                </a:lnTo>
                <a:lnTo>
                  <a:pt x="957" y="979"/>
                </a:lnTo>
                <a:lnTo>
                  <a:pt x="940" y="974"/>
                </a:lnTo>
                <a:lnTo>
                  <a:pt x="924" y="968"/>
                </a:lnTo>
                <a:lnTo>
                  <a:pt x="908" y="961"/>
                </a:lnTo>
                <a:lnTo>
                  <a:pt x="893" y="953"/>
                </a:lnTo>
                <a:lnTo>
                  <a:pt x="877" y="945"/>
                </a:lnTo>
                <a:lnTo>
                  <a:pt x="862" y="935"/>
                </a:lnTo>
                <a:lnTo>
                  <a:pt x="849" y="925"/>
                </a:lnTo>
                <a:lnTo>
                  <a:pt x="835" y="914"/>
                </a:lnTo>
                <a:lnTo>
                  <a:pt x="823" y="903"/>
                </a:lnTo>
                <a:lnTo>
                  <a:pt x="810" y="891"/>
                </a:lnTo>
                <a:lnTo>
                  <a:pt x="799" y="879"/>
                </a:lnTo>
                <a:lnTo>
                  <a:pt x="789" y="866"/>
                </a:lnTo>
                <a:lnTo>
                  <a:pt x="779" y="852"/>
                </a:lnTo>
                <a:lnTo>
                  <a:pt x="770" y="838"/>
                </a:lnTo>
                <a:lnTo>
                  <a:pt x="762" y="823"/>
                </a:lnTo>
                <a:lnTo>
                  <a:pt x="754" y="808"/>
                </a:lnTo>
                <a:lnTo>
                  <a:pt x="748" y="793"/>
                </a:lnTo>
                <a:lnTo>
                  <a:pt x="742" y="777"/>
                </a:lnTo>
                <a:lnTo>
                  <a:pt x="737" y="760"/>
                </a:lnTo>
                <a:lnTo>
                  <a:pt x="733" y="743"/>
                </a:lnTo>
                <a:lnTo>
                  <a:pt x="729" y="726"/>
                </a:lnTo>
                <a:lnTo>
                  <a:pt x="726" y="708"/>
                </a:lnTo>
                <a:lnTo>
                  <a:pt x="724" y="690"/>
                </a:lnTo>
                <a:lnTo>
                  <a:pt x="723" y="671"/>
                </a:lnTo>
                <a:lnTo>
                  <a:pt x="723" y="651"/>
                </a:lnTo>
                <a:lnTo>
                  <a:pt x="723" y="634"/>
                </a:lnTo>
                <a:lnTo>
                  <a:pt x="724" y="616"/>
                </a:lnTo>
                <a:lnTo>
                  <a:pt x="726" y="600"/>
                </a:lnTo>
                <a:lnTo>
                  <a:pt x="729" y="582"/>
                </a:lnTo>
                <a:lnTo>
                  <a:pt x="732" y="566"/>
                </a:lnTo>
                <a:lnTo>
                  <a:pt x="736" y="551"/>
                </a:lnTo>
                <a:lnTo>
                  <a:pt x="741" y="536"/>
                </a:lnTo>
                <a:lnTo>
                  <a:pt x="747" y="521"/>
                </a:lnTo>
                <a:lnTo>
                  <a:pt x="753" y="507"/>
                </a:lnTo>
                <a:lnTo>
                  <a:pt x="760" y="492"/>
                </a:lnTo>
                <a:lnTo>
                  <a:pt x="768" y="479"/>
                </a:lnTo>
                <a:lnTo>
                  <a:pt x="777" y="466"/>
                </a:lnTo>
                <a:lnTo>
                  <a:pt x="786" y="453"/>
                </a:lnTo>
                <a:lnTo>
                  <a:pt x="796" y="441"/>
                </a:lnTo>
                <a:lnTo>
                  <a:pt x="807" y="429"/>
                </a:lnTo>
                <a:lnTo>
                  <a:pt x="819" y="418"/>
                </a:lnTo>
                <a:lnTo>
                  <a:pt x="831" y="406"/>
                </a:lnTo>
                <a:lnTo>
                  <a:pt x="844" y="396"/>
                </a:lnTo>
                <a:lnTo>
                  <a:pt x="857" y="387"/>
                </a:lnTo>
                <a:lnTo>
                  <a:pt x="871" y="378"/>
                </a:lnTo>
                <a:lnTo>
                  <a:pt x="886" y="370"/>
                </a:lnTo>
                <a:lnTo>
                  <a:pt x="900" y="363"/>
                </a:lnTo>
                <a:lnTo>
                  <a:pt x="915" y="356"/>
                </a:lnTo>
                <a:lnTo>
                  <a:pt x="931" y="350"/>
                </a:lnTo>
                <a:lnTo>
                  <a:pt x="946" y="345"/>
                </a:lnTo>
                <a:lnTo>
                  <a:pt x="963" y="341"/>
                </a:lnTo>
                <a:lnTo>
                  <a:pt x="979" y="337"/>
                </a:lnTo>
                <a:lnTo>
                  <a:pt x="997" y="334"/>
                </a:lnTo>
                <a:lnTo>
                  <a:pt x="1014" y="331"/>
                </a:lnTo>
                <a:lnTo>
                  <a:pt x="1033" y="330"/>
                </a:lnTo>
                <a:lnTo>
                  <a:pt x="1051" y="329"/>
                </a:lnTo>
                <a:lnTo>
                  <a:pt x="1070" y="328"/>
                </a:lnTo>
                <a:lnTo>
                  <a:pt x="1090" y="329"/>
                </a:lnTo>
                <a:lnTo>
                  <a:pt x="1109" y="330"/>
                </a:lnTo>
                <a:lnTo>
                  <a:pt x="1126" y="331"/>
                </a:lnTo>
                <a:lnTo>
                  <a:pt x="1144" y="334"/>
                </a:lnTo>
                <a:lnTo>
                  <a:pt x="1161" y="337"/>
                </a:lnTo>
                <a:lnTo>
                  <a:pt x="1177" y="341"/>
                </a:lnTo>
                <a:lnTo>
                  <a:pt x="1193" y="345"/>
                </a:lnTo>
                <a:lnTo>
                  <a:pt x="1209" y="351"/>
                </a:lnTo>
                <a:lnTo>
                  <a:pt x="1223" y="357"/>
                </a:lnTo>
                <a:lnTo>
                  <a:pt x="1238" y="363"/>
                </a:lnTo>
                <a:lnTo>
                  <a:pt x="1252" y="371"/>
                </a:lnTo>
                <a:lnTo>
                  <a:pt x="1265" y="379"/>
                </a:lnTo>
                <a:lnTo>
                  <a:pt x="1279" y="388"/>
                </a:lnTo>
                <a:lnTo>
                  <a:pt x="1292" y="397"/>
                </a:lnTo>
                <a:lnTo>
                  <a:pt x="1303" y="407"/>
                </a:lnTo>
                <a:lnTo>
                  <a:pt x="1315" y="419"/>
                </a:lnTo>
                <a:lnTo>
                  <a:pt x="1326" y="431"/>
                </a:lnTo>
                <a:lnTo>
                  <a:pt x="1336" y="443"/>
                </a:lnTo>
                <a:lnTo>
                  <a:pt x="1345" y="455"/>
                </a:lnTo>
                <a:lnTo>
                  <a:pt x="1354" y="468"/>
                </a:lnTo>
                <a:lnTo>
                  <a:pt x="1362" y="482"/>
                </a:lnTo>
                <a:lnTo>
                  <a:pt x="1369" y="496"/>
                </a:lnTo>
                <a:lnTo>
                  <a:pt x="1376" y="511"/>
                </a:lnTo>
                <a:lnTo>
                  <a:pt x="1382" y="526"/>
                </a:lnTo>
                <a:lnTo>
                  <a:pt x="1387" y="542"/>
                </a:lnTo>
                <a:lnTo>
                  <a:pt x="1392" y="558"/>
                </a:lnTo>
                <a:lnTo>
                  <a:pt x="1395" y="574"/>
                </a:lnTo>
                <a:lnTo>
                  <a:pt x="1399" y="592"/>
                </a:lnTo>
                <a:lnTo>
                  <a:pt x="1401" y="610"/>
                </a:lnTo>
                <a:lnTo>
                  <a:pt x="1403" y="628"/>
                </a:lnTo>
                <a:lnTo>
                  <a:pt x="1404" y="646"/>
                </a:lnTo>
                <a:lnTo>
                  <a:pt x="1404" y="665"/>
                </a:lnTo>
                <a:lnTo>
                  <a:pt x="1404" y="684"/>
                </a:lnTo>
                <a:lnTo>
                  <a:pt x="872" y="684"/>
                </a:lnTo>
                <a:lnTo>
                  <a:pt x="874" y="706"/>
                </a:lnTo>
                <a:lnTo>
                  <a:pt x="879" y="727"/>
                </a:lnTo>
                <a:lnTo>
                  <a:pt x="885" y="746"/>
                </a:lnTo>
                <a:lnTo>
                  <a:pt x="893" y="766"/>
                </a:lnTo>
                <a:lnTo>
                  <a:pt x="897" y="774"/>
                </a:lnTo>
                <a:lnTo>
                  <a:pt x="902" y="783"/>
                </a:lnTo>
                <a:lnTo>
                  <a:pt x="907" y="791"/>
                </a:lnTo>
                <a:lnTo>
                  <a:pt x="912" y="799"/>
                </a:lnTo>
                <a:lnTo>
                  <a:pt x="918" y="806"/>
                </a:lnTo>
                <a:lnTo>
                  <a:pt x="925" y="813"/>
                </a:lnTo>
                <a:lnTo>
                  <a:pt x="932" y="820"/>
                </a:lnTo>
                <a:lnTo>
                  <a:pt x="939" y="826"/>
                </a:lnTo>
                <a:lnTo>
                  <a:pt x="946" y="832"/>
                </a:lnTo>
                <a:lnTo>
                  <a:pt x="954" y="838"/>
                </a:lnTo>
                <a:lnTo>
                  <a:pt x="962" y="843"/>
                </a:lnTo>
                <a:lnTo>
                  <a:pt x="971" y="848"/>
                </a:lnTo>
                <a:lnTo>
                  <a:pt x="989" y="858"/>
                </a:lnTo>
                <a:lnTo>
                  <a:pt x="1009" y="865"/>
                </a:lnTo>
                <a:lnTo>
                  <a:pt x="1029" y="871"/>
                </a:lnTo>
                <a:lnTo>
                  <a:pt x="1051" y="874"/>
                </a:lnTo>
                <a:lnTo>
                  <a:pt x="1074" y="877"/>
                </a:lnTo>
                <a:lnTo>
                  <a:pt x="1099" y="878"/>
                </a:lnTo>
                <a:lnTo>
                  <a:pt x="1116" y="877"/>
                </a:lnTo>
                <a:lnTo>
                  <a:pt x="1134" y="876"/>
                </a:lnTo>
                <a:lnTo>
                  <a:pt x="1151" y="875"/>
                </a:lnTo>
                <a:lnTo>
                  <a:pt x="1168" y="872"/>
                </a:lnTo>
                <a:lnTo>
                  <a:pt x="1186" y="869"/>
                </a:lnTo>
                <a:lnTo>
                  <a:pt x="1204" y="865"/>
                </a:lnTo>
                <a:lnTo>
                  <a:pt x="1222" y="861"/>
                </a:lnTo>
                <a:lnTo>
                  <a:pt x="1240" y="855"/>
                </a:lnTo>
                <a:lnTo>
                  <a:pt x="1258" y="848"/>
                </a:lnTo>
                <a:lnTo>
                  <a:pt x="1278" y="842"/>
                </a:lnTo>
                <a:lnTo>
                  <a:pt x="1296" y="834"/>
                </a:lnTo>
                <a:lnTo>
                  <a:pt x="1315" y="826"/>
                </a:lnTo>
                <a:lnTo>
                  <a:pt x="1334" y="817"/>
                </a:lnTo>
                <a:lnTo>
                  <a:pt x="1353" y="808"/>
                </a:lnTo>
                <a:lnTo>
                  <a:pt x="1373" y="798"/>
                </a:lnTo>
                <a:lnTo>
                  <a:pt x="1392" y="786"/>
                </a:lnTo>
                <a:lnTo>
                  <a:pt x="1392" y="915"/>
                </a:lnTo>
                <a:close/>
                <a:moveTo>
                  <a:pt x="872" y="593"/>
                </a:moveTo>
                <a:lnTo>
                  <a:pt x="1248" y="593"/>
                </a:lnTo>
                <a:lnTo>
                  <a:pt x="1246" y="575"/>
                </a:lnTo>
                <a:lnTo>
                  <a:pt x="1242" y="559"/>
                </a:lnTo>
                <a:lnTo>
                  <a:pt x="1237" y="544"/>
                </a:lnTo>
                <a:lnTo>
                  <a:pt x="1231" y="530"/>
                </a:lnTo>
                <a:lnTo>
                  <a:pt x="1223" y="516"/>
                </a:lnTo>
                <a:lnTo>
                  <a:pt x="1214" y="504"/>
                </a:lnTo>
                <a:lnTo>
                  <a:pt x="1204" y="491"/>
                </a:lnTo>
                <a:lnTo>
                  <a:pt x="1192" y="480"/>
                </a:lnTo>
                <a:lnTo>
                  <a:pt x="1180" y="470"/>
                </a:lnTo>
                <a:lnTo>
                  <a:pt x="1166" y="462"/>
                </a:lnTo>
                <a:lnTo>
                  <a:pt x="1152" y="454"/>
                </a:lnTo>
                <a:lnTo>
                  <a:pt x="1137" y="448"/>
                </a:lnTo>
                <a:lnTo>
                  <a:pt x="1121" y="444"/>
                </a:lnTo>
                <a:lnTo>
                  <a:pt x="1105" y="441"/>
                </a:lnTo>
                <a:lnTo>
                  <a:pt x="1088" y="439"/>
                </a:lnTo>
                <a:lnTo>
                  <a:pt x="1069" y="438"/>
                </a:lnTo>
                <a:lnTo>
                  <a:pt x="1049" y="439"/>
                </a:lnTo>
                <a:lnTo>
                  <a:pt x="1030" y="440"/>
                </a:lnTo>
                <a:lnTo>
                  <a:pt x="1012" y="443"/>
                </a:lnTo>
                <a:lnTo>
                  <a:pt x="995" y="448"/>
                </a:lnTo>
                <a:lnTo>
                  <a:pt x="980" y="453"/>
                </a:lnTo>
                <a:lnTo>
                  <a:pt x="965" y="460"/>
                </a:lnTo>
                <a:lnTo>
                  <a:pt x="951" y="468"/>
                </a:lnTo>
                <a:lnTo>
                  <a:pt x="938" y="477"/>
                </a:lnTo>
                <a:lnTo>
                  <a:pt x="926" y="487"/>
                </a:lnTo>
                <a:lnTo>
                  <a:pt x="915" y="498"/>
                </a:lnTo>
                <a:lnTo>
                  <a:pt x="905" y="512"/>
                </a:lnTo>
                <a:lnTo>
                  <a:pt x="897" y="526"/>
                </a:lnTo>
                <a:lnTo>
                  <a:pt x="889" y="541"/>
                </a:lnTo>
                <a:lnTo>
                  <a:pt x="882" y="557"/>
                </a:lnTo>
                <a:lnTo>
                  <a:pt x="876" y="574"/>
                </a:lnTo>
                <a:lnTo>
                  <a:pt x="872" y="593"/>
                </a:lnTo>
                <a:close/>
                <a:moveTo>
                  <a:pt x="2093" y="831"/>
                </a:moveTo>
                <a:lnTo>
                  <a:pt x="2093" y="962"/>
                </a:lnTo>
                <a:lnTo>
                  <a:pt x="2066" y="970"/>
                </a:lnTo>
                <a:lnTo>
                  <a:pt x="2039" y="977"/>
                </a:lnTo>
                <a:lnTo>
                  <a:pt x="2013" y="983"/>
                </a:lnTo>
                <a:lnTo>
                  <a:pt x="1988" y="987"/>
                </a:lnTo>
                <a:lnTo>
                  <a:pt x="1963" y="991"/>
                </a:lnTo>
                <a:lnTo>
                  <a:pt x="1938" y="994"/>
                </a:lnTo>
                <a:lnTo>
                  <a:pt x="1913" y="995"/>
                </a:lnTo>
                <a:lnTo>
                  <a:pt x="1888" y="996"/>
                </a:lnTo>
                <a:lnTo>
                  <a:pt x="1866" y="995"/>
                </a:lnTo>
                <a:lnTo>
                  <a:pt x="1844" y="994"/>
                </a:lnTo>
                <a:lnTo>
                  <a:pt x="1824" y="993"/>
                </a:lnTo>
                <a:lnTo>
                  <a:pt x="1804" y="990"/>
                </a:lnTo>
                <a:lnTo>
                  <a:pt x="1785" y="987"/>
                </a:lnTo>
                <a:lnTo>
                  <a:pt x="1766" y="983"/>
                </a:lnTo>
                <a:lnTo>
                  <a:pt x="1747" y="978"/>
                </a:lnTo>
                <a:lnTo>
                  <a:pt x="1729" y="972"/>
                </a:lnTo>
                <a:lnTo>
                  <a:pt x="1712" y="966"/>
                </a:lnTo>
                <a:lnTo>
                  <a:pt x="1695" y="959"/>
                </a:lnTo>
                <a:lnTo>
                  <a:pt x="1678" y="952"/>
                </a:lnTo>
                <a:lnTo>
                  <a:pt x="1661" y="943"/>
                </a:lnTo>
                <a:lnTo>
                  <a:pt x="1646" y="933"/>
                </a:lnTo>
                <a:lnTo>
                  <a:pt x="1631" y="923"/>
                </a:lnTo>
                <a:lnTo>
                  <a:pt x="1616" y="913"/>
                </a:lnTo>
                <a:lnTo>
                  <a:pt x="1602" y="901"/>
                </a:lnTo>
                <a:lnTo>
                  <a:pt x="1588" y="890"/>
                </a:lnTo>
                <a:lnTo>
                  <a:pt x="1576" y="877"/>
                </a:lnTo>
                <a:lnTo>
                  <a:pt x="1564" y="865"/>
                </a:lnTo>
                <a:lnTo>
                  <a:pt x="1553" y="852"/>
                </a:lnTo>
                <a:lnTo>
                  <a:pt x="1543" y="837"/>
                </a:lnTo>
                <a:lnTo>
                  <a:pt x="1534" y="823"/>
                </a:lnTo>
                <a:lnTo>
                  <a:pt x="1526" y="809"/>
                </a:lnTo>
                <a:lnTo>
                  <a:pt x="1519" y="794"/>
                </a:lnTo>
                <a:lnTo>
                  <a:pt x="1512" y="779"/>
                </a:lnTo>
                <a:lnTo>
                  <a:pt x="1507" y="764"/>
                </a:lnTo>
                <a:lnTo>
                  <a:pt x="1502" y="747"/>
                </a:lnTo>
                <a:lnTo>
                  <a:pt x="1498" y="731"/>
                </a:lnTo>
                <a:lnTo>
                  <a:pt x="1495" y="714"/>
                </a:lnTo>
                <a:lnTo>
                  <a:pt x="1493" y="697"/>
                </a:lnTo>
                <a:lnTo>
                  <a:pt x="1491" y="680"/>
                </a:lnTo>
                <a:lnTo>
                  <a:pt x="1491" y="661"/>
                </a:lnTo>
                <a:lnTo>
                  <a:pt x="1491" y="643"/>
                </a:lnTo>
                <a:lnTo>
                  <a:pt x="1493" y="626"/>
                </a:lnTo>
                <a:lnTo>
                  <a:pt x="1495" y="609"/>
                </a:lnTo>
                <a:lnTo>
                  <a:pt x="1498" y="593"/>
                </a:lnTo>
                <a:lnTo>
                  <a:pt x="1502" y="576"/>
                </a:lnTo>
                <a:lnTo>
                  <a:pt x="1507" y="560"/>
                </a:lnTo>
                <a:lnTo>
                  <a:pt x="1512" y="545"/>
                </a:lnTo>
                <a:lnTo>
                  <a:pt x="1519" y="530"/>
                </a:lnTo>
                <a:lnTo>
                  <a:pt x="1526" y="516"/>
                </a:lnTo>
                <a:lnTo>
                  <a:pt x="1534" y="501"/>
                </a:lnTo>
                <a:lnTo>
                  <a:pt x="1543" y="487"/>
                </a:lnTo>
                <a:lnTo>
                  <a:pt x="1553" y="473"/>
                </a:lnTo>
                <a:lnTo>
                  <a:pt x="1564" y="460"/>
                </a:lnTo>
                <a:lnTo>
                  <a:pt x="1576" y="447"/>
                </a:lnTo>
                <a:lnTo>
                  <a:pt x="1588" y="435"/>
                </a:lnTo>
                <a:lnTo>
                  <a:pt x="1602" y="422"/>
                </a:lnTo>
                <a:lnTo>
                  <a:pt x="1616" y="410"/>
                </a:lnTo>
                <a:lnTo>
                  <a:pt x="1630" y="399"/>
                </a:lnTo>
                <a:lnTo>
                  <a:pt x="1645" y="389"/>
                </a:lnTo>
                <a:lnTo>
                  <a:pt x="1661" y="380"/>
                </a:lnTo>
                <a:lnTo>
                  <a:pt x="1678" y="372"/>
                </a:lnTo>
                <a:lnTo>
                  <a:pt x="1694" y="364"/>
                </a:lnTo>
                <a:lnTo>
                  <a:pt x="1711" y="357"/>
                </a:lnTo>
                <a:lnTo>
                  <a:pt x="1728" y="350"/>
                </a:lnTo>
                <a:lnTo>
                  <a:pt x="1745" y="345"/>
                </a:lnTo>
                <a:lnTo>
                  <a:pt x="1763" y="340"/>
                </a:lnTo>
                <a:lnTo>
                  <a:pt x="1782" y="336"/>
                </a:lnTo>
                <a:lnTo>
                  <a:pt x="1801" y="333"/>
                </a:lnTo>
                <a:lnTo>
                  <a:pt x="1820" y="330"/>
                </a:lnTo>
                <a:lnTo>
                  <a:pt x="1840" y="328"/>
                </a:lnTo>
                <a:lnTo>
                  <a:pt x="1860" y="327"/>
                </a:lnTo>
                <a:lnTo>
                  <a:pt x="1881" y="327"/>
                </a:lnTo>
                <a:lnTo>
                  <a:pt x="1907" y="327"/>
                </a:lnTo>
                <a:lnTo>
                  <a:pt x="1932" y="329"/>
                </a:lnTo>
                <a:lnTo>
                  <a:pt x="1958" y="332"/>
                </a:lnTo>
                <a:lnTo>
                  <a:pt x="1983" y="336"/>
                </a:lnTo>
                <a:lnTo>
                  <a:pt x="2007" y="342"/>
                </a:lnTo>
                <a:lnTo>
                  <a:pt x="2032" y="348"/>
                </a:lnTo>
                <a:lnTo>
                  <a:pt x="2056" y="357"/>
                </a:lnTo>
                <a:lnTo>
                  <a:pt x="2081" y="366"/>
                </a:lnTo>
                <a:lnTo>
                  <a:pt x="2081" y="503"/>
                </a:lnTo>
                <a:lnTo>
                  <a:pt x="2056" y="490"/>
                </a:lnTo>
                <a:lnTo>
                  <a:pt x="2032" y="479"/>
                </a:lnTo>
                <a:lnTo>
                  <a:pt x="2007" y="470"/>
                </a:lnTo>
                <a:lnTo>
                  <a:pt x="1984" y="463"/>
                </a:lnTo>
                <a:lnTo>
                  <a:pt x="1959" y="457"/>
                </a:lnTo>
                <a:lnTo>
                  <a:pt x="1935" y="453"/>
                </a:lnTo>
                <a:lnTo>
                  <a:pt x="1911" y="451"/>
                </a:lnTo>
                <a:lnTo>
                  <a:pt x="1886" y="450"/>
                </a:lnTo>
                <a:lnTo>
                  <a:pt x="1859" y="451"/>
                </a:lnTo>
                <a:lnTo>
                  <a:pt x="1833" y="454"/>
                </a:lnTo>
                <a:lnTo>
                  <a:pt x="1821" y="456"/>
                </a:lnTo>
                <a:lnTo>
                  <a:pt x="1809" y="458"/>
                </a:lnTo>
                <a:lnTo>
                  <a:pt x="1798" y="461"/>
                </a:lnTo>
                <a:lnTo>
                  <a:pt x="1786" y="465"/>
                </a:lnTo>
                <a:lnTo>
                  <a:pt x="1775" y="469"/>
                </a:lnTo>
                <a:lnTo>
                  <a:pt x="1765" y="473"/>
                </a:lnTo>
                <a:lnTo>
                  <a:pt x="1754" y="478"/>
                </a:lnTo>
                <a:lnTo>
                  <a:pt x="1745" y="483"/>
                </a:lnTo>
                <a:lnTo>
                  <a:pt x="1735" y="489"/>
                </a:lnTo>
                <a:lnTo>
                  <a:pt x="1726" y="495"/>
                </a:lnTo>
                <a:lnTo>
                  <a:pt x="1716" y="502"/>
                </a:lnTo>
                <a:lnTo>
                  <a:pt x="1708" y="509"/>
                </a:lnTo>
                <a:lnTo>
                  <a:pt x="1699" y="517"/>
                </a:lnTo>
                <a:lnTo>
                  <a:pt x="1692" y="525"/>
                </a:lnTo>
                <a:lnTo>
                  <a:pt x="1685" y="533"/>
                </a:lnTo>
                <a:lnTo>
                  <a:pt x="1678" y="541"/>
                </a:lnTo>
                <a:lnTo>
                  <a:pt x="1672" y="549"/>
                </a:lnTo>
                <a:lnTo>
                  <a:pt x="1665" y="558"/>
                </a:lnTo>
                <a:lnTo>
                  <a:pt x="1660" y="567"/>
                </a:lnTo>
                <a:lnTo>
                  <a:pt x="1656" y="576"/>
                </a:lnTo>
                <a:lnTo>
                  <a:pt x="1651" y="586"/>
                </a:lnTo>
                <a:lnTo>
                  <a:pt x="1648" y="597"/>
                </a:lnTo>
                <a:lnTo>
                  <a:pt x="1645" y="607"/>
                </a:lnTo>
                <a:lnTo>
                  <a:pt x="1643" y="617"/>
                </a:lnTo>
                <a:lnTo>
                  <a:pt x="1641" y="627"/>
                </a:lnTo>
                <a:lnTo>
                  <a:pt x="1639" y="638"/>
                </a:lnTo>
                <a:lnTo>
                  <a:pt x="1639" y="649"/>
                </a:lnTo>
                <a:lnTo>
                  <a:pt x="1638" y="661"/>
                </a:lnTo>
                <a:lnTo>
                  <a:pt x="1639" y="672"/>
                </a:lnTo>
                <a:lnTo>
                  <a:pt x="1640" y="685"/>
                </a:lnTo>
                <a:lnTo>
                  <a:pt x="1641" y="696"/>
                </a:lnTo>
                <a:lnTo>
                  <a:pt x="1643" y="706"/>
                </a:lnTo>
                <a:lnTo>
                  <a:pt x="1645" y="717"/>
                </a:lnTo>
                <a:lnTo>
                  <a:pt x="1648" y="727"/>
                </a:lnTo>
                <a:lnTo>
                  <a:pt x="1652" y="737"/>
                </a:lnTo>
                <a:lnTo>
                  <a:pt x="1656" y="746"/>
                </a:lnTo>
                <a:lnTo>
                  <a:pt x="1660" y="756"/>
                </a:lnTo>
                <a:lnTo>
                  <a:pt x="1666" y="766"/>
                </a:lnTo>
                <a:lnTo>
                  <a:pt x="1672" y="775"/>
                </a:lnTo>
                <a:lnTo>
                  <a:pt x="1679" y="783"/>
                </a:lnTo>
                <a:lnTo>
                  <a:pt x="1685" y="792"/>
                </a:lnTo>
                <a:lnTo>
                  <a:pt x="1693" y="800"/>
                </a:lnTo>
                <a:lnTo>
                  <a:pt x="1701" y="807"/>
                </a:lnTo>
                <a:lnTo>
                  <a:pt x="1709" y="815"/>
                </a:lnTo>
                <a:lnTo>
                  <a:pt x="1718" y="822"/>
                </a:lnTo>
                <a:lnTo>
                  <a:pt x="1727" y="829"/>
                </a:lnTo>
                <a:lnTo>
                  <a:pt x="1737" y="835"/>
                </a:lnTo>
                <a:lnTo>
                  <a:pt x="1747" y="841"/>
                </a:lnTo>
                <a:lnTo>
                  <a:pt x="1757" y="846"/>
                </a:lnTo>
                <a:lnTo>
                  <a:pt x="1767" y="852"/>
                </a:lnTo>
                <a:lnTo>
                  <a:pt x="1778" y="856"/>
                </a:lnTo>
                <a:lnTo>
                  <a:pt x="1790" y="860"/>
                </a:lnTo>
                <a:lnTo>
                  <a:pt x="1801" y="864"/>
                </a:lnTo>
                <a:lnTo>
                  <a:pt x="1813" y="867"/>
                </a:lnTo>
                <a:lnTo>
                  <a:pt x="1825" y="869"/>
                </a:lnTo>
                <a:lnTo>
                  <a:pt x="1838" y="871"/>
                </a:lnTo>
                <a:lnTo>
                  <a:pt x="1865" y="874"/>
                </a:lnTo>
                <a:lnTo>
                  <a:pt x="1893" y="875"/>
                </a:lnTo>
                <a:lnTo>
                  <a:pt x="1919" y="874"/>
                </a:lnTo>
                <a:lnTo>
                  <a:pt x="1944" y="872"/>
                </a:lnTo>
                <a:lnTo>
                  <a:pt x="1969" y="869"/>
                </a:lnTo>
                <a:lnTo>
                  <a:pt x="1994" y="864"/>
                </a:lnTo>
                <a:lnTo>
                  <a:pt x="2019" y="858"/>
                </a:lnTo>
                <a:lnTo>
                  <a:pt x="2043" y="850"/>
                </a:lnTo>
                <a:lnTo>
                  <a:pt x="2069" y="841"/>
                </a:lnTo>
                <a:lnTo>
                  <a:pt x="2093" y="831"/>
                </a:lnTo>
                <a:close/>
                <a:moveTo>
                  <a:pt x="2229" y="983"/>
                </a:moveTo>
                <a:lnTo>
                  <a:pt x="2229" y="341"/>
                </a:lnTo>
                <a:lnTo>
                  <a:pt x="2371" y="341"/>
                </a:lnTo>
                <a:lnTo>
                  <a:pt x="2371" y="419"/>
                </a:lnTo>
                <a:lnTo>
                  <a:pt x="2384" y="407"/>
                </a:lnTo>
                <a:lnTo>
                  <a:pt x="2397" y="397"/>
                </a:lnTo>
                <a:lnTo>
                  <a:pt x="2410" y="388"/>
                </a:lnTo>
                <a:lnTo>
                  <a:pt x="2424" y="379"/>
                </a:lnTo>
                <a:lnTo>
                  <a:pt x="2437" y="371"/>
                </a:lnTo>
                <a:lnTo>
                  <a:pt x="2450" y="364"/>
                </a:lnTo>
                <a:lnTo>
                  <a:pt x="2464" y="358"/>
                </a:lnTo>
                <a:lnTo>
                  <a:pt x="2477" y="352"/>
                </a:lnTo>
                <a:lnTo>
                  <a:pt x="2490" y="347"/>
                </a:lnTo>
                <a:lnTo>
                  <a:pt x="2504" y="343"/>
                </a:lnTo>
                <a:lnTo>
                  <a:pt x="2517" y="339"/>
                </a:lnTo>
                <a:lnTo>
                  <a:pt x="2531" y="336"/>
                </a:lnTo>
                <a:lnTo>
                  <a:pt x="2546" y="334"/>
                </a:lnTo>
                <a:lnTo>
                  <a:pt x="2560" y="332"/>
                </a:lnTo>
                <a:lnTo>
                  <a:pt x="2575" y="331"/>
                </a:lnTo>
                <a:lnTo>
                  <a:pt x="2590" y="331"/>
                </a:lnTo>
                <a:lnTo>
                  <a:pt x="2618" y="332"/>
                </a:lnTo>
                <a:lnTo>
                  <a:pt x="2644" y="335"/>
                </a:lnTo>
                <a:lnTo>
                  <a:pt x="2658" y="337"/>
                </a:lnTo>
                <a:lnTo>
                  <a:pt x="2670" y="339"/>
                </a:lnTo>
                <a:lnTo>
                  <a:pt x="2682" y="343"/>
                </a:lnTo>
                <a:lnTo>
                  <a:pt x="2693" y="346"/>
                </a:lnTo>
                <a:lnTo>
                  <a:pt x="2704" y="350"/>
                </a:lnTo>
                <a:lnTo>
                  <a:pt x="2715" y="354"/>
                </a:lnTo>
                <a:lnTo>
                  <a:pt x="2726" y="359"/>
                </a:lnTo>
                <a:lnTo>
                  <a:pt x="2736" y="365"/>
                </a:lnTo>
                <a:lnTo>
                  <a:pt x="2745" y="371"/>
                </a:lnTo>
                <a:lnTo>
                  <a:pt x="2754" y="377"/>
                </a:lnTo>
                <a:lnTo>
                  <a:pt x="2763" y="384"/>
                </a:lnTo>
                <a:lnTo>
                  <a:pt x="2772" y="391"/>
                </a:lnTo>
                <a:lnTo>
                  <a:pt x="2780" y="399"/>
                </a:lnTo>
                <a:lnTo>
                  <a:pt x="2787" y="407"/>
                </a:lnTo>
                <a:lnTo>
                  <a:pt x="2794" y="416"/>
                </a:lnTo>
                <a:lnTo>
                  <a:pt x="2801" y="425"/>
                </a:lnTo>
                <a:lnTo>
                  <a:pt x="2807" y="434"/>
                </a:lnTo>
                <a:lnTo>
                  <a:pt x="2812" y="443"/>
                </a:lnTo>
                <a:lnTo>
                  <a:pt x="2817" y="453"/>
                </a:lnTo>
                <a:lnTo>
                  <a:pt x="2821" y="463"/>
                </a:lnTo>
                <a:lnTo>
                  <a:pt x="2825" y="473"/>
                </a:lnTo>
                <a:lnTo>
                  <a:pt x="2829" y="484"/>
                </a:lnTo>
                <a:lnTo>
                  <a:pt x="2831" y="495"/>
                </a:lnTo>
                <a:lnTo>
                  <a:pt x="2834" y="508"/>
                </a:lnTo>
                <a:lnTo>
                  <a:pt x="2835" y="520"/>
                </a:lnTo>
                <a:lnTo>
                  <a:pt x="2837" y="532"/>
                </a:lnTo>
                <a:lnTo>
                  <a:pt x="2838" y="544"/>
                </a:lnTo>
                <a:lnTo>
                  <a:pt x="2838" y="557"/>
                </a:lnTo>
                <a:lnTo>
                  <a:pt x="2838" y="983"/>
                </a:lnTo>
                <a:lnTo>
                  <a:pt x="2697" y="983"/>
                </a:lnTo>
                <a:lnTo>
                  <a:pt x="2697" y="591"/>
                </a:lnTo>
                <a:lnTo>
                  <a:pt x="2697" y="571"/>
                </a:lnTo>
                <a:lnTo>
                  <a:pt x="2695" y="554"/>
                </a:lnTo>
                <a:lnTo>
                  <a:pt x="2692" y="537"/>
                </a:lnTo>
                <a:lnTo>
                  <a:pt x="2688" y="523"/>
                </a:lnTo>
                <a:lnTo>
                  <a:pt x="2683" y="509"/>
                </a:lnTo>
                <a:lnTo>
                  <a:pt x="2677" y="496"/>
                </a:lnTo>
                <a:lnTo>
                  <a:pt x="2669" y="485"/>
                </a:lnTo>
                <a:lnTo>
                  <a:pt x="2661" y="475"/>
                </a:lnTo>
                <a:lnTo>
                  <a:pt x="2651" y="466"/>
                </a:lnTo>
                <a:lnTo>
                  <a:pt x="2639" y="459"/>
                </a:lnTo>
                <a:lnTo>
                  <a:pt x="2627" y="452"/>
                </a:lnTo>
                <a:lnTo>
                  <a:pt x="2613" y="447"/>
                </a:lnTo>
                <a:lnTo>
                  <a:pt x="2599" y="443"/>
                </a:lnTo>
                <a:lnTo>
                  <a:pt x="2583" y="440"/>
                </a:lnTo>
                <a:lnTo>
                  <a:pt x="2565" y="438"/>
                </a:lnTo>
                <a:lnTo>
                  <a:pt x="2547" y="438"/>
                </a:lnTo>
                <a:lnTo>
                  <a:pt x="2534" y="438"/>
                </a:lnTo>
                <a:lnTo>
                  <a:pt x="2521" y="439"/>
                </a:lnTo>
                <a:lnTo>
                  <a:pt x="2508" y="441"/>
                </a:lnTo>
                <a:lnTo>
                  <a:pt x="2496" y="443"/>
                </a:lnTo>
                <a:lnTo>
                  <a:pt x="2484" y="445"/>
                </a:lnTo>
                <a:lnTo>
                  <a:pt x="2473" y="449"/>
                </a:lnTo>
                <a:lnTo>
                  <a:pt x="2462" y="452"/>
                </a:lnTo>
                <a:lnTo>
                  <a:pt x="2451" y="457"/>
                </a:lnTo>
                <a:lnTo>
                  <a:pt x="2440" y="462"/>
                </a:lnTo>
                <a:lnTo>
                  <a:pt x="2430" y="468"/>
                </a:lnTo>
                <a:lnTo>
                  <a:pt x="2420" y="474"/>
                </a:lnTo>
                <a:lnTo>
                  <a:pt x="2410" y="482"/>
                </a:lnTo>
                <a:lnTo>
                  <a:pt x="2400" y="490"/>
                </a:lnTo>
                <a:lnTo>
                  <a:pt x="2391" y="499"/>
                </a:lnTo>
                <a:lnTo>
                  <a:pt x="2381" y="510"/>
                </a:lnTo>
                <a:lnTo>
                  <a:pt x="2371" y="520"/>
                </a:lnTo>
                <a:lnTo>
                  <a:pt x="2371" y="983"/>
                </a:lnTo>
                <a:lnTo>
                  <a:pt x="2229" y="983"/>
                </a:lnTo>
                <a:close/>
                <a:moveTo>
                  <a:pt x="3117" y="661"/>
                </a:moveTo>
                <a:lnTo>
                  <a:pt x="3117" y="672"/>
                </a:lnTo>
                <a:lnTo>
                  <a:pt x="3118" y="684"/>
                </a:lnTo>
                <a:lnTo>
                  <a:pt x="3120" y="694"/>
                </a:lnTo>
                <a:lnTo>
                  <a:pt x="3121" y="705"/>
                </a:lnTo>
                <a:lnTo>
                  <a:pt x="3124" y="715"/>
                </a:lnTo>
                <a:lnTo>
                  <a:pt x="3127" y="725"/>
                </a:lnTo>
                <a:lnTo>
                  <a:pt x="3130" y="734"/>
                </a:lnTo>
                <a:lnTo>
                  <a:pt x="3134" y="744"/>
                </a:lnTo>
                <a:lnTo>
                  <a:pt x="3138" y="753"/>
                </a:lnTo>
                <a:lnTo>
                  <a:pt x="3143" y="764"/>
                </a:lnTo>
                <a:lnTo>
                  <a:pt x="3149" y="772"/>
                </a:lnTo>
                <a:lnTo>
                  <a:pt x="3155" y="781"/>
                </a:lnTo>
                <a:lnTo>
                  <a:pt x="3161" y="790"/>
                </a:lnTo>
                <a:lnTo>
                  <a:pt x="3168" y="798"/>
                </a:lnTo>
                <a:lnTo>
                  <a:pt x="3176" y="806"/>
                </a:lnTo>
                <a:lnTo>
                  <a:pt x="3184" y="814"/>
                </a:lnTo>
                <a:lnTo>
                  <a:pt x="3192" y="822"/>
                </a:lnTo>
                <a:lnTo>
                  <a:pt x="3201" y="829"/>
                </a:lnTo>
                <a:lnTo>
                  <a:pt x="3210" y="835"/>
                </a:lnTo>
                <a:lnTo>
                  <a:pt x="3219" y="841"/>
                </a:lnTo>
                <a:lnTo>
                  <a:pt x="3228" y="847"/>
                </a:lnTo>
                <a:lnTo>
                  <a:pt x="3239" y="853"/>
                </a:lnTo>
                <a:lnTo>
                  <a:pt x="3248" y="858"/>
                </a:lnTo>
                <a:lnTo>
                  <a:pt x="3258" y="862"/>
                </a:lnTo>
                <a:lnTo>
                  <a:pt x="3268" y="866"/>
                </a:lnTo>
                <a:lnTo>
                  <a:pt x="3279" y="869"/>
                </a:lnTo>
                <a:lnTo>
                  <a:pt x="3289" y="872"/>
                </a:lnTo>
                <a:lnTo>
                  <a:pt x="3300" y="874"/>
                </a:lnTo>
                <a:lnTo>
                  <a:pt x="3311" y="875"/>
                </a:lnTo>
                <a:lnTo>
                  <a:pt x="3322" y="877"/>
                </a:lnTo>
                <a:lnTo>
                  <a:pt x="3334" y="877"/>
                </a:lnTo>
                <a:lnTo>
                  <a:pt x="3346" y="878"/>
                </a:lnTo>
                <a:lnTo>
                  <a:pt x="3369" y="877"/>
                </a:lnTo>
                <a:lnTo>
                  <a:pt x="3391" y="874"/>
                </a:lnTo>
                <a:lnTo>
                  <a:pt x="3401" y="872"/>
                </a:lnTo>
                <a:lnTo>
                  <a:pt x="3412" y="869"/>
                </a:lnTo>
                <a:lnTo>
                  <a:pt x="3422" y="866"/>
                </a:lnTo>
                <a:lnTo>
                  <a:pt x="3433" y="862"/>
                </a:lnTo>
                <a:lnTo>
                  <a:pt x="3443" y="858"/>
                </a:lnTo>
                <a:lnTo>
                  <a:pt x="3453" y="853"/>
                </a:lnTo>
                <a:lnTo>
                  <a:pt x="3462" y="847"/>
                </a:lnTo>
                <a:lnTo>
                  <a:pt x="3472" y="841"/>
                </a:lnTo>
                <a:lnTo>
                  <a:pt x="3481" y="835"/>
                </a:lnTo>
                <a:lnTo>
                  <a:pt x="3490" y="828"/>
                </a:lnTo>
                <a:lnTo>
                  <a:pt x="3498" y="821"/>
                </a:lnTo>
                <a:lnTo>
                  <a:pt x="3507" y="814"/>
                </a:lnTo>
                <a:lnTo>
                  <a:pt x="3515" y="806"/>
                </a:lnTo>
                <a:lnTo>
                  <a:pt x="3523" y="798"/>
                </a:lnTo>
                <a:lnTo>
                  <a:pt x="3530" y="789"/>
                </a:lnTo>
                <a:lnTo>
                  <a:pt x="3536" y="781"/>
                </a:lnTo>
                <a:lnTo>
                  <a:pt x="3542" y="772"/>
                </a:lnTo>
                <a:lnTo>
                  <a:pt x="3548" y="762"/>
                </a:lnTo>
                <a:lnTo>
                  <a:pt x="3553" y="753"/>
                </a:lnTo>
                <a:lnTo>
                  <a:pt x="3557" y="744"/>
                </a:lnTo>
                <a:lnTo>
                  <a:pt x="3561" y="734"/>
                </a:lnTo>
                <a:lnTo>
                  <a:pt x="3564" y="724"/>
                </a:lnTo>
                <a:lnTo>
                  <a:pt x="3567" y="714"/>
                </a:lnTo>
                <a:lnTo>
                  <a:pt x="3569" y="704"/>
                </a:lnTo>
                <a:lnTo>
                  <a:pt x="3571" y="694"/>
                </a:lnTo>
                <a:lnTo>
                  <a:pt x="3573" y="683"/>
                </a:lnTo>
                <a:lnTo>
                  <a:pt x="3573" y="672"/>
                </a:lnTo>
                <a:lnTo>
                  <a:pt x="3574" y="661"/>
                </a:lnTo>
                <a:lnTo>
                  <a:pt x="3573" y="650"/>
                </a:lnTo>
                <a:lnTo>
                  <a:pt x="3573" y="639"/>
                </a:lnTo>
                <a:lnTo>
                  <a:pt x="3571" y="629"/>
                </a:lnTo>
                <a:lnTo>
                  <a:pt x="3569" y="619"/>
                </a:lnTo>
                <a:lnTo>
                  <a:pt x="3567" y="609"/>
                </a:lnTo>
                <a:lnTo>
                  <a:pt x="3564" y="599"/>
                </a:lnTo>
                <a:lnTo>
                  <a:pt x="3561" y="589"/>
                </a:lnTo>
                <a:lnTo>
                  <a:pt x="3557" y="578"/>
                </a:lnTo>
                <a:lnTo>
                  <a:pt x="3553" y="569"/>
                </a:lnTo>
                <a:lnTo>
                  <a:pt x="3548" y="560"/>
                </a:lnTo>
                <a:lnTo>
                  <a:pt x="3542" y="551"/>
                </a:lnTo>
                <a:lnTo>
                  <a:pt x="3536" y="542"/>
                </a:lnTo>
                <a:lnTo>
                  <a:pt x="3530" y="534"/>
                </a:lnTo>
                <a:lnTo>
                  <a:pt x="3523" y="526"/>
                </a:lnTo>
                <a:lnTo>
                  <a:pt x="3515" y="518"/>
                </a:lnTo>
                <a:lnTo>
                  <a:pt x="3507" y="510"/>
                </a:lnTo>
                <a:lnTo>
                  <a:pt x="3499" y="502"/>
                </a:lnTo>
                <a:lnTo>
                  <a:pt x="3490" y="494"/>
                </a:lnTo>
                <a:lnTo>
                  <a:pt x="3481" y="487"/>
                </a:lnTo>
                <a:lnTo>
                  <a:pt x="3472" y="481"/>
                </a:lnTo>
                <a:lnTo>
                  <a:pt x="3453" y="471"/>
                </a:lnTo>
                <a:lnTo>
                  <a:pt x="3434" y="462"/>
                </a:lnTo>
                <a:lnTo>
                  <a:pt x="3423" y="458"/>
                </a:lnTo>
                <a:lnTo>
                  <a:pt x="3412" y="455"/>
                </a:lnTo>
                <a:lnTo>
                  <a:pt x="3402" y="452"/>
                </a:lnTo>
                <a:lnTo>
                  <a:pt x="3391" y="450"/>
                </a:lnTo>
                <a:lnTo>
                  <a:pt x="3369" y="447"/>
                </a:lnTo>
                <a:lnTo>
                  <a:pt x="3346" y="446"/>
                </a:lnTo>
                <a:lnTo>
                  <a:pt x="3334" y="446"/>
                </a:lnTo>
                <a:lnTo>
                  <a:pt x="3322" y="447"/>
                </a:lnTo>
                <a:lnTo>
                  <a:pt x="3311" y="448"/>
                </a:lnTo>
                <a:lnTo>
                  <a:pt x="3300" y="450"/>
                </a:lnTo>
                <a:lnTo>
                  <a:pt x="3289" y="452"/>
                </a:lnTo>
                <a:lnTo>
                  <a:pt x="3279" y="455"/>
                </a:lnTo>
                <a:lnTo>
                  <a:pt x="3268" y="458"/>
                </a:lnTo>
                <a:lnTo>
                  <a:pt x="3258" y="462"/>
                </a:lnTo>
                <a:lnTo>
                  <a:pt x="3248" y="466"/>
                </a:lnTo>
                <a:lnTo>
                  <a:pt x="3239" y="471"/>
                </a:lnTo>
                <a:lnTo>
                  <a:pt x="3228" y="476"/>
                </a:lnTo>
                <a:lnTo>
                  <a:pt x="3219" y="481"/>
                </a:lnTo>
                <a:lnTo>
                  <a:pt x="3210" y="487"/>
                </a:lnTo>
                <a:lnTo>
                  <a:pt x="3201" y="494"/>
                </a:lnTo>
                <a:lnTo>
                  <a:pt x="3192" y="502"/>
                </a:lnTo>
                <a:lnTo>
                  <a:pt x="3184" y="510"/>
                </a:lnTo>
                <a:lnTo>
                  <a:pt x="3176" y="518"/>
                </a:lnTo>
                <a:lnTo>
                  <a:pt x="3168" y="526"/>
                </a:lnTo>
                <a:lnTo>
                  <a:pt x="3161" y="534"/>
                </a:lnTo>
                <a:lnTo>
                  <a:pt x="3155" y="542"/>
                </a:lnTo>
                <a:lnTo>
                  <a:pt x="3149" y="551"/>
                </a:lnTo>
                <a:lnTo>
                  <a:pt x="3143" y="560"/>
                </a:lnTo>
                <a:lnTo>
                  <a:pt x="3138" y="569"/>
                </a:lnTo>
                <a:lnTo>
                  <a:pt x="3134" y="578"/>
                </a:lnTo>
                <a:lnTo>
                  <a:pt x="3130" y="589"/>
                </a:lnTo>
                <a:lnTo>
                  <a:pt x="3127" y="599"/>
                </a:lnTo>
                <a:lnTo>
                  <a:pt x="3124" y="609"/>
                </a:lnTo>
                <a:lnTo>
                  <a:pt x="3121" y="619"/>
                </a:lnTo>
                <a:lnTo>
                  <a:pt x="3120" y="629"/>
                </a:lnTo>
                <a:lnTo>
                  <a:pt x="3118" y="639"/>
                </a:lnTo>
                <a:lnTo>
                  <a:pt x="3117" y="650"/>
                </a:lnTo>
                <a:lnTo>
                  <a:pt x="3117" y="661"/>
                </a:lnTo>
                <a:close/>
                <a:moveTo>
                  <a:pt x="2969" y="661"/>
                </a:moveTo>
                <a:lnTo>
                  <a:pt x="2969" y="644"/>
                </a:lnTo>
                <a:lnTo>
                  <a:pt x="2970" y="627"/>
                </a:lnTo>
                <a:lnTo>
                  <a:pt x="2972" y="610"/>
                </a:lnTo>
                <a:lnTo>
                  <a:pt x="2975" y="594"/>
                </a:lnTo>
                <a:lnTo>
                  <a:pt x="2979" y="577"/>
                </a:lnTo>
                <a:lnTo>
                  <a:pt x="2984" y="562"/>
                </a:lnTo>
                <a:lnTo>
                  <a:pt x="2990" y="547"/>
                </a:lnTo>
                <a:lnTo>
                  <a:pt x="2996" y="532"/>
                </a:lnTo>
                <a:lnTo>
                  <a:pt x="3003" y="517"/>
                </a:lnTo>
                <a:lnTo>
                  <a:pt x="3011" y="503"/>
                </a:lnTo>
                <a:lnTo>
                  <a:pt x="3020" y="488"/>
                </a:lnTo>
                <a:lnTo>
                  <a:pt x="3030" y="475"/>
                </a:lnTo>
                <a:lnTo>
                  <a:pt x="3042" y="462"/>
                </a:lnTo>
                <a:lnTo>
                  <a:pt x="3054" y="449"/>
                </a:lnTo>
                <a:lnTo>
                  <a:pt x="3066" y="436"/>
                </a:lnTo>
                <a:lnTo>
                  <a:pt x="3079" y="424"/>
                </a:lnTo>
                <a:lnTo>
                  <a:pt x="3093" y="411"/>
                </a:lnTo>
                <a:lnTo>
                  <a:pt x="3107" y="400"/>
                </a:lnTo>
                <a:lnTo>
                  <a:pt x="3122" y="390"/>
                </a:lnTo>
                <a:lnTo>
                  <a:pt x="3137" y="381"/>
                </a:lnTo>
                <a:lnTo>
                  <a:pt x="3152" y="372"/>
                </a:lnTo>
                <a:lnTo>
                  <a:pt x="3168" y="364"/>
                </a:lnTo>
                <a:lnTo>
                  <a:pt x="3184" y="357"/>
                </a:lnTo>
                <a:lnTo>
                  <a:pt x="3200" y="351"/>
                </a:lnTo>
                <a:lnTo>
                  <a:pt x="3217" y="345"/>
                </a:lnTo>
                <a:lnTo>
                  <a:pt x="3235" y="340"/>
                </a:lnTo>
                <a:lnTo>
                  <a:pt x="3253" y="336"/>
                </a:lnTo>
                <a:lnTo>
                  <a:pt x="3271" y="333"/>
                </a:lnTo>
                <a:lnTo>
                  <a:pt x="3289" y="330"/>
                </a:lnTo>
                <a:lnTo>
                  <a:pt x="3308" y="328"/>
                </a:lnTo>
                <a:lnTo>
                  <a:pt x="3327" y="327"/>
                </a:lnTo>
                <a:lnTo>
                  <a:pt x="3347" y="327"/>
                </a:lnTo>
                <a:lnTo>
                  <a:pt x="3365" y="327"/>
                </a:lnTo>
                <a:lnTo>
                  <a:pt x="3384" y="328"/>
                </a:lnTo>
                <a:lnTo>
                  <a:pt x="3402" y="330"/>
                </a:lnTo>
                <a:lnTo>
                  <a:pt x="3420" y="333"/>
                </a:lnTo>
                <a:lnTo>
                  <a:pt x="3438" y="337"/>
                </a:lnTo>
                <a:lnTo>
                  <a:pt x="3456" y="341"/>
                </a:lnTo>
                <a:lnTo>
                  <a:pt x="3473" y="346"/>
                </a:lnTo>
                <a:lnTo>
                  <a:pt x="3490" y="352"/>
                </a:lnTo>
                <a:lnTo>
                  <a:pt x="3507" y="358"/>
                </a:lnTo>
                <a:lnTo>
                  <a:pt x="3523" y="366"/>
                </a:lnTo>
                <a:lnTo>
                  <a:pt x="3539" y="374"/>
                </a:lnTo>
                <a:lnTo>
                  <a:pt x="3554" y="382"/>
                </a:lnTo>
                <a:lnTo>
                  <a:pt x="3569" y="392"/>
                </a:lnTo>
                <a:lnTo>
                  <a:pt x="3583" y="402"/>
                </a:lnTo>
                <a:lnTo>
                  <a:pt x="3597" y="413"/>
                </a:lnTo>
                <a:lnTo>
                  <a:pt x="3611" y="425"/>
                </a:lnTo>
                <a:lnTo>
                  <a:pt x="3624" y="437"/>
                </a:lnTo>
                <a:lnTo>
                  <a:pt x="3638" y="450"/>
                </a:lnTo>
                <a:lnTo>
                  <a:pt x="3649" y="463"/>
                </a:lnTo>
                <a:lnTo>
                  <a:pt x="3660" y="477"/>
                </a:lnTo>
                <a:lnTo>
                  <a:pt x="3670" y="490"/>
                </a:lnTo>
                <a:lnTo>
                  <a:pt x="3679" y="505"/>
                </a:lnTo>
                <a:lnTo>
                  <a:pt x="3687" y="520"/>
                </a:lnTo>
                <a:lnTo>
                  <a:pt x="3695" y="534"/>
                </a:lnTo>
                <a:lnTo>
                  <a:pt x="3701" y="549"/>
                </a:lnTo>
                <a:lnTo>
                  <a:pt x="3707" y="564"/>
                </a:lnTo>
                <a:lnTo>
                  <a:pt x="3712" y="580"/>
                </a:lnTo>
                <a:lnTo>
                  <a:pt x="3716" y="596"/>
                </a:lnTo>
                <a:lnTo>
                  <a:pt x="3719" y="612"/>
                </a:lnTo>
                <a:lnTo>
                  <a:pt x="3721" y="628"/>
                </a:lnTo>
                <a:lnTo>
                  <a:pt x="3723" y="644"/>
                </a:lnTo>
                <a:lnTo>
                  <a:pt x="3723" y="661"/>
                </a:lnTo>
                <a:lnTo>
                  <a:pt x="3723" y="678"/>
                </a:lnTo>
                <a:lnTo>
                  <a:pt x="3721" y="694"/>
                </a:lnTo>
                <a:lnTo>
                  <a:pt x="3719" y="710"/>
                </a:lnTo>
                <a:lnTo>
                  <a:pt x="3716" y="726"/>
                </a:lnTo>
                <a:lnTo>
                  <a:pt x="3712" y="742"/>
                </a:lnTo>
                <a:lnTo>
                  <a:pt x="3707" y="758"/>
                </a:lnTo>
                <a:lnTo>
                  <a:pt x="3701" y="775"/>
                </a:lnTo>
                <a:lnTo>
                  <a:pt x="3694" y="790"/>
                </a:lnTo>
                <a:lnTo>
                  <a:pt x="3686" y="805"/>
                </a:lnTo>
                <a:lnTo>
                  <a:pt x="3678" y="820"/>
                </a:lnTo>
                <a:lnTo>
                  <a:pt x="3669" y="834"/>
                </a:lnTo>
                <a:lnTo>
                  <a:pt x="3659" y="848"/>
                </a:lnTo>
                <a:lnTo>
                  <a:pt x="3648" y="862"/>
                </a:lnTo>
                <a:lnTo>
                  <a:pt x="3637" y="875"/>
                </a:lnTo>
                <a:lnTo>
                  <a:pt x="3624" y="887"/>
                </a:lnTo>
                <a:lnTo>
                  <a:pt x="3611" y="899"/>
                </a:lnTo>
                <a:lnTo>
                  <a:pt x="3597" y="911"/>
                </a:lnTo>
                <a:lnTo>
                  <a:pt x="3584" y="921"/>
                </a:lnTo>
                <a:lnTo>
                  <a:pt x="3569" y="931"/>
                </a:lnTo>
                <a:lnTo>
                  <a:pt x="3554" y="942"/>
                </a:lnTo>
                <a:lnTo>
                  <a:pt x="3539" y="950"/>
                </a:lnTo>
                <a:lnTo>
                  <a:pt x="3523" y="958"/>
                </a:lnTo>
                <a:lnTo>
                  <a:pt x="3507" y="965"/>
                </a:lnTo>
                <a:lnTo>
                  <a:pt x="3491" y="972"/>
                </a:lnTo>
                <a:lnTo>
                  <a:pt x="3474" y="977"/>
                </a:lnTo>
                <a:lnTo>
                  <a:pt x="3457" y="982"/>
                </a:lnTo>
                <a:lnTo>
                  <a:pt x="3439" y="986"/>
                </a:lnTo>
                <a:lnTo>
                  <a:pt x="3421" y="990"/>
                </a:lnTo>
                <a:lnTo>
                  <a:pt x="3403" y="992"/>
                </a:lnTo>
                <a:lnTo>
                  <a:pt x="3384" y="994"/>
                </a:lnTo>
                <a:lnTo>
                  <a:pt x="3366" y="995"/>
                </a:lnTo>
                <a:lnTo>
                  <a:pt x="3347" y="996"/>
                </a:lnTo>
                <a:lnTo>
                  <a:pt x="3327" y="995"/>
                </a:lnTo>
                <a:lnTo>
                  <a:pt x="3308" y="994"/>
                </a:lnTo>
                <a:lnTo>
                  <a:pt x="3289" y="992"/>
                </a:lnTo>
                <a:lnTo>
                  <a:pt x="3271" y="990"/>
                </a:lnTo>
                <a:lnTo>
                  <a:pt x="3253" y="986"/>
                </a:lnTo>
                <a:lnTo>
                  <a:pt x="3235" y="982"/>
                </a:lnTo>
                <a:lnTo>
                  <a:pt x="3217" y="977"/>
                </a:lnTo>
                <a:lnTo>
                  <a:pt x="3200" y="972"/>
                </a:lnTo>
                <a:lnTo>
                  <a:pt x="3184" y="965"/>
                </a:lnTo>
                <a:lnTo>
                  <a:pt x="3168" y="958"/>
                </a:lnTo>
                <a:lnTo>
                  <a:pt x="3152" y="950"/>
                </a:lnTo>
                <a:lnTo>
                  <a:pt x="3137" y="942"/>
                </a:lnTo>
                <a:lnTo>
                  <a:pt x="3122" y="931"/>
                </a:lnTo>
                <a:lnTo>
                  <a:pt x="3107" y="921"/>
                </a:lnTo>
                <a:lnTo>
                  <a:pt x="3093" y="910"/>
                </a:lnTo>
                <a:lnTo>
                  <a:pt x="3079" y="898"/>
                </a:lnTo>
                <a:lnTo>
                  <a:pt x="3066" y="886"/>
                </a:lnTo>
                <a:lnTo>
                  <a:pt x="3054" y="874"/>
                </a:lnTo>
                <a:lnTo>
                  <a:pt x="3042" y="861"/>
                </a:lnTo>
                <a:lnTo>
                  <a:pt x="3030" y="847"/>
                </a:lnTo>
                <a:lnTo>
                  <a:pt x="3020" y="833"/>
                </a:lnTo>
                <a:lnTo>
                  <a:pt x="3011" y="819"/>
                </a:lnTo>
                <a:lnTo>
                  <a:pt x="3003" y="805"/>
                </a:lnTo>
                <a:lnTo>
                  <a:pt x="2996" y="790"/>
                </a:lnTo>
                <a:lnTo>
                  <a:pt x="2990" y="776"/>
                </a:lnTo>
                <a:lnTo>
                  <a:pt x="2984" y="760"/>
                </a:lnTo>
                <a:lnTo>
                  <a:pt x="2979" y="744"/>
                </a:lnTo>
                <a:lnTo>
                  <a:pt x="2975" y="728"/>
                </a:lnTo>
                <a:lnTo>
                  <a:pt x="2972" y="712"/>
                </a:lnTo>
                <a:lnTo>
                  <a:pt x="2970" y="696"/>
                </a:lnTo>
                <a:lnTo>
                  <a:pt x="2969" y="679"/>
                </a:lnTo>
                <a:lnTo>
                  <a:pt x="2969" y="661"/>
                </a:lnTo>
                <a:close/>
                <a:moveTo>
                  <a:pt x="3862" y="983"/>
                </a:moveTo>
                <a:lnTo>
                  <a:pt x="3862" y="10"/>
                </a:lnTo>
                <a:lnTo>
                  <a:pt x="4003" y="10"/>
                </a:lnTo>
                <a:lnTo>
                  <a:pt x="4003" y="983"/>
                </a:lnTo>
                <a:lnTo>
                  <a:pt x="3862" y="983"/>
                </a:lnTo>
                <a:close/>
                <a:moveTo>
                  <a:pt x="4292" y="661"/>
                </a:moveTo>
                <a:lnTo>
                  <a:pt x="4292" y="672"/>
                </a:lnTo>
                <a:lnTo>
                  <a:pt x="4293" y="684"/>
                </a:lnTo>
                <a:lnTo>
                  <a:pt x="4294" y="694"/>
                </a:lnTo>
                <a:lnTo>
                  <a:pt x="4296" y="705"/>
                </a:lnTo>
                <a:lnTo>
                  <a:pt x="4298" y="715"/>
                </a:lnTo>
                <a:lnTo>
                  <a:pt x="4301" y="725"/>
                </a:lnTo>
                <a:lnTo>
                  <a:pt x="4305" y="734"/>
                </a:lnTo>
                <a:lnTo>
                  <a:pt x="4309" y="744"/>
                </a:lnTo>
                <a:lnTo>
                  <a:pt x="4313" y="753"/>
                </a:lnTo>
                <a:lnTo>
                  <a:pt x="4318" y="764"/>
                </a:lnTo>
                <a:lnTo>
                  <a:pt x="4323" y="772"/>
                </a:lnTo>
                <a:lnTo>
                  <a:pt x="4329" y="781"/>
                </a:lnTo>
                <a:lnTo>
                  <a:pt x="4336" y="790"/>
                </a:lnTo>
                <a:lnTo>
                  <a:pt x="4343" y="798"/>
                </a:lnTo>
                <a:lnTo>
                  <a:pt x="4350" y="806"/>
                </a:lnTo>
                <a:lnTo>
                  <a:pt x="4359" y="814"/>
                </a:lnTo>
                <a:lnTo>
                  <a:pt x="4367" y="822"/>
                </a:lnTo>
                <a:lnTo>
                  <a:pt x="4376" y="829"/>
                </a:lnTo>
                <a:lnTo>
                  <a:pt x="4384" y="835"/>
                </a:lnTo>
                <a:lnTo>
                  <a:pt x="4393" y="841"/>
                </a:lnTo>
                <a:lnTo>
                  <a:pt x="4403" y="847"/>
                </a:lnTo>
                <a:lnTo>
                  <a:pt x="4412" y="853"/>
                </a:lnTo>
                <a:lnTo>
                  <a:pt x="4423" y="858"/>
                </a:lnTo>
                <a:lnTo>
                  <a:pt x="4433" y="862"/>
                </a:lnTo>
                <a:lnTo>
                  <a:pt x="4443" y="866"/>
                </a:lnTo>
                <a:lnTo>
                  <a:pt x="4454" y="869"/>
                </a:lnTo>
                <a:lnTo>
                  <a:pt x="4464" y="872"/>
                </a:lnTo>
                <a:lnTo>
                  <a:pt x="4475" y="874"/>
                </a:lnTo>
                <a:lnTo>
                  <a:pt x="4486" y="875"/>
                </a:lnTo>
                <a:lnTo>
                  <a:pt x="4497" y="877"/>
                </a:lnTo>
                <a:lnTo>
                  <a:pt x="4509" y="877"/>
                </a:lnTo>
                <a:lnTo>
                  <a:pt x="4520" y="878"/>
                </a:lnTo>
                <a:lnTo>
                  <a:pt x="4543" y="877"/>
                </a:lnTo>
                <a:lnTo>
                  <a:pt x="4565" y="874"/>
                </a:lnTo>
                <a:lnTo>
                  <a:pt x="4576" y="872"/>
                </a:lnTo>
                <a:lnTo>
                  <a:pt x="4587" y="869"/>
                </a:lnTo>
                <a:lnTo>
                  <a:pt x="4597" y="866"/>
                </a:lnTo>
                <a:lnTo>
                  <a:pt x="4607" y="862"/>
                </a:lnTo>
                <a:lnTo>
                  <a:pt x="4618" y="858"/>
                </a:lnTo>
                <a:lnTo>
                  <a:pt x="4628" y="853"/>
                </a:lnTo>
                <a:lnTo>
                  <a:pt x="4637" y="847"/>
                </a:lnTo>
                <a:lnTo>
                  <a:pt x="4646" y="841"/>
                </a:lnTo>
                <a:lnTo>
                  <a:pt x="4656" y="835"/>
                </a:lnTo>
                <a:lnTo>
                  <a:pt x="4664" y="828"/>
                </a:lnTo>
                <a:lnTo>
                  <a:pt x="4673" y="821"/>
                </a:lnTo>
                <a:lnTo>
                  <a:pt x="4682" y="814"/>
                </a:lnTo>
                <a:lnTo>
                  <a:pt x="4690" y="806"/>
                </a:lnTo>
                <a:lnTo>
                  <a:pt x="4697" y="798"/>
                </a:lnTo>
                <a:lnTo>
                  <a:pt x="4704" y="789"/>
                </a:lnTo>
                <a:lnTo>
                  <a:pt x="4711" y="781"/>
                </a:lnTo>
                <a:lnTo>
                  <a:pt x="4717" y="772"/>
                </a:lnTo>
                <a:lnTo>
                  <a:pt x="4722" y="762"/>
                </a:lnTo>
                <a:lnTo>
                  <a:pt x="4727" y="753"/>
                </a:lnTo>
                <a:lnTo>
                  <a:pt x="4732" y="744"/>
                </a:lnTo>
                <a:lnTo>
                  <a:pt x="4736" y="734"/>
                </a:lnTo>
                <a:lnTo>
                  <a:pt x="4739" y="724"/>
                </a:lnTo>
                <a:lnTo>
                  <a:pt x="4742" y="714"/>
                </a:lnTo>
                <a:lnTo>
                  <a:pt x="4744" y="704"/>
                </a:lnTo>
                <a:lnTo>
                  <a:pt x="4746" y="694"/>
                </a:lnTo>
                <a:lnTo>
                  <a:pt x="4747" y="683"/>
                </a:lnTo>
                <a:lnTo>
                  <a:pt x="4748" y="672"/>
                </a:lnTo>
                <a:lnTo>
                  <a:pt x="4749" y="661"/>
                </a:lnTo>
                <a:lnTo>
                  <a:pt x="4748" y="650"/>
                </a:lnTo>
                <a:lnTo>
                  <a:pt x="4747" y="639"/>
                </a:lnTo>
                <a:lnTo>
                  <a:pt x="4746" y="629"/>
                </a:lnTo>
                <a:lnTo>
                  <a:pt x="4744" y="619"/>
                </a:lnTo>
                <a:lnTo>
                  <a:pt x="4742" y="609"/>
                </a:lnTo>
                <a:lnTo>
                  <a:pt x="4739" y="599"/>
                </a:lnTo>
                <a:lnTo>
                  <a:pt x="4736" y="589"/>
                </a:lnTo>
                <a:lnTo>
                  <a:pt x="4732" y="578"/>
                </a:lnTo>
                <a:lnTo>
                  <a:pt x="4727" y="569"/>
                </a:lnTo>
                <a:lnTo>
                  <a:pt x="4722" y="560"/>
                </a:lnTo>
                <a:lnTo>
                  <a:pt x="4717" y="551"/>
                </a:lnTo>
                <a:lnTo>
                  <a:pt x="4711" y="542"/>
                </a:lnTo>
                <a:lnTo>
                  <a:pt x="4704" y="534"/>
                </a:lnTo>
                <a:lnTo>
                  <a:pt x="4697" y="526"/>
                </a:lnTo>
                <a:lnTo>
                  <a:pt x="4690" y="518"/>
                </a:lnTo>
                <a:lnTo>
                  <a:pt x="4682" y="510"/>
                </a:lnTo>
                <a:lnTo>
                  <a:pt x="4673" y="502"/>
                </a:lnTo>
                <a:lnTo>
                  <a:pt x="4665" y="494"/>
                </a:lnTo>
                <a:lnTo>
                  <a:pt x="4656" y="487"/>
                </a:lnTo>
                <a:lnTo>
                  <a:pt x="4647" y="481"/>
                </a:lnTo>
                <a:lnTo>
                  <a:pt x="4628" y="471"/>
                </a:lnTo>
                <a:lnTo>
                  <a:pt x="4608" y="462"/>
                </a:lnTo>
                <a:lnTo>
                  <a:pt x="4597" y="458"/>
                </a:lnTo>
                <a:lnTo>
                  <a:pt x="4587" y="455"/>
                </a:lnTo>
                <a:lnTo>
                  <a:pt x="4576" y="452"/>
                </a:lnTo>
                <a:lnTo>
                  <a:pt x="4566" y="450"/>
                </a:lnTo>
                <a:lnTo>
                  <a:pt x="4543" y="447"/>
                </a:lnTo>
                <a:lnTo>
                  <a:pt x="4520" y="446"/>
                </a:lnTo>
                <a:lnTo>
                  <a:pt x="4509" y="446"/>
                </a:lnTo>
                <a:lnTo>
                  <a:pt x="4497" y="447"/>
                </a:lnTo>
                <a:lnTo>
                  <a:pt x="4486" y="448"/>
                </a:lnTo>
                <a:lnTo>
                  <a:pt x="4475" y="450"/>
                </a:lnTo>
                <a:lnTo>
                  <a:pt x="4464" y="452"/>
                </a:lnTo>
                <a:lnTo>
                  <a:pt x="4454" y="455"/>
                </a:lnTo>
                <a:lnTo>
                  <a:pt x="4443" y="458"/>
                </a:lnTo>
                <a:lnTo>
                  <a:pt x="4433" y="462"/>
                </a:lnTo>
                <a:lnTo>
                  <a:pt x="4423" y="466"/>
                </a:lnTo>
                <a:lnTo>
                  <a:pt x="4412" y="471"/>
                </a:lnTo>
                <a:lnTo>
                  <a:pt x="4403" y="476"/>
                </a:lnTo>
                <a:lnTo>
                  <a:pt x="4393" y="481"/>
                </a:lnTo>
                <a:lnTo>
                  <a:pt x="4384" y="487"/>
                </a:lnTo>
                <a:lnTo>
                  <a:pt x="4376" y="494"/>
                </a:lnTo>
                <a:lnTo>
                  <a:pt x="4367" y="502"/>
                </a:lnTo>
                <a:lnTo>
                  <a:pt x="4359" y="510"/>
                </a:lnTo>
                <a:lnTo>
                  <a:pt x="4350" y="518"/>
                </a:lnTo>
                <a:lnTo>
                  <a:pt x="4343" y="526"/>
                </a:lnTo>
                <a:lnTo>
                  <a:pt x="4336" y="534"/>
                </a:lnTo>
                <a:lnTo>
                  <a:pt x="4329" y="542"/>
                </a:lnTo>
                <a:lnTo>
                  <a:pt x="4323" y="551"/>
                </a:lnTo>
                <a:lnTo>
                  <a:pt x="4318" y="560"/>
                </a:lnTo>
                <a:lnTo>
                  <a:pt x="4313" y="569"/>
                </a:lnTo>
                <a:lnTo>
                  <a:pt x="4309" y="578"/>
                </a:lnTo>
                <a:lnTo>
                  <a:pt x="4305" y="589"/>
                </a:lnTo>
                <a:lnTo>
                  <a:pt x="4301" y="599"/>
                </a:lnTo>
                <a:lnTo>
                  <a:pt x="4298" y="609"/>
                </a:lnTo>
                <a:lnTo>
                  <a:pt x="4296" y="619"/>
                </a:lnTo>
                <a:lnTo>
                  <a:pt x="4294" y="629"/>
                </a:lnTo>
                <a:lnTo>
                  <a:pt x="4293" y="639"/>
                </a:lnTo>
                <a:lnTo>
                  <a:pt x="4292" y="650"/>
                </a:lnTo>
                <a:lnTo>
                  <a:pt x="4292" y="661"/>
                </a:lnTo>
                <a:close/>
                <a:moveTo>
                  <a:pt x="4144" y="661"/>
                </a:moveTo>
                <a:lnTo>
                  <a:pt x="4144" y="644"/>
                </a:lnTo>
                <a:lnTo>
                  <a:pt x="4145" y="627"/>
                </a:lnTo>
                <a:lnTo>
                  <a:pt x="4147" y="610"/>
                </a:lnTo>
                <a:lnTo>
                  <a:pt x="4150" y="594"/>
                </a:lnTo>
                <a:lnTo>
                  <a:pt x="4154" y="577"/>
                </a:lnTo>
                <a:lnTo>
                  <a:pt x="4159" y="562"/>
                </a:lnTo>
                <a:lnTo>
                  <a:pt x="4164" y="547"/>
                </a:lnTo>
                <a:lnTo>
                  <a:pt x="4171" y="532"/>
                </a:lnTo>
                <a:lnTo>
                  <a:pt x="4178" y="517"/>
                </a:lnTo>
                <a:lnTo>
                  <a:pt x="4186" y="503"/>
                </a:lnTo>
                <a:lnTo>
                  <a:pt x="4195" y="488"/>
                </a:lnTo>
                <a:lnTo>
                  <a:pt x="4205" y="475"/>
                </a:lnTo>
                <a:lnTo>
                  <a:pt x="4216" y="462"/>
                </a:lnTo>
                <a:lnTo>
                  <a:pt x="4228" y="449"/>
                </a:lnTo>
                <a:lnTo>
                  <a:pt x="4241" y="436"/>
                </a:lnTo>
                <a:lnTo>
                  <a:pt x="4254" y="424"/>
                </a:lnTo>
                <a:lnTo>
                  <a:pt x="4268" y="411"/>
                </a:lnTo>
                <a:lnTo>
                  <a:pt x="4282" y="400"/>
                </a:lnTo>
                <a:lnTo>
                  <a:pt x="4296" y="390"/>
                </a:lnTo>
                <a:lnTo>
                  <a:pt x="4311" y="381"/>
                </a:lnTo>
                <a:lnTo>
                  <a:pt x="4327" y="372"/>
                </a:lnTo>
                <a:lnTo>
                  <a:pt x="4343" y="364"/>
                </a:lnTo>
                <a:lnTo>
                  <a:pt x="4359" y="357"/>
                </a:lnTo>
                <a:lnTo>
                  <a:pt x="4375" y="351"/>
                </a:lnTo>
                <a:lnTo>
                  <a:pt x="4392" y="345"/>
                </a:lnTo>
                <a:lnTo>
                  <a:pt x="4409" y="340"/>
                </a:lnTo>
                <a:lnTo>
                  <a:pt x="4428" y="336"/>
                </a:lnTo>
                <a:lnTo>
                  <a:pt x="4446" y="333"/>
                </a:lnTo>
                <a:lnTo>
                  <a:pt x="4464" y="330"/>
                </a:lnTo>
                <a:lnTo>
                  <a:pt x="4483" y="328"/>
                </a:lnTo>
                <a:lnTo>
                  <a:pt x="4502" y="327"/>
                </a:lnTo>
                <a:lnTo>
                  <a:pt x="4522" y="327"/>
                </a:lnTo>
                <a:lnTo>
                  <a:pt x="4540" y="327"/>
                </a:lnTo>
                <a:lnTo>
                  <a:pt x="4558" y="328"/>
                </a:lnTo>
                <a:lnTo>
                  <a:pt x="4576" y="330"/>
                </a:lnTo>
                <a:lnTo>
                  <a:pt x="4594" y="333"/>
                </a:lnTo>
                <a:lnTo>
                  <a:pt x="4613" y="337"/>
                </a:lnTo>
                <a:lnTo>
                  <a:pt x="4630" y="341"/>
                </a:lnTo>
                <a:lnTo>
                  <a:pt x="4648" y="346"/>
                </a:lnTo>
                <a:lnTo>
                  <a:pt x="4665" y="352"/>
                </a:lnTo>
                <a:lnTo>
                  <a:pt x="4681" y="358"/>
                </a:lnTo>
                <a:lnTo>
                  <a:pt x="4698" y="366"/>
                </a:lnTo>
                <a:lnTo>
                  <a:pt x="4713" y="374"/>
                </a:lnTo>
                <a:lnTo>
                  <a:pt x="4729" y="382"/>
                </a:lnTo>
                <a:lnTo>
                  <a:pt x="4744" y="392"/>
                </a:lnTo>
                <a:lnTo>
                  <a:pt x="4758" y="402"/>
                </a:lnTo>
                <a:lnTo>
                  <a:pt x="4772" y="413"/>
                </a:lnTo>
                <a:lnTo>
                  <a:pt x="4786" y="425"/>
                </a:lnTo>
                <a:lnTo>
                  <a:pt x="4799" y="437"/>
                </a:lnTo>
                <a:lnTo>
                  <a:pt x="4812" y="450"/>
                </a:lnTo>
                <a:lnTo>
                  <a:pt x="4824" y="463"/>
                </a:lnTo>
                <a:lnTo>
                  <a:pt x="4835" y="477"/>
                </a:lnTo>
                <a:lnTo>
                  <a:pt x="4844" y="490"/>
                </a:lnTo>
                <a:lnTo>
                  <a:pt x="4854" y="505"/>
                </a:lnTo>
                <a:lnTo>
                  <a:pt x="4862" y="520"/>
                </a:lnTo>
                <a:lnTo>
                  <a:pt x="4869" y="534"/>
                </a:lnTo>
                <a:lnTo>
                  <a:pt x="4876" y="549"/>
                </a:lnTo>
                <a:lnTo>
                  <a:pt x="4882" y="564"/>
                </a:lnTo>
                <a:lnTo>
                  <a:pt x="4887" y="580"/>
                </a:lnTo>
                <a:lnTo>
                  <a:pt x="4891" y="596"/>
                </a:lnTo>
                <a:lnTo>
                  <a:pt x="4894" y="612"/>
                </a:lnTo>
                <a:lnTo>
                  <a:pt x="4896" y="628"/>
                </a:lnTo>
                <a:lnTo>
                  <a:pt x="4897" y="644"/>
                </a:lnTo>
                <a:lnTo>
                  <a:pt x="4898" y="661"/>
                </a:lnTo>
                <a:lnTo>
                  <a:pt x="4897" y="678"/>
                </a:lnTo>
                <a:lnTo>
                  <a:pt x="4896" y="694"/>
                </a:lnTo>
                <a:lnTo>
                  <a:pt x="4894" y="710"/>
                </a:lnTo>
                <a:lnTo>
                  <a:pt x="4890" y="726"/>
                </a:lnTo>
                <a:lnTo>
                  <a:pt x="4886" y="742"/>
                </a:lnTo>
                <a:lnTo>
                  <a:pt x="4881" y="758"/>
                </a:lnTo>
                <a:lnTo>
                  <a:pt x="4876" y="775"/>
                </a:lnTo>
                <a:lnTo>
                  <a:pt x="4869" y="790"/>
                </a:lnTo>
                <a:lnTo>
                  <a:pt x="4861" y="805"/>
                </a:lnTo>
                <a:lnTo>
                  <a:pt x="4853" y="820"/>
                </a:lnTo>
                <a:lnTo>
                  <a:pt x="4844" y="834"/>
                </a:lnTo>
                <a:lnTo>
                  <a:pt x="4834" y="848"/>
                </a:lnTo>
                <a:lnTo>
                  <a:pt x="4823" y="862"/>
                </a:lnTo>
                <a:lnTo>
                  <a:pt x="4812" y="875"/>
                </a:lnTo>
                <a:lnTo>
                  <a:pt x="4799" y="887"/>
                </a:lnTo>
                <a:lnTo>
                  <a:pt x="4786" y="899"/>
                </a:lnTo>
                <a:lnTo>
                  <a:pt x="4772" y="911"/>
                </a:lnTo>
                <a:lnTo>
                  <a:pt x="4758" y="921"/>
                </a:lnTo>
                <a:lnTo>
                  <a:pt x="4744" y="931"/>
                </a:lnTo>
                <a:lnTo>
                  <a:pt x="4729" y="942"/>
                </a:lnTo>
                <a:lnTo>
                  <a:pt x="4714" y="950"/>
                </a:lnTo>
                <a:lnTo>
                  <a:pt x="4698" y="958"/>
                </a:lnTo>
                <a:lnTo>
                  <a:pt x="4682" y="965"/>
                </a:lnTo>
                <a:lnTo>
                  <a:pt x="4665" y="972"/>
                </a:lnTo>
                <a:lnTo>
                  <a:pt x="4648" y="977"/>
                </a:lnTo>
                <a:lnTo>
                  <a:pt x="4631" y="982"/>
                </a:lnTo>
                <a:lnTo>
                  <a:pt x="4614" y="986"/>
                </a:lnTo>
                <a:lnTo>
                  <a:pt x="4595" y="990"/>
                </a:lnTo>
                <a:lnTo>
                  <a:pt x="4577" y="992"/>
                </a:lnTo>
                <a:lnTo>
                  <a:pt x="4559" y="994"/>
                </a:lnTo>
                <a:lnTo>
                  <a:pt x="4540" y="995"/>
                </a:lnTo>
                <a:lnTo>
                  <a:pt x="4522" y="996"/>
                </a:lnTo>
                <a:lnTo>
                  <a:pt x="4502" y="995"/>
                </a:lnTo>
                <a:lnTo>
                  <a:pt x="4483" y="994"/>
                </a:lnTo>
                <a:lnTo>
                  <a:pt x="4464" y="992"/>
                </a:lnTo>
                <a:lnTo>
                  <a:pt x="4446" y="990"/>
                </a:lnTo>
                <a:lnTo>
                  <a:pt x="4428" y="986"/>
                </a:lnTo>
                <a:lnTo>
                  <a:pt x="4409" y="982"/>
                </a:lnTo>
                <a:lnTo>
                  <a:pt x="4392" y="977"/>
                </a:lnTo>
                <a:lnTo>
                  <a:pt x="4375" y="972"/>
                </a:lnTo>
                <a:lnTo>
                  <a:pt x="4359" y="965"/>
                </a:lnTo>
                <a:lnTo>
                  <a:pt x="4343" y="958"/>
                </a:lnTo>
                <a:lnTo>
                  <a:pt x="4327" y="950"/>
                </a:lnTo>
                <a:lnTo>
                  <a:pt x="4311" y="942"/>
                </a:lnTo>
                <a:lnTo>
                  <a:pt x="4296" y="931"/>
                </a:lnTo>
                <a:lnTo>
                  <a:pt x="4282" y="921"/>
                </a:lnTo>
                <a:lnTo>
                  <a:pt x="4268" y="910"/>
                </a:lnTo>
                <a:lnTo>
                  <a:pt x="4254" y="898"/>
                </a:lnTo>
                <a:lnTo>
                  <a:pt x="4241" y="886"/>
                </a:lnTo>
                <a:lnTo>
                  <a:pt x="4228" y="874"/>
                </a:lnTo>
                <a:lnTo>
                  <a:pt x="4216" y="861"/>
                </a:lnTo>
                <a:lnTo>
                  <a:pt x="4205" y="847"/>
                </a:lnTo>
                <a:lnTo>
                  <a:pt x="4195" y="833"/>
                </a:lnTo>
                <a:lnTo>
                  <a:pt x="4186" y="819"/>
                </a:lnTo>
                <a:lnTo>
                  <a:pt x="4178" y="805"/>
                </a:lnTo>
                <a:lnTo>
                  <a:pt x="4171" y="790"/>
                </a:lnTo>
                <a:lnTo>
                  <a:pt x="4164" y="776"/>
                </a:lnTo>
                <a:lnTo>
                  <a:pt x="4159" y="760"/>
                </a:lnTo>
                <a:lnTo>
                  <a:pt x="4154" y="744"/>
                </a:lnTo>
                <a:lnTo>
                  <a:pt x="4150" y="728"/>
                </a:lnTo>
                <a:lnTo>
                  <a:pt x="4147" y="712"/>
                </a:lnTo>
                <a:lnTo>
                  <a:pt x="4145" y="696"/>
                </a:lnTo>
                <a:lnTo>
                  <a:pt x="4144" y="679"/>
                </a:lnTo>
                <a:lnTo>
                  <a:pt x="4144" y="661"/>
                </a:lnTo>
                <a:close/>
                <a:moveTo>
                  <a:pt x="5074" y="1102"/>
                </a:moveTo>
                <a:lnTo>
                  <a:pt x="5075" y="1114"/>
                </a:lnTo>
                <a:lnTo>
                  <a:pt x="5078" y="1125"/>
                </a:lnTo>
                <a:lnTo>
                  <a:pt x="5082" y="1135"/>
                </a:lnTo>
                <a:lnTo>
                  <a:pt x="5087" y="1144"/>
                </a:lnTo>
                <a:lnTo>
                  <a:pt x="5095" y="1153"/>
                </a:lnTo>
                <a:lnTo>
                  <a:pt x="5104" y="1161"/>
                </a:lnTo>
                <a:lnTo>
                  <a:pt x="5114" y="1168"/>
                </a:lnTo>
                <a:lnTo>
                  <a:pt x="5126" y="1174"/>
                </a:lnTo>
                <a:lnTo>
                  <a:pt x="5140" y="1179"/>
                </a:lnTo>
                <a:lnTo>
                  <a:pt x="5156" y="1184"/>
                </a:lnTo>
                <a:lnTo>
                  <a:pt x="5172" y="1188"/>
                </a:lnTo>
                <a:lnTo>
                  <a:pt x="5191" y="1192"/>
                </a:lnTo>
                <a:lnTo>
                  <a:pt x="5212" y="1194"/>
                </a:lnTo>
                <a:lnTo>
                  <a:pt x="5233" y="1196"/>
                </a:lnTo>
                <a:lnTo>
                  <a:pt x="5256" y="1197"/>
                </a:lnTo>
                <a:lnTo>
                  <a:pt x="5281" y="1198"/>
                </a:lnTo>
                <a:lnTo>
                  <a:pt x="5304" y="1197"/>
                </a:lnTo>
                <a:lnTo>
                  <a:pt x="5327" y="1196"/>
                </a:lnTo>
                <a:lnTo>
                  <a:pt x="5348" y="1194"/>
                </a:lnTo>
                <a:lnTo>
                  <a:pt x="5368" y="1192"/>
                </a:lnTo>
                <a:lnTo>
                  <a:pt x="5387" y="1189"/>
                </a:lnTo>
                <a:lnTo>
                  <a:pt x="5405" y="1185"/>
                </a:lnTo>
                <a:lnTo>
                  <a:pt x="5421" y="1180"/>
                </a:lnTo>
                <a:lnTo>
                  <a:pt x="5436" y="1174"/>
                </a:lnTo>
                <a:lnTo>
                  <a:pt x="5449" y="1168"/>
                </a:lnTo>
                <a:lnTo>
                  <a:pt x="5461" y="1162"/>
                </a:lnTo>
                <a:lnTo>
                  <a:pt x="5470" y="1154"/>
                </a:lnTo>
                <a:lnTo>
                  <a:pt x="5478" y="1147"/>
                </a:lnTo>
                <a:lnTo>
                  <a:pt x="5484" y="1138"/>
                </a:lnTo>
                <a:lnTo>
                  <a:pt x="5488" y="1130"/>
                </a:lnTo>
                <a:lnTo>
                  <a:pt x="5491" y="1120"/>
                </a:lnTo>
                <a:lnTo>
                  <a:pt x="5492" y="1109"/>
                </a:lnTo>
                <a:lnTo>
                  <a:pt x="5491" y="1099"/>
                </a:lnTo>
                <a:lnTo>
                  <a:pt x="5488" y="1088"/>
                </a:lnTo>
                <a:lnTo>
                  <a:pt x="5483" y="1079"/>
                </a:lnTo>
                <a:lnTo>
                  <a:pt x="5476" y="1070"/>
                </a:lnTo>
                <a:lnTo>
                  <a:pt x="5467" y="1062"/>
                </a:lnTo>
                <a:lnTo>
                  <a:pt x="5456" y="1055"/>
                </a:lnTo>
                <a:lnTo>
                  <a:pt x="5444" y="1048"/>
                </a:lnTo>
                <a:lnTo>
                  <a:pt x="5429" y="1042"/>
                </a:lnTo>
                <a:lnTo>
                  <a:pt x="5412" y="1037"/>
                </a:lnTo>
                <a:lnTo>
                  <a:pt x="5392" y="1032"/>
                </a:lnTo>
                <a:lnTo>
                  <a:pt x="5372" y="1028"/>
                </a:lnTo>
                <a:lnTo>
                  <a:pt x="5349" y="1024"/>
                </a:lnTo>
                <a:lnTo>
                  <a:pt x="5324" y="1021"/>
                </a:lnTo>
                <a:lnTo>
                  <a:pt x="5298" y="1020"/>
                </a:lnTo>
                <a:lnTo>
                  <a:pt x="5269" y="1018"/>
                </a:lnTo>
                <a:lnTo>
                  <a:pt x="5238" y="1018"/>
                </a:lnTo>
                <a:lnTo>
                  <a:pt x="5221" y="1018"/>
                </a:lnTo>
                <a:lnTo>
                  <a:pt x="5204" y="1020"/>
                </a:lnTo>
                <a:lnTo>
                  <a:pt x="5187" y="1021"/>
                </a:lnTo>
                <a:lnTo>
                  <a:pt x="5172" y="1024"/>
                </a:lnTo>
                <a:lnTo>
                  <a:pt x="5158" y="1028"/>
                </a:lnTo>
                <a:lnTo>
                  <a:pt x="5144" y="1032"/>
                </a:lnTo>
                <a:lnTo>
                  <a:pt x="5132" y="1037"/>
                </a:lnTo>
                <a:lnTo>
                  <a:pt x="5120" y="1043"/>
                </a:lnTo>
                <a:lnTo>
                  <a:pt x="5109" y="1049"/>
                </a:lnTo>
                <a:lnTo>
                  <a:pt x="5100" y="1055"/>
                </a:lnTo>
                <a:lnTo>
                  <a:pt x="5092" y="1062"/>
                </a:lnTo>
                <a:lnTo>
                  <a:pt x="5086" y="1070"/>
                </a:lnTo>
                <a:lnTo>
                  <a:pt x="5081" y="1077"/>
                </a:lnTo>
                <a:lnTo>
                  <a:pt x="5077" y="1085"/>
                </a:lnTo>
                <a:lnTo>
                  <a:pt x="5075" y="1094"/>
                </a:lnTo>
                <a:lnTo>
                  <a:pt x="5074" y="1102"/>
                </a:lnTo>
                <a:close/>
                <a:moveTo>
                  <a:pt x="5158" y="778"/>
                </a:moveTo>
                <a:lnTo>
                  <a:pt x="5139" y="772"/>
                </a:lnTo>
                <a:lnTo>
                  <a:pt x="5121" y="765"/>
                </a:lnTo>
                <a:lnTo>
                  <a:pt x="5104" y="757"/>
                </a:lnTo>
                <a:lnTo>
                  <a:pt x="5088" y="748"/>
                </a:lnTo>
                <a:lnTo>
                  <a:pt x="5073" y="738"/>
                </a:lnTo>
                <a:lnTo>
                  <a:pt x="5060" y="728"/>
                </a:lnTo>
                <a:lnTo>
                  <a:pt x="5048" y="717"/>
                </a:lnTo>
                <a:lnTo>
                  <a:pt x="5037" y="704"/>
                </a:lnTo>
                <a:lnTo>
                  <a:pt x="5027" y="691"/>
                </a:lnTo>
                <a:lnTo>
                  <a:pt x="5018" y="677"/>
                </a:lnTo>
                <a:lnTo>
                  <a:pt x="5011" y="662"/>
                </a:lnTo>
                <a:lnTo>
                  <a:pt x="5005" y="646"/>
                </a:lnTo>
                <a:lnTo>
                  <a:pt x="5000" y="630"/>
                </a:lnTo>
                <a:lnTo>
                  <a:pt x="4997" y="613"/>
                </a:lnTo>
                <a:lnTo>
                  <a:pt x="4995" y="596"/>
                </a:lnTo>
                <a:lnTo>
                  <a:pt x="4994" y="576"/>
                </a:lnTo>
                <a:lnTo>
                  <a:pt x="4994" y="562"/>
                </a:lnTo>
                <a:lnTo>
                  <a:pt x="4995" y="548"/>
                </a:lnTo>
                <a:lnTo>
                  <a:pt x="4997" y="535"/>
                </a:lnTo>
                <a:lnTo>
                  <a:pt x="4999" y="522"/>
                </a:lnTo>
                <a:lnTo>
                  <a:pt x="5004" y="510"/>
                </a:lnTo>
                <a:lnTo>
                  <a:pt x="5007" y="497"/>
                </a:lnTo>
                <a:lnTo>
                  <a:pt x="5012" y="485"/>
                </a:lnTo>
                <a:lnTo>
                  <a:pt x="5017" y="474"/>
                </a:lnTo>
                <a:lnTo>
                  <a:pt x="5023" y="463"/>
                </a:lnTo>
                <a:lnTo>
                  <a:pt x="5030" y="453"/>
                </a:lnTo>
                <a:lnTo>
                  <a:pt x="5037" y="443"/>
                </a:lnTo>
                <a:lnTo>
                  <a:pt x="5045" y="434"/>
                </a:lnTo>
                <a:lnTo>
                  <a:pt x="5054" y="425"/>
                </a:lnTo>
                <a:lnTo>
                  <a:pt x="5063" y="416"/>
                </a:lnTo>
                <a:lnTo>
                  <a:pt x="5073" y="407"/>
                </a:lnTo>
                <a:lnTo>
                  <a:pt x="5084" y="400"/>
                </a:lnTo>
                <a:lnTo>
                  <a:pt x="5095" y="393"/>
                </a:lnTo>
                <a:lnTo>
                  <a:pt x="5107" y="386"/>
                </a:lnTo>
                <a:lnTo>
                  <a:pt x="5120" y="380"/>
                </a:lnTo>
                <a:lnTo>
                  <a:pt x="5133" y="374"/>
                </a:lnTo>
                <a:lnTo>
                  <a:pt x="5147" y="369"/>
                </a:lnTo>
                <a:lnTo>
                  <a:pt x="5162" y="364"/>
                </a:lnTo>
                <a:lnTo>
                  <a:pt x="5178" y="359"/>
                </a:lnTo>
                <a:lnTo>
                  <a:pt x="5194" y="355"/>
                </a:lnTo>
                <a:lnTo>
                  <a:pt x="5212" y="352"/>
                </a:lnTo>
                <a:lnTo>
                  <a:pt x="5229" y="349"/>
                </a:lnTo>
                <a:lnTo>
                  <a:pt x="5247" y="346"/>
                </a:lnTo>
                <a:lnTo>
                  <a:pt x="5266" y="344"/>
                </a:lnTo>
                <a:lnTo>
                  <a:pt x="5306" y="342"/>
                </a:lnTo>
                <a:lnTo>
                  <a:pt x="5348" y="341"/>
                </a:lnTo>
                <a:lnTo>
                  <a:pt x="5631" y="341"/>
                </a:lnTo>
                <a:lnTo>
                  <a:pt x="5631" y="445"/>
                </a:lnTo>
                <a:lnTo>
                  <a:pt x="5510" y="445"/>
                </a:lnTo>
                <a:lnTo>
                  <a:pt x="5524" y="459"/>
                </a:lnTo>
                <a:lnTo>
                  <a:pt x="5536" y="474"/>
                </a:lnTo>
                <a:lnTo>
                  <a:pt x="5545" y="489"/>
                </a:lnTo>
                <a:lnTo>
                  <a:pt x="5553" y="505"/>
                </a:lnTo>
                <a:lnTo>
                  <a:pt x="5559" y="521"/>
                </a:lnTo>
                <a:lnTo>
                  <a:pt x="5563" y="538"/>
                </a:lnTo>
                <a:lnTo>
                  <a:pt x="5566" y="556"/>
                </a:lnTo>
                <a:lnTo>
                  <a:pt x="5567" y="575"/>
                </a:lnTo>
                <a:lnTo>
                  <a:pt x="5566" y="596"/>
                </a:lnTo>
                <a:lnTo>
                  <a:pt x="5564" y="615"/>
                </a:lnTo>
                <a:lnTo>
                  <a:pt x="5559" y="633"/>
                </a:lnTo>
                <a:lnTo>
                  <a:pt x="5553" y="650"/>
                </a:lnTo>
                <a:lnTo>
                  <a:pt x="5546" y="667"/>
                </a:lnTo>
                <a:lnTo>
                  <a:pt x="5536" y="684"/>
                </a:lnTo>
                <a:lnTo>
                  <a:pt x="5525" y="699"/>
                </a:lnTo>
                <a:lnTo>
                  <a:pt x="5513" y="713"/>
                </a:lnTo>
                <a:lnTo>
                  <a:pt x="5499" y="727"/>
                </a:lnTo>
                <a:lnTo>
                  <a:pt x="5484" y="739"/>
                </a:lnTo>
                <a:lnTo>
                  <a:pt x="5467" y="750"/>
                </a:lnTo>
                <a:lnTo>
                  <a:pt x="5450" y="759"/>
                </a:lnTo>
                <a:lnTo>
                  <a:pt x="5431" y="768"/>
                </a:lnTo>
                <a:lnTo>
                  <a:pt x="5411" y="775"/>
                </a:lnTo>
                <a:lnTo>
                  <a:pt x="5389" y="781"/>
                </a:lnTo>
                <a:lnTo>
                  <a:pt x="5367" y="785"/>
                </a:lnTo>
                <a:lnTo>
                  <a:pt x="5356" y="787"/>
                </a:lnTo>
                <a:lnTo>
                  <a:pt x="5344" y="789"/>
                </a:lnTo>
                <a:lnTo>
                  <a:pt x="5330" y="791"/>
                </a:lnTo>
                <a:lnTo>
                  <a:pt x="5314" y="793"/>
                </a:lnTo>
                <a:lnTo>
                  <a:pt x="5287" y="798"/>
                </a:lnTo>
                <a:lnTo>
                  <a:pt x="5264" y="803"/>
                </a:lnTo>
                <a:lnTo>
                  <a:pt x="5244" y="808"/>
                </a:lnTo>
                <a:lnTo>
                  <a:pt x="5228" y="814"/>
                </a:lnTo>
                <a:lnTo>
                  <a:pt x="5221" y="818"/>
                </a:lnTo>
                <a:lnTo>
                  <a:pt x="5216" y="821"/>
                </a:lnTo>
                <a:lnTo>
                  <a:pt x="5211" y="825"/>
                </a:lnTo>
                <a:lnTo>
                  <a:pt x="5207" y="829"/>
                </a:lnTo>
                <a:lnTo>
                  <a:pt x="5203" y="833"/>
                </a:lnTo>
                <a:lnTo>
                  <a:pt x="5201" y="837"/>
                </a:lnTo>
                <a:lnTo>
                  <a:pt x="5200" y="841"/>
                </a:lnTo>
                <a:lnTo>
                  <a:pt x="5199" y="846"/>
                </a:lnTo>
                <a:lnTo>
                  <a:pt x="5200" y="850"/>
                </a:lnTo>
                <a:lnTo>
                  <a:pt x="5202" y="856"/>
                </a:lnTo>
                <a:lnTo>
                  <a:pt x="5205" y="860"/>
                </a:lnTo>
                <a:lnTo>
                  <a:pt x="5210" y="865"/>
                </a:lnTo>
                <a:lnTo>
                  <a:pt x="5215" y="869"/>
                </a:lnTo>
                <a:lnTo>
                  <a:pt x="5222" y="873"/>
                </a:lnTo>
                <a:lnTo>
                  <a:pt x="5231" y="877"/>
                </a:lnTo>
                <a:lnTo>
                  <a:pt x="5240" y="881"/>
                </a:lnTo>
                <a:lnTo>
                  <a:pt x="5263" y="889"/>
                </a:lnTo>
                <a:lnTo>
                  <a:pt x="5291" y="897"/>
                </a:lnTo>
                <a:lnTo>
                  <a:pt x="5324" y="905"/>
                </a:lnTo>
                <a:lnTo>
                  <a:pt x="5362" y="912"/>
                </a:lnTo>
                <a:lnTo>
                  <a:pt x="5381" y="915"/>
                </a:lnTo>
                <a:lnTo>
                  <a:pt x="5399" y="918"/>
                </a:lnTo>
                <a:lnTo>
                  <a:pt x="5414" y="921"/>
                </a:lnTo>
                <a:lnTo>
                  <a:pt x="5426" y="923"/>
                </a:lnTo>
                <a:lnTo>
                  <a:pt x="5451" y="928"/>
                </a:lnTo>
                <a:lnTo>
                  <a:pt x="5474" y="934"/>
                </a:lnTo>
                <a:lnTo>
                  <a:pt x="5496" y="942"/>
                </a:lnTo>
                <a:lnTo>
                  <a:pt x="5516" y="950"/>
                </a:lnTo>
                <a:lnTo>
                  <a:pt x="5535" y="958"/>
                </a:lnTo>
                <a:lnTo>
                  <a:pt x="5552" y="967"/>
                </a:lnTo>
                <a:lnTo>
                  <a:pt x="5568" y="978"/>
                </a:lnTo>
                <a:lnTo>
                  <a:pt x="5582" y="989"/>
                </a:lnTo>
                <a:lnTo>
                  <a:pt x="5595" y="1000"/>
                </a:lnTo>
                <a:lnTo>
                  <a:pt x="5606" y="1013"/>
                </a:lnTo>
                <a:lnTo>
                  <a:pt x="5615" y="1026"/>
                </a:lnTo>
                <a:lnTo>
                  <a:pt x="5622" y="1041"/>
                </a:lnTo>
                <a:lnTo>
                  <a:pt x="5628" y="1056"/>
                </a:lnTo>
                <a:lnTo>
                  <a:pt x="5632" y="1072"/>
                </a:lnTo>
                <a:lnTo>
                  <a:pt x="5634" y="1088"/>
                </a:lnTo>
                <a:lnTo>
                  <a:pt x="5635" y="1105"/>
                </a:lnTo>
                <a:lnTo>
                  <a:pt x="5635" y="1118"/>
                </a:lnTo>
                <a:lnTo>
                  <a:pt x="5634" y="1130"/>
                </a:lnTo>
                <a:lnTo>
                  <a:pt x="5632" y="1141"/>
                </a:lnTo>
                <a:lnTo>
                  <a:pt x="5630" y="1152"/>
                </a:lnTo>
                <a:lnTo>
                  <a:pt x="5626" y="1162"/>
                </a:lnTo>
                <a:lnTo>
                  <a:pt x="5623" y="1172"/>
                </a:lnTo>
                <a:lnTo>
                  <a:pt x="5618" y="1182"/>
                </a:lnTo>
                <a:lnTo>
                  <a:pt x="5613" y="1192"/>
                </a:lnTo>
                <a:lnTo>
                  <a:pt x="5607" y="1201"/>
                </a:lnTo>
                <a:lnTo>
                  <a:pt x="5600" y="1211"/>
                </a:lnTo>
                <a:lnTo>
                  <a:pt x="5593" y="1219"/>
                </a:lnTo>
                <a:lnTo>
                  <a:pt x="5584" y="1227"/>
                </a:lnTo>
                <a:lnTo>
                  <a:pt x="5575" y="1235"/>
                </a:lnTo>
                <a:lnTo>
                  <a:pt x="5565" y="1242"/>
                </a:lnTo>
                <a:lnTo>
                  <a:pt x="5555" y="1249"/>
                </a:lnTo>
                <a:lnTo>
                  <a:pt x="5544" y="1255"/>
                </a:lnTo>
                <a:lnTo>
                  <a:pt x="5533" y="1261"/>
                </a:lnTo>
                <a:lnTo>
                  <a:pt x="5521" y="1267"/>
                </a:lnTo>
                <a:lnTo>
                  <a:pt x="5508" y="1273"/>
                </a:lnTo>
                <a:lnTo>
                  <a:pt x="5494" y="1277"/>
                </a:lnTo>
                <a:lnTo>
                  <a:pt x="5480" y="1282"/>
                </a:lnTo>
                <a:lnTo>
                  <a:pt x="5465" y="1286"/>
                </a:lnTo>
                <a:lnTo>
                  <a:pt x="5450" y="1290"/>
                </a:lnTo>
                <a:lnTo>
                  <a:pt x="5434" y="1294"/>
                </a:lnTo>
                <a:lnTo>
                  <a:pt x="5400" y="1300"/>
                </a:lnTo>
                <a:lnTo>
                  <a:pt x="5363" y="1304"/>
                </a:lnTo>
                <a:lnTo>
                  <a:pt x="5324" y="1306"/>
                </a:lnTo>
                <a:lnTo>
                  <a:pt x="5282" y="1307"/>
                </a:lnTo>
                <a:lnTo>
                  <a:pt x="5242" y="1306"/>
                </a:lnTo>
                <a:lnTo>
                  <a:pt x="5203" y="1304"/>
                </a:lnTo>
                <a:lnTo>
                  <a:pt x="5167" y="1300"/>
                </a:lnTo>
                <a:lnTo>
                  <a:pt x="5133" y="1295"/>
                </a:lnTo>
                <a:lnTo>
                  <a:pt x="5118" y="1292"/>
                </a:lnTo>
                <a:lnTo>
                  <a:pt x="5103" y="1287"/>
                </a:lnTo>
                <a:lnTo>
                  <a:pt x="5088" y="1283"/>
                </a:lnTo>
                <a:lnTo>
                  <a:pt x="5074" y="1278"/>
                </a:lnTo>
                <a:lnTo>
                  <a:pt x="5061" y="1274"/>
                </a:lnTo>
                <a:lnTo>
                  <a:pt x="5048" y="1269"/>
                </a:lnTo>
                <a:lnTo>
                  <a:pt x="5036" y="1263"/>
                </a:lnTo>
                <a:lnTo>
                  <a:pt x="5025" y="1257"/>
                </a:lnTo>
                <a:lnTo>
                  <a:pt x="5014" y="1251"/>
                </a:lnTo>
                <a:lnTo>
                  <a:pt x="5004" y="1244"/>
                </a:lnTo>
                <a:lnTo>
                  <a:pt x="4994" y="1237"/>
                </a:lnTo>
                <a:lnTo>
                  <a:pt x="4986" y="1230"/>
                </a:lnTo>
                <a:lnTo>
                  <a:pt x="4978" y="1222"/>
                </a:lnTo>
                <a:lnTo>
                  <a:pt x="4970" y="1214"/>
                </a:lnTo>
                <a:lnTo>
                  <a:pt x="4964" y="1205"/>
                </a:lnTo>
                <a:lnTo>
                  <a:pt x="4958" y="1196"/>
                </a:lnTo>
                <a:lnTo>
                  <a:pt x="4953" y="1187"/>
                </a:lnTo>
                <a:lnTo>
                  <a:pt x="4948" y="1177"/>
                </a:lnTo>
                <a:lnTo>
                  <a:pt x="4945" y="1167"/>
                </a:lnTo>
                <a:lnTo>
                  <a:pt x="4941" y="1157"/>
                </a:lnTo>
                <a:lnTo>
                  <a:pt x="4939" y="1147"/>
                </a:lnTo>
                <a:lnTo>
                  <a:pt x="4937" y="1136"/>
                </a:lnTo>
                <a:lnTo>
                  <a:pt x="4936" y="1125"/>
                </a:lnTo>
                <a:lnTo>
                  <a:pt x="4936" y="1112"/>
                </a:lnTo>
                <a:lnTo>
                  <a:pt x="4937" y="1096"/>
                </a:lnTo>
                <a:lnTo>
                  <a:pt x="4939" y="1080"/>
                </a:lnTo>
                <a:lnTo>
                  <a:pt x="4943" y="1065"/>
                </a:lnTo>
                <a:lnTo>
                  <a:pt x="4949" y="1051"/>
                </a:lnTo>
                <a:lnTo>
                  <a:pt x="4956" y="1038"/>
                </a:lnTo>
                <a:lnTo>
                  <a:pt x="4965" y="1024"/>
                </a:lnTo>
                <a:lnTo>
                  <a:pt x="4975" y="1012"/>
                </a:lnTo>
                <a:lnTo>
                  <a:pt x="4987" y="1001"/>
                </a:lnTo>
                <a:lnTo>
                  <a:pt x="5002" y="991"/>
                </a:lnTo>
                <a:lnTo>
                  <a:pt x="5017" y="981"/>
                </a:lnTo>
                <a:lnTo>
                  <a:pt x="5034" y="972"/>
                </a:lnTo>
                <a:lnTo>
                  <a:pt x="5052" y="964"/>
                </a:lnTo>
                <a:lnTo>
                  <a:pt x="5072" y="957"/>
                </a:lnTo>
                <a:lnTo>
                  <a:pt x="5093" y="951"/>
                </a:lnTo>
                <a:lnTo>
                  <a:pt x="5116" y="946"/>
                </a:lnTo>
                <a:lnTo>
                  <a:pt x="5140" y="941"/>
                </a:lnTo>
                <a:lnTo>
                  <a:pt x="5121" y="932"/>
                </a:lnTo>
                <a:lnTo>
                  <a:pt x="5105" y="923"/>
                </a:lnTo>
                <a:lnTo>
                  <a:pt x="5092" y="914"/>
                </a:lnTo>
                <a:lnTo>
                  <a:pt x="5081" y="905"/>
                </a:lnTo>
                <a:lnTo>
                  <a:pt x="5077" y="900"/>
                </a:lnTo>
                <a:lnTo>
                  <a:pt x="5073" y="895"/>
                </a:lnTo>
                <a:lnTo>
                  <a:pt x="5070" y="890"/>
                </a:lnTo>
                <a:lnTo>
                  <a:pt x="5067" y="885"/>
                </a:lnTo>
                <a:lnTo>
                  <a:pt x="5065" y="880"/>
                </a:lnTo>
                <a:lnTo>
                  <a:pt x="5064" y="874"/>
                </a:lnTo>
                <a:lnTo>
                  <a:pt x="5063" y="868"/>
                </a:lnTo>
                <a:lnTo>
                  <a:pt x="5063" y="863"/>
                </a:lnTo>
                <a:lnTo>
                  <a:pt x="5063" y="857"/>
                </a:lnTo>
                <a:lnTo>
                  <a:pt x="5064" y="850"/>
                </a:lnTo>
                <a:lnTo>
                  <a:pt x="5066" y="844"/>
                </a:lnTo>
                <a:lnTo>
                  <a:pt x="5068" y="838"/>
                </a:lnTo>
                <a:lnTo>
                  <a:pt x="5071" y="832"/>
                </a:lnTo>
                <a:lnTo>
                  <a:pt x="5075" y="827"/>
                </a:lnTo>
                <a:lnTo>
                  <a:pt x="5080" y="822"/>
                </a:lnTo>
                <a:lnTo>
                  <a:pt x="5085" y="817"/>
                </a:lnTo>
                <a:lnTo>
                  <a:pt x="5092" y="812"/>
                </a:lnTo>
                <a:lnTo>
                  <a:pt x="5098" y="807"/>
                </a:lnTo>
                <a:lnTo>
                  <a:pt x="5106" y="802"/>
                </a:lnTo>
                <a:lnTo>
                  <a:pt x="5115" y="797"/>
                </a:lnTo>
                <a:lnTo>
                  <a:pt x="5135" y="788"/>
                </a:lnTo>
                <a:lnTo>
                  <a:pt x="5158" y="778"/>
                </a:lnTo>
                <a:close/>
                <a:moveTo>
                  <a:pt x="5282" y="449"/>
                </a:moveTo>
                <a:lnTo>
                  <a:pt x="5266" y="449"/>
                </a:lnTo>
                <a:lnTo>
                  <a:pt x="5251" y="451"/>
                </a:lnTo>
                <a:lnTo>
                  <a:pt x="5237" y="454"/>
                </a:lnTo>
                <a:lnTo>
                  <a:pt x="5223" y="457"/>
                </a:lnTo>
                <a:lnTo>
                  <a:pt x="5210" y="462"/>
                </a:lnTo>
                <a:lnTo>
                  <a:pt x="5198" y="468"/>
                </a:lnTo>
                <a:lnTo>
                  <a:pt x="5186" y="475"/>
                </a:lnTo>
                <a:lnTo>
                  <a:pt x="5175" y="483"/>
                </a:lnTo>
                <a:lnTo>
                  <a:pt x="5165" y="492"/>
                </a:lnTo>
                <a:lnTo>
                  <a:pt x="5157" y="502"/>
                </a:lnTo>
                <a:lnTo>
                  <a:pt x="5150" y="512"/>
                </a:lnTo>
                <a:lnTo>
                  <a:pt x="5144" y="523"/>
                </a:lnTo>
                <a:lnTo>
                  <a:pt x="5140" y="534"/>
                </a:lnTo>
                <a:lnTo>
                  <a:pt x="5137" y="546"/>
                </a:lnTo>
                <a:lnTo>
                  <a:pt x="5135" y="558"/>
                </a:lnTo>
                <a:lnTo>
                  <a:pt x="5134" y="571"/>
                </a:lnTo>
                <a:lnTo>
                  <a:pt x="5135" y="584"/>
                </a:lnTo>
                <a:lnTo>
                  <a:pt x="5137" y="598"/>
                </a:lnTo>
                <a:lnTo>
                  <a:pt x="5140" y="610"/>
                </a:lnTo>
                <a:lnTo>
                  <a:pt x="5144" y="621"/>
                </a:lnTo>
                <a:lnTo>
                  <a:pt x="5149" y="632"/>
                </a:lnTo>
                <a:lnTo>
                  <a:pt x="5156" y="642"/>
                </a:lnTo>
                <a:lnTo>
                  <a:pt x="5164" y="651"/>
                </a:lnTo>
                <a:lnTo>
                  <a:pt x="5173" y="659"/>
                </a:lnTo>
                <a:lnTo>
                  <a:pt x="5183" y="666"/>
                </a:lnTo>
                <a:lnTo>
                  <a:pt x="5194" y="673"/>
                </a:lnTo>
                <a:lnTo>
                  <a:pt x="5207" y="679"/>
                </a:lnTo>
                <a:lnTo>
                  <a:pt x="5221" y="683"/>
                </a:lnTo>
                <a:lnTo>
                  <a:pt x="5235" y="687"/>
                </a:lnTo>
                <a:lnTo>
                  <a:pt x="5250" y="689"/>
                </a:lnTo>
                <a:lnTo>
                  <a:pt x="5265" y="691"/>
                </a:lnTo>
                <a:lnTo>
                  <a:pt x="5282" y="691"/>
                </a:lnTo>
                <a:lnTo>
                  <a:pt x="5299" y="691"/>
                </a:lnTo>
                <a:lnTo>
                  <a:pt x="5315" y="689"/>
                </a:lnTo>
                <a:lnTo>
                  <a:pt x="5330" y="687"/>
                </a:lnTo>
                <a:lnTo>
                  <a:pt x="5344" y="683"/>
                </a:lnTo>
                <a:lnTo>
                  <a:pt x="5358" y="679"/>
                </a:lnTo>
                <a:lnTo>
                  <a:pt x="5370" y="672"/>
                </a:lnTo>
                <a:lnTo>
                  <a:pt x="5382" y="666"/>
                </a:lnTo>
                <a:lnTo>
                  <a:pt x="5392" y="659"/>
                </a:lnTo>
                <a:lnTo>
                  <a:pt x="5403" y="650"/>
                </a:lnTo>
                <a:lnTo>
                  <a:pt x="5411" y="641"/>
                </a:lnTo>
                <a:lnTo>
                  <a:pt x="5418" y="632"/>
                </a:lnTo>
                <a:lnTo>
                  <a:pt x="5424" y="621"/>
                </a:lnTo>
                <a:lnTo>
                  <a:pt x="5428" y="610"/>
                </a:lnTo>
                <a:lnTo>
                  <a:pt x="5431" y="598"/>
                </a:lnTo>
                <a:lnTo>
                  <a:pt x="5433" y="584"/>
                </a:lnTo>
                <a:lnTo>
                  <a:pt x="5434" y="571"/>
                </a:lnTo>
                <a:lnTo>
                  <a:pt x="5433" y="558"/>
                </a:lnTo>
                <a:lnTo>
                  <a:pt x="5431" y="546"/>
                </a:lnTo>
                <a:lnTo>
                  <a:pt x="5428" y="534"/>
                </a:lnTo>
                <a:lnTo>
                  <a:pt x="5423" y="523"/>
                </a:lnTo>
                <a:lnTo>
                  <a:pt x="5417" y="512"/>
                </a:lnTo>
                <a:lnTo>
                  <a:pt x="5410" y="502"/>
                </a:lnTo>
                <a:lnTo>
                  <a:pt x="5401" y="492"/>
                </a:lnTo>
                <a:lnTo>
                  <a:pt x="5390" y="483"/>
                </a:lnTo>
                <a:lnTo>
                  <a:pt x="5379" y="475"/>
                </a:lnTo>
                <a:lnTo>
                  <a:pt x="5368" y="468"/>
                </a:lnTo>
                <a:lnTo>
                  <a:pt x="5355" y="462"/>
                </a:lnTo>
                <a:lnTo>
                  <a:pt x="5342" y="457"/>
                </a:lnTo>
                <a:lnTo>
                  <a:pt x="5328" y="454"/>
                </a:lnTo>
                <a:lnTo>
                  <a:pt x="5314" y="451"/>
                </a:lnTo>
                <a:lnTo>
                  <a:pt x="5298" y="449"/>
                </a:lnTo>
                <a:lnTo>
                  <a:pt x="5282" y="449"/>
                </a:lnTo>
                <a:close/>
                <a:moveTo>
                  <a:pt x="5731" y="151"/>
                </a:moveTo>
                <a:lnTo>
                  <a:pt x="5731" y="143"/>
                </a:lnTo>
                <a:lnTo>
                  <a:pt x="5732" y="136"/>
                </a:lnTo>
                <a:lnTo>
                  <a:pt x="5734" y="129"/>
                </a:lnTo>
                <a:lnTo>
                  <a:pt x="5736" y="123"/>
                </a:lnTo>
                <a:lnTo>
                  <a:pt x="5740" y="117"/>
                </a:lnTo>
                <a:lnTo>
                  <a:pt x="5744" y="111"/>
                </a:lnTo>
                <a:lnTo>
                  <a:pt x="5748" y="105"/>
                </a:lnTo>
                <a:lnTo>
                  <a:pt x="5754" y="100"/>
                </a:lnTo>
                <a:lnTo>
                  <a:pt x="5760" y="95"/>
                </a:lnTo>
                <a:lnTo>
                  <a:pt x="5766" y="91"/>
                </a:lnTo>
                <a:lnTo>
                  <a:pt x="5772" y="87"/>
                </a:lnTo>
                <a:lnTo>
                  <a:pt x="5779" y="84"/>
                </a:lnTo>
                <a:lnTo>
                  <a:pt x="5788" y="82"/>
                </a:lnTo>
                <a:lnTo>
                  <a:pt x="5795" y="80"/>
                </a:lnTo>
                <a:lnTo>
                  <a:pt x="5803" y="79"/>
                </a:lnTo>
                <a:lnTo>
                  <a:pt x="5811" y="79"/>
                </a:lnTo>
                <a:lnTo>
                  <a:pt x="5820" y="79"/>
                </a:lnTo>
                <a:lnTo>
                  <a:pt x="5827" y="80"/>
                </a:lnTo>
                <a:lnTo>
                  <a:pt x="5835" y="82"/>
                </a:lnTo>
                <a:lnTo>
                  <a:pt x="5842" y="84"/>
                </a:lnTo>
                <a:lnTo>
                  <a:pt x="5849" y="87"/>
                </a:lnTo>
                <a:lnTo>
                  <a:pt x="5856" y="91"/>
                </a:lnTo>
                <a:lnTo>
                  <a:pt x="5862" y="95"/>
                </a:lnTo>
                <a:lnTo>
                  <a:pt x="5868" y="100"/>
                </a:lnTo>
                <a:lnTo>
                  <a:pt x="5873" y="105"/>
                </a:lnTo>
                <a:lnTo>
                  <a:pt x="5878" y="111"/>
                </a:lnTo>
                <a:lnTo>
                  <a:pt x="5882" y="117"/>
                </a:lnTo>
                <a:lnTo>
                  <a:pt x="5885" y="123"/>
                </a:lnTo>
                <a:lnTo>
                  <a:pt x="5887" y="129"/>
                </a:lnTo>
                <a:lnTo>
                  <a:pt x="5889" y="136"/>
                </a:lnTo>
                <a:lnTo>
                  <a:pt x="5890" y="143"/>
                </a:lnTo>
                <a:lnTo>
                  <a:pt x="5891" y="151"/>
                </a:lnTo>
                <a:lnTo>
                  <a:pt x="5890" y="159"/>
                </a:lnTo>
                <a:lnTo>
                  <a:pt x="5889" y="166"/>
                </a:lnTo>
                <a:lnTo>
                  <a:pt x="5887" y="173"/>
                </a:lnTo>
                <a:lnTo>
                  <a:pt x="5885" y="179"/>
                </a:lnTo>
                <a:lnTo>
                  <a:pt x="5882" y="186"/>
                </a:lnTo>
                <a:lnTo>
                  <a:pt x="5878" y="192"/>
                </a:lnTo>
                <a:lnTo>
                  <a:pt x="5873" y="197"/>
                </a:lnTo>
                <a:lnTo>
                  <a:pt x="5868" y="202"/>
                </a:lnTo>
                <a:lnTo>
                  <a:pt x="5862" y="207"/>
                </a:lnTo>
                <a:lnTo>
                  <a:pt x="5856" y="211"/>
                </a:lnTo>
                <a:lnTo>
                  <a:pt x="5849" y="215"/>
                </a:lnTo>
                <a:lnTo>
                  <a:pt x="5842" y="218"/>
                </a:lnTo>
                <a:lnTo>
                  <a:pt x="5835" y="220"/>
                </a:lnTo>
                <a:lnTo>
                  <a:pt x="5827" y="222"/>
                </a:lnTo>
                <a:lnTo>
                  <a:pt x="5820" y="223"/>
                </a:lnTo>
                <a:lnTo>
                  <a:pt x="5811" y="223"/>
                </a:lnTo>
                <a:lnTo>
                  <a:pt x="5803" y="223"/>
                </a:lnTo>
                <a:lnTo>
                  <a:pt x="5795" y="222"/>
                </a:lnTo>
                <a:lnTo>
                  <a:pt x="5788" y="220"/>
                </a:lnTo>
                <a:lnTo>
                  <a:pt x="5779" y="218"/>
                </a:lnTo>
                <a:lnTo>
                  <a:pt x="5772" y="215"/>
                </a:lnTo>
                <a:lnTo>
                  <a:pt x="5766" y="211"/>
                </a:lnTo>
                <a:lnTo>
                  <a:pt x="5760" y="207"/>
                </a:lnTo>
                <a:lnTo>
                  <a:pt x="5754" y="202"/>
                </a:lnTo>
                <a:lnTo>
                  <a:pt x="5748" y="197"/>
                </a:lnTo>
                <a:lnTo>
                  <a:pt x="5744" y="192"/>
                </a:lnTo>
                <a:lnTo>
                  <a:pt x="5740" y="186"/>
                </a:lnTo>
                <a:lnTo>
                  <a:pt x="5736" y="179"/>
                </a:lnTo>
                <a:lnTo>
                  <a:pt x="5734" y="173"/>
                </a:lnTo>
                <a:lnTo>
                  <a:pt x="5732" y="166"/>
                </a:lnTo>
                <a:lnTo>
                  <a:pt x="5731" y="159"/>
                </a:lnTo>
                <a:lnTo>
                  <a:pt x="5731" y="151"/>
                </a:lnTo>
                <a:close/>
                <a:moveTo>
                  <a:pt x="5740" y="983"/>
                </a:moveTo>
                <a:lnTo>
                  <a:pt x="5740" y="341"/>
                </a:lnTo>
                <a:lnTo>
                  <a:pt x="5882" y="341"/>
                </a:lnTo>
                <a:lnTo>
                  <a:pt x="5882" y="983"/>
                </a:lnTo>
                <a:lnTo>
                  <a:pt x="5740" y="983"/>
                </a:lnTo>
                <a:close/>
                <a:moveTo>
                  <a:pt x="6417" y="853"/>
                </a:moveTo>
                <a:lnTo>
                  <a:pt x="6417" y="664"/>
                </a:lnTo>
                <a:lnTo>
                  <a:pt x="6383" y="674"/>
                </a:lnTo>
                <a:lnTo>
                  <a:pt x="6351" y="684"/>
                </a:lnTo>
                <a:lnTo>
                  <a:pt x="6322" y="694"/>
                </a:lnTo>
                <a:lnTo>
                  <a:pt x="6296" y="703"/>
                </a:lnTo>
                <a:lnTo>
                  <a:pt x="6273" y="712"/>
                </a:lnTo>
                <a:lnTo>
                  <a:pt x="6253" y="721"/>
                </a:lnTo>
                <a:lnTo>
                  <a:pt x="6235" y="730"/>
                </a:lnTo>
                <a:lnTo>
                  <a:pt x="6220" y="738"/>
                </a:lnTo>
                <a:lnTo>
                  <a:pt x="6207" y="747"/>
                </a:lnTo>
                <a:lnTo>
                  <a:pt x="6196" y="756"/>
                </a:lnTo>
                <a:lnTo>
                  <a:pt x="6187" y="766"/>
                </a:lnTo>
                <a:lnTo>
                  <a:pt x="6180" y="776"/>
                </a:lnTo>
                <a:lnTo>
                  <a:pt x="6173" y="786"/>
                </a:lnTo>
                <a:lnTo>
                  <a:pt x="6168" y="796"/>
                </a:lnTo>
                <a:lnTo>
                  <a:pt x="6166" y="807"/>
                </a:lnTo>
                <a:lnTo>
                  <a:pt x="6165" y="818"/>
                </a:lnTo>
                <a:lnTo>
                  <a:pt x="6165" y="827"/>
                </a:lnTo>
                <a:lnTo>
                  <a:pt x="6167" y="836"/>
                </a:lnTo>
                <a:lnTo>
                  <a:pt x="6169" y="845"/>
                </a:lnTo>
                <a:lnTo>
                  <a:pt x="6172" y="853"/>
                </a:lnTo>
                <a:lnTo>
                  <a:pt x="6176" y="861"/>
                </a:lnTo>
                <a:lnTo>
                  <a:pt x="6182" y="867"/>
                </a:lnTo>
                <a:lnTo>
                  <a:pt x="6187" y="873"/>
                </a:lnTo>
                <a:lnTo>
                  <a:pt x="6194" y="879"/>
                </a:lnTo>
                <a:lnTo>
                  <a:pt x="6201" y="884"/>
                </a:lnTo>
                <a:lnTo>
                  <a:pt x="6209" y="888"/>
                </a:lnTo>
                <a:lnTo>
                  <a:pt x="6218" y="892"/>
                </a:lnTo>
                <a:lnTo>
                  <a:pt x="6228" y="895"/>
                </a:lnTo>
                <a:lnTo>
                  <a:pt x="6238" y="897"/>
                </a:lnTo>
                <a:lnTo>
                  <a:pt x="6249" y="899"/>
                </a:lnTo>
                <a:lnTo>
                  <a:pt x="6260" y="900"/>
                </a:lnTo>
                <a:lnTo>
                  <a:pt x="6272" y="900"/>
                </a:lnTo>
                <a:lnTo>
                  <a:pt x="6291" y="900"/>
                </a:lnTo>
                <a:lnTo>
                  <a:pt x="6310" y="897"/>
                </a:lnTo>
                <a:lnTo>
                  <a:pt x="6328" y="894"/>
                </a:lnTo>
                <a:lnTo>
                  <a:pt x="6346" y="888"/>
                </a:lnTo>
                <a:lnTo>
                  <a:pt x="6364" y="881"/>
                </a:lnTo>
                <a:lnTo>
                  <a:pt x="6382" y="873"/>
                </a:lnTo>
                <a:lnTo>
                  <a:pt x="6400" y="864"/>
                </a:lnTo>
                <a:lnTo>
                  <a:pt x="6417" y="853"/>
                </a:lnTo>
                <a:close/>
                <a:moveTo>
                  <a:pt x="6423" y="930"/>
                </a:moveTo>
                <a:lnTo>
                  <a:pt x="6396" y="947"/>
                </a:lnTo>
                <a:lnTo>
                  <a:pt x="6369" y="960"/>
                </a:lnTo>
                <a:lnTo>
                  <a:pt x="6357" y="966"/>
                </a:lnTo>
                <a:lnTo>
                  <a:pt x="6344" y="971"/>
                </a:lnTo>
                <a:lnTo>
                  <a:pt x="6332" y="975"/>
                </a:lnTo>
                <a:lnTo>
                  <a:pt x="6320" y="979"/>
                </a:lnTo>
                <a:lnTo>
                  <a:pt x="6308" y="983"/>
                </a:lnTo>
                <a:lnTo>
                  <a:pt x="6296" y="986"/>
                </a:lnTo>
                <a:lnTo>
                  <a:pt x="6283" y="989"/>
                </a:lnTo>
                <a:lnTo>
                  <a:pt x="6271" y="991"/>
                </a:lnTo>
                <a:lnTo>
                  <a:pt x="6244" y="993"/>
                </a:lnTo>
                <a:lnTo>
                  <a:pt x="6217" y="994"/>
                </a:lnTo>
                <a:lnTo>
                  <a:pt x="6194" y="994"/>
                </a:lnTo>
                <a:lnTo>
                  <a:pt x="6171" y="992"/>
                </a:lnTo>
                <a:lnTo>
                  <a:pt x="6151" y="989"/>
                </a:lnTo>
                <a:lnTo>
                  <a:pt x="6132" y="984"/>
                </a:lnTo>
                <a:lnTo>
                  <a:pt x="6114" y="978"/>
                </a:lnTo>
                <a:lnTo>
                  <a:pt x="6097" y="971"/>
                </a:lnTo>
                <a:lnTo>
                  <a:pt x="6082" y="963"/>
                </a:lnTo>
                <a:lnTo>
                  <a:pt x="6068" y="953"/>
                </a:lnTo>
                <a:lnTo>
                  <a:pt x="6055" y="943"/>
                </a:lnTo>
                <a:lnTo>
                  <a:pt x="6044" y="930"/>
                </a:lnTo>
                <a:lnTo>
                  <a:pt x="6035" y="917"/>
                </a:lnTo>
                <a:lnTo>
                  <a:pt x="6028" y="904"/>
                </a:lnTo>
                <a:lnTo>
                  <a:pt x="6022" y="889"/>
                </a:lnTo>
                <a:lnTo>
                  <a:pt x="6018" y="874"/>
                </a:lnTo>
                <a:lnTo>
                  <a:pt x="6015" y="857"/>
                </a:lnTo>
                <a:lnTo>
                  <a:pt x="6014" y="839"/>
                </a:lnTo>
                <a:lnTo>
                  <a:pt x="6015" y="822"/>
                </a:lnTo>
                <a:lnTo>
                  <a:pt x="6018" y="806"/>
                </a:lnTo>
                <a:lnTo>
                  <a:pt x="6023" y="791"/>
                </a:lnTo>
                <a:lnTo>
                  <a:pt x="6029" y="776"/>
                </a:lnTo>
                <a:lnTo>
                  <a:pt x="6037" y="760"/>
                </a:lnTo>
                <a:lnTo>
                  <a:pt x="6047" y="746"/>
                </a:lnTo>
                <a:lnTo>
                  <a:pt x="6059" y="733"/>
                </a:lnTo>
                <a:lnTo>
                  <a:pt x="6073" y="720"/>
                </a:lnTo>
                <a:lnTo>
                  <a:pt x="6088" y="707"/>
                </a:lnTo>
                <a:lnTo>
                  <a:pt x="6105" y="695"/>
                </a:lnTo>
                <a:lnTo>
                  <a:pt x="6125" y="684"/>
                </a:lnTo>
                <a:lnTo>
                  <a:pt x="6145" y="672"/>
                </a:lnTo>
                <a:lnTo>
                  <a:pt x="6168" y="661"/>
                </a:lnTo>
                <a:lnTo>
                  <a:pt x="6194" y="651"/>
                </a:lnTo>
                <a:lnTo>
                  <a:pt x="6220" y="642"/>
                </a:lnTo>
                <a:lnTo>
                  <a:pt x="6249" y="633"/>
                </a:lnTo>
                <a:lnTo>
                  <a:pt x="6417" y="581"/>
                </a:lnTo>
                <a:lnTo>
                  <a:pt x="6418" y="576"/>
                </a:lnTo>
                <a:lnTo>
                  <a:pt x="6418" y="570"/>
                </a:lnTo>
                <a:lnTo>
                  <a:pt x="6419" y="564"/>
                </a:lnTo>
                <a:lnTo>
                  <a:pt x="6419" y="555"/>
                </a:lnTo>
                <a:lnTo>
                  <a:pt x="6418" y="541"/>
                </a:lnTo>
                <a:lnTo>
                  <a:pt x="6417" y="528"/>
                </a:lnTo>
                <a:lnTo>
                  <a:pt x="6414" y="516"/>
                </a:lnTo>
                <a:lnTo>
                  <a:pt x="6411" y="505"/>
                </a:lnTo>
                <a:lnTo>
                  <a:pt x="6407" y="495"/>
                </a:lnTo>
                <a:lnTo>
                  <a:pt x="6401" y="486"/>
                </a:lnTo>
                <a:lnTo>
                  <a:pt x="6395" y="478"/>
                </a:lnTo>
                <a:lnTo>
                  <a:pt x="6388" y="471"/>
                </a:lnTo>
                <a:lnTo>
                  <a:pt x="6379" y="465"/>
                </a:lnTo>
                <a:lnTo>
                  <a:pt x="6369" y="460"/>
                </a:lnTo>
                <a:lnTo>
                  <a:pt x="6358" y="456"/>
                </a:lnTo>
                <a:lnTo>
                  <a:pt x="6346" y="452"/>
                </a:lnTo>
                <a:lnTo>
                  <a:pt x="6332" y="450"/>
                </a:lnTo>
                <a:lnTo>
                  <a:pt x="6318" y="448"/>
                </a:lnTo>
                <a:lnTo>
                  <a:pt x="6302" y="447"/>
                </a:lnTo>
                <a:lnTo>
                  <a:pt x="6285" y="446"/>
                </a:lnTo>
                <a:lnTo>
                  <a:pt x="6270" y="447"/>
                </a:lnTo>
                <a:lnTo>
                  <a:pt x="6255" y="448"/>
                </a:lnTo>
                <a:lnTo>
                  <a:pt x="6240" y="449"/>
                </a:lnTo>
                <a:lnTo>
                  <a:pt x="6225" y="452"/>
                </a:lnTo>
                <a:lnTo>
                  <a:pt x="6210" y="455"/>
                </a:lnTo>
                <a:lnTo>
                  <a:pt x="6194" y="459"/>
                </a:lnTo>
                <a:lnTo>
                  <a:pt x="6179" y="463"/>
                </a:lnTo>
                <a:lnTo>
                  <a:pt x="6162" y="468"/>
                </a:lnTo>
                <a:lnTo>
                  <a:pt x="6146" y="474"/>
                </a:lnTo>
                <a:lnTo>
                  <a:pt x="6131" y="481"/>
                </a:lnTo>
                <a:lnTo>
                  <a:pt x="6115" y="488"/>
                </a:lnTo>
                <a:lnTo>
                  <a:pt x="6099" y="496"/>
                </a:lnTo>
                <a:lnTo>
                  <a:pt x="6084" y="506"/>
                </a:lnTo>
                <a:lnTo>
                  <a:pt x="6068" y="515"/>
                </a:lnTo>
                <a:lnTo>
                  <a:pt x="6052" y="525"/>
                </a:lnTo>
                <a:lnTo>
                  <a:pt x="6037" y="536"/>
                </a:lnTo>
                <a:lnTo>
                  <a:pt x="6037" y="409"/>
                </a:lnTo>
                <a:lnTo>
                  <a:pt x="6051" y="399"/>
                </a:lnTo>
                <a:lnTo>
                  <a:pt x="6065" y="390"/>
                </a:lnTo>
                <a:lnTo>
                  <a:pt x="6079" y="381"/>
                </a:lnTo>
                <a:lnTo>
                  <a:pt x="6094" y="373"/>
                </a:lnTo>
                <a:lnTo>
                  <a:pt x="6110" y="366"/>
                </a:lnTo>
                <a:lnTo>
                  <a:pt x="6125" y="360"/>
                </a:lnTo>
                <a:lnTo>
                  <a:pt x="6142" y="354"/>
                </a:lnTo>
                <a:lnTo>
                  <a:pt x="6158" y="348"/>
                </a:lnTo>
                <a:lnTo>
                  <a:pt x="6175" y="344"/>
                </a:lnTo>
                <a:lnTo>
                  <a:pt x="6194" y="339"/>
                </a:lnTo>
                <a:lnTo>
                  <a:pt x="6211" y="336"/>
                </a:lnTo>
                <a:lnTo>
                  <a:pt x="6229" y="333"/>
                </a:lnTo>
                <a:lnTo>
                  <a:pt x="6247" y="331"/>
                </a:lnTo>
                <a:lnTo>
                  <a:pt x="6265" y="329"/>
                </a:lnTo>
                <a:lnTo>
                  <a:pt x="6283" y="329"/>
                </a:lnTo>
                <a:lnTo>
                  <a:pt x="6302" y="328"/>
                </a:lnTo>
                <a:lnTo>
                  <a:pt x="6335" y="329"/>
                </a:lnTo>
                <a:lnTo>
                  <a:pt x="6366" y="332"/>
                </a:lnTo>
                <a:lnTo>
                  <a:pt x="6381" y="333"/>
                </a:lnTo>
                <a:lnTo>
                  <a:pt x="6395" y="336"/>
                </a:lnTo>
                <a:lnTo>
                  <a:pt x="6408" y="339"/>
                </a:lnTo>
                <a:lnTo>
                  <a:pt x="6421" y="342"/>
                </a:lnTo>
                <a:lnTo>
                  <a:pt x="6433" y="345"/>
                </a:lnTo>
                <a:lnTo>
                  <a:pt x="6444" y="349"/>
                </a:lnTo>
                <a:lnTo>
                  <a:pt x="6455" y="354"/>
                </a:lnTo>
                <a:lnTo>
                  <a:pt x="6466" y="358"/>
                </a:lnTo>
                <a:lnTo>
                  <a:pt x="6476" y="364"/>
                </a:lnTo>
                <a:lnTo>
                  <a:pt x="6485" y="369"/>
                </a:lnTo>
                <a:lnTo>
                  <a:pt x="6493" y="376"/>
                </a:lnTo>
                <a:lnTo>
                  <a:pt x="6502" y="382"/>
                </a:lnTo>
                <a:lnTo>
                  <a:pt x="6509" y="389"/>
                </a:lnTo>
                <a:lnTo>
                  <a:pt x="6516" y="397"/>
                </a:lnTo>
                <a:lnTo>
                  <a:pt x="6523" y="405"/>
                </a:lnTo>
                <a:lnTo>
                  <a:pt x="6529" y="414"/>
                </a:lnTo>
                <a:lnTo>
                  <a:pt x="6534" y="423"/>
                </a:lnTo>
                <a:lnTo>
                  <a:pt x="6539" y="433"/>
                </a:lnTo>
                <a:lnTo>
                  <a:pt x="6544" y="443"/>
                </a:lnTo>
                <a:lnTo>
                  <a:pt x="6548" y="454"/>
                </a:lnTo>
                <a:lnTo>
                  <a:pt x="6552" y="465"/>
                </a:lnTo>
                <a:lnTo>
                  <a:pt x="6555" y="477"/>
                </a:lnTo>
                <a:lnTo>
                  <a:pt x="6557" y="489"/>
                </a:lnTo>
                <a:lnTo>
                  <a:pt x="6560" y="502"/>
                </a:lnTo>
                <a:lnTo>
                  <a:pt x="6561" y="516"/>
                </a:lnTo>
                <a:lnTo>
                  <a:pt x="6562" y="529"/>
                </a:lnTo>
                <a:lnTo>
                  <a:pt x="6563" y="544"/>
                </a:lnTo>
                <a:lnTo>
                  <a:pt x="6563" y="558"/>
                </a:lnTo>
                <a:lnTo>
                  <a:pt x="6563" y="830"/>
                </a:lnTo>
                <a:lnTo>
                  <a:pt x="6564" y="846"/>
                </a:lnTo>
                <a:lnTo>
                  <a:pt x="6565" y="860"/>
                </a:lnTo>
                <a:lnTo>
                  <a:pt x="6567" y="871"/>
                </a:lnTo>
                <a:lnTo>
                  <a:pt x="6571" y="879"/>
                </a:lnTo>
                <a:lnTo>
                  <a:pt x="6573" y="883"/>
                </a:lnTo>
                <a:lnTo>
                  <a:pt x="6575" y="886"/>
                </a:lnTo>
                <a:lnTo>
                  <a:pt x="6577" y="888"/>
                </a:lnTo>
                <a:lnTo>
                  <a:pt x="6580" y="890"/>
                </a:lnTo>
                <a:lnTo>
                  <a:pt x="6582" y="891"/>
                </a:lnTo>
                <a:lnTo>
                  <a:pt x="6586" y="892"/>
                </a:lnTo>
                <a:lnTo>
                  <a:pt x="6589" y="893"/>
                </a:lnTo>
                <a:lnTo>
                  <a:pt x="6593" y="893"/>
                </a:lnTo>
                <a:lnTo>
                  <a:pt x="6599" y="893"/>
                </a:lnTo>
                <a:lnTo>
                  <a:pt x="6606" y="892"/>
                </a:lnTo>
                <a:lnTo>
                  <a:pt x="6613" y="890"/>
                </a:lnTo>
                <a:lnTo>
                  <a:pt x="6620" y="887"/>
                </a:lnTo>
                <a:lnTo>
                  <a:pt x="6628" y="883"/>
                </a:lnTo>
                <a:lnTo>
                  <a:pt x="6639" y="877"/>
                </a:lnTo>
                <a:lnTo>
                  <a:pt x="6651" y="869"/>
                </a:lnTo>
                <a:lnTo>
                  <a:pt x="6666" y="858"/>
                </a:lnTo>
                <a:lnTo>
                  <a:pt x="6666" y="935"/>
                </a:lnTo>
                <a:lnTo>
                  <a:pt x="6647" y="950"/>
                </a:lnTo>
                <a:lnTo>
                  <a:pt x="6628" y="962"/>
                </a:lnTo>
                <a:lnTo>
                  <a:pt x="6608" y="972"/>
                </a:lnTo>
                <a:lnTo>
                  <a:pt x="6589" y="980"/>
                </a:lnTo>
                <a:lnTo>
                  <a:pt x="6568" y="986"/>
                </a:lnTo>
                <a:lnTo>
                  <a:pt x="6548" y="991"/>
                </a:lnTo>
                <a:lnTo>
                  <a:pt x="6528" y="993"/>
                </a:lnTo>
                <a:lnTo>
                  <a:pt x="6507" y="994"/>
                </a:lnTo>
                <a:lnTo>
                  <a:pt x="6497" y="994"/>
                </a:lnTo>
                <a:lnTo>
                  <a:pt x="6488" y="993"/>
                </a:lnTo>
                <a:lnTo>
                  <a:pt x="6479" y="992"/>
                </a:lnTo>
                <a:lnTo>
                  <a:pt x="6471" y="990"/>
                </a:lnTo>
                <a:lnTo>
                  <a:pt x="6464" y="988"/>
                </a:lnTo>
                <a:lnTo>
                  <a:pt x="6457" y="986"/>
                </a:lnTo>
                <a:lnTo>
                  <a:pt x="6451" y="983"/>
                </a:lnTo>
                <a:lnTo>
                  <a:pt x="6446" y="979"/>
                </a:lnTo>
                <a:lnTo>
                  <a:pt x="6441" y="975"/>
                </a:lnTo>
                <a:lnTo>
                  <a:pt x="6437" y="970"/>
                </a:lnTo>
                <a:lnTo>
                  <a:pt x="6433" y="965"/>
                </a:lnTo>
                <a:lnTo>
                  <a:pt x="6430" y="959"/>
                </a:lnTo>
                <a:lnTo>
                  <a:pt x="6427" y="953"/>
                </a:lnTo>
                <a:lnTo>
                  <a:pt x="6425" y="946"/>
                </a:lnTo>
                <a:lnTo>
                  <a:pt x="6423" y="938"/>
                </a:lnTo>
                <a:lnTo>
                  <a:pt x="6423" y="930"/>
                </a:lnTo>
                <a:close/>
                <a:moveTo>
                  <a:pt x="7636" y="840"/>
                </a:moveTo>
                <a:lnTo>
                  <a:pt x="7636" y="479"/>
                </a:lnTo>
                <a:lnTo>
                  <a:pt x="7619" y="468"/>
                </a:lnTo>
                <a:lnTo>
                  <a:pt x="7602" y="459"/>
                </a:lnTo>
                <a:lnTo>
                  <a:pt x="7584" y="452"/>
                </a:lnTo>
                <a:lnTo>
                  <a:pt x="7566" y="445"/>
                </a:lnTo>
                <a:lnTo>
                  <a:pt x="7547" y="441"/>
                </a:lnTo>
                <a:lnTo>
                  <a:pt x="7528" y="438"/>
                </a:lnTo>
                <a:lnTo>
                  <a:pt x="7508" y="436"/>
                </a:lnTo>
                <a:lnTo>
                  <a:pt x="7488" y="435"/>
                </a:lnTo>
                <a:lnTo>
                  <a:pt x="7461" y="436"/>
                </a:lnTo>
                <a:lnTo>
                  <a:pt x="7437" y="439"/>
                </a:lnTo>
                <a:lnTo>
                  <a:pt x="7425" y="441"/>
                </a:lnTo>
                <a:lnTo>
                  <a:pt x="7413" y="443"/>
                </a:lnTo>
                <a:lnTo>
                  <a:pt x="7402" y="446"/>
                </a:lnTo>
                <a:lnTo>
                  <a:pt x="7391" y="450"/>
                </a:lnTo>
                <a:lnTo>
                  <a:pt x="7381" y="454"/>
                </a:lnTo>
                <a:lnTo>
                  <a:pt x="7371" y="458"/>
                </a:lnTo>
                <a:lnTo>
                  <a:pt x="7361" y="463"/>
                </a:lnTo>
                <a:lnTo>
                  <a:pt x="7351" y="468"/>
                </a:lnTo>
                <a:lnTo>
                  <a:pt x="7342" y="474"/>
                </a:lnTo>
                <a:lnTo>
                  <a:pt x="7333" y="480"/>
                </a:lnTo>
                <a:lnTo>
                  <a:pt x="7325" y="487"/>
                </a:lnTo>
                <a:lnTo>
                  <a:pt x="7317" y="494"/>
                </a:lnTo>
                <a:lnTo>
                  <a:pt x="7309" y="503"/>
                </a:lnTo>
                <a:lnTo>
                  <a:pt x="7302" y="511"/>
                </a:lnTo>
                <a:lnTo>
                  <a:pt x="7296" y="519"/>
                </a:lnTo>
                <a:lnTo>
                  <a:pt x="7290" y="528"/>
                </a:lnTo>
                <a:lnTo>
                  <a:pt x="7284" y="537"/>
                </a:lnTo>
                <a:lnTo>
                  <a:pt x="7279" y="546"/>
                </a:lnTo>
                <a:lnTo>
                  <a:pt x="7275" y="556"/>
                </a:lnTo>
                <a:lnTo>
                  <a:pt x="7270" y="566"/>
                </a:lnTo>
                <a:lnTo>
                  <a:pt x="7267" y="576"/>
                </a:lnTo>
                <a:lnTo>
                  <a:pt x="7264" y="587"/>
                </a:lnTo>
                <a:lnTo>
                  <a:pt x="7261" y="599"/>
                </a:lnTo>
                <a:lnTo>
                  <a:pt x="7259" y="610"/>
                </a:lnTo>
                <a:lnTo>
                  <a:pt x="7257" y="622"/>
                </a:lnTo>
                <a:lnTo>
                  <a:pt x="7256" y="634"/>
                </a:lnTo>
                <a:lnTo>
                  <a:pt x="7255" y="647"/>
                </a:lnTo>
                <a:lnTo>
                  <a:pt x="7255" y="659"/>
                </a:lnTo>
                <a:lnTo>
                  <a:pt x="7255" y="672"/>
                </a:lnTo>
                <a:lnTo>
                  <a:pt x="7256" y="686"/>
                </a:lnTo>
                <a:lnTo>
                  <a:pt x="7257" y="698"/>
                </a:lnTo>
                <a:lnTo>
                  <a:pt x="7259" y="710"/>
                </a:lnTo>
                <a:lnTo>
                  <a:pt x="7261" y="721"/>
                </a:lnTo>
                <a:lnTo>
                  <a:pt x="7264" y="732"/>
                </a:lnTo>
                <a:lnTo>
                  <a:pt x="7267" y="743"/>
                </a:lnTo>
                <a:lnTo>
                  <a:pt x="7270" y="753"/>
                </a:lnTo>
                <a:lnTo>
                  <a:pt x="7275" y="764"/>
                </a:lnTo>
                <a:lnTo>
                  <a:pt x="7279" y="774"/>
                </a:lnTo>
                <a:lnTo>
                  <a:pt x="7284" y="783"/>
                </a:lnTo>
                <a:lnTo>
                  <a:pt x="7290" y="792"/>
                </a:lnTo>
                <a:lnTo>
                  <a:pt x="7296" y="801"/>
                </a:lnTo>
                <a:lnTo>
                  <a:pt x="7302" y="809"/>
                </a:lnTo>
                <a:lnTo>
                  <a:pt x="7309" y="817"/>
                </a:lnTo>
                <a:lnTo>
                  <a:pt x="7317" y="825"/>
                </a:lnTo>
                <a:lnTo>
                  <a:pt x="7325" y="832"/>
                </a:lnTo>
                <a:lnTo>
                  <a:pt x="7333" y="839"/>
                </a:lnTo>
                <a:lnTo>
                  <a:pt x="7342" y="845"/>
                </a:lnTo>
                <a:lnTo>
                  <a:pt x="7351" y="852"/>
                </a:lnTo>
                <a:lnTo>
                  <a:pt x="7361" y="857"/>
                </a:lnTo>
                <a:lnTo>
                  <a:pt x="7371" y="862"/>
                </a:lnTo>
                <a:lnTo>
                  <a:pt x="7381" y="866"/>
                </a:lnTo>
                <a:lnTo>
                  <a:pt x="7391" y="870"/>
                </a:lnTo>
                <a:lnTo>
                  <a:pt x="7402" y="874"/>
                </a:lnTo>
                <a:lnTo>
                  <a:pt x="7413" y="877"/>
                </a:lnTo>
                <a:lnTo>
                  <a:pt x="7425" y="879"/>
                </a:lnTo>
                <a:lnTo>
                  <a:pt x="7437" y="881"/>
                </a:lnTo>
                <a:lnTo>
                  <a:pt x="7461" y="884"/>
                </a:lnTo>
                <a:lnTo>
                  <a:pt x="7488" y="885"/>
                </a:lnTo>
                <a:lnTo>
                  <a:pt x="7508" y="884"/>
                </a:lnTo>
                <a:lnTo>
                  <a:pt x="7528" y="883"/>
                </a:lnTo>
                <a:lnTo>
                  <a:pt x="7547" y="879"/>
                </a:lnTo>
                <a:lnTo>
                  <a:pt x="7566" y="875"/>
                </a:lnTo>
                <a:lnTo>
                  <a:pt x="7584" y="868"/>
                </a:lnTo>
                <a:lnTo>
                  <a:pt x="7602" y="861"/>
                </a:lnTo>
                <a:lnTo>
                  <a:pt x="7619" y="852"/>
                </a:lnTo>
                <a:lnTo>
                  <a:pt x="7636" y="840"/>
                </a:lnTo>
                <a:close/>
                <a:moveTo>
                  <a:pt x="7636" y="948"/>
                </a:moveTo>
                <a:lnTo>
                  <a:pt x="7616" y="960"/>
                </a:lnTo>
                <a:lnTo>
                  <a:pt x="7596" y="969"/>
                </a:lnTo>
                <a:lnTo>
                  <a:pt x="7574" y="977"/>
                </a:lnTo>
                <a:lnTo>
                  <a:pt x="7553" y="984"/>
                </a:lnTo>
                <a:lnTo>
                  <a:pt x="7529" y="989"/>
                </a:lnTo>
                <a:lnTo>
                  <a:pt x="7504" y="993"/>
                </a:lnTo>
                <a:lnTo>
                  <a:pt x="7479" y="995"/>
                </a:lnTo>
                <a:lnTo>
                  <a:pt x="7452" y="996"/>
                </a:lnTo>
                <a:lnTo>
                  <a:pt x="7433" y="995"/>
                </a:lnTo>
                <a:lnTo>
                  <a:pt x="7414" y="994"/>
                </a:lnTo>
                <a:lnTo>
                  <a:pt x="7396" y="993"/>
                </a:lnTo>
                <a:lnTo>
                  <a:pt x="7379" y="990"/>
                </a:lnTo>
                <a:lnTo>
                  <a:pt x="7362" y="987"/>
                </a:lnTo>
                <a:lnTo>
                  <a:pt x="7344" y="983"/>
                </a:lnTo>
                <a:lnTo>
                  <a:pt x="7328" y="978"/>
                </a:lnTo>
                <a:lnTo>
                  <a:pt x="7312" y="973"/>
                </a:lnTo>
                <a:lnTo>
                  <a:pt x="7296" y="967"/>
                </a:lnTo>
                <a:lnTo>
                  <a:pt x="7282" y="960"/>
                </a:lnTo>
                <a:lnTo>
                  <a:pt x="7267" y="952"/>
                </a:lnTo>
                <a:lnTo>
                  <a:pt x="7253" y="944"/>
                </a:lnTo>
                <a:lnTo>
                  <a:pt x="7239" y="934"/>
                </a:lnTo>
                <a:lnTo>
                  <a:pt x="7226" y="924"/>
                </a:lnTo>
                <a:lnTo>
                  <a:pt x="7213" y="914"/>
                </a:lnTo>
                <a:lnTo>
                  <a:pt x="7201" y="902"/>
                </a:lnTo>
                <a:lnTo>
                  <a:pt x="7189" y="891"/>
                </a:lnTo>
                <a:lnTo>
                  <a:pt x="7179" y="879"/>
                </a:lnTo>
                <a:lnTo>
                  <a:pt x="7168" y="866"/>
                </a:lnTo>
                <a:lnTo>
                  <a:pt x="7159" y="853"/>
                </a:lnTo>
                <a:lnTo>
                  <a:pt x="7149" y="839"/>
                </a:lnTo>
                <a:lnTo>
                  <a:pt x="7141" y="825"/>
                </a:lnTo>
                <a:lnTo>
                  <a:pt x="7134" y="810"/>
                </a:lnTo>
                <a:lnTo>
                  <a:pt x="7128" y="796"/>
                </a:lnTo>
                <a:lnTo>
                  <a:pt x="7122" y="781"/>
                </a:lnTo>
                <a:lnTo>
                  <a:pt x="7117" y="765"/>
                </a:lnTo>
                <a:lnTo>
                  <a:pt x="7113" y="748"/>
                </a:lnTo>
                <a:lnTo>
                  <a:pt x="7109" y="732"/>
                </a:lnTo>
                <a:lnTo>
                  <a:pt x="7107" y="715"/>
                </a:lnTo>
                <a:lnTo>
                  <a:pt x="7105" y="697"/>
                </a:lnTo>
                <a:lnTo>
                  <a:pt x="7104" y="680"/>
                </a:lnTo>
                <a:lnTo>
                  <a:pt x="7103" y="661"/>
                </a:lnTo>
                <a:lnTo>
                  <a:pt x="7104" y="643"/>
                </a:lnTo>
                <a:lnTo>
                  <a:pt x="7105" y="625"/>
                </a:lnTo>
                <a:lnTo>
                  <a:pt x="7107" y="608"/>
                </a:lnTo>
                <a:lnTo>
                  <a:pt x="7109" y="591"/>
                </a:lnTo>
                <a:lnTo>
                  <a:pt x="7113" y="573"/>
                </a:lnTo>
                <a:lnTo>
                  <a:pt x="7117" y="557"/>
                </a:lnTo>
                <a:lnTo>
                  <a:pt x="7122" y="542"/>
                </a:lnTo>
                <a:lnTo>
                  <a:pt x="7128" y="527"/>
                </a:lnTo>
                <a:lnTo>
                  <a:pt x="7134" y="512"/>
                </a:lnTo>
                <a:lnTo>
                  <a:pt x="7141" y="497"/>
                </a:lnTo>
                <a:lnTo>
                  <a:pt x="7149" y="483"/>
                </a:lnTo>
                <a:lnTo>
                  <a:pt x="7159" y="469"/>
                </a:lnTo>
                <a:lnTo>
                  <a:pt x="7168" y="456"/>
                </a:lnTo>
                <a:lnTo>
                  <a:pt x="7179" y="444"/>
                </a:lnTo>
                <a:lnTo>
                  <a:pt x="7189" y="432"/>
                </a:lnTo>
                <a:lnTo>
                  <a:pt x="7201" y="420"/>
                </a:lnTo>
                <a:lnTo>
                  <a:pt x="7213" y="408"/>
                </a:lnTo>
                <a:lnTo>
                  <a:pt x="7226" y="397"/>
                </a:lnTo>
                <a:lnTo>
                  <a:pt x="7239" y="388"/>
                </a:lnTo>
                <a:lnTo>
                  <a:pt x="7253" y="379"/>
                </a:lnTo>
                <a:lnTo>
                  <a:pt x="7267" y="370"/>
                </a:lnTo>
                <a:lnTo>
                  <a:pt x="7282" y="363"/>
                </a:lnTo>
                <a:lnTo>
                  <a:pt x="7296" y="356"/>
                </a:lnTo>
                <a:lnTo>
                  <a:pt x="7312" y="350"/>
                </a:lnTo>
                <a:lnTo>
                  <a:pt x="7328" y="344"/>
                </a:lnTo>
                <a:lnTo>
                  <a:pt x="7344" y="340"/>
                </a:lnTo>
                <a:lnTo>
                  <a:pt x="7362" y="336"/>
                </a:lnTo>
                <a:lnTo>
                  <a:pt x="7379" y="333"/>
                </a:lnTo>
                <a:lnTo>
                  <a:pt x="7396" y="330"/>
                </a:lnTo>
                <a:lnTo>
                  <a:pt x="7414" y="328"/>
                </a:lnTo>
                <a:lnTo>
                  <a:pt x="7433" y="327"/>
                </a:lnTo>
                <a:lnTo>
                  <a:pt x="7452" y="327"/>
                </a:lnTo>
                <a:lnTo>
                  <a:pt x="7478" y="327"/>
                </a:lnTo>
                <a:lnTo>
                  <a:pt x="7503" y="330"/>
                </a:lnTo>
                <a:lnTo>
                  <a:pt x="7527" y="333"/>
                </a:lnTo>
                <a:lnTo>
                  <a:pt x="7552" y="339"/>
                </a:lnTo>
                <a:lnTo>
                  <a:pt x="7574" y="346"/>
                </a:lnTo>
                <a:lnTo>
                  <a:pt x="7595" y="354"/>
                </a:lnTo>
                <a:lnTo>
                  <a:pt x="7616" y="364"/>
                </a:lnTo>
                <a:lnTo>
                  <a:pt x="7636" y="376"/>
                </a:lnTo>
                <a:lnTo>
                  <a:pt x="7636" y="10"/>
                </a:lnTo>
                <a:lnTo>
                  <a:pt x="7778" y="10"/>
                </a:lnTo>
                <a:lnTo>
                  <a:pt x="7778" y="983"/>
                </a:lnTo>
                <a:lnTo>
                  <a:pt x="7636" y="983"/>
                </a:lnTo>
                <a:lnTo>
                  <a:pt x="7636" y="948"/>
                </a:lnTo>
                <a:close/>
                <a:moveTo>
                  <a:pt x="8309" y="853"/>
                </a:moveTo>
                <a:lnTo>
                  <a:pt x="8309" y="664"/>
                </a:lnTo>
                <a:lnTo>
                  <a:pt x="8275" y="674"/>
                </a:lnTo>
                <a:lnTo>
                  <a:pt x="8244" y="684"/>
                </a:lnTo>
                <a:lnTo>
                  <a:pt x="8215" y="694"/>
                </a:lnTo>
                <a:lnTo>
                  <a:pt x="8189" y="703"/>
                </a:lnTo>
                <a:lnTo>
                  <a:pt x="8166" y="712"/>
                </a:lnTo>
                <a:lnTo>
                  <a:pt x="8146" y="721"/>
                </a:lnTo>
                <a:lnTo>
                  <a:pt x="8127" y="730"/>
                </a:lnTo>
                <a:lnTo>
                  <a:pt x="8112" y="738"/>
                </a:lnTo>
                <a:lnTo>
                  <a:pt x="8100" y="747"/>
                </a:lnTo>
                <a:lnTo>
                  <a:pt x="8089" y="756"/>
                </a:lnTo>
                <a:lnTo>
                  <a:pt x="8079" y="766"/>
                </a:lnTo>
                <a:lnTo>
                  <a:pt x="8072" y="776"/>
                </a:lnTo>
                <a:lnTo>
                  <a:pt x="8066" y="786"/>
                </a:lnTo>
                <a:lnTo>
                  <a:pt x="8062" y="796"/>
                </a:lnTo>
                <a:lnTo>
                  <a:pt x="8059" y="807"/>
                </a:lnTo>
                <a:lnTo>
                  <a:pt x="8058" y="818"/>
                </a:lnTo>
                <a:lnTo>
                  <a:pt x="8059" y="827"/>
                </a:lnTo>
                <a:lnTo>
                  <a:pt x="8060" y="836"/>
                </a:lnTo>
                <a:lnTo>
                  <a:pt x="8062" y="845"/>
                </a:lnTo>
                <a:lnTo>
                  <a:pt x="8065" y="853"/>
                </a:lnTo>
                <a:lnTo>
                  <a:pt x="8069" y="861"/>
                </a:lnTo>
                <a:lnTo>
                  <a:pt x="8074" y="867"/>
                </a:lnTo>
                <a:lnTo>
                  <a:pt x="8080" y="873"/>
                </a:lnTo>
                <a:lnTo>
                  <a:pt x="8086" y="879"/>
                </a:lnTo>
                <a:lnTo>
                  <a:pt x="8094" y="884"/>
                </a:lnTo>
                <a:lnTo>
                  <a:pt x="8102" y="888"/>
                </a:lnTo>
                <a:lnTo>
                  <a:pt x="8110" y="892"/>
                </a:lnTo>
                <a:lnTo>
                  <a:pt x="8120" y="895"/>
                </a:lnTo>
                <a:lnTo>
                  <a:pt x="8130" y="897"/>
                </a:lnTo>
                <a:lnTo>
                  <a:pt x="8142" y="899"/>
                </a:lnTo>
                <a:lnTo>
                  <a:pt x="8153" y="900"/>
                </a:lnTo>
                <a:lnTo>
                  <a:pt x="8166" y="900"/>
                </a:lnTo>
                <a:lnTo>
                  <a:pt x="8184" y="900"/>
                </a:lnTo>
                <a:lnTo>
                  <a:pt x="8203" y="897"/>
                </a:lnTo>
                <a:lnTo>
                  <a:pt x="8221" y="894"/>
                </a:lnTo>
                <a:lnTo>
                  <a:pt x="8239" y="888"/>
                </a:lnTo>
                <a:lnTo>
                  <a:pt x="8257" y="881"/>
                </a:lnTo>
                <a:lnTo>
                  <a:pt x="8275" y="873"/>
                </a:lnTo>
                <a:lnTo>
                  <a:pt x="8292" y="864"/>
                </a:lnTo>
                <a:lnTo>
                  <a:pt x="8309" y="853"/>
                </a:lnTo>
                <a:close/>
                <a:moveTo>
                  <a:pt x="8315" y="930"/>
                </a:moveTo>
                <a:lnTo>
                  <a:pt x="8288" y="947"/>
                </a:lnTo>
                <a:lnTo>
                  <a:pt x="8263" y="960"/>
                </a:lnTo>
                <a:lnTo>
                  <a:pt x="8250" y="966"/>
                </a:lnTo>
                <a:lnTo>
                  <a:pt x="8238" y="971"/>
                </a:lnTo>
                <a:lnTo>
                  <a:pt x="8225" y="975"/>
                </a:lnTo>
                <a:lnTo>
                  <a:pt x="8213" y="979"/>
                </a:lnTo>
                <a:lnTo>
                  <a:pt x="8201" y="983"/>
                </a:lnTo>
                <a:lnTo>
                  <a:pt x="8189" y="986"/>
                </a:lnTo>
                <a:lnTo>
                  <a:pt x="8176" y="989"/>
                </a:lnTo>
                <a:lnTo>
                  <a:pt x="8164" y="991"/>
                </a:lnTo>
                <a:lnTo>
                  <a:pt x="8137" y="993"/>
                </a:lnTo>
                <a:lnTo>
                  <a:pt x="8109" y="994"/>
                </a:lnTo>
                <a:lnTo>
                  <a:pt x="8086" y="994"/>
                </a:lnTo>
                <a:lnTo>
                  <a:pt x="8065" y="992"/>
                </a:lnTo>
                <a:lnTo>
                  <a:pt x="8044" y="989"/>
                </a:lnTo>
                <a:lnTo>
                  <a:pt x="8025" y="984"/>
                </a:lnTo>
                <a:lnTo>
                  <a:pt x="8007" y="978"/>
                </a:lnTo>
                <a:lnTo>
                  <a:pt x="7991" y="971"/>
                </a:lnTo>
                <a:lnTo>
                  <a:pt x="7975" y="963"/>
                </a:lnTo>
                <a:lnTo>
                  <a:pt x="7961" y="953"/>
                </a:lnTo>
                <a:lnTo>
                  <a:pt x="7949" y="943"/>
                </a:lnTo>
                <a:lnTo>
                  <a:pt x="7937" y="930"/>
                </a:lnTo>
                <a:lnTo>
                  <a:pt x="7927" y="917"/>
                </a:lnTo>
                <a:lnTo>
                  <a:pt x="7920" y="904"/>
                </a:lnTo>
                <a:lnTo>
                  <a:pt x="7914" y="889"/>
                </a:lnTo>
                <a:lnTo>
                  <a:pt x="7910" y="874"/>
                </a:lnTo>
                <a:lnTo>
                  <a:pt x="7907" y="857"/>
                </a:lnTo>
                <a:lnTo>
                  <a:pt x="7907" y="839"/>
                </a:lnTo>
                <a:lnTo>
                  <a:pt x="7908" y="822"/>
                </a:lnTo>
                <a:lnTo>
                  <a:pt x="7910" y="806"/>
                </a:lnTo>
                <a:lnTo>
                  <a:pt x="7915" y="791"/>
                </a:lnTo>
                <a:lnTo>
                  <a:pt x="7921" y="776"/>
                </a:lnTo>
                <a:lnTo>
                  <a:pt x="7929" y="760"/>
                </a:lnTo>
                <a:lnTo>
                  <a:pt x="7939" y="746"/>
                </a:lnTo>
                <a:lnTo>
                  <a:pt x="7952" y="733"/>
                </a:lnTo>
                <a:lnTo>
                  <a:pt x="7966" y="720"/>
                </a:lnTo>
                <a:lnTo>
                  <a:pt x="7981" y="707"/>
                </a:lnTo>
                <a:lnTo>
                  <a:pt x="7999" y="695"/>
                </a:lnTo>
                <a:lnTo>
                  <a:pt x="8018" y="684"/>
                </a:lnTo>
                <a:lnTo>
                  <a:pt x="8039" y="672"/>
                </a:lnTo>
                <a:lnTo>
                  <a:pt x="8061" y="661"/>
                </a:lnTo>
                <a:lnTo>
                  <a:pt x="8086" y="651"/>
                </a:lnTo>
                <a:lnTo>
                  <a:pt x="8113" y="642"/>
                </a:lnTo>
                <a:lnTo>
                  <a:pt x="8142" y="633"/>
                </a:lnTo>
                <a:lnTo>
                  <a:pt x="8309" y="581"/>
                </a:lnTo>
                <a:lnTo>
                  <a:pt x="8310" y="576"/>
                </a:lnTo>
                <a:lnTo>
                  <a:pt x="8310" y="570"/>
                </a:lnTo>
                <a:lnTo>
                  <a:pt x="8311" y="564"/>
                </a:lnTo>
                <a:lnTo>
                  <a:pt x="8311" y="555"/>
                </a:lnTo>
                <a:lnTo>
                  <a:pt x="8311" y="541"/>
                </a:lnTo>
                <a:lnTo>
                  <a:pt x="8309" y="528"/>
                </a:lnTo>
                <a:lnTo>
                  <a:pt x="8307" y="516"/>
                </a:lnTo>
                <a:lnTo>
                  <a:pt x="8303" y="505"/>
                </a:lnTo>
                <a:lnTo>
                  <a:pt x="8299" y="495"/>
                </a:lnTo>
                <a:lnTo>
                  <a:pt x="8294" y="486"/>
                </a:lnTo>
                <a:lnTo>
                  <a:pt x="8287" y="478"/>
                </a:lnTo>
                <a:lnTo>
                  <a:pt x="8280" y="471"/>
                </a:lnTo>
                <a:lnTo>
                  <a:pt x="8272" y="465"/>
                </a:lnTo>
                <a:lnTo>
                  <a:pt x="8262" y="460"/>
                </a:lnTo>
                <a:lnTo>
                  <a:pt x="8251" y="456"/>
                </a:lnTo>
                <a:lnTo>
                  <a:pt x="8239" y="452"/>
                </a:lnTo>
                <a:lnTo>
                  <a:pt x="8226" y="450"/>
                </a:lnTo>
                <a:lnTo>
                  <a:pt x="8211" y="448"/>
                </a:lnTo>
                <a:lnTo>
                  <a:pt x="8195" y="447"/>
                </a:lnTo>
                <a:lnTo>
                  <a:pt x="8178" y="446"/>
                </a:lnTo>
                <a:lnTo>
                  <a:pt x="8163" y="447"/>
                </a:lnTo>
                <a:lnTo>
                  <a:pt x="8148" y="448"/>
                </a:lnTo>
                <a:lnTo>
                  <a:pt x="8132" y="449"/>
                </a:lnTo>
                <a:lnTo>
                  <a:pt x="8117" y="452"/>
                </a:lnTo>
                <a:lnTo>
                  <a:pt x="8102" y="455"/>
                </a:lnTo>
                <a:lnTo>
                  <a:pt x="8086" y="459"/>
                </a:lnTo>
                <a:lnTo>
                  <a:pt x="8071" y="463"/>
                </a:lnTo>
                <a:lnTo>
                  <a:pt x="8055" y="468"/>
                </a:lnTo>
                <a:lnTo>
                  <a:pt x="8039" y="474"/>
                </a:lnTo>
                <a:lnTo>
                  <a:pt x="8024" y="481"/>
                </a:lnTo>
                <a:lnTo>
                  <a:pt x="8008" y="488"/>
                </a:lnTo>
                <a:lnTo>
                  <a:pt x="7992" y="496"/>
                </a:lnTo>
                <a:lnTo>
                  <a:pt x="7977" y="506"/>
                </a:lnTo>
                <a:lnTo>
                  <a:pt x="7961" y="515"/>
                </a:lnTo>
                <a:lnTo>
                  <a:pt x="7946" y="525"/>
                </a:lnTo>
                <a:lnTo>
                  <a:pt x="7929" y="536"/>
                </a:lnTo>
                <a:lnTo>
                  <a:pt x="7929" y="409"/>
                </a:lnTo>
                <a:lnTo>
                  <a:pt x="7944" y="399"/>
                </a:lnTo>
                <a:lnTo>
                  <a:pt x="7958" y="390"/>
                </a:lnTo>
                <a:lnTo>
                  <a:pt x="7972" y="381"/>
                </a:lnTo>
                <a:lnTo>
                  <a:pt x="7987" y="373"/>
                </a:lnTo>
                <a:lnTo>
                  <a:pt x="8003" y="366"/>
                </a:lnTo>
                <a:lnTo>
                  <a:pt x="8019" y="360"/>
                </a:lnTo>
                <a:lnTo>
                  <a:pt x="8035" y="354"/>
                </a:lnTo>
                <a:lnTo>
                  <a:pt x="8052" y="348"/>
                </a:lnTo>
                <a:lnTo>
                  <a:pt x="8069" y="344"/>
                </a:lnTo>
                <a:lnTo>
                  <a:pt x="8086" y="339"/>
                </a:lnTo>
                <a:lnTo>
                  <a:pt x="8103" y="336"/>
                </a:lnTo>
                <a:lnTo>
                  <a:pt x="8121" y="333"/>
                </a:lnTo>
                <a:lnTo>
                  <a:pt x="8140" y="331"/>
                </a:lnTo>
                <a:lnTo>
                  <a:pt x="8158" y="329"/>
                </a:lnTo>
                <a:lnTo>
                  <a:pt x="8177" y="329"/>
                </a:lnTo>
                <a:lnTo>
                  <a:pt x="8195" y="328"/>
                </a:lnTo>
                <a:lnTo>
                  <a:pt x="8228" y="329"/>
                </a:lnTo>
                <a:lnTo>
                  <a:pt x="8259" y="332"/>
                </a:lnTo>
                <a:lnTo>
                  <a:pt x="8273" y="333"/>
                </a:lnTo>
                <a:lnTo>
                  <a:pt x="8287" y="336"/>
                </a:lnTo>
                <a:lnTo>
                  <a:pt x="8300" y="339"/>
                </a:lnTo>
                <a:lnTo>
                  <a:pt x="8313" y="342"/>
                </a:lnTo>
                <a:lnTo>
                  <a:pt x="8325" y="345"/>
                </a:lnTo>
                <a:lnTo>
                  <a:pt x="8338" y="349"/>
                </a:lnTo>
                <a:lnTo>
                  <a:pt x="8349" y="354"/>
                </a:lnTo>
                <a:lnTo>
                  <a:pt x="8359" y="358"/>
                </a:lnTo>
                <a:lnTo>
                  <a:pt x="8369" y="364"/>
                </a:lnTo>
                <a:lnTo>
                  <a:pt x="8378" y="369"/>
                </a:lnTo>
                <a:lnTo>
                  <a:pt x="8387" y="376"/>
                </a:lnTo>
                <a:lnTo>
                  <a:pt x="8395" y="382"/>
                </a:lnTo>
                <a:lnTo>
                  <a:pt x="8402" y="389"/>
                </a:lnTo>
                <a:lnTo>
                  <a:pt x="8409" y="397"/>
                </a:lnTo>
                <a:lnTo>
                  <a:pt x="8416" y="405"/>
                </a:lnTo>
                <a:lnTo>
                  <a:pt x="8422" y="414"/>
                </a:lnTo>
                <a:lnTo>
                  <a:pt x="8427" y="423"/>
                </a:lnTo>
                <a:lnTo>
                  <a:pt x="8432" y="433"/>
                </a:lnTo>
                <a:lnTo>
                  <a:pt x="8437" y="443"/>
                </a:lnTo>
                <a:lnTo>
                  <a:pt x="8441" y="454"/>
                </a:lnTo>
                <a:lnTo>
                  <a:pt x="8445" y="465"/>
                </a:lnTo>
                <a:lnTo>
                  <a:pt x="8448" y="477"/>
                </a:lnTo>
                <a:lnTo>
                  <a:pt x="8451" y="489"/>
                </a:lnTo>
                <a:lnTo>
                  <a:pt x="8453" y="502"/>
                </a:lnTo>
                <a:lnTo>
                  <a:pt x="8454" y="516"/>
                </a:lnTo>
                <a:lnTo>
                  <a:pt x="8456" y="529"/>
                </a:lnTo>
                <a:lnTo>
                  <a:pt x="8456" y="544"/>
                </a:lnTo>
                <a:lnTo>
                  <a:pt x="8457" y="558"/>
                </a:lnTo>
                <a:lnTo>
                  <a:pt x="8457" y="830"/>
                </a:lnTo>
                <a:lnTo>
                  <a:pt x="8457" y="846"/>
                </a:lnTo>
                <a:lnTo>
                  <a:pt x="8458" y="860"/>
                </a:lnTo>
                <a:lnTo>
                  <a:pt x="8460" y="871"/>
                </a:lnTo>
                <a:lnTo>
                  <a:pt x="8463" y="879"/>
                </a:lnTo>
                <a:lnTo>
                  <a:pt x="8465" y="883"/>
                </a:lnTo>
                <a:lnTo>
                  <a:pt x="8467" y="886"/>
                </a:lnTo>
                <a:lnTo>
                  <a:pt x="8469" y="888"/>
                </a:lnTo>
                <a:lnTo>
                  <a:pt x="8472" y="890"/>
                </a:lnTo>
                <a:lnTo>
                  <a:pt x="8478" y="892"/>
                </a:lnTo>
                <a:lnTo>
                  <a:pt x="8485" y="893"/>
                </a:lnTo>
                <a:lnTo>
                  <a:pt x="8492" y="893"/>
                </a:lnTo>
                <a:lnTo>
                  <a:pt x="8498" y="892"/>
                </a:lnTo>
                <a:lnTo>
                  <a:pt x="8505" y="890"/>
                </a:lnTo>
                <a:lnTo>
                  <a:pt x="8512" y="887"/>
                </a:lnTo>
                <a:lnTo>
                  <a:pt x="8520" y="883"/>
                </a:lnTo>
                <a:lnTo>
                  <a:pt x="8532" y="877"/>
                </a:lnTo>
                <a:lnTo>
                  <a:pt x="8544" y="869"/>
                </a:lnTo>
                <a:lnTo>
                  <a:pt x="8559" y="858"/>
                </a:lnTo>
                <a:lnTo>
                  <a:pt x="8559" y="935"/>
                </a:lnTo>
                <a:lnTo>
                  <a:pt x="8540" y="950"/>
                </a:lnTo>
                <a:lnTo>
                  <a:pt x="8520" y="962"/>
                </a:lnTo>
                <a:lnTo>
                  <a:pt x="8501" y="972"/>
                </a:lnTo>
                <a:lnTo>
                  <a:pt x="8481" y="980"/>
                </a:lnTo>
                <a:lnTo>
                  <a:pt x="8461" y="986"/>
                </a:lnTo>
                <a:lnTo>
                  <a:pt x="8441" y="991"/>
                </a:lnTo>
                <a:lnTo>
                  <a:pt x="8421" y="993"/>
                </a:lnTo>
                <a:lnTo>
                  <a:pt x="8400" y="994"/>
                </a:lnTo>
                <a:lnTo>
                  <a:pt x="8390" y="994"/>
                </a:lnTo>
                <a:lnTo>
                  <a:pt x="8381" y="993"/>
                </a:lnTo>
                <a:lnTo>
                  <a:pt x="8372" y="992"/>
                </a:lnTo>
                <a:lnTo>
                  <a:pt x="8364" y="990"/>
                </a:lnTo>
                <a:lnTo>
                  <a:pt x="8357" y="988"/>
                </a:lnTo>
                <a:lnTo>
                  <a:pt x="8351" y="986"/>
                </a:lnTo>
                <a:lnTo>
                  <a:pt x="8345" y="983"/>
                </a:lnTo>
                <a:lnTo>
                  <a:pt x="8339" y="979"/>
                </a:lnTo>
                <a:lnTo>
                  <a:pt x="8333" y="975"/>
                </a:lnTo>
                <a:lnTo>
                  <a:pt x="8329" y="970"/>
                </a:lnTo>
                <a:lnTo>
                  <a:pt x="8325" y="965"/>
                </a:lnTo>
                <a:lnTo>
                  <a:pt x="8322" y="959"/>
                </a:lnTo>
                <a:lnTo>
                  <a:pt x="8319" y="953"/>
                </a:lnTo>
                <a:lnTo>
                  <a:pt x="8317" y="946"/>
                </a:lnTo>
                <a:lnTo>
                  <a:pt x="8316" y="938"/>
                </a:lnTo>
                <a:lnTo>
                  <a:pt x="8315" y="930"/>
                </a:lnTo>
                <a:close/>
                <a:moveTo>
                  <a:pt x="9069" y="983"/>
                </a:moveTo>
                <a:lnTo>
                  <a:pt x="9069" y="10"/>
                </a:lnTo>
                <a:lnTo>
                  <a:pt x="9223" y="10"/>
                </a:lnTo>
                <a:lnTo>
                  <a:pt x="9223" y="983"/>
                </a:lnTo>
                <a:lnTo>
                  <a:pt x="9069" y="983"/>
                </a:lnTo>
                <a:close/>
                <a:moveTo>
                  <a:pt x="9433" y="983"/>
                </a:moveTo>
                <a:lnTo>
                  <a:pt x="9433" y="341"/>
                </a:lnTo>
                <a:lnTo>
                  <a:pt x="9575" y="341"/>
                </a:lnTo>
                <a:lnTo>
                  <a:pt x="9575" y="419"/>
                </a:lnTo>
                <a:lnTo>
                  <a:pt x="9588" y="407"/>
                </a:lnTo>
                <a:lnTo>
                  <a:pt x="9601" y="397"/>
                </a:lnTo>
                <a:lnTo>
                  <a:pt x="9614" y="388"/>
                </a:lnTo>
                <a:lnTo>
                  <a:pt x="9627" y="379"/>
                </a:lnTo>
                <a:lnTo>
                  <a:pt x="9640" y="371"/>
                </a:lnTo>
                <a:lnTo>
                  <a:pt x="9654" y="364"/>
                </a:lnTo>
                <a:lnTo>
                  <a:pt x="9667" y="358"/>
                </a:lnTo>
                <a:lnTo>
                  <a:pt x="9680" y="352"/>
                </a:lnTo>
                <a:lnTo>
                  <a:pt x="9693" y="347"/>
                </a:lnTo>
                <a:lnTo>
                  <a:pt x="9707" y="343"/>
                </a:lnTo>
                <a:lnTo>
                  <a:pt x="9721" y="339"/>
                </a:lnTo>
                <a:lnTo>
                  <a:pt x="9735" y="336"/>
                </a:lnTo>
                <a:lnTo>
                  <a:pt x="9749" y="334"/>
                </a:lnTo>
                <a:lnTo>
                  <a:pt x="9764" y="332"/>
                </a:lnTo>
                <a:lnTo>
                  <a:pt x="9779" y="331"/>
                </a:lnTo>
                <a:lnTo>
                  <a:pt x="9794" y="331"/>
                </a:lnTo>
                <a:lnTo>
                  <a:pt x="9821" y="332"/>
                </a:lnTo>
                <a:lnTo>
                  <a:pt x="9848" y="335"/>
                </a:lnTo>
                <a:lnTo>
                  <a:pt x="9860" y="337"/>
                </a:lnTo>
                <a:lnTo>
                  <a:pt x="9873" y="339"/>
                </a:lnTo>
                <a:lnTo>
                  <a:pt x="9885" y="343"/>
                </a:lnTo>
                <a:lnTo>
                  <a:pt x="9896" y="346"/>
                </a:lnTo>
                <a:lnTo>
                  <a:pt x="9908" y="350"/>
                </a:lnTo>
                <a:lnTo>
                  <a:pt x="9919" y="354"/>
                </a:lnTo>
                <a:lnTo>
                  <a:pt x="9929" y="359"/>
                </a:lnTo>
                <a:lnTo>
                  <a:pt x="9939" y="365"/>
                </a:lnTo>
                <a:lnTo>
                  <a:pt x="9949" y="371"/>
                </a:lnTo>
                <a:lnTo>
                  <a:pt x="9958" y="377"/>
                </a:lnTo>
                <a:lnTo>
                  <a:pt x="9967" y="384"/>
                </a:lnTo>
                <a:lnTo>
                  <a:pt x="9975" y="391"/>
                </a:lnTo>
                <a:lnTo>
                  <a:pt x="9983" y="399"/>
                </a:lnTo>
                <a:lnTo>
                  <a:pt x="9991" y="407"/>
                </a:lnTo>
                <a:lnTo>
                  <a:pt x="9998" y="416"/>
                </a:lnTo>
                <a:lnTo>
                  <a:pt x="10004" y="425"/>
                </a:lnTo>
                <a:lnTo>
                  <a:pt x="10010" y="434"/>
                </a:lnTo>
                <a:lnTo>
                  <a:pt x="10016" y="443"/>
                </a:lnTo>
                <a:lnTo>
                  <a:pt x="10021" y="453"/>
                </a:lnTo>
                <a:lnTo>
                  <a:pt x="10025" y="463"/>
                </a:lnTo>
                <a:lnTo>
                  <a:pt x="10029" y="473"/>
                </a:lnTo>
                <a:lnTo>
                  <a:pt x="10032" y="484"/>
                </a:lnTo>
                <a:lnTo>
                  <a:pt x="10035" y="495"/>
                </a:lnTo>
                <a:lnTo>
                  <a:pt x="10037" y="508"/>
                </a:lnTo>
                <a:lnTo>
                  <a:pt x="10039" y="520"/>
                </a:lnTo>
                <a:lnTo>
                  <a:pt x="10040" y="532"/>
                </a:lnTo>
                <a:lnTo>
                  <a:pt x="10041" y="544"/>
                </a:lnTo>
                <a:lnTo>
                  <a:pt x="10042" y="557"/>
                </a:lnTo>
                <a:lnTo>
                  <a:pt x="10042" y="983"/>
                </a:lnTo>
                <a:lnTo>
                  <a:pt x="9900" y="983"/>
                </a:lnTo>
                <a:lnTo>
                  <a:pt x="9900" y="591"/>
                </a:lnTo>
                <a:lnTo>
                  <a:pt x="9899" y="571"/>
                </a:lnTo>
                <a:lnTo>
                  <a:pt x="9898" y="554"/>
                </a:lnTo>
                <a:lnTo>
                  <a:pt x="9895" y="537"/>
                </a:lnTo>
                <a:lnTo>
                  <a:pt x="9891" y="523"/>
                </a:lnTo>
                <a:lnTo>
                  <a:pt x="9886" y="509"/>
                </a:lnTo>
                <a:lnTo>
                  <a:pt x="9879" y="496"/>
                </a:lnTo>
                <a:lnTo>
                  <a:pt x="9872" y="485"/>
                </a:lnTo>
                <a:lnTo>
                  <a:pt x="9864" y="475"/>
                </a:lnTo>
                <a:lnTo>
                  <a:pt x="9854" y="466"/>
                </a:lnTo>
                <a:lnTo>
                  <a:pt x="9843" y="459"/>
                </a:lnTo>
                <a:lnTo>
                  <a:pt x="9831" y="452"/>
                </a:lnTo>
                <a:lnTo>
                  <a:pt x="9817" y="447"/>
                </a:lnTo>
                <a:lnTo>
                  <a:pt x="9802" y="443"/>
                </a:lnTo>
                <a:lnTo>
                  <a:pt x="9786" y="440"/>
                </a:lnTo>
                <a:lnTo>
                  <a:pt x="9769" y="438"/>
                </a:lnTo>
                <a:lnTo>
                  <a:pt x="9751" y="438"/>
                </a:lnTo>
                <a:lnTo>
                  <a:pt x="9737" y="438"/>
                </a:lnTo>
                <a:lnTo>
                  <a:pt x="9724" y="439"/>
                </a:lnTo>
                <a:lnTo>
                  <a:pt x="9712" y="441"/>
                </a:lnTo>
                <a:lnTo>
                  <a:pt x="9699" y="443"/>
                </a:lnTo>
                <a:lnTo>
                  <a:pt x="9687" y="445"/>
                </a:lnTo>
                <a:lnTo>
                  <a:pt x="9676" y="449"/>
                </a:lnTo>
                <a:lnTo>
                  <a:pt x="9665" y="452"/>
                </a:lnTo>
                <a:lnTo>
                  <a:pt x="9654" y="457"/>
                </a:lnTo>
                <a:lnTo>
                  <a:pt x="9644" y="462"/>
                </a:lnTo>
                <a:lnTo>
                  <a:pt x="9634" y="468"/>
                </a:lnTo>
                <a:lnTo>
                  <a:pt x="9624" y="474"/>
                </a:lnTo>
                <a:lnTo>
                  <a:pt x="9614" y="482"/>
                </a:lnTo>
                <a:lnTo>
                  <a:pt x="9604" y="490"/>
                </a:lnTo>
                <a:lnTo>
                  <a:pt x="9594" y="499"/>
                </a:lnTo>
                <a:lnTo>
                  <a:pt x="9584" y="510"/>
                </a:lnTo>
                <a:lnTo>
                  <a:pt x="9575" y="520"/>
                </a:lnTo>
                <a:lnTo>
                  <a:pt x="9575" y="983"/>
                </a:lnTo>
                <a:lnTo>
                  <a:pt x="9433" y="983"/>
                </a:lnTo>
                <a:close/>
                <a:moveTo>
                  <a:pt x="10398" y="983"/>
                </a:moveTo>
                <a:lnTo>
                  <a:pt x="10252" y="983"/>
                </a:lnTo>
                <a:lnTo>
                  <a:pt x="10252" y="452"/>
                </a:lnTo>
                <a:lnTo>
                  <a:pt x="10159" y="452"/>
                </a:lnTo>
                <a:lnTo>
                  <a:pt x="10159" y="341"/>
                </a:lnTo>
                <a:lnTo>
                  <a:pt x="10252" y="341"/>
                </a:lnTo>
                <a:lnTo>
                  <a:pt x="10252" y="282"/>
                </a:lnTo>
                <a:lnTo>
                  <a:pt x="10252" y="243"/>
                </a:lnTo>
                <a:lnTo>
                  <a:pt x="10253" y="210"/>
                </a:lnTo>
                <a:lnTo>
                  <a:pt x="10256" y="182"/>
                </a:lnTo>
                <a:lnTo>
                  <a:pt x="10259" y="161"/>
                </a:lnTo>
                <a:lnTo>
                  <a:pt x="10264" y="142"/>
                </a:lnTo>
                <a:lnTo>
                  <a:pt x="10270" y="125"/>
                </a:lnTo>
                <a:lnTo>
                  <a:pt x="10277" y="110"/>
                </a:lnTo>
                <a:lnTo>
                  <a:pt x="10286" y="95"/>
                </a:lnTo>
                <a:lnTo>
                  <a:pt x="10294" y="84"/>
                </a:lnTo>
                <a:lnTo>
                  <a:pt x="10304" y="74"/>
                </a:lnTo>
                <a:lnTo>
                  <a:pt x="10313" y="65"/>
                </a:lnTo>
                <a:lnTo>
                  <a:pt x="10323" y="55"/>
                </a:lnTo>
                <a:lnTo>
                  <a:pt x="10334" y="46"/>
                </a:lnTo>
                <a:lnTo>
                  <a:pt x="10346" y="38"/>
                </a:lnTo>
                <a:lnTo>
                  <a:pt x="10358" y="31"/>
                </a:lnTo>
                <a:lnTo>
                  <a:pt x="10371" y="25"/>
                </a:lnTo>
                <a:lnTo>
                  <a:pt x="10385" y="19"/>
                </a:lnTo>
                <a:lnTo>
                  <a:pt x="10399" y="14"/>
                </a:lnTo>
                <a:lnTo>
                  <a:pt x="10414" y="10"/>
                </a:lnTo>
                <a:lnTo>
                  <a:pt x="10428" y="6"/>
                </a:lnTo>
                <a:lnTo>
                  <a:pt x="10444" y="3"/>
                </a:lnTo>
                <a:lnTo>
                  <a:pt x="10459" y="2"/>
                </a:lnTo>
                <a:lnTo>
                  <a:pt x="10475" y="0"/>
                </a:lnTo>
                <a:lnTo>
                  <a:pt x="10492" y="0"/>
                </a:lnTo>
                <a:lnTo>
                  <a:pt x="10504" y="0"/>
                </a:lnTo>
                <a:lnTo>
                  <a:pt x="10515" y="1"/>
                </a:lnTo>
                <a:lnTo>
                  <a:pt x="10527" y="2"/>
                </a:lnTo>
                <a:lnTo>
                  <a:pt x="10540" y="4"/>
                </a:lnTo>
                <a:lnTo>
                  <a:pt x="10554" y="6"/>
                </a:lnTo>
                <a:lnTo>
                  <a:pt x="10570" y="8"/>
                </a:lnTo>
                <a:lnTo>
                  <a:pt x="10587" y="11"/>
                </a:lnTo>
                <a:lnTo>
                  <a:pt x="10606" y="15"/>
                </a:lnTo>
                <a:lnTo>
                  <a:pt x="10606" y="128"/>
                </a:lnTo>
                <a:lnTo>
                  <a:pt x="10592" y="125"/>
                </a:lnTo>
                <a:lnTo>
                  <a:pt x="10578" y="123"/>
                </a:lnTo>
                <a:lnTo>
                  <a:pt x="10566" y="121"/>
                </a:lnTo>
                <a:lnTo>
                  <a:pt x="10554" y="119"/>
                </a:lnTo>
                <a:lnTo>
                  <a:pt x="10544" y="118"/>
                </a:lnTo>
                <a:lnTo>
                  <a:pt x="10534" y="117"/>
                </a:lnTo>
                <a:lnTo>
                  <a:pt x="10525" y="117"/>
                </a:lnTo>
                <a:lnTo>
                  <a:pt x="10517" y="117"/>
                </a:lnTo>
                <a:lnTo>
                  <a:pt x="10501" y="117"/>
                </a:lnTo>
                <a:lnTo>
                  <a:pt x="10486" y="119"/>
                </a:lnTo>
                <a:lnTo>
                  <a:pt x="10473" y="121"/>
                </a:lnTo>
                <a:lnTo>
                  <a:pt x="10461" y="125"/>
                </a:lnTo>
                <a:lnTo>
                  <a:pt x="10450" y="129"/>
                </a:lnTo>
                <a:lnTo>
                  <a:pt x="10440" y="135"/>
                </a:lnTo>
                <a:lnTo>
                  <a:pt x="10432" y="141"/>
                </a:lnTo>
                <a:lnTo>
                  <a:pt x="10425" y="149"/>
                </a:lnTo>
                <a:lnTo>
                  <a:pt x="10418" y="158"/>
                </a:lnTo>
                <a:lnTo>
                  <a:pt x="10413" y="169"/>
                </a:lnTo>
                <a:lnTo>
                  <a:pt x="10408" y="180"/>
                </a:lnTo>
                <a:lnTo>
                  <a:pt x="10405" y="194"/>
                </a:lnTo>
                <a:lnTo>
                  <a:pt x="10402" y="208"/>
                </a:lnTo>
                <a:lnTo>
                  <a:pt x="10400" y="224"/>
                </a:lnTo>
                <a:lnTo>
                  <a:pt x="10398" y="243"/>
                </a:lnTo>
                <a:lnTo>
                  <a:pt x="10398" y="262"/>
                </a:lnTo>
                <a:lnTo>
                  <a:pt x="10398" y="341"/>
                </a:lnTo>
                <a:lnTo>
                  <a:pt x="10492" y="341"/>
                </a:lnTo>
                <a:lnTo>
                  <a:pt x="10492" y="452"/>
                </a:lnTo>
                <a:lnTo>
                  <a:pt x="10398" y="452"/>
                </a:lnTo>
                <a:lnTo>
                  <a:pt x="10398" y="983"/>
                </a:lnTo>
                <a:close/>
                <a:moveTo>
                  <a:pt x="10737" y="661"/>
                </a:moveTo>
                <a:lnTo>
                  <a:pt x="10737" y="672"/>
                </a:lnTo>
                <a:lnTo>
                  <a:pt x="10738" y="684"/>
                </a:lnTo>
                <a:lnTo>
                  <a:pt x="10739" y="694"/>
                </a:lnTo>
                <a:lnTo>
                  <a:pt x="10741" y="705"/>
                </a:lnTo>
                <a:lnTo>
                  <a:pt x="10743" y="715"/>
                </a:lnTo>
                <a:lnTo>
                  <a:pt x="10746" y="725"/>
                </a:lnTo>
                <a:lnTo>
                  <a:pt x="10750" y="734"/>
                </a:lnTo>
                <a:lnTo>
                  <a:pt x="10754" y="744"/>
                </a:lnTo>
                <a:lnTo>
                  <a:pt x="10758" y="753"/>
                </a:lnTo>
                <a:lnTo>
                  <a:pt x="10763" y="764"/>
                </a:lnTo>
                <a:lnTo>
                  <a:pt x="10768" y="772"/>
                </a:lnTo>
                <a:lnTo>
                  <a:pt x="10774" y="781"/>
                </a:lnTo>
                <a:lnTo>
                  <a:pt x="10781" y="790"/>
                </a:lnTo>
                <a:lnTo>
                  <a:pt x="10788" y="798"/>
                </a:lnTo>
                <a:lnTo>
                  <a:pt x="10795" y="806"/>
                </a:lnTo>
                <a:lnTo>
                  <a:pt x="10803" y="814"/>
                </a:lnTo>
                <a:lnTo>
                  <a:pt x="10812" y="822"/>
                </a:lnTo>
                <a:lnTo>
                  <a:pt x="10820" y="829"/>
                </a:lnTo>
                <a:lnTo>
                  <a:pt x="10829" y="835"/>
                </a:lnTo>
                <a:lnTo>
                  <a:pt x="10838" y="841"/>
                </a:lnTo>
                <a:lnTo>
                  <a:pt x="10848" y="847"/>
                </a:lnTo>
                <a:lnTo>
                  <a:pt x="10857" y="853"/>
                </a:lnTo>
                <a:lnTo>
                  <a:pt x="10867" y="858"/>
                </a:lnTo>
                <a:lnTo>
                  <a:pt x="10877" y="862"/>
                </a:lnTo>
                <a:lnTo>
                  <a:pt x="10888" y="866"/>
                </a:lnTo>
                <a:lnTo>
                  <a:pt x="10898" y="869"/>
                </a:lnTo>
                <a:lnTo>
                  <a:pt x="10909" y="872"/>
                </a:lnTo>
                <a:lnTo>
                  <a:pt x="10920" y="874"/>
                </a:lnTo>
                <a:lnTo>
                  <a:pt x="10931" y="875"/>
                </a:lnTo>
                <a:lnTo>
                  <a:pt x="10942" y="877"/>
                </a:lnTo>
                <a:lnTo>
                  <a:pt x="10954" y="877"/>
                </a:lnTo>
                <a:lnTo>
                  <a:pt x="10965" y="878"/>
                </a:lnTo>
                <a:lnTo>
                  <a:pt x="10988" y="877"/>
                </a:lnTo>
                <a:lnTo>
                  <a:pt x="11010" y="874"/>
                </a:lnTo>
                <a:lnTo>
                  <a:pt x="11021" y="872"/>
                </a:lnTo>
                <a:lnTo>
                  <a:pt x="11031" y="869"/>
                </a:lnTo>
                <a:lnTo>
                  <a:pt x="11042" y="866"/>
                </a:lnTo>
                <a:lnTo>
                  <a:pt x="11052" y="862"/>
                </a:lnTo>
                <a:lnTo>
                  <a:pt x="11062" y="858"/>
                </a:lnTo>
                <a:lnTo>
                  <a:pt x="11071" y="853"/>
                </a:lnTo>
                <a:lnTo>
                  <a:pt x="11082" y="847"/>
                </a:lnTo>
                <a:lnTo>
                  <a:pt x="11091" y="841"/>
                </a:lnTo>
                <a:lnTo>
                  <a:pt x="11100" y="835"/>
                </a:lnTo>
                <a:lnTo>
                  <a:pt x="11109" y="828"/>
                </a:lnTo>
                <a:lnTo>
                  <a:pt x="11118" y="821"/>
                </a:lnTo>
                <a:lnTo>
                  <a:pt x="11127" y="814"/>
                </a:lnTo>
                <a:lnTo>
                  <a:pt x="11135" y="806"/>
                </a:lnTo>
                <a:lnTo>
                  <a:pt x="11142" y="798"/>
                </a:lnTo>
                <a:lnTo>
                  <a:pt x="11149" y="789"/>
                </a:lnTo>
                <a:lnTo>
                  <a:pt x="11156" y="781"/>
                </a:lnTo>
                <a:lnTo>
                  <a:pt x="11162" y="772"/>
                </a:lnTo>
                <a:lnTo>
                  <a:pt x="11167" y="762"/>
                </a:lnTo>
                <a:lnTo>
                  <a:pt x="11172" y="753"/>
                </a:lnTo>
                <a:lnTo>
                  <a:pt x="11177" y="744"/>
                </a:lnTo>
                <a:lnTo>
                  <a:pt x="11181" y="734"/>
                </a:lnTo>
                <a:lnTo>
                  <a:pt x="11184" y="724"/>
                </a:lnTo>
                <a:lnTo>
                  <a:pt x="11187" y="714"/>
                </a:lnTo>
                <a:lnTo>
                  <a:pt x="11189" y="704"/>
                </a:lnTo>
                <a:lnTo>
                  <a:pt x="11191" y="694"/>
                </a:lnTo>
                <a:lnTo>
                  <a:pt x="11192" y="683"/>
                </a:lnTo>
                <a:lnTo>
                  <a:pt x="11193" y="672"/>
                </a:lnTo>
                <a:lnTo>
                  <a:pt x="11193" y="661"/>
                </a:lnTo>
                <a:lnTo>
                  <a:pt x="11193" y="650"/>
                </a:lnTo>
                <a:lnTo>
                  <a:pt x="11192" y="639"/>
                </a:lnTo>
                <a:lnTo>
                  <a:pt x="11191" y="629"/>
                </a:lnTo>
                <a:lnTo>
                  <a:pt x="11189" y="619"/>
                </a:lnTo>
                <a:lnTo>
                  <a:pt x="11187" y="609"/>
                </a:lnTo>
                <a:lnTo>
                  <a:pt x="11184" y="599"/>
                </a:lnTo>
                <a:lnTo>
                  <a:pt x="11181" y="589"/>
                </a:lnTo>
                <a:lnTo>
                  <a:pt x="11177" y="578"/>
                </a:lnTo>
                <a:lnTo>
                  <a:pt x="11172" y="569"/>
                </a:lnTo>
                <a:lnTo>
                  <a:pt x="11167" y="560"/>
                </a:lnTo>
                <a:lnTo>
                  <a:pt x="11162" y="551"/>
                </a:lnTo>
                <a:lnTo>
                  <a:pt x="11156" y="542"/>
                </a:lnTo>
                <a:lnTo>
                  <a:pt x="11149" y="534"/>
                </a:lnTo>
                <a:lnTo>
                  <a:pt x="11142" y="526"/>
                </a:lnTo>
                <a:lnTo>
                  <a:pt x="11135" y="518"/>
                </a:lnTo>
                <a:lnTo>
                  <a:pt x="11127" y="510"/>
                </a:lnTo>
                <a:lnTo>
                  <a:pt x="11118" y="502"/>
                </a:lnTo>
                <a:lnTo>
                  <a:pt x="11110" y="494"/>
                </a:lnTo>
                <a:lnTo>
                  <a:pt x="11101" y="487"/>
                </a:lnTo>
                <a:lnTo>
                  <a:pt x="11092" y="481"/>
                </a:lnTo>
                <a:lnTo>
                  <a:pt x="11082" y="476"/>
                </a:lnTo>
                <a:lnTo>
                  <a:pt x="11072" y="471"/>
                </a:lnTo>
                <a:lnTo>
                  <a:pt x="11062" y="466"/>
                </a:lnTo>
                <a:lnTo>
                  <a:pt x="11052" y="462"/>
                </a:lnTo>
                <a:lnTo>
                  <a:pt x="11042" y="458"/>
                </a:lnTo>
                <a:lnTo>
                  <a:pt x="11032" y="455"/>
                </a:lnTo>
                <a:lnTo>
                  <a:pt x="11021" y="452"/>
                </a:lnTo>
                <a:lnTo>
                  <a:pt x="11011" y="450"/>
                </a:lnTo>
                <a:lnTo>
                  <a:pt x="10988" y="447"/>
                </a:lnTo>
                <a:lnTo>
                  <a:pt x="10965" y="446"/>
                </a:lnTo>
                <a:lnTo>
                  <a:pt x="10954" y="446"/>
                </a:lnTo>
                <a:lnTo>
                  <a:pt x="10942" y="447"/>
                </a:lnTo>
                <a:lnTo>
                  <a:pt x="10931" y="448"/>
                </a:lnTo>
                <a:lnTo>
                  <a:pt x="10920" y="450"/>
                </a:lnTo>
                <a:lnTo>
                  <a:pt x="10909" y="452"/>
                </a:lnTo>
                <a:lnTo>
                  <a:pt x="10898" y="455"/>
                </a:lnTo>
                <a:lnTo>
                  <a:pt x="10888" y="458"/>
                </a:lnTo>
                <a:lnTo>
                  <a:pt x="10877" y="462"/>
                </a:lnTo>
                <a:lnTo>
                  <a:pt x="10867" y="466"/>
                </a:lnTo>
                <a:lnTo>
                  <a:pt x="10857" y="471"/>
                </a:lnTo>
                <a:lnTo>
                  <a:pt x="10848" y="476"/>
                </a:lnTo>
                <a:lnTo>
                  <a:pt x="10838" y="481"/>
                </a:lnTo>
                <a:lnTo>
                  <a:pt x="10829" y="487"/>
                </a:lnTo>
                <a:lnTo>
                  <a:pt x="10820" y="494"/>
                </a:lnTo>
                <a:lnTo>
                  <a:pt x="10812" y="502"/>
                </a:lnTo>
                <a:lnTo>
                  <a:pt x="10803" y="510"/>
                </a:lnTo>
                <a:lnTo>
                  <a:pt x="10795" y="518"/>
                </a:lnTo>
                <a:lnTo>
                  <a:pt x="10788" y="526"/>
                </a:lnTo>
                <a:lnTo>
                  <a:pt x="10781" y="534"/>
                </a:lnTo>
                <a:lnTo>
                  <a:pt x="10774" y="542"/>
                </a:lnTo>
                <a:lnTo>
                  <a:pt x="10768" y="551"/>
                </a:lnTo>
                <a:lnTo>
                  <a:pt x="10763" y="560"/>
                </a:lnTo>
                <a:lnTo>
                  <a:pt x="10758" y="569"/>
                </a:lnTo>
                <a:lnTo>
                  <a:pt x="10754" y="578"/>
                </a:lnTo>
                <a:lnTo>
                  <a:pt x="10750" y="589"/>
                </a:lnTo>
                <a:lnTo>
                  <a:pt x="10746" y="599"/>
                </a:lnTo>
                <a:lnTo>
                  <a:pt x="10743" y="609"/>
                </a:lnTo>
                <a:lnTo>
                  <a:pt x="10741" y="619"/>
                </a:lnTo>
                <a:lnTo>
                  <a:pt x="10739" y="629"/>
                </a:lnTo>
                <a:lnTo>
                  <a:pt x="10738" y="639"/>
                </a:lnTo>
                <a:lnTo>
                  <a:pt x="10737" y="650"/>
                </a:lnTo>
                <a:lnTo>
                  <a:pt x="10737" y="661"/>
                </a:lnTo>
                <a:close/>
                <a:moveTo>
                  <a:pt x="10588" y="661"/>
                </a:moveTo>
                <a:lnTo>
                  <a:pt x="10589" y="644"/>
                </a:lnTo>
                <a:lnTo>
                  <a:pt x="10590" y="627"/>
                </a:lnTo>
                <a:lnTo>
                  <a:pt x="10592" y="610"/>
                </a:lnTo>
                <a:lnTo>
                  <a:pt x="10595" y="594"/>
                </a:lnTo>
                <a:lnTo>
                  <a:pt x="10599" y="577"/>
                </a:lnTo>
                <a:lnTo>
                  <a:pt x="10604" y="562"/>
                </a:lnTo>
                <a:lnTo>
                  <a:pt x="10609" y="547"/>
                </a:lnTo>
                <a:lnTo>
                  <a:pt x="10616" y="532"/>
                </a:lnTo>
                <a:lnTo>
                  <a:pt x="10623" y="517"/>
                </a:lnTo>
                <a:lnTo>
                  <a:pt x="10631" y="503"/>
                </a:lnTo>
                <a:lnTo>
                  <a:pt x="10640" y="488"/>
                </a:lnTo>
                <a:lnTo>
                  <a:pt x="10650" y="475"/>
                </a:lnTo>
                <a:lnTo>
                  <a:pt x="10661" y="462"/>
                </a:lnTo>
                <a:lnTo>
                  <a:pt x="10672" y="449"/>
                </a:lnTo>
                <a:lnTo>
                  <a:pt x="10684" y="436"/>
                </a:lnTo>
                <a:lnTo>
                  <a:pt x="10699" y="424"/>
                </a:lnTo>
                <a:lnTo>
                  <a:pt x="10713" y="411"/>
                </a:lnTo>
                <a:lnTo>
                  <a:pt x="10727" y="400"/>
                </a:lnTo>
                <a:lnTo>
                  <a:pt x="10741" y="390"/>
                </a:lnTo>
                <a:lnTo>
                  <a:pt x="10756" y="381"/>
                </a:lnTo>
                <a:lnTo>
                  <a:pt x="10772" y="372"/>
                </a:lnTo>
                <a:lnTo>
                  <a:pt x="10787" y="364"/>
                </a:lnTo>
                <a:lnTo>
                  <a:pt x="10804" y="357"/>
                </a:lnTo>
                <a:lnTo>
                  <a:pt x="10820" y="351"/>
                </a:lnTo>
                <a:lnTo>
                  <a:pt x="10837" y="345"/>
                </a:lnTo>
                <a:lnTo>
                  <a:pt x="10854" y="340"/>
                </a:lnTo>
                <a:lnTo>
                  <a:pt x="10872" y="336"/>
                </a:lnTo>
                <a:lnTo>
                  <a:pt x="10891" y="333"/>
                </a:lnTo>
                <a:lnTo>
                  <a:pt x="10909" y="330"/>
                </a:lnTo>
                <a:lnTo>
                  <a:pt x="10928" y="328"/>
                </a:lnTo>
                <a:lnTo>
                  <a:pt x="10947" y="327"/>
                </a:lnTo>
                <a:lnTo>
                  <a:pt x="10967" y="327"/>
                </a:lnTo>
                <a:lnTo>
                  <a:pt x="10985" y="327"/>
                </a:lnTo>
                <a:lnTo>
                  <a:pt x="11003" y="328"/>
                </a:lnTo>
                <a:lnTo>
                  <a:pt x="11021" y="330"/>
                </a:lnTo>
                <a:lnTo>
                  <a:pt x="11039" y="333"/>
                </a:lnTo>
                <a:lnTo>
                  <a:pt x="11057" y="337"/>
                </a:lnTo>
                <a:lnTo>
                  <a:pt x="11074" y="341"/>
                </a:lnTo>
                <a:lnTo>
                  <a:pt x="11093" y="346"/>
                </a:lnTo>
                <a:lnTo>
                  <a:pt x="11110" y="352"/>
                </a:lnTo>
                <a:lnTo>
                  <a:pt x="11126" y="358"/>
                </a:lnTo>
                <a:lnTo>
                  <a:pt x="11143" y="366"/>
                </a:lnTo>
                <a:lnTo>
                  <a:pt x="11158" y="374"/>
                </a:lnTo>
                <a:lnTo>
                  <a:pt x="11174" y="382"/>
                </a:lnTo>
                <a:lnTo>
                  <a:pt x="11188" y="392"/>
                </a:lnTo>
                <a:lnTo>
                  <a:pt x="11203" y="402"/>
                </a:lnTo>
                <a:lnTo>
                  <a:pt x="11217" y="413"/>
                </a:lnTo>
                <a:lnTo>
                  <a:pt x="11231" y="425"/>
                </a:lnTo>
                <a:lnTo>
                  <a:pt x="11244" y="437"/>
                </a:lnTo>
                <a:lnTo>
                  <a:pt x="11256" y="450"/>
                </a:lnTo>
                <a:lnTo>
                  <a:pt x="11268" y="463"/>
                </a:lnTo>
                <a:lnTo>
                  <a:pt x="11279" y="477"/>
                </a:lnTo>
                <a:lnTo>
                  <a:pt x="11289" y="490"/>
                </a:lnTo>
                <a:lnTo>
                  <a:pt x="11298" y="505"/>
                </a:lnTo>
                <a:lnTo>
                  <a:pt x="11307" y="520"/>
                </a:lnTo>
                <a:lnTo>
                  <a:pt x="11314" y="534"/>
                </a:lnTo>
                <a:lnTo>
                  <a:pt x="11321" y="549"/>
                </a:lnTo>
                <a:lnTo>
                  <a:pt x="11327" y="564"/>
                </a:lnTo>
                <a:lnTo>
                  <a:pt x="11331" y="580"/>
                </a:lnTo>
                <a:lnTo>
                  <a:pt x="11335" y="596"/>
                </a:lnTo>
                <a:lnTo>
                  <a:pt x="11339" y="612"/>
                </a:lnTo>
                <a:lnTo>
                  <a:pt x="11341" y="628"/>
                </a:lnTo>
                <a:lnTo>
                  <a:pt x="11342" y="644"/>
                </a:lnTo>
                <a:lnTo>
                  <a:pt x="11343" y="661"/>
                </a:lnTo>
                <a:lnTo>
                  <a:pt x="11342" y="678"/>
                </a:lnTo>
                <a:lnTo>
                  <a:pt x="11341" y="694"/>
                </a:lnTo>
                <a:lnTo>
                  <a:pt x="11338" y="710"/>
                </a:lnTo>
                <a:lnTo>
                  <a:pt x="11335" y="726"/>
                </a:lnTo>
                <a:lnTo>
                  <a:pt x="11331" y="742"/>
                </a:lnTo>
                <a:lnTo>
                  <a:pt x="11326" y="758"/>
                </a:lnTo>
                <a:lnTo>
                  <a:pt x="11320" y="775"/>
                </a:lnTo>
                <a:lnTo>
                  <a:pt x="11314" y="790"/>
                </a:lnTo>
                <a:lnTo>
                  <a:pt x="11306" y="805"/>
                </a:lnTo>
                <a:lnTo>
                  <a:pt x="11298" y="820"/>
                </a:lnTo>
                <a:lnTo>
                  <a:pt x="11288" y="834"/>
                </a:lnTo>
                <a:lnTo>
                  <a:pt x="11279" y="848"/>
                </a:lnTo>
                <a:lnTo>
                  <a:pt x="11267" y="862"/>
                </a:lnTo>
                <a:lnTo>
                  <a:pt x="11256" y="875"/>
                </a:lnTo>
                <a:lnTo>
                  <a:pt x="11243" y="887"/>
                </a:lnTo>
                <a:lnTo>
                  <a:pt x="11231" y="899"/>
                </a:lnTo>
                <a:lnTo>
                  <a:pt x="11217" y="911"/>
                </a:lnTo>
                <a:lnTo>
                  <a:pt x="11203" y="921"/>
                </a:lnTo>
                <a:lnTo>
                  <a:pt x="11189" y="931"/>
                </a:lnTo>
                <a:lnTo>
                  <a:pt x="11174" y="942"/>
                </a:lnTo>
                <a:lnTo>
                  <a:pt x="11158" y="950"/>
                </a:lnTo>
                <a:lnTo>
                  <a:pt x="11143" y="958"/>
                </a:lnTo>
                <a:lnTo>
                  <a:pt x="11127" y="965"/>
                </a:lnTo>
                <a:lnTo>
                  <a:pt x="11110" y="972"/>
                </a:lnTo>
                <a:lnTo>
                  <a:pt x="11093" y="977"/>
                </a:lnTo>
                <a:lnTo>
                  <a:pt x="11075" y="982"/>
                </a:lnTo>
                <a:lnTo>
                  <a:pt x="11058" y="986"/>
                </a:lnTo>
                <a:lnTo>
                  <a:pt x="11040" y="990"/>
                </a:lnTo>
                <a:lnTo>
                  <a:pt x="11022" y="992"/>
                </a:lnTo>
                <a:lnTo>
                  <a:pt x="11004" y="994"/>
                </a:lnTo>
                <a:lnTo>
                  <a:pt x="10985" y="995"/>
                </a:lnTo>
                <a:lnTo>
                  <a:pt x="10967" y="996"/>
                </a:lnTo>
                <a:lnTo>
                  <a:pt x="10947" y="995"/>
                </a:lnTo>
                <a:lnTo>
                  <a:pt x="10928" y="994"/>
                </a:lnTo>
                <a:lnTo>
                  <a:pt x="10909" y="992"/>
                </a:lnTo>
                <a:lnTo>
                  <a:pt x="10891" y="990"/>
                </a:lnTo>
                <a:lnTo>
                  <a:pt x="10872" y="986"/>
                </a:lnTo>
                <a:lnTo>
                  <a:pt x="10854" y="982"/>
                </a:lnTo>
                <a:lnTo>
                  <a:pt x="10837" y="977"/>
                </a:lnTo>
                <a:lnTo>
                  <a:pt x="10820" y="972"/>
                </a:lnTo>
                <a:lnTo>
                  <a:pt x="10804" y="965"/>
                </a:lnTo>
                <a:lnTo>
                  <a:pt x="10787" y="958"/>
                </a:lnTo>
                <a:lnTo>
                  <a:pt x="10772" y="950"/>
                </a:lnTo>
                <a:lnTo>
                  <a:pt x="10756" y="942"/>
                </a:lnTo>
                <a:lnTo>
                  <a:pt x="10741" y="931"/>
                </a:lnTo>
                <a:lnTo>
                  <a:pt x="10727" y="921"/>
                </a:lnTo>
                <a:lnTo>
                  <a:pt x="10713" y="910"/>
                </a:lnTo>
                <a:lnTo>
                  <a:pt x="10699" y="898"/>
                </a:lnTo>
                <a:lnTo>
                  <a:pt x="10684" y="886"/>
                </a:lnTo>
                <a:lnTo>
                  <a:pt x="10672" y="874"/>
                </a:lnTo>
                <a:lnTo>
                  <a:pt x="10661" y="861"/>
                </a:lnTo>
                <a:lnTo>
                  <a:pt x="10650" y="847"/>
                </a:lnTo>
                <a:lnTo>
                  <a:pt x="10640" y="833"/>
                </a:lnTo>
                <a:lnTo>
                  <a:pt x="10631" y="819"/>
                </a:lnTo>
                <a:lnTo>
                  <a:pt x="10623" y="805"/>
                </a:lnTo>
                <a:lnTo>
                  <a:pt x="10616" y="790"/>
                </a:lnTo>
                <a:lnTo>
                  <a:pt x="10609" y="776"/>
                </a:lnTo>
                <a:lnTo>
                  <a:pt x="10604" y="760"/>
                </a:lnTo>
                <a:lnTo>
                  <a:pt x="10599" y="744"/>
                </a:lnTo>
                <a:lnTo>
                  <a:pt x="10595" y="728"/>
                </a:lnTo>
                <a:lnTo>
                  <a:pt x="10592" y="712"/>
                </a:lnTo>
                <a:lnTo>
                  <a:pt x="10590" y="696"/>
                </a:lnTo>
                <a:lnTo>
                  <a:pt x="10589" y="679"/>
                </a:lnTo>
                <a:lnTo>
                  <a:pt x="10588" y="661"/>
                </a:lnTo>
                <a:close/>
                <a:moveTo>
                  <a:pt x="11479" y="983"/>
                </a:moveTo>
                <a:lnTo>
                  <a:pt x="11479" y="341"/>
                </a:lnTo>
                <a:lnTo>
                  <a:pt x="11620" y="341"/>
                </a:lnTo>
                <a:lnTo>
                  <a:pt x="11620" y="480"/>
                </a:lnTo>
                <a:lnTo>
                  <a:pt x="11634" y="460"/>
                </a:lnTo>
                <a:lnTo>
                  <a:pt x="11648" y="441"/>
                </a:lnTo>
                <a:lnTo>
                  <a:pt x="11662" y="424"/>
                </a:lnTo>
                <a:lnTo>
                  <a:pt x="11677" y="408"/>
                </a:lnTo>
                <a:lnTo>
                  <a:pt x="11690" y="394"/>
                </a:lnTo>
                <a:lnTo>
                  <a:pt x="11702" y="382"/>
                </a:lnTo>
                <a:lnTo>
                  <a:pt x="11715" y="372"/>
                </a:lnTo>
                <a:lnTo>
                  <a:pt x="11727" y="363"/>
                </a:lnTo>
                <a:lnTo>
                  <a:pt x="11739" y="355"/>
                </a:lnTo>
                <a:lnTo>
                  <a:pt x="11751" y="348"/>
                </a:lnTo>
                <a:lnTo>
                  <a:pt x="11763" y="343"/>
                </a:lnTo>
                <a:lnTo>
                  <a:pt x="11776" y="338"/>
                </a:lnTo>
                <a:lnTo>
                  <a:pt x="11789" y="334"/>
                </a:lnTo>
                <a:lnTo>
                  <a:pt x="11802" y="332"/>
                </a:lnTo>
                <a:lnTo>
                  <a:pt x="11815" y="330"/>
                </a:lnTo>
                <a:lnTo>
                  <a:pt x="11829" y="329"/>
                </a:lnTo>
                <a:lnTo>
                  <a:pt x="11848" y="330"/>
                </a:lnTo>
                <a:lnTo>
                  <a:pt x="11868" y="333"/>
                </a:lnTo>
                <a:lnTo>
                  <a:pt x="11888" y="338"/>
                </a:lnTo>
                <a:lnTo>
                  <a:pt x="11907" y="345"/>
                </a:lnTo>
                <a:lnTo>
                  <a:pt x="11927" y="353"/>
                </a:lnTo>
                <a:lnTo>
                  <a:pt x="11948" y="364"/>
                </a:lnTo>
                <a:lnTo>
                  <a:pt x="11969" y="377"/>
                </a:lnTo>
                <a:lnTo>
                  <a:pt x="11991" y="391"/>
                </a:lnTo>
                <a:lnTo>
                  <a:pt x="11915" y="506"/>
                </a:lnTo>
                <a:lnTo>
                  <a:pt x="11898" y="493"/>
                </a:lnTo>
                <a:lnTo>
                  <a:pt x="11881" y="482"/>
                </a:lnTo>
                <a:lnTo>
                  <a:pt x="11864" y="473"/>
                </a:lnTo>
                <a:lnTo>
                  <a:pt x="11848" y="466"/>
                </a:lnTo>
                <a:lnTo>
                  <a:pt x="11832" y="461"/>
                </a:lnTo>
                <a:lnTo>
                  <a:pt x="11816" y="457"/>
                </a:lnTo>
                <a:lnTo>
                  <a:pt x="11799" y="455"/>
                </a:lnTo>
                <a:lnTo>
                  <a:pt x="11782" y="454"/>
                </a:lnTo>
                <a:lnTo>
                  <a:pt x="11768" y="455"/>
                </a:lnTo>
                <a:lnTo>
                  <a:pt x="11754" y="457"/>
                </a:lnTo>
                <a:lnTo>
                  <a:pt x="11741" y="460"/>
                </a:lnTo>
                <a:lnTo>
                  <a:pt x="11729" y="465"/>
                </a:lnTo>
                <a:lnTo>
                  <a:pt x="11716" y="471"/>
                </a:lnTo>
                <a:lnTo>
                  <a:pt x="11704" y="479"/>
                </a:lnTo>
                <a:lnTo>
                  <a:pt x="11693" y="488"/>
                </a:lnTo>
                <a:lnTo>
                  <a:pt x="11682" y="498"/>
                </a:lnTo>
                <a:lnTo>
                  <a:pt x="11672" y="510"/>
                </a:lnTo>
                <a:lnTo>
                  <a:pt x="11661" y="523"/>
                </a:lnTo>
                <a:lnTo>
                  <a:pt x="11652" y="536"/>
                </a:lnTo>
                <a:lnTo>
                  <a:pt x="11644" y="551"/>
                </a:lnTo>
                <a:lnTo>
                  <a:pt x="11637" y="566"/>
                </a:lnTo>
                <a:lnTo>
                  <a:pt x="11630" y="583"/>
                </a:lnTo>
                <a:lnTo>
                  <a:pt x="11625" y="601"/>
                </a:lnTo>
                <a:lnTo>
                  <a:pt x="11620" y="620"/>
                </a:lnTo>
                <a:lnTo>
                  <a:pt x="11620" y="983"/>
                </a:lnTo>
                <a:lnTo>
                  <a:pt x="11479" y="983"/>
                </a:lnTo>
                <a:close/>
                <a:moveTo>
                  <a:pt x="12068" y="983"/>
                </a:moveTo>
                <a:lnTo>
                  <a:pt x="12068" y="341"/>
                </a:lnTo>
                <a:lnTo>
                  <a:pt x="12209" y="341"/>
                </a:lnTo>
                <a:lnTo>
                  <a:pt x="12209" y="419"/>
                </a:lnTo>
                <a:lnTo>
                  <a:pt x="12222" y="407"/>
                </a:lnTo>
                <a:lnTo>
                  <a:pt x="12235" y="397"/>
                </a:lnTo>
                <a:lnTo>
                  <a:pt x="12248" y="388"/>
                </a:lnTo>
                <a:lnTo>
                  <a:pt x="12262" y="379"/>
                </a:lnTo>
                <a:lnTo>
                  <a:pt x="12275" y="371"/>
                </a:lnTo>
                <a:lnTo>
                  <a:pt x="12289" y="364"/>
                </a:lnTo>
                <a:lnTo>
                  <a:pt x="12302" y="358"/>
                </a:lnTo>
                <a:lnTo>
                  <a:pt x="12315" y="352"/>
                </a:lnTo>
                <a:lnTo>
                  <a:pt x="12328" y="347"/>
                </a:lnTo>
                <a:lnTo>
                  <a:pt x="12342" y="343"/>
                </a:lnTo>
                <a:lnTo>
                  <a:pt x="12355" y="339"/>
                </a:lnTo>
                <a:lnTo>
                  <a:pt x="12369" y="336"/>
                </a:lnTo>
                <a:lnTo>
                  <a:pt x="12384" y="334"/>
                </a:lnTo>
                <a:lnTo>
                  <a:pt x="12398" y="332"/>
                </a:lnTo>
                <a:lnTo>
                  <a:pt x="12413" y="331"/>
                </a:lnTo>
                <a:lnTo>
                  <a:pt x="12428" y="331"/>
                </a:lnTo>
                <a:lnTo>
                  <a:pt x="12447" y="331"/>
                </a:lnTo>
                <a:lnTo>
                  <a:pt x="12466" y="333"/>
                </a:lnTo>
                <a:lnTo>
                  <a:pt x="12484" y="335"/>
                </a:lnTo>
                <a:lnTo>
                  <a:pt x="12500" y="337"/>
                </a:lnTo>
                <a:lnTo>
                  <a:pt x="12516" y="341"/>
                </a:lnTo>
                <a:lnTo>
                  <a:pt x="12531" y="346"/>
                </a:lnTo>
                <a:lnTo>
                  <a:pt x="12546" y="351"/>
                </a:lnTo>
                <a:lnTo>
                  <a:pt x="12559" y="357"/>
                </a:lnTo>
                <a:lnTo>
                  <a:pt x="12572" y="364"/>
                </a:lnTo>
                <a:lnTo>
                  <a:pt x="12584" y="372"/>
                </a:lnTo>
                <a:lnTo>
                  <a:pt x="12596" y="380"/>
                </a:lnTo>
                <a:lnTo>
                  <a:pt x="12607" y="390"/>
                </a:lnTo>
                <a:lnTo>
                  <a:pt x="12618" y="401"/>
                </a:lnTo>
                <a:lnTo>
                  <a:pt x="12628" y="413"/>
                </a:lnTo>
                <a:lnTo>
                  <a:pt x="12638" y="426"/>
                </a:lnTo>
                <a:lnTo>
                  <a:pt x="12647" y="439"/>
                </a:lnTo>
                <a:lnTo>
                  <a:pt x="12664" y="425"/>
                </a:lnTo>
                <a:lnTo>
                  <a:pt x="12680" y="411"/>
                </a:lnTo>
                <a:lnTo>
                  <a:pt x="12696" y="400"/>
                </a:lnTo>
                <a:lnTo>
                  <a:pt x="12711" y="389"/>
                </a:lnTo>
                <a:lnTo>
                  <a:pt x="12726" y="379"/>
                </a:lnTo>
                <a:lnTo>
                  <a:pt x="12741" y="370"/>
                </a:lnTo>
                <a:lnTo>
                  <a:pt x="12756" y="362"/>
                </a:lnTo>
                <a:lnTo>
                  <a:pt x="12771" y="355"/>
                </a:lnTo>
                <a:lnTo>
                  <a:pt x="12785" y="350"/>
                </a:lnTo>
                <a:lnTo>
                  <a:pt x="12799" y="345"/>
                </a:lnTo>
                <a:lnTo>
                  <a:pt x="12814" y="341"/>
                </a:lnTo>
                <a:lnTo>
                  <a:pt x="12829" y="337"/>
                </a:lnTo>
                <a:lnTo>
                  <a:pt x="12844" y="334"/>
                </a:lnTo>
                <a:lnTo>
                  <a:pt x="12861" y="333"/>
                </a:lnTo>
                <a:lnTo>
                  <a:pt x="12877" y="331"/>
                </a:lnTo>
                <a:lnTo>
                  <a:pt x="12893" y="331"/>
                </a:lnTo>
                <a:lnTo>
                  <a:pt x="12921" y="332"/>
                </a:lnTo>
                <a:lnTo>
                  <a:pt x="12947" y="335"/>
                </a:lnTo>
                <a:lnTo>
                  <a:pt x="12960" y="337"/>
                </a:lnTo>
                <a:lnTo>
                  <a:pt x="12972" y="339"/>
                </a:lnTo>
                <a:lnTo>
                  <a:pt x="12984" y="343"/>
                </a:lnTo>
                <a:lnTo>
                  <a:pt x="12996" y="346"/>
                </a:lnTo>
                <a:lnTo>
                  <a:pt x="13007" y="350"/>
                </a:lnTo>
                <a:lnTo>
                  <a:pt x="13018" y="354"/>
                </a:lnTo>
                <a:lnTo>
                  <a:pt x="13029" y="359"/>
                </a:lnTo>
                <a:lnTo>
                  <a:pt x="13039" y="365"/>
                </a:lnTo>
                <a:lnTo>
                  <a:pt x="13049" y="371"/>
                </a:lnTo>
                <a:lnTo>
                  <a:pt x="13059" y="377"/>
                </a:lnTo>
                <a:lnTo>
                  <a:pt x="13068" y="384"/>
                </a:lnTo>
                <a:lnTo>
                  <a:pt x="13076" y="391"/>
                </a:lnTo>
                <a:lnTo>
                  <a:pt x="13084" y="399"/>
                </a:lnTo>
                <a:lnTo>
                  <a:pt x="13092" y="407"/>
                </a:lnTo>
                <a:lnTo>
                  <a:pt x="13099" y="416"/>
                </a:lnTo>
                <a:lnTo>
                  <a:pt x="13105" y="425"/>
                </a:lnTo>
                <a:lnTo>
                  <a:pt x="13111" y="434"/>
                </a:lnTo>
                <a:lnTo>
                  <a:pt x="13117" y="443"/>
                </a:lnTo>
                <a:lnTo>
                  <a:pt x="13122" y="453"/>
                </a:lnTo>
                <a:lnTo>
                  <a:pt x="13126" y="463"/>
                </a:lnTo>
                <a:lnTo>
                  <a:pt x="13130" y="473"/>
                </a:lnTo>
                <a:lnTo>
                  <a:pt x="13134" y="484"/>
                </a:lnTo>
                <a:lnTo>
                  <a:pt x="13136" y="495"/>
                </a:lnTo>
                <a:lnTo>
                  <a:pt x="13139" y="508"/>
                </a:lnTo>
                <a:lnTo>
                  <a:pt x="13141" y="520"/>
                </a:lnTo>
                <a:lnTo>
                  <a:pt x="13142" y="532"/>
                </a:lnTo>
                <a:lnTo>
                  <a:pt x="13143" y="544"/>
                </a:lnTo>
                <a:lnTo>
                  <a:pt x="13143" y="557"/>
                </a:lnTo>
                <a:lnTo>
                  <a:pt x="13143" y="983"/>
                </a:lnTo>
                <a:lnTo>
                  <a:pt x="12999" y="983"/>
                </a:lnTo>
                <a:lnTo>
                  <a:pt x="12999" y="591"/>
                </a:lnTo>
                <a:lnTo>
                  <a:pt x="12998" y="571"/>
                </a:lnTo>
                <a:lnTo>
                  <a:pt x="12997" y="553"/>
                </a:lnTo>
                <a:lnTo>
                  <a:pt x="12994" y="537"/>
                </a:lnTo>
                <a:lnTo>
                  <a:pt x="12990" y="522"/>
                </a:lnTo>
                <a:lnTo>
                  <a:pt x="12985" y="509"/>
                </a:lnTo>
                <a:lnTo>
                  <a:pt x="12979" y="495"/>
                </a:lnTo>
                <a:lnTo>
                  <a:pt x="12972" y="484"/>
                </a:lnTo>
                <a:lnTo>
                  <a:pt x="12963" y="474"/>
                </a:lnTo>
                <a:lnTo>
                  <a:pt x="12954" y="466"/>
                </a:lnTo>
                <a:lnTo>
                  <a:pt x="12943" y="458"/>
                </a:lnTo>
                <a:lnTo>
                  <a:pt x="12931" y="452"/>
                </a:lnTo>
                <a:lnTo>
                  <a:pt x="12918" y="447"/>
                </a:lnTo>
                <a:lnTo>
                  <a:pt x="12903" y="443"/>
                </a:lnTo>
                <a:lnTo>
                  <a:pt x="12888" y="440"/>
                </a:lnTo>
                <a:lnTo>
                  <a:pt x="12871" y="438"/>
                </a:lnTo>
                <a:lnTo>
                  <a:pt x="12852" y="438"/>
                </a:lnTo>
                <a:lnTo>
                  <a:pt x="12837" y="438"/>
                </a:lnTo>
                <a:lnTo>
                  <a:pt x="12824" y="439"/>
                </a:lnTo>
                <a:lnTo>
                  <a:pt x="12811" y="441"/>
                </a:lnTo>
                <a:lnTo>
                  <a:pt x="12799" y="443"/>
                </a:lnTo>
                <a:lnTo>
                  <a:pt x="12787" y="445"/>
                </a:lnTo>
                <a:lnTo>
                  <a:pt x="12776" y="449"/>
                </a:lnTo>
                <a:lnTo>
                  <a:pt x="12765" y="452"/>
                </a:lnTo>
                <a:lnTo>
                  <a:pt x="12754" y="457"/>
                </a:lnTo>
                <a:lnTo>
                  <a:pt x="12744" y="462"/>
                </a:lnTo>
                <a:lnTo>
                  <a:pt x="12733" y="468"/>
                </a:lnTo>
                <a:lnTo>
                  <a:pt x="12723" y="474"/>
                </a:lnTo>
                <a:lnTo>
                  <a:pt x="12713" y="482"/>
                </a:lnTo>
                <a:lnTo>
                  <a:pt x="12703" y="490"/>
                </a:lnTo>
                <a:lnTo>
                  <a:pt x="12693" y="499"/>
                </a:lnTo>
                <a:lnTo>
                  <a:pt x="12683" y="510"/>
                </a:lnTo>
                <a:lnTo>
                  <a:pt x="12674" y="520"/>
                </a:lnTo>
                <a:lnTo>
                  <a:pt x="12674" y="983"/>
                </a:lnTo>
                <a:lnTo>
                  <a:pt x="12535" y="983"/>
                </a:lnTo>
                <a:lnTo>
                  <a:pt x="12535" y="591"/>
                </a:lnTo>
                <a:lnTo>
                  <a:pt x="12535" y="571"/>
                </a:lnTo>
                <a:lnTo>
                  <a:pt x="12533" y="554"/>
                </a:lnTo>
                <a:lnTo>
                  <a:pt x="12530" y="537"/>
                </a:lnTo>
                <a:lnTo>
                  <a:pt x="12526" y="523"/>
                </a:lnTo>
                <a:lnTo>
                  <a:pt x="12521" y="509"/>
                </a:lnTo>
                <a:lnTo>
                  <a:pt x="12515" y="496"/>
                </a:lnTo>
                <a:lnTo>
                  <a:pt x="12507" y="485"/>
                </a:lnTo>
                <a:lnTo>
                  <a:pt x="12499" y="475"/>
                </a:lnTo>
                <a:lnTo>
                  <a:pt x="12489" y="466"/>
                </a:lnTo>
                <a:lnTo>
                  <a:pt x="12478" y="459"/>
                </a:lnTo>
                <a:lnTo>
                  <a:pt x="12466" y="452"/>
                </a:lnTo>
                <a:lnTo>
                  <a:pt x="12451" y="447"/>
                </a:lnTo>
                <a:lnTo>
                  <a:pt x="12437" y="443"/>
                </a:lnTo>
                <a:lnTo>
                  <a:pt x="12421" y="440"/>
                </a:lnTo>
                <a:lnTo>
                  <a:pt x="12403" y="438"/>
                </a:lnTo>
                <a:lnTo>
                  <a:pt x="12385" y="438"/>
                </a:lnTo>
                <a:lnTo>
                  <a:pt x="12371" y="438"/>
                </a:lnTo>
                <a:lnTo>
                  <a:pt x="12359" y="439"/>
                </a:lnTo>
                <a:lnTo>
                  <a:pt x="12346" y="441"/>
                </a:lnTo>
                <a:lnTo>
                  <a:pt x="12334" y="443"/>
                </a:lnTo>
                <a:lnTo>
                  <a:pt x="12322" y="445"/>
                </a:lnTo>
                <a:lnTo>
                  <a:pt x="12311" y="449"/>
                </a:lnTo>
                <a:lnTo>
                  <a:pt x="12300" y="452"/>
                </a:lnTo>
                <a:lnTo>
                  <a:pt x="12289" y="457"/>
                </a:lnTo>
                <a:lnTo>
                  <a:pt x="12279" y="462"/>
                </a:lnTo>
                <a:lnTo>
                  <a:pt x="12269" y="468"/>
                </a:lnTo>
                <a:lnTo>
                  <a:pt x="12259" y="474"/>
                </a:lnTo>
                <a:lnTo>
                  <a:pt x="12248" y="482"/>
                </a:lnTo>
                <a:lnTo>
                  <a:pt x="12238" y="490"/>
                </a:lnTo>
                <a:lnTo>
                  <a:pt x="12228" y="499"/>
                </a:lnTo>
                <a:lnTo>
                  <a:pt x="12218" y="510"/>
                </a:lnTo>
                <a:lnTo>
                  <a:pt x="12209" y="520"/>
                </a:lnTo>
                <a:lnTo>
                  <a:pt x="12209" y="983"/>
                </a:lnTo>
                <a:lnTo>
                  <a:pt x="12068" y="983"/>
                </a:lnTo>
                <a:close/>
                <a:moveTo>
                  <a:pt x="13667" y="853"/>
                </a:moveTo>
                <a:lnTo>
                  <a:pt x="13667" y="664"/>
                </a:lnTo>
                <a:lnTo>
                  <a:pt x="13633" y="674"/>
                </a:lnTo>
                <a:lnTo>
                  <a:pt x="13600" y="684"/>
                </a:lnTo>
                <a:lnTo>
                  <a:pt x="13571" y="694"/>
                </a:lnTo>
                <a:lnTo>
                  <a:pt x="13546" y="703"/>
                </a:lnTo>
                <a:lnTo>
                  <a:pt x="13522" y="712"/>
                </a:lnTo>
                <a:lnTo>
                  <a:pt x="13502" y="721"/>
                </a:lnTo>
                <a:lnTo>
                  <a:pt x="13485" y="730"/>
                </a:lnTo>
                <a:lnTo>
                  <a:pt x="13470" y="738"/>
                </a:lnTo>
                <a:lnTo>
                  <a:pt x="13457" y="747"/>
                </a:lnTo>
                <a:lnTo>
                  <a:pt x="13446" y="756"/>
                </a:lnTo>
                <a:lnTo>
                  <a:pt x="13437" y="766"/>
                </a:lnTo>
                <a:lnTo>
                  <a:pt x="13428" y="776"/>
                </a:lnTo>
                <a:lnTo>
                  <a:pt x="13422" y="786"/>
                </a:lnTo>
                <a:lnTo>
                  <a:pt x="13418" y="796"/>
                </a:lnTo>
                <a:lnTo>
                  <a:pt x="13415" y="807"/>
                </a:lnTo>
                <a:lnTo>
                  <a:pt x="13415" y="818"/>
                </a:lnTo>
                <a:lnTo>
                  <a:pt x="13415" y="827"/>
                </a:lnTo>
                <a:lnTo>
                  <a:pt x="13416" y="836"/>
                </a:lnTo>
                <a:lnTo>
                  <a:pt x="13419" y="845"/>
                </a:lnTo>
                <a:lnTo>
                  <a:pt x="13422" y="853"/>
                </a:lnTo>
                <a:lnTo>
                  <a:pt x="13426" y="861"/>
                </a:lnTo>
                <a:lnTo>
                  <a:pt x="13430" y="867"/>
                </a:lnTo>
                <a:lnTo>
                  <a:pt x="13437" y="873"/>
                </a:lnTo>
                <a:lnTo>
                  <a:pt x="13444" y="879"/>
                </a:lnTo>
                <a:lnTo>
                  <a:pt x="13451" y="884"/>
                </a:lnTo>
                <a:lnTo>
                  <a:pt x="13459" y="888"/>
                </a:lnTo>
                <a:lnTo>
                  <a:pt x="13468" y="892"/>
                </a:lnTo>
                <a:lnTo>
                  <a:pt x="13477" y="895"/>
                </a:lnTo>
                <a:lnTo>
                  <a:pt x="13487" y="897"/>
                </a:lnTo>
                <a:lnTo>
                  <a:pt x="13498" y="899"/>
                </a:lnTo>
                <a:lnTo>
                  <a:pt x="13510" y="900"/>
                </a:lnTo>
                <a:lnTo>
                  <a:pt x="13522" y="900"/>
                </a:lnTo>
                <a:lnTo>
                  <a:pt x="13541" y="900"/>
                </a:lnTo>
                <a:lnTo>
                  <a:pt x="13559" y="897"/>
                </a:lnTo>
                <a:lnTo>
                  <a:pt x="13577" y="894"/>
                </a:lnTo>
                <a:lnTo>
                  <a:pt x="13595" y="888"/>
                </a:lnTo>
                <a:lnTo>
                  <a:pt x="13613" y="881"/>
                </a:lnTo>
                <a:lnTo>
                  <a:pt x="13632" y="873"/>
                </a:lnTo>
                <a:lnTo>
                  <a:pt x="13649" y="864"/>
                </a:lnTo>
                <a:lnTo>
                  <a:pt x="13667" y="853"/>
                </a:lnTo>
                <a:close/>
                <a:moveTo>
                  <a:pt x="13672" y="930"/>
                </a:moveTo>
                <a:lnTo>
                  <a:pt x="13646" y="947"/>
                </a:lnTo>
                <a:lnTo>
                  <a:pt x="13619" y="960"/>
                </a:lnTo>
                <a:lnTo>
                  <a:pt x="13606" y="966"/>
                </a:lnTo>
                <a:lnTo>
                  <a:pt x="13594" y="971"/>
                </a:lnTo>
                <a:lnTo>
                  <a:pt x="13582" y="975"/>
                </a:lnTo>
                <a:lnTo>
                  <a:pt x="13570" y="979"/>
                </a:lnTo>
                <a:lnTo>
                  <a:pt x="13558" y="983"/>
                </a:lnTo>
                <a:lnTo>
                  <a:pt x="13545" y="986"/>
                </a:lnTo>
                <a:lnTo>
                  <a:pt x="13533" y="989"/>
                </a:lnTo>
                <a:lnTo>
                  <a:pt x="13520" y="991"/>
                </a:lnTo>
                <a:lnTo>
                  <a:pt x="13494" y="993"/>
                </a:lnTo>
                <a:lnTo>
                  <a:pt x="13467" y="994"/>
                </a:lnTo>
                <a:lnTo>
                  <a:pt x="13444" y="994"/>
                </a:lnTo>
                <a:lnTo>
                  <a:pt x="13421" y="992"/>
                </a:lnTo>
                <a:lnTo>
                  <a:pt x="13401" y="989"/>
                </a:lnTo>
                <a:lnTo>
                  <a:pt x="13381" y="984"/>
                </a:lnTo>
                <a:lnTo>
                  <a:pt x="13363" y="978"/>
                </a:lnTo>
                <a:lnTo>
                  <a:pt x="13347" y="971"/>
                </a:lnTo>
                <a:lnTo>
                  <a:pt x="13332" y="963"/>
                </a:lnTo>
                <a:lnTo>
                  <a:pt x="13317" y="953"/>
                </a:lnTo>
                <a:lnTo>
                  <a:pt x="13305" y="943"/>
                </a:lnTo>
                <a:lnTo>
                  <a:pt x="13294" y="930"/>
                </a:lnTo>
                <a:lnTo>
                  <a:pt x="13285" y="917"/>
                </a:lnTo>
                <a:lnTo>
                  <a:pt x="13277" y="904"/>
                </a:lnTo>
                <a:lnTo>
                  <a:pt x="13271" y="889"/>
                </a:lnTo>
                <a:lnTo>
                  <a:pt x="13267" y="874"/>
                </a:lnTo>
                <a:lnTo>
                  <a:pt x="13265" y="857"/>
                </a:lnTo>
                <a:lnTo>
                  <a:pt x="13264" y="839"/>
                </a:lnTo>
                <a:lnTo>
                  <a:pt x="13265" y="822"/>
                </a:lnTo>
                <a:lnTo>
                  <a:pt x="13268" y="806"/>
                </a:lnTo>
                <a:lnTo>
                  <a:pt x="13272" y="791"/>
                </a:lnTo>
                <a:lnTo>
                  <a:pt x="13279" y="776"/>
                </a:lnTo>
                <a:lnTo>
                  <a:pt x="13287" y="760"/>
                </a:lnTo>
                <a:lnTo>
                  <a:pt x="13297" y="746"/>
                </a:lnTo>
                <a:lnTo>
                  <a:pt x="13309" y="733"/>
                </a:lnTo>
                <a:lnTo>
                  <a:pt x="13322" y="720"/>
                </a:lnTo>
                <a:lnTo>
                  <a:pt x="13338" y="707"/>
                </a:lnTo>
                <a:lnTo>
                  <a:pt x="13355" y="695"/>
                </a:lnTo>
                <a:lnTo>
                  <a:pt x="13374" y="684"/>
                </a:lnTo>
                <a:lnTo>
                  <a:pt x="13395" y="672"/>
                </a:lnTo>
                <a:lnTo>
                  <a:pt x="13418" y="661"/>
                </a:lnTo>
                <a:lnTo>
                  <a:pt x="13444" y="651"/>
                </a:lnTo>
                <a:lnTo>
                  <a:pt x="13470" y="642"/>
                </a:lnTo>
                <a:lnTo>
                  <a:pt x="13498" y="633"/>
                </a:lnTo>
                <a:lnTo>
                  <a:pt x="13667" y="581"/>
                </a:lnTo>
                <a:lnTo>
                  <a:pt x="13667" y="576"/>
                </a:lnTo>
                <a:lnTo>
                  <a:pt x="13668" y="570"/>
                </a:lnTo>
                <a:lnTo>
                  <a:pt x="13668" y="564"/>
                </a:lnTo>
                <a:lnTo>
                  <a:pt x="13668" y="555"/>
                </a:lnTo>
                <a:lnTo>
                  <a:pt x="13668" y="541"/>
                </a:lnTo>
                <a:lnTo>
                  <a:pt x="13666" y="528"/>
                </a:lnTo>
                <a:lnTo>
                  <a:pt x="13664" y="516"/>
                </a:lnTo>
                <a:lnTo>
                  <a:pt x="13661" y="505"/>
                </a:lnTo>
                <a:lnTo>
                  <a:pt x="13656" y="495"/>
                </a:lnTo>
                <a:lnTo>
                  <a:pt x="13651" y="486"/>
                </a:lnTo>
                <a:lnTo>
                  <a:pt x="13645" y="478"/>
                </a:lnTo>
                <a:lnTo>
                  <a:pt x="13637" y="471"/>
                </a:lnTo>
                <a:lnTo>
                  <a:pt x="13628" y="465"/>
                </a:lnTo>
                <a:lnTo>
                  <a:pt x="13618" y="460"/>
                </a:lnTo>
                <a:lnTo>
                  <a:pt x="13607" y="456"/>
                </a:lnTo>
                <a:lnTo>
                  <a:pt x="13595" y="452"/>
                </a:lnTo>
                <a:lnTo>
                  <a:pt x="13582" y="450"/>
                </a:lnTo>
                <a:lnTo>
                  <a:pt x="13567" y="448"/>
                </a:lnTo>
                <a:lnTo>
                  <a:pt x="13551" y="447"/>
                </a:lnTo>
                <a:lnTo>
                  <a:pt x="13534" y="446"/>
                </a:lnTo>
                <a:lnTo>
                  <a:pt x="13519" y="447"/>
                </a:lnTo>
                <a:lnTo>
                  <a:pt x="13505" y="448"/>
                </a:lnTo>
                <a:lnTo>
                  <a:pt x="13490" y="449"/>
                </a:lnTo>
                <a:lnTo>
                  <a:pt x="13474" y="452"/>
                </a:lnTo>
                <a:lnTo>
                  <a:pt x="13459" y="455"/>
                </a:lnTo>
                <a:lnTo>
                  <a:pt x="13444" y="459"/>
                </a:lnTo>
                <a:lnTo>
                  <a:pt x="13427" y="463"/>
                </a:lnTo>
                <a:lnTo>
                  <a:pt x="13411" y="468"/>
                </a:lnTo>
                <a:lnTo>
                  <a:pt x="13396" y="474"/>
                </a:lnTo>
                <a:lnTo>
                  <a:pt x="13380" y="481"/>
                </a:lnTo>
                <a:lnTo>
                  <a:pt x="13364" y="488"/>
                </a:lnTo>
                <a:lnTo>
                  <a:pt x="13349" y="496"/>
                </a:lnTo>
                <a:lnTo>
                  <a:pt x="13333" y="506"/>
                </a:lnTo>
                <a:lnTo>
                  <a:pt x="13317" y="515"/>
                </a:lnTo>
                <a:lnTo>
                  <a:pt x="13302" y="525"/>
                </a:lnTo>
                <a:lnTo>
                  <a:pt x="13286" y="536"/>
                </a:lnTo>
                <a:lnTo>
                  <a:pt x="13286" y="409"/>
                </a:lnTo>
                <a:lnTo>
                  <a:pt x="13300" y="399"/>
                </a:lnTo>
                <a:lnTo>
                  <a:pt x="13314" y="390"/>
                </a:lnTo>
                <a:lnTo>
                  <a:pt x="13329" y="381"/>
                </a:lnTo>
                <a:lnTo>
                  <a:pt x="13344" y="373"/>
                </a:lnTo>
                <a:lnTo>
                  <a:pt x="13359" y="366"/>
                </a:lnTo>
                <a:lnTo>
                  <a:pt x="13375" y="360"/>
                </a:lnTo>
                <a:lnTo>
                  <a:pt x="13391" y="354"/>
                </a:lnTo>
                <a:lnTo>
                  <a:pt x="13408" y="348"/>
                </a:lnTo>
                <a:lnTo>
                  <a:pt x="13425" y="344"/>
                </a:lnTo>
                <a:lnTo>
                  <a:pt x="13443" y="339"/>
                </a:lnTo>
                <a:lnTo>
                  <a:pt x="13461" y="336"/>
                </a:lnTo>
                <a:lnTo>
                  <a:pt x="13478" y="333"/>
                </a:lnTo>
                <a:lnTo>
                  <a:pt x="13496" y="331"/>
                </a:lnTo>
                <a:lnTo>
                  <a:pt x="13515" y="329"/>
                </a:lnTo>
                <a:lnTo>
                  <a:pt x="13533" y="329"/>
                </a:lnTo>
                <a:lnTo>
                  <a:pt x="13552" y="328"/>
                </a:lnTo>
                <a:lnTo>
                  <a:pt x="13585" y="329"/>
                </a:lnTo>
                <a:lnTo>
                  <a:pt x="13615" y="332"/>
                </a:lnTo>
                <a:lnTo>
                  <a:pt x="13631" y="333"/>
                </a:lnTo>
                <a:lnTo>
                  <a:pt x="13644" y="336"/>
                </a:lnTo>
                <a:lnTo>
                  <a:pt x="13658" y="339"/>
                </a:lnTo>
                <a:lnTo>
                  <a:pt x="13670" y="342"/>
                </a:lnTo>
                <a:lnTo>
                  <a:pt x="13683" y="345"/>
                </a:lnTo>
                <a:lnTo>
                  <a:pt x="13694" y="349"/>
                </a:lnTo>
                <a:lnTo>
                  <a:pt x="13705" y="354"/>
                </a:lnTo>
                <a:lnTo>
                  <a:pt x="13715" y="358"/>
                </a:lnTo>
                <a:lnTo>
                  <a:pt x="13725" y="364"/>
                </a:lnTo>
                <a:lnTo>
                  <a:pt x="13734" y="369"/>
                </a:lnTo>
                <a:lnTo>
                  <a:pt x="13743" y="376"/>
                </a:lnTo>
                <a:lnTo>
                  <a:pt x="13751" y="382"/>
                </a:lnTo>
                <a:lnTo>
                  <a:pt x="13759" y="389"/>
                </a:lnTo>
                <a:lnTo>
                  <a:pt x="13766" y="397"/>
                </a:lnTo>
                <a:lnTo>
                  <a:pt x="13772" y="405"/>
                </a:lnTo>
                <a:lnTo>
                  <a:pt x="13778" y="414"/>
                </a:lnTo>
                <a:lnTo>
                  <a:pt x="13784" y="423"/>
                </a:lnTo>
                <a:lnTo>
                  <a:pt x="13789" y="433"/>
                </a:lnTo>
                <a:lnTo>
                  <a:pt x="13793" y="443"/>
                </a:lnTo>
                <a:lnTo>
                  <a:pt x="13798" y="454"/>
                </a:lnTo>
                <a:lnTo>
                  <a:pt x="13801" y="465"/>
                </a:lnTo>
                <a:lnTo>
                  <a:pt x="13804" y="477"/>
                </a:lnTo>
                <a:lnTo>
                  <a:pt x="13807" y="489"/>
                </a:lnTo>
                <a:lnTo>
                  <a:pt x="13809" y="502"/>
                </a:lnTo>
                <a:lnTo>
                  <a:pt x="13811" y="516"/>
                </a:lnTo>
                <a:lnTo>
                  <a:pt x="13812" y="529"/>
                </a:lnTo>
                <a:lnTo>
                  <a:pt x="13813" y="544"/>
                </a:lnTo>
                <a:lnTo>
                  <a:pt x="13813" y="558"/>
                </a:lnTo>
                <a:lnTo>
                  <a:pt x="13813" y="830"/>
                </a:lnTo>
                <a:lnTo>
                  <a:pt x="13813" y="846"/>
                </a:lnTo>
                <a:lnTo>
                  <a:pt x="13815" y="860"/>
                </a:lnTo>
                <a:lnTo>
                  <a:pt x="13817" y="871"/>
                </a:lnTo>
                <a:lnTo>
                  <a:pt x="13820" y="879"/>
                </a:lnTo>
                <a:lnTo>
                  <a:pt x="13821" y="883"/>
                </a:lnTo>
                <a:lnTo>
                  <a:pt x="13823" y="886"/>
                </a:lnTo>
                <a:lnTo>
                  <a:pt x="13826" y="888"/>
                </a:lnTo>
                <a:lnTo>
                  <a:pt x="13829" y="890"/>
                </a:lnTo>
                <a:lnTo>
                  <a:pt x="13832" y="891"/>
                </a:lnTo>
                <a:lnTo>
                  <a:pt x="13835" y="892"/>
                </a:lnTo>
                <a:lnTo>
                  <a:pt x="13839" y="893"/>
                </a:lnTo>
                <a:lnTo>
                  <a:pt x="13842" y="893"/>
                </a:lnTo>
                <a:lnTo>
                  <a:pt x="13849" y="893"/>
                </a:lnTo>
                <a:lnTo>
                  <a:pt x="13856" y="892"/>
                </a:lnTo>
                <a:lnTo>
                  <a:pt x="13862" y="890"/>
                </a:lnTo>
                <a:lnTo>
                  <a:pt x="13870" y="887"/>
                </a:lnTo>
                <a:lnTo>
                  <a:pt x="13878" y="883"/>
                </a:lnTo>
                <a:lnTo>
                  <a:pt x="13888" y="877"/>
                </a:lnTo>
                <a:lnTo>
                  <a:pt x="13901" y="869"/>
                </a:lnTo>
                <a:lnTo>
                  <a:pt x="13916" y="858"/>
                </a:lnTo>
                <a:lnTo>
                  <a:pt x="13916" y="935"/>
                </a:lnTo>
                <a:lnTo>
                  <a:pt x="13897" y="950"/>
                </a:lnTo>
                <a:lnTo>
                  <a:pt x="13877" y="962"/>
                </a:lnTo>
                <a:lnTo>
                  <a:pt x="13858" y="972"/>
                </a:lnTo>
                <a:lnTo>
                  <a:pt x="13838" y="980"/>
                </a:lnTo>
                <a:lnTo>
                  <a:pt x="13818" y="986"/>
                </a:lnTo>
                <a:lnTo>
                  <a:pt x="13798" y="991"/>
                </a:lnTo>
                <a:lnTo>
                  <a:pt x="13777" y="993"/>
                </a:lnTo>
                <a:lnTo>
                  <a:pt x="13756" y="994"/>
                </a:lnTo>
                <a:lnTo>
                  <a:pt x="13746" y="994"/>
                </a:lnTo>
                <a:lnTo>
                  <a:pt x="13737" y="993"/>
                </a:lnTo>
                <a:lnTo>
                  <a:pt x="13729" y="992"/>
                </a:lnTo>
                <a:lnTo>
                  <a:pt x="13721" y="990"/>
                </a:lnTo>
                <a:lnTo>
                  <a:pt x="13713" y="988"/>
                </a:lnTo>
                <a:lnTo>
                  <a:pt x="13707" y="986"/>
                </a:lnTo>
                <a:lnTo>
                  <a:pt x="13701" y="983"/>
                </a:lnTo>
                <a:lnTo>
                  <a:pt x="13695" y="979"/>
                </a:lnTo>
                <a:lnTo>
                  <a:pt x="13691" y="975"/>
                </a:lnTo>
                <a:lnTo>
                  <a:pt x="13686" y="970"/>
                </a:lnTo>
                <a:lnTo>
                  <a:pt x="13683" y="965"/>
                </a:lnTo>
                <a:lnTo>
                  <a:pt x="13679" y="959"/>
                </a:lnTo>
                <a:lnTo>
                  <a:pt x="13677" y="953"/>
                </a:lnTo>
                <a:lnTo>
                  <a:pt x="13675" y="946"/>
                </a:lnTo>
                <a:lnTo>
                  <a:pt x="13673" y="938"/>
                </a:lnTo>
                <a:lnTo>
                  <a:pt x="13672" y="930"/>
                </a:lnTo>
                <a:close/>
                <a:moveTo>
                  <a:pt x="14555" y="831"/>
                </a:moveTo>
                <a:lnTo>
                  <a:pt x="14555" y="962"/>
                </a:lnTo>
                <a:lnTo>
                  <a:pt x="14528" y="970"/>
                </a:lnTo>
                <a:lnTo>
                  <a:pt x="14502" y="977"/>
                </a:lnTo>
                <a:lnTo>
                  <a:pt x="14476" y="983"/>
                </a:lnTo>
                <a:lnTo>
                  <a:pt x="14451" y="987"/>
                </a:lnTo>
                <a:lnTo>
                  <a:pt x="14426" y="991"/>
                </a:lnTo>
                <a:lnTo>
                  <a:pt x="14400" y="994"/>
                </a:lnTo>
                <a:lnTo>
                  <a:pt x="14375" y="995"/>
                </a:lnTo>
                <a:lnTo>
                  <a:pt x="14350" y="996"/>
                </a:lnTo>
                <a:lnTo>
                  <a:pt x="14328" y="995"/>
                </a:lnTo>
                <a:lnTo>
                  <a:pt x="14307" y="994"/>
                </a:lnTo>
                <a:lnTo>
                  <a:pt x="14287" y="993"/>
                </a:lnTo>
                <a:lnTo>
                  <a:pt x="14267" y="990"/>
                </a:lnTo>
                <a:lnTo>
                  <a:pt x="14248" y="987"/>
                </a:lnTo>
                <a:lnTo>
                  <a:pt x="14229" y="983"/>
                </a:lnTo>
                <a:lnTo>
                  <a:pt x="14209" y="978"/>
                </a:lnTo>
                <a:lnTo>
                  <a:pt x="14191" y="972"/>
                </a:lnTo>
                <a:lnTo>
                  <a:pt x="14174" y="966"/>
                </a:lnTo>
                <a:lnTo>
                  <a:pt x="14157" y="959"/>
                </a:lnTo>
                <a:lnTo>
                  <a:pt x="14140" y="952"/>
                </a:lnTo>
                <a:lnTo>
                  <a:pt x="14124" y="943"/>
                </a:lnTo>
                <a:lnTo>
                  <a:pt x="14109" y="933"/>
                </a:lnTo>
                <a:lnTo>
                  <a:pt x="14094" y="923"/>
                </a:lnTo>
                <a:lnTo>
                  <a:pt x="14079" y="913"/>
                </a:lnTo>
                <a:lnTo>
                  <a:pt x="14065" y="901"/>
                </a:lnTo>
                <a:lnTo>
                  <a:pt x="14052" y="890"/>
                </a:lnTo>
                <a:lnTo>
                  <a:pt x="14039" y="877"/>
                </a:lnTo>
                <a:lnTo>
                  <a:pt x="14027" y="865"/>
                </a:lnTo>
                <a:lnTo>
                  <a:pt x="14016" y="852"/>
                </a:lnTo>
                <a:lnTo>
                  <a:pt x="14006" y="837"/>
                </a:lnTo>
                <a:lnTo>
                  <a:pt x="13996" y="823"/>
                </a:lnTo>
                <a:lnTo>
                  <a:pt x="13988" y="809"/>
                </a:lnTo>
                <a:lnTo>
                  <a:pt x="13981" y="794"/>
                </a:lnTo>
                <a:lnTo>
                  <a:pt x="13974" y="779"/>
                </a:lnTo>
                <a:lnTo>
                  <a:pt x="13969" y="764"/>
                </a:lnTo>
                <a:lnTo>
                  <a:pt x="13964" y="747"/>
                </a:lnTo>
                <a:lnTo>
                  <a:pt x="13960" y="731"/>
                </a:lnTo>
                <a:lnTo>
                  <a:pt x="13957" y="714"/>
                </a:lnTo>
                <a:lnTo>
                  <a:pt x="13955" y="697"/>
                </a:lnTo>
                <a:lnTo>
                  <a:pt x="13954" y="680"/>
                </a:lnTo>
                <a:lnTo>
                  <a:pt x="13953" y="661"/>
                </a:lnTo>
                <a:lnTo>
                  <a:pt x="13954" y="643"/>
                </a:lnTo>
                <a:lnTo>
                  <a:pt x="13955" y="626"/>
                </a:lnTo>
                <a:lnTo>
                  <a:pt x="13957" y="609"/>
                </a:lnTo>
                <a:lnTo>
                  <a:pt x="13960" y="593"/>
                </a:lnTo>
                <a:lnTo>
                  <a:pt x="13964" y="576"/>
                </a:lnTo>
                <a:lnTo>
                  <a:pt x="13969" y="560"/>
                </a:lnTo>
                <a:lnTo>
                  <a:pt x="13974" y="545"/>
                </a:lnTo>
                <a:lnTo>
                  <a:pt x="13981" y="530"/>
                </a:lnTo>
                <a:lnTo>
                  <a:pt x="13988" y="516"/>
                </a:lnTo>
                <a:lnTo>
                  <a:pt x="13996" y="501"/>
                </a:lnTo>
                <a:lnTo>
                  <a:pt x="14006" y="487"/>
                </a:lnTo>
                <a:lnTo>
                  <a:pt x="14016" y="473"/>
                </a:lnTo>
                <a:lnTo>
                  <a:pt x="14027" y="460"/>
                </a:lnTo>
                <a:lnTo>
                  <a:pt x="14039" y="447"/>
                </a:lnTo>
                <a:lnTo>
                  <a:pt x="14052" y="435"/>
                </a:lnTo>
                <a:lnTo>
                  <a:pt x="14065" y="422"/>
                </a:lnTo>
                <a:lnTo>
                  <a:pt x="14079" y="410"/>
                </a:lnTo>
                <a:lnTo>
                  <a:pt x="14094" y="399"/>
                </a:lnTo>
                <a:lnTo>
                  <a:pt x="14109" y="389"/>
                </a:lnTo>
                <a:lnTo>
                  <a:pt x="14124" y="380"/>
                </a:lnTo>
                <a:lnTo>
                  <a:pt x="14140" y="372"/>
                </a:lnTo>
                <a:lnTo>
                  <a:pt x="14156" y="364"/>
                </a:lnTo>
                <a:lnTo>
                  <a:pt x="14173" y="357"/>
                </a:lnTo>
                <a:lnTo>
                  <a:pt x="14190" y="350"/>
                </a:lnTo>
                <a:lnTo>
                  <a:pt x="14207" y="345"/>
                </a:lnTo>
                <a:lnTo>
                  <a:pt x="14226" y="340"/>
                </a:lnTo>
                <a:lnTo>
                  <a:pt x="14245" y="336"/>
                </a:lnTo>
                <a:lnTo>
                  <a:pt x="14264" y="333"/>
                </a:lnTo>
                <a:lnTo>
                  <a:pt x="14283" y="330"/>
                </a:lnTo>
                <a:lnTo>
                  <a:pt x="14303" y="328"/>
                </a:lnTo>
                <a:lnTo>
                  <a:pt x="14323" y="327"/>
                </a:lnTo>
                <a:lnTo>
                  <a:pt x="14344" y="327"/>
                </a:lnTo>
                <a:lnTo>
                  <a:pt x="14369" y="327"/>
                </a:lnTo>
                <a:lnTo>
                  <a:pt x="14394" y="329"/>
                </a:lnTo>
                <a:lnTo>
                  <a:pt x="14421" y="332"/>
                </a:lnTo>
                <a:lnTo>
                  <a:pt x="14445" y="336"/>
                </a:lnTo>
                <a:lnTo>
                  <a:pt x="14470" y="342"/>
                </a:lnTo>
                <a:lnTo>
                  <a:pt x="14495" y="348"/>
                </a:lnTo>
                <a:lnTo>
                  <a:pt x="14519" y="357"/>
                </a:lnTo>
                <a:lnTo>
                  <a:pt x="14544" y="366"/>
                </a:lnTo>
                <a:lnTo>
                  <a:pt x="14544" y="503"/>
                </a:lnTo>
                <a:lnTo>
                  <a:pt x="14519" y="490"/>
                </a:lnTo>
                <a:lnTo>
                  <a:pt x="14495" y="479"/>
                </a:lnTo>
                <a:lnTo>
                  <a:pt x="14471" y="470"/>
                </a:lnTo>
                <a:lnTo>
                  <a:pt x="14447" y="463"/>
                </a:lnTo>
                <a:lnTo>
                  <a:pt x="14423" y="457"/>
                </a:lnTo>
                <a:lnTo>
                  <a:pt x="14397" y="453"/>
                </a:lnTo>
                <a:lnTo>
                  <a:pt x="14373" y="451"/>
                </a:lnTo>
                <a:lnTo>
                  <a:pt x="14348" y="450"/>
                </a:lnTo>
                <a:lnTo>
                  <a:pt x="14322" y="451"/>
                </a:lnTo>
                <a:lnTo>
                  <a:pt x="14296" y="454"/>
                </a:lnTo>
                <a:lnTo>
                  <a:pt x="14284" y="456"/>
                </a:lnTo>
                <a:lnTo>
                  <a:pt x="14272" y="458"/>
                </a:lnTo>
                <a:lnTo>
                  <a:pt x="14261" y="461"/>
                </a:lnTo>
                <a:lnTo>
                  <a:pt x="14249" y="465"/>
                </a:lnTo>
                <a:lnTo>
                  <a:pt x="14239" y="469"/>
                </a:lnTo>
                <a:lnTo>
                  <a:pt x="14228" y="473"/>
                </a:lnTo>
                <a:lnTo>
                  <a:pt x="14217" y="478"/>
                </a:lnTo>
                <a:lnTo>
                  <a:pt x="14207" y="483"/>
                </a:lnTo>
                <a:lnTo>
                  <a:pt x="14197" y="489"/>
                </a:lnTo>
                <a:lnTo>
                  <a:pt x="14188" y="495"/>
                </a:lnTo>
                <a:lnTo>
                  <a:pt x="14179" y="502"/>
                </a:lnTo>
                <a:lnTo>
                  <a:pt x="14170" y="509"/>
                </a:lnTo>
                <a:lnTo>
                  <a:pt x="14162" y="517"/>
                </a:lnTo>
                <a:lnTo>
                  <a:pt x="14154" y="525"/>
                </a:lnTo>
                <a:lnTo>
                  <a:pt x="14147" y="533"/>
                </a:lnTo>
                <a:lnTo>
                  <a:pt x="14140" y="541"/>
                </a:lnTo>
                <a:lnTo>
                  <a:pt x="14134" y="549"/>
                </a:lnTo>
                <a:lnTo>
                  <a:pt x="14128" y="558"/>
                </a:lnTo>
                <a:lnTo>
                  <a:pt x="14123" y="567"/>
                </a:lnTo>
                <a:lnTo>
                  <a:pt x="14119" y="576"/>
                </a:lnTo>
                <a:lnTo>
                  <a:pt x="14115" y="586"/>
                </a:lnTo>
                <a:lnTo>
                  <a:pt x="14111" y="597"/>
                </a:lnTo>
                <a:lnTo>
                  <a:pt x="14108" y="607"/>
                </a:lnTo>
                <a:lnTo>
                  <a:pt x="14106" y="617"/>
                </a:lnTo>
                <a:lnTo>
                  <a:pt x="14104" y="627"/>
                </a:lnTo>
                <a:lnTo>
                  <a:pt x="14103" y="638"/>
                </a:lnTo>
                <a:lnTo>
                  <a:pt x="14102" y="649"/>
                </a:lnTo>
                <a:lnTo>
                  <a:pt x="14102" y="661"/>
                </a:lnTo>
                <a:lnTo>
                  <a:pt x="14102" y="672"/>
                </a:lnTo>
                <a:lnTo>
                  <a:pt x="14103" y="685"/>
                </a:lnTo>
                <a:lnTo>
                  <a:pt x="14104" y="696"/>
                </a:lnTo>
                <a:lnTo>
                  <a:pt x="14106" y="706"/>
                </a:lnTo>
                <a:lnTo>
                  <a:pt x="14108" y="717"/>
                </a:lnTo>
                <a:lnTo>
                  <a:pt x="14111" y="727"/>
                </a:lnTo>
                <a:lnTo>
                  <a:pt x="14115" y="737"/>
                </a:lnTo>
                <a:lnTo>
                  <a:pt x="14119" y="746"/>
                </a:lnTo>
                <a:lnTo>
                  <a:pt x="14124" y="756"/>
                </a:lnTo>
                <a:lnTo>
                  <a:pt x="14129" y="766"/>
                </a:lnTo>
                <a:lnTo>
                  <a:pt x="14134" y="775"/>
                </a:lnTo>
                <a:lnTo>
                  <a:pt x="14141" y="783"/>
                </a:lnTo>
                <a:lnTo>
                  <a:pt x="14148" y="792"/>
                </a:lnTo>
                <a:lnTo>
                  <a:pt x="14155" y="800"/>
                </a:lnTo>
                <a:lnTo>
                  <a:pt x="14163" y="807"/>
                </a:lnTo>
                <a:lnTo>
                  <a:pt x="14171" y="815"/>
                </a:lnTo>
                <a:lnTo>
                  <a:pt x="14180" y="822"/>
                </a:lnTo>
                <a:lnTo>
                  <a:pt x="14189" y="829"/>
                </a:lnTo>
                <a:lnTo>
                  <a:pt x="14199" y="835"/>
                </a:lnTo>
                <a:lnTo>
                  <a:pt x="14209" y="841"/>
                </a:lnTo>
                <a:lnTo>
                  <a:pt x="14220" y="846"/>
                </a:lnTo>
                <a:lnTo>
                  <a:pt x="14230" y="852"/>
                </a:lnTo>
                <a:lnTo>
                  <a:pt x="14241" y="856"/>
                </a:lnTo>
                <a:lnTo>
                  <a:pt x="14253" y="860"/>
                </a:lnTo>
                <a:lnTo>
                  <a:pt x="14264" y="864"/>
                </a:lnTo>
                <a:lnTo>
                  <a:pt x="14276" y="867"/>
                </a:lnTo>
                <a:lnTo>
                  <a:pt x="14289" y="869"/>
                </a:lnTo>
                <a:lnTo>
                  <a:pt x="14301" y="871"/>
                </a:lnTo>
                <a:lnTo>
                  <a:pt x="14327" y="874"/>
                </a:lnTo>
                <a:lnTo>
                  <a:pt x="14355" y="875"/>
                </a:lnTo>
                <a:lnTo>
                  <a:pt x="14381" y="874"/>
                </a:lnTo>
                <a:lnTo>
                  <a:pt x="14406" y="872"/>
                </a:lnTo>
                <a:lnTo>
                  <a:pt x="14432" y="869"/>
                </a:lnTo>
                <a:lnTo>
                  <a:pt x="14457" y="864"/>
                </a:lnTo>
                <a:lnTo>
                  <a:pt x="14482" y="858"/>
                </a:lnTo>
                <a:lnTo>
                  <a:pt x="14506" y="850"/>
                </a:lnTo>
                <a:lnTo>
                  <a:pt x="14531" y="841"/>
                </a:lnTo>
                <a:lnTo>
                  <a:pt x="14555" y="831"/>
                </a:lnTo>
                <a:close/>
                <a:moveTo>
                  <a:pt x="14100" y="1278"/>
                </a:moveTo>
                <a:lnTo>
                  <a:pt x="14100" y="1217"/>
                </a:lnTo>
                <a:lnTo>
                  <a:pt x="14130" y="1223"/>
                </a:lnTo>
                <a:lnTo>
                  <a:pt x="14157" y="1228"/>
                </a:lnTo>
                <a:lnTo>
                  <a:pt x="14184" y="1233"/>
                </a:lnTo>
                <a:lnTo>
                  <a:pt x="14209" y="1236"/>
                </a:lnTo>
                <a:lnTo>
                  <a:pt x="14233" y="1239"/>
                </a:lnTo>
                <a:lnTo>
                  <a:pt x="14254" y="1241"/>
                </a:lnTo>
                <a:lnTo>
                  <a:pt x="14273" y="1242"/>
                </a:lnTo>
                <a:lnTo>
                  <a:pt x="14291" y="1243"/>
                </a:lnTo>
                <a:lnTo>
                  <a:pt x="14302" y="1242"/>
                </a:lnTo>
                <a:lnTo>
                  <a:pt x="14313" y="1242"/>
                </a:lnTo>
                <a:lnTo>
                  <a:pt x="14322" y="1241"/>
                </a:lnTo>
                <a:lnTo>
                  <a:pt x="14331" y="1239"/>
                </a:lnTo>
                <a:lnTo>
                  <a:pt x="14340" y="1237"/>
                </a:lnTo>
                <a:lnTo>
                  <a:pt x="14347" y="1234"/>
                </a:lnTo>
                <a:lnTo>
                  <a:pt x="14354" y="1231"/>
                </a:lnTo>
                <a:lnTo>
                  <a:pt x="14360" y="1228"/>
                </a:lnTo>
                <a:lnTo>
                  <a:pt x="14366" y="1224"/>
                </a:lnTo>
                <a:lnTo>
                  <a:pt x="14370" y="1220"/>
                </a:lnTo>
                <a:lnTo>
                  <a:pt x="14374" y="1215"/>
                </a:lnTo>
                <a:lnTo>
                  <a:pt x="14378" y="1210"/>
                </a:lnTo>
                <a:lnTo>
                  <a:pt x="14380" y="1204"/>
                </a:lnTo>
                <a:lnTo>
                  <a:pt x="14382" y="1197"/>
                </a:lnTo>
                <a:lnTo>
                  <a:pt x="14383" y="1191"/>
                </a:lnTo>
                <a:lnTo>
                  <a:pt x="14384" y="1184"/>
                </a:lnTo>
                <a:lnTo>
                  <a:pt x="14383" y="1175"/>
                </a:lnTo>
                <a:lnTo>
                  <a:pt x="14382" y="1167"/>
                </a:lnTo>
                <a:lnTo>
                  <a:pt x="14380" y="1160"/>
                </a:lnTo>
                <a:lnTo>
                  <a:pt x="14377" y="1153"/>
                </a:lnTo>
                <a:lnTo>
                  <a:pt x="14374" y="1147"/>
                </a:lnTo>
                <a:lnTo>
                  <a:pt x="14369" y="1141"/>
                </a:lnTo>
                <a:lnTo>
                  <a:pt x="14364" y="1136"/>
                </a:lnTo>
                <a:lnTo>
                  <a:pt x="14358" y="1132"/>
                </a:lnTo>
                <a:lnTo>
                  <a:pt x="14351" y="1128"/>
                </a:lnTo>
                <a:lnTo>
                  <a:pt x="14344" y="1125"/>
                </a:lnTo>
                <a:lnTo>
                  <a:pt x="14335" y="1122"/>
                </a:lnTo>
                <a:lnTo>
                  <a:pt x="14325" y="1120"/>
                </a:lnTo>
                <a:lnTo>
                  <a:pt x="14315" y="1118"/>
                </a:lnTo>
                <a:lnTo>
                  <a:pt x="14303" y="1117"/>
                </a:lnTo>
                <a:lnTo>
                  <a:pt x="14290" y="1116"/>
                </a:lnTo>
                <a:lnTo>
                  <a:pt x="14277" y="1116"/>
                </a:lnTo>
                <a:lnTo>
                  <a:pt x="14263" y="1116"/>
                </a:lnTo>
                <a:lnTo>
                  <a:pt x="14254" y="1116"/>
                </a:lnTo>
                <a:lnTo>
                  <a:pt x="14246" y="1117"/>
                </a:lnTo>
                <a:lnTo>
                  <a:pt x="14237" y="1117"/>
                </a:lnTo>
                <a:lnTo>
                  <a:pt x="14237" y="983"/>
                </a:lnTo>
                <a:lnTo>
                  <a:pt x="14292" y="983"/>
                </a:lnTo>
                <a:lnTo>
                  <a:pt x="14292" y="1057"/>
                </a:lnTo>
                <a:lnTo>
                  <a:pt x="14310" y="1057"/>
                </a:lnTo>
                <a:lnTo>
                  <a:pt x="14330" y="1058"/>
                </a:lnTo>
                <a:lnTo>
                  <a:pt x="14350" y="1059"/>
                </a:lnTo>
                <a:lnTo>
                  <a:pt x="14368" y="1061"/>
                </a:lnTo>
                <a:lnTo>
                  <a:pt x="14385" y="1065"/>
                </a:lnTo>
                <a:lnTo>
                  <a:pt x="14400" y="1069"/>
                </a:lnTo>
                <a:lnTo>
                  <a:pt x="14416" y="1074"/>
                </a:lnTo>
                <a:lnTo>
                  <a:pt x="14429" y="1081"/>
                </a:lnTo>
                <a:lnTo>
                  <a:pt x="14440" y="1088"/>
                </a:lnTo>
                <a:lnTo>
                  <a:pt x="14451" y="1096"/>
                </a:lnTo>
                <a:lnTo>
                  <a:pt x="14460" y="1105"/>
                </a:lnTo>
                <a:lnTo>
                  <a:pt x="14467" y="1116"/>
                </a:lnTo>
                <a:lnTo>
                  <a:pt x="14474" y="1127"/>
                </a:lnTo>
                <a:lnTo>
                  <a:pt x="14478" y="1139"/>
                </a:lnTo>
                <a:lnTo>
                  <a:pt x="14482" y="1152"/>
                </a:lnTo>
                <a:lnTo>
                  <a:pt x="14484" y="1165"/>
                </a:lnTo>
                <a:lnTo>
                  <a:pt x="14485" y="1180"/>
                </a:lnTo>
                <a:lnTo>
                  <a:pt x="14484" y="1195"/>
                </a:lnTo>
                <a:lnTo>
                  <a:pt x="14482" y="1210"/>
                </a:lnTo>
                <a:lnTo>
                  <a:pt x="14478" y="1223"/>
                </a:lnTo>
                <a:lnTo>
                  <a:pt x="14472" y="1235"/>
                </a:lnTo>
                <a:lnTo>
                  <a:pt x="14466" y="1246"/>
                </a:lnTo>
                <a:lnTo>
                  <a:pt x="14457" y="1256"/>
                </a:lnTo>
                <a:lnTo>
                  <a:pt x="14447" y="1266"/>
                </a:lnTo>
                <a:lnTo>
                  <a:pt x="14436" y="1274"/>
                </a:lnTo>
                <a:lnTo>
                  <a:pt x="14423" y="1282"/>
                </a:lnTo>
                <a:lnTo>
                  <a:pt x="14407" y="1288"/>
                </a:lnTo>
                <a:lnTo>
                  <a:pt x="14392" y="1295"/>
                </a:lnTo>
                <a:lnTo>
                  <a:pt x="14375" y="1299"/>
                </a:lnTo>
                <a:lnTo>
                  <a:pt x="14356" y="1303"/>
                </a:lnTo>
                <a:lnTo>
                  <a:pt x="14336" y="1305"/>
                </a:lnTo>
                <a:lnTo>
                  <a:pt x="14315" y="1307"/>
                </a:lnTo>
                <a:lnTo>
                  <a:pt x="14293" y="1307"/>
                </a:lnTo>
                <a:lnTo>
                  <a:pt x="14274" y="1307"/>
                </a:lnTo>
                <a:lnTo>
                  <a:pt x="14254" y="1305"/>
                </a:lnTo>
                <a:lnTo>
                  <a:pt x="14233" y="1303"/>
                </a:lnTo>
                <a:lnTo>
                  <a:pt x="14209" y="1300"/>
                </a:lnTo>
                <a:lnTo>
                  <a:pt x="14185" y="1296"/>
                </a:lnTo>
                <a:lnTo>
                  <a:pt x="14158" y="1290"/>
                </a:lnTo>
                <a:lnTo>
                  <a:pt x="14130" y="1285"/>
                </a:lnTo>
                <a:lnTo>
                  <a:pt x="14100" y="1278"/>
                </a:lnTo>
                <a:close/>
                <a:moveTo>
                  <a:pt x="15041" y="853"/>
                </a:moveTo>
                <a:lnTo>
                  <a:pt x="15041" y="664"/>
                </a:lnTo>
                <a:lnTo>
                  <a:pt x="15007" y="674"/>
                </a:lnTo>
                <a:lnTo>
                  <a:pt x="14975" y="684"/>
                </a:lnTo>
                <a:lnTo>
                  <a:pt x="14946" y="694"/>
                </a:lnTo>
                <a:lnTo>
                  <a:pt x="14920" y="703"/>
                </a:lnTo>
                <a:lnTo>
                  <a:pt x="14897" y="712"/>
                </a:lnTo>
                <a:lnTo>
                  <a:pt x="14877" y="721"/>
                </a:lnTo>
                <a:lnTo>
                  <a:pt x="14859" y="730"/>
                </a:lnTo>
                <a:lnTo>
                  <a:pt x="14844" y="738"/>
                </a:lnTo>
                <a:lnTo>
                  <a:pt x="14832" y="747"/>
                </a:lnTo>
                <a:lnTo>
                  <a:pt x="14821" y="756"/>
                </a:lnTo>
                <a:lnTo>
                  <a:pt x="14811" y="766"/>
                </a:lnTo>
                <a:lnTo>
                  <a:pt x="14803" y="776"/>
                </a:lnTo>
                <a:lnTo>
                  <a:pt x="14797" y="786"/>
                </a:lnTo>
                <a:lnTo>
                  <a:pt x="14793" y="796"/>
                </a:lnTo>
                <a:lnTo>
                  <a:pt x="14790" y="807"/>
                </a:lnTo>
                <a:lnTo>
                  <a:pt x="14789" y="818"/>
                </a:lnTo>
                <a:lnTo>
                  <a:pt x="14790" y="827"/>
                </a:lnTo>
                <a:lnTo>
                  <a:pt x="14791" y="836"/>
                </a:lnTo>
                <a:lnTo>
                  <a:pt x="14793" y="845"/>
                </a:lnTo>
                <a:lnTo>
                  <a:pt x="14796" y="853"/>
                </a:lnTo>
                <a:lnTo>
                  <a:pt x="14800" y="861"/>
                </a:lnTo>
                <a:lnTo>
                  <a:pt x="14805" y="867"/>
                </a:lnTo>
                <a:lnTo>
                  <a:pt x="14812" y="873"/>
                </a:lnTo>
                <a:lnTo>
                  <a:pt x="14818" y="879"/>
                </a:lnTo>
                <a:lnTo>
                  <a:pt x="14825" y="884"/>
                </a:lnTo>
                <a:lnTo>
                  <a:pt x="14834" y="888"/>
                </a:lnTo>
                <a:lnTo>
                  <a:pt x="14842" y="892"/>
                </a:lnTo>
                <a:lnTo>
                  <a:pt x="14852" y="895"/>
                </a:lnTo>
                <a:lnTo>
                  <a:pt x="14862" y="897"/>
                </a:lnTo>
                <a:lnTo>
                  <a:pt x="14873" y="899"/>
                </a:lnTo>
                <a:lnTo>
                  <a:pt x="14884" y="900"/>
                </a:lnTo>
                <a:lnTo>
                  <a:pt x="14896" y="900"/>
                </a:lnTo>
                <a:lnTo>
                  <a:pt x="14915" y="900"/>
                </a:lnTo>
                <a:lnTo>
                  <a:pt x="14934" y="897"/>
                </a:lnTo>
                <a:lnTo>
                  <a:pt x="14952" y="894"/>
                </a:lnTo>
                <a:lnTo>
                  <a:pt x="14970" y="888"/>
                </a:lnTo>
                <a:lnTo>
                  <a:pt x="14988" y="881"/>
                </a:lnTo>
                <a:lnTo>
                  <a:pt x="15007" y="873"/>
                </a:lnTo>
                <a:lnTo>
                  <a:pt x="15024" y="864"/>
                </a:lnTo>
                <a:lnTo>
                  <a:pt x="15041" y="853"/>
                </a:lnTo>
                <a:close/>
                <a:moveTo>
                  <a:pt x="15047" y="930"/>
                </a:moveTo>
                <a:lnTo>
                  <a:pt x="15020" y="947"/>
                </a:lnTo>
                <a:lnTo>
                  <a:pt x="14994" y="960"/>
                </a:lnTo>
                <a:lnTo>
                  <a:pt x="14969" y="971"/>
                </a:lnTo>
                <a:lnTo>
                  <a:pt x="14944" y="979"/>
                </a:lnTo>
                <a:lnTo>
                  <a:pt x="14932" y="983"/>
                </a:lnTo>
                <a:lnTo>
                  <a:pt x="14920" y="986"/>
                </a:lnTo>
                <a:lnTo>
                  <a:pt x="14907" y="989"/>
                </a:lnTo>
                <a:lnTo>
                  <a:pt x="14895" y="991"/>
                </a:lnTo>
                <a:lnTo>
                  <a:pt x="14869" y="993"/>
                </a:lnTo>
                <a:lnTo>
                  <a:pt x="14841" y="994"/>
                </a:lnTo>
                <a:lnTo>
                  <a:pt x="14818" y="994"/>
                </a:lnTo>
                <a:lnTo>
                  <a:pt x="14796" y="992"/>
                </a:lnTo>
                <a:lnTo>
                  <a:pt x="14775" y="989"/>
                </a:lnTo>
                <a:lnTo>
                  <a:pt x="14756" y="984"/>
                </a:lnTo>
                <a:lnTo>
                  <a:pt x="14738" y="978"/>
                </a:lnTo>
                <a:lnTo>
                  <a:pt x="14722" y="971"/>
                </a:lnTo>
                <a:lnTo>
                  <a:pt x="14706" y="963"/>
                </a:lnTo>
                <a:lnTo>
                  <a:pt x="14692" y="953"/>
                </a:lnTo>
                <a:lnTo>
                  <a:pt x="14680" y="943"/>
                </a:lnTo>
                <a:lnTo>
                  <a:pt x="14669" y="930"/>
                </a:lnTo>
                <a:lnTo>
                  <a:pt x="14660" y="917"/>
                </a:lnTo>
                <a:lnTo>
                  <a:pt x="14652" y="904"/>
                </a:lnTo>
                <a:lnTo>
                  <a:pt x="14646" y="889"/>
                </a:lnTo>
                <a:lnTo>
                  <a:pt x="14642" y="874"/>
                </a:lnTo>
                <a:lnTo>
                  <a:pt x="14640" y="857"/>
                </a:lnTo>
                <a:lnTo>
                  <a:pt x="14639" y="839"/>
                </a:lnTo>
                <a:lnTo>
                  <a:pt x="14640" y="822"/>
                </a:lnTo>
                <a:lnTo>
                  <a:pt x="14642" y="806"/>
                </a:lnTo>
                <a:lnTo>
                  <a:pt x="14647" y="791"/>
                </a:lnTo>
                <a:lnTo>
                  <a:pt x="14653" y="776"/>
                </a:lnTo>
                <a:lnTo>
                  <a:pt x="14661" y="760"/>
                </a:lnTo>
                <a:lnTo>
                  <a:pt x="14671" y="746"/>
                </a:lnTo>
                <a:lnTo>
                  <a:pt x="14683" y="733"/>
                </a:lnTo>
                <a:lnTo>
                  <a:pt x="14697" y="720"/>
                </a:lnTo>
                <a:lnTo>
                  <a:pt x="14712" y="707"/>
                </a:lnTo>
                <a:lnTo>
                  <a:pt x="14729" y="695"/>
                </a:lnTo>
                <a:lnTo>
                  <a:pt x="14749" y="684"/>
                </a:lnTo>
                <a:lnTo>
                  <a:pt x="14770" y="672"/>
                </a:lnTo>
                <a:lnTo>
                  <a:pt x="14792" y="661"/>
                </a:lnTo>
                <a:lnTo>
                  <a:pt x="14818" y="651"/>
                </a:lnTo>
                <a:lnTo>
                  <a:pt x="14844" y="642"/>
                </a:lnTo>
                <a:lnTo>
                  <a:pt x="14873" y="633"/>
                </a:lnTo>
                <a:lnTo>
                  <a:pt x="15041" y="581"/>
                </a:lnTo>
                <a:lnTo>
                  <a:pt x="15042" y="576"/>
                </a:lnTo>
                <a:lnTo>
                  <a:pt x="15043" y="570"/>
                </a:lnTo>
                <a:lnTo>
                  <a:pt x="15043" y="564"/>
                </a:lnTo>
                <a:lnTo>
                  <a:pt x="15043" y="555"/>
                </a:lnTo>
                <a:lnTo>
                  <a:pt x="15042" y="541"/>
                </a:lnTo>
                <a:lnTo>
                  <a:pt x="15041" y="528"/>
                </a:lnTo>
                <a:lnTo>
                  <a:pt x="15039" y="516"/>
                </a:lnTo>
                <a:lnTo>
                  <a:pt x="15035" y="505"/>
                </a:lnTo>
                <a:lnTo>
                  <a:pt x="15031" y="495"/>
                </a:lnTo>
                <a:lnTo>
                  <a:pt x="15025" y="486"/>
                </a:lnTo>
                <a:lnTo>
                  <a:pt x="15019" y="478"/>
                </a:lnTo>
                <a:lnTo>
                  <a:pt x="15012" y="471"/>
                </a:lnTo>
                <a:lnTo>
                  <a:pt x="15004" y="465"/>
                </a:lnTo>
                <a:lnTo>
                  <a:pt x="14993" y="460"/>
                </a:lnTo>
                <a:lnTo>
                  <a:pt x="14982" y="456"/>
                </a:lnTo>
                <a:lnTo>
                  <a:pt x="14970" y="452"/>
                </a:lnTo>
                <a:lnTo>
                  <a:pt x="14957" y="450"/>
                </a:lnTo>
                <a:lnTo>
                  <a:pt x="14942" y="448"/>
                </a:lnTo>
                <a:lnTo>
                  <a:pt x="14926" y="447"/>
                </a:lnTo>
                <a:lnTo>
                  <a:pt x="14909" y="446"/>
                </a:lnTo>
                <a:lnTo>
                  <a:pt x="14894" y="447"/>
                </a:lnTo>
                <a:lnTo>
                  <a:pt x="14879" y="448"/>
                </a:lnTo>
                <a:lnTo>
                  <a:pt x="14864" y="449"/>
                </a:lnTo>
                <a:lnTo>
                  <a:pt x="14849" y="452"/>
                </a:lnTo>
                <a:lnTo>
                  <a:pt x="14834" y="455"/>
                </a:lnTo>
                <a:lnTo>
                  <a:pt x="14818" y="459"/>
                </a:lnTo>
                <a:lnTo>
                  <a:pt x="14802" y="463"/>
                </a:lnTo>
                <a:lnTo>
                  <a:pt x="14786" y="468"/>
                </a:lnTo>
                <a:lnTo>
                  <a:pt x="14771" y="474"/>
                </a:lnTo>
                <a:lnTo>
                  <a:pt x="14755" y="481"/>
                </a:lnTo>
                <a:lnTo>
                  <a:pt x="14739" y="488"/>
                </a:lnTo>
                <a:lnTo>
                  <a:pt x="14724" y="496"/>
                </a:lnTo>
                <a:lnTo>
                  <a:pt x="14708" y="506"/>
                </a:lnTo>
                <a:lnTo>
                  <a:pt x="14692" y="515"/>
                </a:lnTo>
                <a:lnTo>
                  <a:pt x="14677" y="525"/>
                </a:lnTo>
                <a:lnTo>
                  <a:pt x="14661" y="536"/>
                </a:lnTo>
                <a:lnTo>
                  <a:pt x="14661" y="409"/>
                </a:lnTo>
                <a:lnTo>
                  <a:pt x="14675" y="399"/>
                </a:lnTo>
                <a:lnTo>
                  <a:pt x="14689" y="390"/>
                </a:lnTo>
                <a:lnTo>
                  <a:pt x="14703" y="381"/>
                </a:lnTo>
                <a:lnTo>
                  <a:pt x="14718" y="373"/>
                </a:lnTo>
                <a:lnTo>
                  <a:pt x="14734" y="366"/>
                </a:lnTo>
                <a:lnTo>
                  <a:pt x="14750" y="360"/>
                </a:lnTo>
                <a:lnTo>
                  <a:pt x="14766" y="354"/>
                </a:lnTo>
                <a:lnTo>
                  <a:pt x="14782" y="348"/>
                </a:lnTo>
                <a:lnTo>
                  <a:pt x="14799" y="344"/>
                </a:lnTo>
                <a:lnTo>
                  <a:pt x="14818" y="339"/>
                </a:lnTo>
                <a:lnTo>
                  <a:pt x="14835" y="336"/>
                </a:lnTo>
                <a:lnTo>
                  <a:pt x="14853" y="333"/>
                </a:lnTo>
                <a:lnTo>
                  <a:pt x="14871" y="331"/>
                </a:lnTo>
                <a:lnTo>
                  <a:pt x="14889" y="329"/>
                </a:lnTo>
                <a:lnTo>
                  <a:pt x="14908" y="329"/>
                </a:lnTo>
                <a:lnTo>
                  <a:pt x="14927" y="328"/>
                </a:lnTo>
                <a:lnTo>
                  <a:pt x="14959" y="329"/>
                </a:lnTo>
                <a:lnTo>
                  <a:pt x="14990" y="332"/>
                </a:lnTo>
                <a:lnTo>
                  <a:pt x="15005" y="333"/>
                </a:lnTo>
                <a:lnTo>
                  <a:pt x="15019" y="336"/>
                </a:lnTo>
                <a:lnTo>
                  <a:pt x="15032" y="339"/>
                </a:lnTo>
                <a:lnTo>
                  <a:pt x="15045" y="342"/>
                </a:lnTo>
                <a:lnTo>
                  <a:pt x="15057" y="345"/>
                </a:lnTo>
                <a:lnTo>
                  <a:pt x="15069" y="349"/>
                </a:lnTo>
                <a:lnTo>
                  <a:pt x="15079" y="354"/>
                </a:lnTo>
                <a:lnTo>
                  <a:pt x="15090" y="358"/>
                </a:lnTo>
                <a:lnTo>
                  <a:pt x="15100" y="364"/>
                </a:lnTo>
                <a:lnTo>
                  <a:pt x="15109" y="369"/>
                </a:lnTo>
                <a:lnTo>
                  <a:pt x="15118" y="376"/>
                </a:lnTo>
                <a:lnTo>
                  <a:pt x="15126" y="382"/>
                </a:lnTo>
                <a:lnTo>
                  <a:pt x="15133" y="389"/>
                </a:lnTo>
                <a:lnTo>
                  <a:pt x="15140" y="397"/>
                </a:lnTo>
                <a:lnTo>
                  <a:pt x="15147" y="405"/>
                </a:lnTo>
                <a:lnTo>
                  <a:pt x="15153" y="414"/>
                </a:lnTo>
                <a:lnTo>
                  <a:pt x="15158" y="423"/>
                </a:lnTo>
                <a:lnTo>
                  <a:pt x="15163" y="433"/>
                </a:lnTo>
                <a:lnTo>
                  <a:pt x="15168" y="443"/>
                </a:lnTo>
                <a:lnTo>
                  <a:pt x="15172" y="454"/>
                </a:lnTo>
                <a:lnTo>
                  <a:pt x="15176" y="465"/>
                </a:lnTo>
                <a:lnTo>
                  <a:pt x="15179" y="477"/>
                </a:lnTo>
                <a:lnTo>
                  <a:pt x="15181" y="489"/>
                </a:lnTo>
                <a:lnTo>
                  <a:pt x="15184" y="502"/>
                </a:lnTo>
                <a:lnTo>
                  <a:pt x="15185" y="516"/>
                </a:lnTo>
                <a:lnTo>
                  <a:pt x="15187" y="529"/>
                </a:lnTo>
                <a:lnTo>
                  <a:pt x="15187" y="544"/>
                </a:lnTo>
                <a:lnTo>
                  <a:pt x="15188" y="558"/>
                </a:lnTo>
                <a:lnTo>
                  <a:pt x="15188" y="830"/>
                </a:lnTo>
                <a:lnTo>
                  <a:pt x="15188" y="846"/>
                </a:lnTo>
                <a:lnTo>
                  <a:pt x="15189" y="860"/>
                </a:lnTo>
                <a:lnTo>
                  <a:pt x="15191" y="871"/>
                </a:lnTo>
                <a:lnTo>
                  <a:pt x="15194" y="879"/>
                </a:lnTo>
                <a:lnTo>
                  <a:pt x="15198" y="886"/>
                </a:lnTo>
                <a:lnTo>
                  <a:pt x="15204" y="890"/>
                </a:lnTo>
                <a:lnTo>
                  <a:pt x="15210" y="892"/>
                </a:lnTo>
                <a:lnTo>
                  <a:pt x="15217" y="893"/>
                </a:lnTo>
                <a:lnTo>
                  <a:pt x="15224" y="893"/>
                </a:lnTo>
                <a:lnTo>
                  <a:pt x="15230" y="892"/>
                </a:lnTo>
                <a:lnTo>
                  <a:pt x="15237" y="890"/>
                </a:lnTo>
                <a:lnTo>
                  <a:pt x="15244" y="887"/>
                </a:lnTo>
                <a:lnTo>
                  <a:pt x="15252" y="883"/>
                </a:lnTo>
                <a:lnTo>
                  <a:pt x="15263" y="877"/>
                </a:lnTo>
                <a:lnTo>
                  <a:pt x="15275" y="869"/>
                </a:lnTo>
                <a:lnTo>
                  <a:pt x="15290" y="858"/>
                </a:lnTo>
                <a:lnTo>
                  <a:pt x="15290" y="935"/>
                </a:lnTo>
                <a:lnTo>
                  <a:pt x="15271" y="950"/>
                </a:lnTo>
                <a:lnTo>
                  <a:pt x="15252" y="962"/>
                </a:lnTo>
                <a:lnTo>
                  <a:pt x="15233" y="972"/>
                </a:lnTo>
                <a:lnTo>
                  <a:pt x="15213" y="980"/>
                </a:lnTo>
                <a:lnTo>
                  <a:pt x="15192" y="986"/>
                </a:lnTo>
                <a:lnTo>
                  <a:pt x="15172" y="991"/>
                </a:lnTo>
                <a:lnTo>
                  <a:pt x="15152" y="993"/>
                </a:lnTo>
                <a:lnTo>
                  <a:pt x="15131" y="994"/>
                </a:lnTo>
                <a:lnTo>
                  <a:pt x="15121" y="994"/>
                </a:lnTo>
                <a:lnTo>
                  <a:pt x="15112" y="993"/>
                </a:lnTo>
                <a:lnTo>
                  <a:pt x="15103" y="992"/>
                </a:lnTo>
                <a:lnTo>
                  <a:pt x="15095" y="990"/>
                </a:lnTo>
                <a:lnTo>
                  <a:pt x="15088" y="988"/>
                </a:lnTo>
                <a:lnTo>
                  <a:pt x="15082" y="986"/>
                </a:lnTo>
                <a:lnTo>
                  <a:pt x="15076" y="983"/>
                </a:lnTo>
                <a:lnTo>
                  <a:pt x="15070" y="979"/>
                </a:lnTo>
                <a:lnTo>
                  <a:pt x="15065" y="975"/>
                </a:lnTo>
                <a:lnTo>
                  <a:pt x="15061" y="970"/>
                </a:lnTo>
                <a:lnTo>
                  <a:pt x="15057" y="965"/>
                </a:lnTo>
                <a:lnTo>
                  <a:pt x="15054" y="959"/>
                </a:lnTo>
                <a:lnTo>
                  <a:pt x="15051" y="953"/>
                </a:lnTo>
                <a:lnTo>
                  <a:pt x="15049" y="946"/>
                </a:lnTo>
                <a:lnTo>
                  <a:pt x="15048" y="938"/>
                </a:lnTo>
                <a:lnTo>
                  <a:pt x="15047" y="930"/>
                </a:lnTo>
                <a:close/>
                <a:moveTo>
                  <a:pt x="15159" y="63"/>
                </a:moveTo>
                <a:lnTo>
                  <a:pt x="15154" y="79"/>
                </a:lnTo>
                <a:lnTo>
                  <a:pt x="15148" y="93"/>
                </a:lnTo>
                <a:lnTo>
                  <a:pt x="15142" y="107"/>
                </a:lnTo>
                <a:lnTo>
                  <a:pt x="15135" y="120"/>
                </a:lnTo>
                <a:lnTo>
                  <a:pt x="15128" y="131"/>
                </a:lnTo>
                <a:lnTo>
                  <a:pt x="15120" y="142"/>
                </a:lnTo>
                <a:lnTo>
                  <a:pt x="15111" y="153"/>
                </a:lnTo>
                <a:lnTo>
                  <a:pt x="15101" y="162"/>
                </a:lnTo>
                <a:lnTo>
                  <a:pt x="15091" y="170"/>
                </a:lnTo>
                <a:lnTo>
                  <a:pt x="15080" y="177"/>
                </a:lnTo>
                <a:lnTo>
                  <a:pt x="15069" y="183"/>
                </a:lnTo>
                <a:lnTo>
                  <a:pt x="15058" y="188"/>
                </a:lnTo>
                <a:lnTo>
                  <a:pt x="15046" y="192"/>
                </a:lnTo>
                <a:lnTo>
                  <a:pt x="15033" y="195"/>
                </a:lnTo>
                <a:lnTo>
                  <a:pt x="15020" y="196"/>
                </a:lnTo>
                <a:lnTo>
                  <a:pt x="15007" y="197"/>
                </a:lnTo>
                <a:lnTo>
                  <a:pt x="14993" y="196"/>
                </a:lnTo>
                <a:lnTo>
                  <a:pt x="14981" y="195"/>
                </a:lnTo>
                <a:lnTo>
                  <a:pt x="14969" y="193"/>
                </a:lnTo>
                <a:lnTo>
                  <a:pt x="14955" y="189"/>
                </a:lnTo>
                <a:lnTo>
                  <a:pt x="14895" y="171"/>
                </a:lnTo>
                <a:lnTo>
                  <a:pt x="14885" y="169"/>
                </a:lnTo>
                <a:lnTo>
                  <a:pt x="14876" y="167"/>
                </a:lnTo>
                <a:lnTo>
                  <a:pt x="14865" y="165"/>
                </a:lnTo>
                <a:lnTo>
                  <a:pt x="14854" y="165"/>
                </a:lnTo>
                <a:lnTo>
                  <a:pt x="14841" y="166"/>
                </a:lnTo>
                <a:lnTo>
                  <a:pt x="14830" y="168"/>
                </a:lnTo>
                <a:lnTo>
                  <a:pt x="14819" y="171"/>
                </a:lnTo>
                <a:lnTo>
                  <a:pt x="14810" y="176"/>
                </a:lnTo>
                <a:lnTo>
                  <a:pt x="14800" y="182"/>
                </a:lnTo>
                <a:lnTo>
                  <a:pt x="14792" y="189"/>
                </a:lnTo>
                <a:lnTo>
                  <a:pt x="14785" y="199"/>
                </a:lnTo>
                <a:lnTo>
                  <a:pt x="14779" y="209"/>
                </a:lnTo>
                <a:lnTo>
                  <a:pt x="14712" y="209"/>
                </a:lnTo>
                <a:lnTo>
                  <a:pt x="14716" y="194"/>
                </a:lnTo>
                <a:lnTo>
                  <a:pt x="14722" y="180"/>
                </a:lnTo>
                <a:lnTo>
                  <a:pt x="14727" y="166"/>
                </a:lnTo>
                <a:lnTo>
                  <a:pt x="14734" y="154"/>
                </a:lnTo>
                <a:lnTo>
                  <a:pt x="14741" y="142"/>
                </a:lnTo>
                <a:lnTo>
                  <a:pt x="14749" y="131"/>
                </a:lnTo>
                <a:lnTo>
                  <a:pt x="14758" y="121"/>
                </a:lnTo>
                <a:lnTo>
                  <a:pt x="14767" y="113"/>
                </a:lnTo>
                <a:lnTo>
                  <a:pt x="14777" y="105"/>
                </a:lnTo>
                <a:lnTo>
                  <a:pt x="14788" y="98"/>
                </a:lnTo>
                <a:lnTo>
                  <a:pt x="14799" y="93"/>
                </a:lnTo>
                <a:lnTo>
                  <a:pt x="14812" y="88"/>
                </a:lnTo>
                <a:lnTo>
                  <a:pt x="14824" y="85"/>
                </a:lnTo>
                <a:lnTo>
                  <a:pt x="14837" y="82"/>
                </a:lnTo>
                <a:lnTo>
                  <a:pt x="14851" y="81"/>
                </a:lnTo>
                <a:lnTo>
                  <a:pt x="14865" y="80"/>
                </a:lnTo>
                <a:lnTo>
                  <a:pt x="14878" y="81"/>
                </a:lnTo>
                <a:lnTo>
                  <a:pt x="14889" y="81"/>
                </a:lnTo>
                <a:lnTo>
                  <a:pt x="14900" y="83"/>
                </a:lnTo>
                <a:lnTo>
                  <a:pt x="14910" y="86"/>
                </a:lnTo>
                <a:lnTo>
                  <a:pt x="14970" y="105"/>
                </a:lnTo>
                <a:lnTo>
                  <a:pt x="14982" y="108"/>
                </a:lnTo>
                <a:lnTo>
                  <a:pt x="14995" y="110"/>
                </a:lnTo>
                <a:lnTo>
                  <a:pt x="15007" y="112"/>
                </a:lnTo>
                <a:lnTo>
                  <a:pt x="15018" y="112"/>
                </a:lnTo>
                <a:lnTo>
                  <a:pt x="15031" y="112"/>
                </a:lnTo>
                <a:lnTo>
                  <a:pt x="15043" y="109"/>
                </a:lnTo>
                <a:lnTo>
                  <a:pt x="15053" y="105"/>
                </a:lnTo>
                <a:lnTo>
                  <a:pt x="15063" y="100"/>
                </a:lnTo>
                <a:lnTo>
                  <a:pt x="15072" y="93"/>
                </a:lnTo>
                <a:lnTo>
                  <a:pt x="15079" y="84"/>
                </a:lnTo>
                <a:lnTo>
                  <a:pt x="15086" y="74"/>
                </a:lnTo>
                <a:lnTo>
                  <a:pt x="15091" y="63"/>
                </a:lnTo>
                <a:lnTo>
                  <a:pt x="15159" y="63"/>
                </a:lnTo>
                <a:close/>
                <a:moveTo>
                  <a:pt x="15476" y="661"/>
                </a:moveTo>
                <a:lnTo>
                  <a:pt x="15477" y="672"/>
                </a:lnTo>
                <a:lnTo>
                  <a:pt x="15477" y="684"/>
                </a:lnTo>
                <a:lnTo>
                  <a:pt x="15479" y="694"/>
                </a:lnTo>
                <a:lnTo>
                  <a:pt x="15480" y="705"/>
                </a:lnTo>
                <a:lnTo>
                  <a:pt x="15483" y="715"/>
                </a:lnTo>
                <a:lnTo>
                  <a:pt x="15486" y="725"/>
                </a:lnTo>
                <a:lnTo>
                  <a:pt x="15489" y="734"/>
                </a:lnTo>
                <a:lnTo>
                  <a:pt x="15493" y="744"/>
                </a:lnTo>
                <a:lnTo>
                  <a:pt x="15497" y="753"/>
                </a:lnTo>
                <a:lnTo>
                  <a:pt x="15502" y="764"/>
                </a:lnTo>
                <a:lnTo>
                  <a:pt x="15508" y="772"/>
                </a:lnTo>
                <a:lnTo>
                  <a:pt x="15514" y="781"/>
                </a:lnTo>
                <a:lnTo>
                  <a:pt x="15520" y="790"/>
                </a:lnTo>
                <a:lnTo>
                  <a:pt x="15527" y="798"/>
                </a:lnTo>
                <a:lnTo>
                  <a:pt x="15535" y="806"/>
                </a:lnTo>
                <a:lnTo>
                  <a:pt x="15543" y="814"/>
                </a:lnTo>
                <a:lnTo>
                  <a:pt x="15551" y="822"/>
                </a:lnTo>
                <a:lnTo>
                  <a:pt x="15560" y="829"/>
                </a:lnTo>
                <a:lnTo>
                  <a:pt x="15569" y="835"/>
                </a:lnTo>
                <a:lnTo>
                  <a:pt x="15578" y="841"/>
                </a:lnTo>
                <a:lnTo>
                  <a:pt x="15587" y="847"/>
                </a:lnTo>
                <a:lnTo>
                  <a:pt x="15598" y="853"/>
                </a:lnTo>
                <a:lnTo>
                  <a:pt x="15607" y="858"/>
                </a:lnTo>
                <a:lnTo>
                  <a:pt x="15617" y="862"/>
                </a:lnTo>
                <a:lnTo>
                  <a:pt x="15627" y="866"/>
                </a:lnTo>
                <a:lnTo>
                  <a:pt x="15638" y="869"/>
                </a:lnTo>
                <a:lnTo>
                  <a:pt x="15648" y="872"/>
                </a:lnTo>
                <a:lnTo>
                  <a:pt x="15659" y="874"/>
                </a:lnTo>
                <a:lnTo>
                  <a:pt x="15670" y="875"/>
                </a:lnTo>
                <a:lnTo>
                  <a:pt x="15681" y="877"/>
                </a:lnTo>
                <a:lnTo>
                  <a:pt x="15693" y="877"/>
                </a:lnTo>
                <a:lnTo>
                  <a:pt x="15705" y="878"/>
                </a:lnTo>
                <a:lnTo>
                  <a:pt x="15727" y="877"/>
                </a:lnTo>
                <a:lnTo>
                  <a:pt x="15750" y="874"/>
                </a:lnTo>
                <a:lnTo>
                  <a:pt x="15760" y="872"/>
                </a:lnTo>
                <a:lnTo>
                  <a:pt x="15771" y="869"/>
                </a:lnTo>
                <a:lnTo>
                  <a:pt x="15781" y="866"/>
                </a:lnTo>
                <a:lnTo>
                  <a:pt x="15792" y="862"/>
                </a:lnTo>
                <a:lnTo>
                  <a:pt x="15802" y="858"/>
                </a:lnTo>
                <a:lnTo>
                  <a:pt x="15812" y="853"/>
                </a:lnTo>
                <a:lnTo>
                  <a:pt x="15821" y="847"/>
                </a:lnTo>
                <a:lnTo>
                  <a:pt x="15831" y="841"/>
                </a:lnTo>
                <a:lnTo>
                  <a:pt x="15840" y="835"/>
                </a:lnTo>
                <a:lnTo>
                  <a:pt x="15849" y="828"/>
                </a:lnTo>
                <a:lnTo>
                  <a:pt x="15857" y="821"/>
                </a:lnTo>
                <a:lnTo>
                  <a:pt x="15866" y="814"/>
                </a:lnTo>
                <a:lnTo>
                  <a:pt x="15874" y="806"/>
                </a:lnTo>
                <a:lnTo>
                  <a:pt x="15881" y="798"/>
                </a:lnTo>
                <a:lnTo>
                  <a:pt x="15889" y="789"/>
                </a:lnTo>
                <a:lnTo>
                  <a:pt x="15895" y="781"/>
                </a:lnTo>
                <a:lnTo>
                  <a:pt x="15901" y="772"/>
                </a:lnTo>
                <a:lnTo>
                  <a:pt x="15907" y="762"/>
                </a:lnTo>
                <a:lnTo>
                  <a:pt x="15912" y="753"/>
                </a:lnTo>
                <a:lnTo>
                  <a:pt x="15916" y="744"/>
                </a:lnTo>
                <a:lnTo>
                  <a:pt x="15920" y="734"/>
                </a:lnTo>
                <a:lnTo>
                  <a:pt x="15923" y="724"/>
                </a:lnTo>
                <a:lnTo>
                  <a:pt x="15926" y="714"/>
                </a:lnTo>
                <a:lnTo>
                  <a:pt x="15928" y="704"/>
                </a:lnTo>
                <a:lnTo>
                  <a:pt x="15930" y="694"/>
                </a:lnTo>
                <a:lnTo>
                  <a:pt x="15932" y="683"/>
                </a:lnTo>
                <a:lnTo>
                  <a:pt x="15932" y="672"/>
                </a:lnTo>
                <a:lnTo>
                  <a:pt x="15933" y="661"/>
                </a:lnTo>
                <a:lnTo>
                  <a:pt x="15932" y="650"/>
                </a:lnTo>
                <a:lnTo>
                  <a:pt x="15932" y="639"/>
                </a:lnTo>
                <a:lnTo>
                  <a:pt x="15930" y="629"/>
                </a:lnTo>
                <a:lnTo>
                  <a:pt x="15928" y="619"/>
                </a:lnTo>
                <a:lnTo>
                  <a:pt x="15926" y="609"/>
                </a:lnTo>
                <a:lnTo>
                  <a:pt x="15923" y="599"/>
                </a:lnTo>
                <a:lnTo>
                  <a:pt x="15920" y="589"/>
                </a:lnTo>
                <a:lnTo>
                  <a:pt x="15916" y="578"/>
                </a:lnTo>
                <a:lnTo>
                  <a:pt x="15912" y="569"/>
                </a:lnTo>
                <a:lnTo>
                  <a:pt x="15907" y="560"/>
                </a:lnTo>
                <a:lnTo>
                  <a:pt x="15901" y="551"/>
                </a:lnTo>
                <a:lnTo>
                  <a:pt x="15895" y="542"/>
                </a:lnTo>
                <a:lnTo>
                  <a:pt x="15889" y="534"/>
                </a:lnTo>
                <a:lnTo>
                  <a:pt x="15882" y="526"/>
                </a:lnTo>
                <a:lnTo>
                  <a:pt x="15874" y="518"/>
                </a:lnTo>
                <a:lnTo>
                  <a:pt x="15866" y="510"/>
                </a:lnTo>
                <a:lnTo>
                  <a:pt x="15849" y="494"/>
                </a:lnTo>
                <a:lnTo>
                  <a:pt x="15831" y="481"/>
                </a:lnTo>
                <a:lnTo>
                  <a:pt x="15812" y="471"/>
                </a:lnTo>
                <a:lnTo>
                  <a:pt x="15793" y="462"/>
                </a:lnTo>
                <a:lnTo>
                  <a:pt x="15781" y="458"/>
                </a:lnTo>
                <a:lnTo>
                  <a:pt x="15771" y="455"/>
                </a:lnTo>
                <a:lnTo>
                  <a:pt x="15761" y="452"/>
                </a:lnTo>
                <a:lnTo>
                  <a:pt x="15750" y="450"/>
                </a:lnTo>
                <a:lnTo>
                  <a:pt x="15728" y="447"/>
                </a:lnTo>
                <a:lnTo>
                  <a:pt x="15705" y="446"/>
                </a:lnTo>
                <a:lnTo>
                  <a:pt x="15693" y="446"/>
                </a:lnTo>
                <a:lnTo>
                  <a:pt x="15681" y="447"/>
                </a:lnTo>
                <a:lnTo>
                  <a:pt x="15670" y="448"/>
                </a:lnTo>
                <a:lnTo>
                  <a:pt x="15659" y="450"/>
                </a:lnTo>
                <a:lnTo>
                  <a:pt x="15648" y="452"/>
                </a:lnTo>
                <a:lnTo>
                  <a:pt x="15638" y="455"/>
                </a:lnTo>
                <a:lnTo>
                  <a:pt x="15627" y="458"/>
                </a:lnTo>
                <a:lnTo>
                  <a:pt x="15617" y="462"/>
                </a:lnTo>
                <a:lnTo>
                  <a:pt x="15607" y="466"/>
                </a:lnTo>
                <a:lnTo>
                  <a:pt x="15598" y="471"/>
                </a:lnTo>
                <a:lnTo>
                  <a:pt x="15587" y="476"/>
                </a:lnTo>
                <a:lnTo>
                  <a:pt x="15578" y="481"/>
                </a:lnTo>
                <a:lnTo>
                  <a:pt x="15569" y="487"/>
                </a:lnTo>
                <a:lnTo>
                  <a:pt x="15560" y="494"/>
                </a:lnTo>
                <a:lnTo>
                  <a:pt x="15551" y="502"/>
                </a:lnTo>
                <a:lnTo>
                  <a:pt x="15543" y="510"/>
                </a:lnTo>
                <a:lnTo>
                  <a:pt x="15535" y="518"/>
                </a:lnTo>
                <a:lnTo>
                  <a:pt x="15527" y="526"/>
                </a:lnTo>
                <a:lnTo>
                  <a:pt x="15520" y="534"/>
                </a:lnTo>
                <a:lnTo>
                  <a:pt x="15514" y="542"/>
                </a:lnTo>
                <a:lnTo>
                  <a:pt x="15508" y="551"/>
                </a:lnTo>
                <a:lnTo>
                  <a:pt x="15502" y="560"/>
                </a:lnTo>
                <a:lnTo>
                  <a:pt x="15497" y="569"/>
                </a:lnTo>
                <a:lnTo>
                  <a:pt x="15493" y="578"/>
                </a:lnTo>
                <a:lnTo>
                  <a:pt x="15489" y="589"/>
                </a:lnTo>
                <a:lnTo>
                  <a:pt x="15486" y="599"/>
                </a:lnTo>
                <a:lnTo>
                  <a:pt x="15483" y="609"/>
                </a:lnTo>
                <a:lnTo>
                  <a:pt x="15480" y="619"/>
                </a:lnTo>
                <a:lnTo>
                  <a:pt x="15479" y="629"/>
                </a:lnTo>
                <a:lnTo>
                  <a:pt x="15477" y="639"/>
                </a:lnTo>
                <a:lnTo>
                  <a:pt x="15477" y="650"/>
                </a:lnTo>
                <a:lnTo>
                  <a:pt x="15476" y="661"/>
                </a:lnTo>
                <a:close/>
                <a:moveTo>
                  <a:pt x="15328" y="661"/>
                </a:moveTo>
                <a:lnTo>
                  <a:pt x="15328" y="644"/>
                </a:lnTo>
                <a:lnTo>
                  <a:pt x="15329" y="627"/>
                </a:lnTo>
                <a:lnTo>
                  <a:pt x="15331" y="610"/>
                </a:lnTo>
                <a:lnTo>
                  <a:pt x="15335" y="594"/>
                </a:lnTo>
                <a:lnTo>
                  <a:pt x="15338" y="577"/>
                </a:lnTo>
                <a:lnTo>
                  <a:pt x="15343" y="562"/>
                </a:lnTo>
                <a:lnTo>
                  <a:pt x="15349" y="547"/>
                </a:lnTo>
                <a:lnTo>
                  <a:pt x="15355" y="532"/>
                </a:lnTo>
                <a:lnTo>
                  <a:pt x="15362" y="517"/>
                </a:lnTo>
                <a:lnTo>
                  <a:pt x="15370" y="503"/>
                </a:lnTo>
                <a:lnTo>
                  <a:pt x="15379" y="488"/>
                </a:lnTo>
                <a:lnTo>
                  <a:pt x="15389" y="475"/>
                </a:lnTo>
                <a:lnTo>
                  <a:pt x="15401" y="462"/>
                </a:lnTo>
                <a:lnTo>
                  <a:pt x="15413" y="449"/>
                </a:lnTo>
                <a:lnTo>
                  <a:pt x="15425" y="436"/>
                </a:lnTo>
                <a:lnTo>
                  <a:pt x="15438" y="424"/>
                </a:lnTo>
                <a:lnTo>
                  <a:pt x="15452" y="411"/>
                </a:lnTo>
                <a:lnTo>
                  <a:pt x="15466" y="400"/>
                </a:lnTo>
                <a:lnTo>
                  <a:pt x="15481" y="390"/>
                </a:lnTo>
                <a:lnTo>
                  <a:pt x="15496" y="381"/>
                </a:lnTo>
                <a:lnTo>
                  <a:pt x="15511" y="372"/>
                </a:lnTo>
                <a:lnTo>
                  <a:pt x="15527" y="364"/>
                </a:lnTo>
                <a:lnTo>
                  <a:pt x="15543" y="357"/>
                </a:lnTo>
                <a:lnTo>
                  <a:pt x="15559" y="351"/>
                </a:lnTo>
                <a:lnTo>
                  <a:pt x="15576" y="345"/>
                </a:lnTo>
                <a:lnTo>
                  <a:pt x="15594" y="340"/>
                </a:lnTo>
                <a:lnTo>
                  <a:pt x="15612" y="336"/>
                </a:lnTo>
                <a:lnTo>
                  <a:pt x="15630" y="333"/>
                </a:lnTo>
                <a:lnTo>
                  <a:pt x="15648" y="330"/>
                </a:lnTo>
                <a:lnTo>
                  <a:pt x="15667" y="328"/>
                </a:lnTo>
                <a:lnTo>
                  <a:pt x="15686" y="327"/>
                </a:lnTo>
                <a:lnTo>
                  <a:pt x="15706" y="327"/>
                </a:lnTo>
                <a:lnTo>
                  <a:pt x="15724" y="327"/>
                </a:lnTo>
                <a:lnTo>
                  <a:pt x="15743" y="328"/>
                </a:lnTo>
                <a:lnTo>
                  <a:pt x="15761" y="330"/>
                </a:lnTo>
                <a:lnTo>
                  <a:pt x="15779" y="333"/>
                </a:lnTo>
                <a:lnTo>
                  <a:pt x="15797" y="337"/>
                </a:lnTo>
                <a:lnTo>
                  <a:pt x="15815" y="341"/>
                </a:lnTo>
                <a:lnTo>
                  <a:pt x="15832" y="346"/>
                </a:lnTo>
                <a:lnTo>
                  <a:pt x="15849" y="352"/>
                </a:lnTo>
                <a:lnTo>
                  <a:pt x="15865" y="358"/>
                </a:lnTo>
                <a:lnTo>
                  <a:pt x="15882" y="366"/>
                </a:lnTo>
                <a:lnTo>
                  <a:pt x="15898" y="374"/>
                </a:lnTo>
                <a:lnTo>
                  <a:pt x="15913" y="382"/>
                </a:lnTo>
                <a:lnTo>
                  <a:pt x="15928" y="392"/>
                </a:lnTo>
                <a:lnTo>
                  <a:pt x="15942" y="402"/>
                </a:lnTo>
                <a:lnTo>
                  <a:pt x="15956" y="413"/>
                </a:lnTo>
                <a:lnTo>
                  <a:pt x="15970" y="425"/>
                </a:lnTo>
                <a:lnTo>
                  <a:pt x="15983" y="437"/>
                </a:lnTo>
                <a:lnTo>
                  <a:pt x="15997" y="450"/>
                </a:lnTo>
                <a:lnTo>
                  <a:pt x="16008" y="463"/>
                </a:lnTo>
                <a:lnTo>
                  <a:pt x="16019" y="477"/>
                </a:lnTo>
                <a:lnTo>
                  <a:pt x="16029" y="490"/>
                </a:lnTo>
                <a:lnTo>
                  <a:pt x="16038" y="505"/>
                </a:lnTo>
                <a:lnTo>
                  <a:pt x="16046" y="520"/>
                </a:lnTo>
                <a:lnTo>
                  <a:pt x="16054" y="534"/>
                </a:lnTo>
                <a:lnTo>
                  <a:pt x="16060" y="549"/>
                </a:lnTo>
                <a:lnTo>
                  <a:pt x="16066" y="564"/>
                </a:lnTo>
                <a:lnTo>
                  <a:pt x="16071" y="580"/>
                </a:lnTo>
                <a:lnTo>
                  <a:pt x="16075" y="596"/>
                </a:lnTo>
                <a:lnTo>
                  <a:pt x="16078" y="612"/>
                </a:lnTo>
                <a:lnTo>
                  <a:pt x="16080" y="628"/>
                </a:lnTo>
                <a:lnTo>
                  <a:pt x="16082" y="644"/>
                </a:lnTo>
                <a:lnTo>
                  <a:pt x="16082" y="661"/>
                </a:lnTo>
                <a:lnTo>
                  <a:pt x="16082" y="678"/>
                </a:lnTo>
                <a:lnTo>
                  <a:pt x="16080" y="694"/>
                </a:lnTo>
                <a:lnTo>
                  <a:pt x="16078" y="710"/>
                </a:lnTo>
                <a:lnTo>
                  <a:pt x="16075" y="726"/>
                </a:lnTo>
                <a:lnTo>
                  <a:pt x="16071" y="742"/>
                </a:lnTo>
                <a:lnTo>
                  <a:pt x="16066" y="758"/>
                </a:lnTo>
                <a:lnTo>
                  <a:pt x="16060" y="775"/>
                </a:lnTo>
                <a:lnTo>
                  <a:pt x="16053" y="790"/>
                </a:lnTo>
                <a:lnTo>
                  <a:pt x="16045" y="805"/>
                </a:lnTo>
                <a:lnTo>
                  <a:pt x="16037" y="820"/>
                </a:lnTo>
                <a:lnTo>
                  <a:pt x="16028" y="834"/>
                </a:lnTo>
                <a:lnTo>
                  <a:pt x="16018" y="848"/>
                </a:lnTo>
                <a:lnTo>
                  <a:pt x="16007" y="862"/>
                </a:lnTo>
                <a:lnTo>
                  <a:pt x="15996" y="875"/>
                </a:lnTo>
                <a:lnTo>
                  <a:pt x="15983" y="887"/>
                </a:lnTo>
                <a:lnTo>
                  <a:pt x="15970" y="899"/>
                </a:lnTo>
                <a:lnTo>
                  <a:pt x="15956" y="911"/>
                </a:lnTo>
                <a:lnTo>
                  <a:pt x="15942" y="921"/>
                </a:lnTo>
                <a:lnTo>
                  <a:pt x="15928" y="931"/>
                </a:lnTo>
                <a:lnTo>
                  <a:pt x="15913" y="942"/>
                </a:lnTo>
                <a:lnTo>
                  <a:pt x="15898" y="950"/>
                </a:lnTo>
                <a:lnTo>
                  <a:pt x="15882" y="958"/>
                </a:lnTo>
                <a:lnTo>
                  <a:pt x="15866" y="965"/>
                </a:lnTo>
                <a:lnTo>
                  <a:pt x="15850" y="972"/>
                </a:lnTo>
                <a:lnTo>
                  <a:pt x="15833" y="977"/>
                </a:lnTo>
                <a:lnTo>
                  <a:pt x="15816" y="982"/>
                </a:lnTo>
                <a:lnTo>
                  <a:pt x="15798" y="986"/>
                </a:lnTo>
                <a:lnTo>
                  <a:pt x="15780" y="990"/>
                </a:lnTo>
                <a:lnTo>
                  <a:pt x="15761" y="992"/>
                </a:lnTo>
                <a:lnTo>
                  <a:pt x="15743" y="994"/>
                </a:lnTo>
                <a:lnTo>
                  <a:pt x="15725" y="995"/>
                </a:lnTo>
                <a:lnTo>
                  <a:pt x="15706" y="996"/>
                </a:lnTo>
                <a:lnTo>
                  <a:pt x="15686" y="995"/>
                </a:lnTo>
                <a:lnTo>
                  <a:pt x="15667" y="994"/>
                </a:lnTo>
                <a:lnTo>
                  <a:pt x="15648" y="992"/>
                </a:lnTo>
                <a:lnTo>
                  <a:pt x="15630" y="990"/>
                </a:lnTo>
                <a:lnTo>
                  <a:pt x="15612" y="986"/>
                </a:lnTo>
                <a:lnTo>
                  <a:pt x="15594" y="982"/>
                </a:lnTo>
                <a:lnTo>
                  <a:pt x="15576" y="977"/>
                </a:lnTo>
                <a:lnTo>
                  <a:pt x="15559" y="972"/>
                </a:lnTo>
                <a:lnTo>
                  <a:pt x="15543" y="965"/>
                </a:lnTo>
                <a:lnTo>
                  <a:pt x="15527" y="958"/>
                </a:lnTo>
                <a:lnTo>
                  <a:pt x="15511" y="950"/>
                </a:lnTo>
                <a:lnTo>
                  <a:pt x="15496" y="942"/>
                </a:lnTo>
                <a:lnTo>
                  <a:pt x="15481" y="931"/>
                </a:lnTo>
                <a:lnTo>
                  <a:pt x="15466" y="921"/>
                </a:lnTo>
                <a:lnTo>
                  <a:pt x="15452" y="910"/>
                </a:lnTo>
                <a:lnTo>
                  <a:pt x="15438" y="898"/>
                </a:lnTo>
                <a:lnTo>
                  <a:pt x="15425" y="886"/>
                </a:lnTo>
                <a:lnTo>
                  <a:pt x="15413" y="874"/>
                </a:lnTo>
                <a:lnTo>
                  <a:pt x="15401" y="861"/>
                </a:lnTo>
                <a:lnTo>
                  <a:pt x="15389" y="847"/>
                </a:lnTo>
                <a:lnTo>
                  <a:pt x="15379" y="833"/>
                </a:lnTo>
                <a:lnTo>
                  <a:pt x="15370" y="819"/>
                </a:lnTo>
                <a:lnTo>
                  <a:pt x="15362" y="805"/>
                </a:lnTo>
                <a:lnTo>
                  <a:pt x="15355" y="790"/>
                </a:lnTo>
                <a:lnTo>
                  <a:pt x="15349" y="776"/>
                </a:lnTo>
                <a:lnTo>
                  <a:pt x="15343" y="760"/>
                </a:lnTo>
                <a:lnTo>
                  <a:pt x="15338" y="744"/>
                </a:lnTo>
                <a:lnTo>
                  <a:pt x="15335" y="728"/>
                </a:lnTo>
                <a:lnTo>
                  <a:pt x="15331" y="712"/>
                </a:lnTo>
                <a:lnTo>
                  <a:pt x="15329" y="696"/>
                </a:lnTo>
                <a:lnTo>
                  <a:pt x="15328" y="679"/>
                </a:lnTo>
                <a:lnTo>
                  <a:pt x="15328" y="661"/>
                </a:lnTo>
                <a:close/>
              </a:path>
            </a:pathLst>
          </a:custGeom>
          <a:solidFill>
            <a:srgbClr val="0000FF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2" name="Text Box 2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3" name="Text Box 2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4" name="Text Box 2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5" name="Text Box 2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6" name="Text Box 2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7" name="Text Box 2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8" name="Text Box 2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9" name="Text Box 2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10" name="Text Box 2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11" name="Text Box 3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12" name="Text Box 3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13" name="Text Box 3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14" name="Text Box 3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15" name="Text Box 3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16" name="Text Box 3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17" name="Text Box 3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18" name="Text Box 3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19" name="Text Box 3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20" name="Text Box 3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21" name="Text Box 4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22" name="Text Box 4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23" name="Text Box 4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24" name="Text Box 4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25" name="Text Box 4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26" name="Text Box 4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27" name="Text Box 4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28" name="Text Box 4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29" name="Text Box 4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30" name="Text Box 4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31" name="Text Box 5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32" name="Text Box 5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33" name="Text Box 5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34" name="Text Box 5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35" name="Text Box 5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36" name="Text Box 5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37" name="Text Box 56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38" name="Text Box 57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39" name="Text Box 5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40" name="Text Box 5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41" name="Text Box 60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42" name="Text Box 6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43" name="Text Box 62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44" name="Text Box 63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45" name="Text Box 64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46" name="Text Box 6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47" name="Text Box 66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48" name="Text Box 67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49" name="Text Box 68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50" name="Text Box 6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51" name="Text Box 7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52" name="Text Box 7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53" name="Text Box 7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54" name="Text Box 73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55" name="Text Box 7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56" name="Text Box 75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57" name="Text Box 76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58" name="Text Box 77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59" name="Text Box 78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60" name="Text Box 79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61" name="Text Box 80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62" name="Text Box 81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63" name="Text Box 82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64" name="Text Box 83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5150</xdr:row>
      <xdr:rowOff>31467</xdr:rowOff>
    </xdr:to>
    <xdr:sp macro="" textlink="">
      <xdr:nvSpPr>
        <xdr:cNvPr id="65" name="Text Box 84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2746796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66" name="Text Box 67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67" name="Text Box 68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68" name="Text Box 69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69" name="Text Box 70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70" name="Text Box 71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71" name="Text Box 72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72" name="Text Box 73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73" name="Text Box 74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74" name="Text Box 75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75" name="Text Box 76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76" name="Text Box 77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77" name="Text Box 78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78" name="Text Box 79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79" name="Text Box 80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80" name="Text Box 81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81" name="Text Box 82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82" name="Text Box 83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83" name="Text Box 84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84" name="Text Box 85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85" name="Text Box 86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86" name="Text Box 87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87" name="Text Box 88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88" name="Text Box 89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89" name="Text Box 90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90" name="Text Box 91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91" name="Text Box 92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92" name="Text Box 93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93" name="Text Box 94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94" name="Text Box 95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95" name="Text Box 96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96" name="Text Box 97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97" name="Text Box 98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98" name="Text Box 99">
          <a:extLst>
            <a:ext uri="{FF2B5EF4-FFF2-40B4-BE49-F238E27FC236}">
              <a16:creationId xmlns:a16="http://schemas.microsoft.com/office/drawing/2014/main" id="{00000000-0008-0000-0800-000062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99" name="Text Box 100">
          <a:extLst>
            <a:ext uri="{FF2B5EF4-FFF2-40B4-BE49-F238E27FC236}">
              <a16:creationId xmlns:a16="http://schemas.microsoft.com/office/drawing/2014/main" id="{00000000-0008-0000-0800-000063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00" name="Text Box 101">
          <a:extLst>
            <a:ext uri="{FF2B5EF4-FFF2-40B4-BE49-F238E27FC236}">
              <a16:creationId xmlns:a16="http://schemas.microsoft.com/office/drawing/2014/main" id="{00000000-0008-0000-0800-000064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01" name="Text Box 102">
          <a:extLst>
            <a:ext uri="{FF2B5EF4-FFF2-40B4-BE49-F238E27FC236}">
              <a16:creationId xmlns:a16="http://schemas.microsoft.com/office/drawing/2014/main" id="{00000000-0008-0000-0800-000065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02" name="Text Box 103">
          <a:extLst>
            <a:ext uri="{FF2B5EF4-FFF2-40B4-BE49-F238E27FC236}">
              <a16:creationId xmlns:a16="http://schemas.microsoft.com/office/drawing/2014/main" id="{00000000-0008-0000-0800-000066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03" name="Text Box 104">
          <a:extLst>
            <a:ext uri="{FF2B5EF4-FFF2-40B4-BE49-F238E27FC236}">
              <a16:creationId xmlns:a16="http://schemas.microsoft.com/office/drawing/2014/main" id="{00000000-0008-0000-0800-000067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04" name="Text Box 105">
          <a:extLst>
            <a:ext uri="{FF2B5EF4-FFF2-40B4-BE49-F238E27FC236}">
              <a16:creationId xmlns:a16="http://schemas.microsoft.com/office/drawing/2014/main" id="{00000000-0008-0000-0800-000068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05" name="Text Box 106">
          <a:extLst>
            <a:ext uri="{FF2B5EF4-FFF2-40B4-BE49-F238E27FC236}">
              <a16:creationId xmlns:a16="http://schemas.microsoft.com/office/drawing/2014/main" id="{00000000-0008-0000-0800-000069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06" name="Text Box 107">
          <a:extLst>
            <a:ext uri="{FF2B5EF4-FFF2-40B4-BE49-F238E27FC236}">
              <a16:creationId xmlns:a16="http://schemas.microsoft.com/office/drawing/2014/main" id="{00000000-0008-0000-0800-00006A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07" name="Text Box 108"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08" name="Text Box 109">
          <a:extLst>
            <a:ext uri="{FF2B5EF4-FFF2-40B4-BE49-F238E27FC236}">
              <a16:creationId xmlns:a16="http://schemas.microsoft.com/office/drawing/2014/main" id="{00000000-0008-0000-0800-00006C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09" name="Text Box 110">
          <a:extLst>
            <a:ext uri="{FF2B5EF4-FFF2-40B4-BE49-F238E27FC236}">
              <a16:creationId xmlns:a16="http://schemas.microsoft.com/office/drawing/2014/main" id="{00000000-0008-0000-0800-00006D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10" name="Text Box 111">
          <a:extLst>
            <a:ext uri="{FF2B5EF4-FFF2-40B4-BE49-F238E27FC236}">
              <a16:creationId xmlns:a16="http://schemas.microsoft.com/office/drawing/2014/main" id="{00000000-0008-0000-0800-00006E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11" name="Text Box 112">
          <a:extLst>
            <a:ext uri="{FF2B5EF4-FFF2-40B4-BE49-F238E27FC236}">
              <a16:creationId xmlns:a16="http://schemas.microsoft.com/office/drawing/2014/main" id="{00000000-0008-0000-0800-00006F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12" name="Text Box 113">
          <a:extLst>
            <a:ext uri="{FF2B5EF4-FFF2-40B4-BE49-F238E27FC236}">
              <a16:creationId xmlns:a16="http://schemas.microsoft.com/office/drawing/2014/main" id="{00000000-0008-0000-0800-000070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13" name="Text Box 114">
          <a:extLst>
            <a:ext uri="{FF2B5EF4-FFF2-40B4-BE49-F238E27FC236}">
              <a16:creationId xmlns:a16="http://schemas.microsoft.com/office/drawing/2014/main" id="{00000000-0008-0000-0800-000071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14" name="Text Box 115">
          <a:extLst>
            <a:ext uri="{FF2B5EF4-FFF2-40B4-BE49-F238E27FC236}">
              <a16:creationId xmlns:a16="http://schemas.microsoft.com/office/drawing/2014/main" id="{00000000-0008-0000-0800-000072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15" name="Text Box 116">
          <a:extLst>
            <a:ext uri="{FF2B5EF4-FFF2-40B4-BE49-F238E27FC236}">
              <a16:creationId xmlns:a16="http://schemas.microsoft.com/office/drawing/2014/main" id="{00000000-0008-0000-0800-000073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16" name="Text Box 117">
          <a:extLst>
            <a:ext uri="{FF2B5EF4-FFF2-40B4-BE49-F238E27FC236}">
              <a16:creationId xmlns:a16="http://schemas.microsoft.com/office/drawing/2014/main" id="{00000000-0008-0000-0800-000074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17" name="Text Box 118">
          <a:extLst>
            <a:ext uri="{FF2B5EF4-FFF2-40B4-BE49-F238E27FC236}">
              <a16:creationId xmlns:a16="http://schemas.microsoft.com/office/drawing/2014/main" id="{00000000-0008-0000-0800-000075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18" name="Text Box 119">
          <a:extLst>
            <a:ext uri="{FF2B5EF4-FFF2-40B4-BE49-F238E27FC236}">
              <a16:creationId xmlns:a16="http://schemas.microsoft.com/office/drawing/2014/main" id="{00000000-0008-0000-0800-000076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19" name="Text Box 120"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20" name="Text Box 121">
          <a:extLst>
            <a:ext uri="{FF2B5EF4-FFF2-40B4-BE49-F238E27FC236}">
              <a16:creationId xmlns:a16="http://schemas.microsoft.com/office/drawing/2014/main" id="{00000000-0008-0000-0800-000078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21" name="Text Box 122">
          <a:extLst>
            <a:ext uri="{FF2B5EF4-FFF2-40B4-BE49-F238E27FC236}">
              <a16:creationId xmlns:a16="http://schemas.microsoft.com/office/drawing/2014/main" id="{00000000-0008-0000-0800-000079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22" name="Text Box 123"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23" name="Text Box 124"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24" name="Text Box 125"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25" name="Text Box 126">
          <a:extLst>
            <a:ext uri="{FF2B5EF4-FFF2-40B4-BE49-F238E27FC236}">
              <a16:creationId xmlns:a16="http://schemas.microsoft.com/office/drawing/2014/main" id="{00000000-0008-0000-0800-00007D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26" name="Text Box 127"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27" name="Text Box 128"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28" name="Text Box 129"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29" name="Text Box 130">
          <a:extLst>
            <a:ext uri="{FF2B5EF4-FFF2-40B4-BE49-F238E27FC236}">
              <a16:creationId xmlns:a16="http://schemas.microsoft.com/office/drawing/2014/main" id="{00000000-0008-0000-0800-000081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30" name="Text Box 131">
          <a:extLst>
            <a:ext uri="{FF2B5EF4-FFF2-40B4-BE49-F238E27FC236}">
              <a16:creationId xmlns:a16="http://schemas.microsoft.com/office/drawing/2014/main" id="{00000000-0008-0000-0800-000082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31" name="Text Box 132">
          <a:extLst>
            <a:ext uri="{FF2B5EF4-FFF2-40B4-BE49-F238E27FC236}">
              <a16:creationId xmlns:a16="http://schemas.microsoft.com/office/drawing/2014/main" id="{00000000-0008-0000-0800-000083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32" name="Text Box 133">
          <a:extLst>
            <a:ext uri="{FF2B5EF4-FFF2-40B4-BE49-F238E27FC236}">
              <a16:creationId xmlns:a16="http://schemas.microsoft.com/office/drawing/2014/main" id="{00000000-0008-0000-0800-000084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33" name="Text Box 134">
          <a:extLst>
            <a:ext uri="{FF2B5EF4-FFF2-40B4-BE49-F238E27FC236}">
              <a16:creationId xmlns:a16="http://schemas.microsoft.com/office/drawing/2014/main" id="{00000000-0008-0000-0800-000085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34" name="Text Box 135">
          <a:extLst>
            <a:ext uri="{FF2B5EF4-FFF2-40B4-BE49-F238E27FC236}">
              <a16:creationId xmlns:a16="http://schemas.microsoft.com/office/drawing/2014/main" id="{00000000-0008-0000-0800-000086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35" name="Text Box 136">
          <a:extLst>
            <a:ext uri="{FF2B5EF4-FFF2-40B4-BE49-F238E27FC236}">
              <a16:creationId xmlns:a16="http://schemas.microsoft.com/office/drawing/2014/main" id="{00000000-0008-0000-0800-000087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36" name="Text Box 137">
          <a:extLst>
            <a:ext uri="{FF2B5EF4-FFF2-40B4-BE49-F238E27FC236}">
              <a16:creationId xmlns:a16="http://schemas.microsoft.com/office/drawing/2014/main" id="{00000000-0008-0000-0800-000088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37" name="Text Box 138">
          <a:extLst>
            <a:ext uri="{FF2B5EF4-FFF2-40B4-BE49-F238E27FC236}">
              <a16:creationId xmlns:a16="http://schemas.microsoft.com/office/drawing/2014/main" id="{00000000-0008-0000-0800-000089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38" name="Text Box 139">
          <a:extLst>
            <a:ext uri="{FF2B5EF4-FFF2-40B4-BE49-F238E27FC236}">
              <a16:creationId xmlns:a16="http://schemas.microsoft.com/office/drawing/2014/main" id="{00000000-0008-0000-0800-00008A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39" name="Text Box 140">
          <a:extLst>
            <a:ext uri="{FF2B5EF4-FFF2-40B4-BE49-F238E27FC236}">
              <a16:creationId xmlns:a16="http://schemas.microsoft.com/office/drawing/2014/main" id="{00000000-0008-0000-0800-00008B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40" name="Text Box 141">
          <a:extLst>
            <a:ext uri="{FF2B5EF4-FFF2-40B4-BE49-F238E27FC236}">
              <a16:creationId xmlns:a16="http://schemas.microsoft.com/office/drawing/2014/main" id="{00000000-0008-0000-0800-00008C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41" name="Text Box 142">
          <a:extLst>
            <a:ext uri="{FF2B5EF4-FFF2-40B4-BE49-F238E27FC236}">
              <a16:creationId xmlns:a16="http://schemas.microsoft.com/office/drawing/2014/main" id="{00000000-0008-0000-0800-00008D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42" name="Text Box 143">
          <a:extLst>
            <a:ext uri="{FF2B5EF4-FFF2-40B4-BE49-F238E27FC236}">
              <a16:creationId xmlns:a16="http://schemas.microsoft.com/office/drawing/2014/main" id="{00000000-0008-0000-0800-00008E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43" name="Text Box 144">
          <a:extLst>
            <a:ext uri="{FF2B5EF4-FFF2-40B4-BE49-F238E27FC236}">
              <a16:creationId xmlns:a16="http://schemas.microsoft.com/office/drawing/2014/main" id="{00000000-0008-0000-0800-00008F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44" name="Text Box 145">
          <a:extLst>
            <a:ext uri="{FF2B5EF4-FFF2-40B4-BE49-F238E27FC236}">
              <a16:creationId xmlns:a16="http://schemas.microsoft.com/office/drawing/2014/main" id="{00000000-0008-0000-0800-000090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45" name="Text Box 146">
          <a:extLst>
            <a:ext uri="{FF2B5EF4-FFF2-40B4-BE49-F238E27FC236}">
              <a16:creationId xmlns:a16="http://schemas.microsoft.com/office/drawing/2014/main" id="{00000000-0008-0000-0800-000091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46" name="Text Box 147">
          <a:extLst>
            <a:ext uri="{FF2B5EF4-FFF2-40B4-BE49-F238E27FC236}">
              <a16:creationId xmlns:a16="http://schemas.microsoft.com/office/drawing/2014/main" id="{00000000-0008-0000-0800-000092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47" name="Text Box 148">
          <a:extLst>
            <a:ext uri="{FF2B5EF4-FFF2-40B4-BE49-F238E27FC236}">
              <a16:creationId xmlns:a16="http://schemas.microsoft.com/office/drawing/2014/main" id="{00000000-0008-0000-0800-000093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48" name="Text Box 149">
          <a:extLst>
            <a:ext uri="{FF2B5EF4-FFF2-40B4-BE49-F238E27FC236}">
              <a16:creationId xmlns:a16="http://schemas.microsoft.com/office/drawing/2014/main" id="{00000000-0008-0000-0800-000094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49" name="Text Box 150">
          <a:extLst>
            <a:ext uri="{FF2B5EF4-FFF2-40B4-BE49-F238E27FC236}">
              <a16:creationId xmlns:a16="http://schemas.microsoft.com/office/drawing/2014/main" id="{00000000-0008-0000-0800-000095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50" name="Text Box 151">
          <a:extLst>
            <a:ext uri="{FF2B5EF4-FFF2-40B4-BE49-F238E27FC236}">
              <a16:creationId xmlns:a16="http://schemas.microsoft.com/office/drawing/2014/main" id="{00000000-0008-0000-0800-000096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51" name="Text Box 152">
          <a:extLst>
            <a:ext uri="{FF2B5EF4-FFF2-40B4-BE49-F238E27FC236}">
              <a16:creationId xmlns:a16="http://schemas.microsoft.com/office/drawing/2014/main" id="{00000000-0008-0000-0800-000097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52" name="Text Box 153">
          <a:extLst>
            <a:ext uri="{FF2B5EF4-FFF2-40B4-BE49-F238E27FC236}">
              <a16:creationId xmlns:a16="http://schemas.microsoft.com/office/drawing/2014/main" id="{00000000-0008-0000-0800-000098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53" name="Text Box 154">
          <a:extLst>
            <a:ext uri="{FF2B5EF4-FFF2-40B4-BE49-F238E27FC236}">
              <a16:creationId xmlns:a16="http://schemas.microsoft.com/office/drawing/2014/main" id="{00000000-0008-0000-0800-000099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54" name="Text Box 155">
          <a:extLst>
            <a:ext uri="{FF2B5EF4-FFF2-40B4-BE49-F238E27FC236}">
              <a16:creationId xmlns:a16="http://schemas.microsoft.com/office/drawing/2014/main" id="{00000000-0008-0000-0800-00009A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55" name="Text Box 156">
          <a:extLst>
            <a:ext uri="{FF2B5EF4-FFF2-40B4-BE49-F238E27FC236}">
              <a16:creationId xmlns:a16="http://schemas.microsoft.com/office/drawing/2014/main" id="{00000000-0008-0000-0800-00009B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56" name="Text Box 157">
          <a:extLst>
            <a:ext uri="{FF2B5EF4-FFF2-40B4-BE49-F238E27FC236}">
              <a16:creationId xmlns:a16="http://schemas.microsoft.com/office/drawing/2014/main" id="{00000000-0008-0000-0800-00009C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57" name="Text Box 158">
          <a:extLst>
            <a:ext uri="{FF2B5EF4-FFF2-40B4-BE49-F238E27FC236}">
              <a16:creationId xmlns:a16="http://schemas.microsoft.com/office/drawing/2014/main" id="{00000000-0008-0000-0800-00009D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58" name="Text Box 159">
          <a:extLst>
            <a:ext uri="{FF2B5EF4-FFF2-40B4-BE49-F238E27FC236}">
              <a16:creationId xmlns:a16="http://schemas.microsoft.com/office/drawing/2014/main" id="{00000000-0008-0000-0800-00009E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59" name="Text Box 160">
          <a:extLst>
            <a:ext uri="{FF2B5EF4-FFF2-40B4-BE49-F238E27FC236}">
              <a16:creationId xmlns:a16="http://schemas.microsoft.com/office/drawing/2014/main" id="{00000000-0008-0000-0800-00009F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60" name="Text Box 161">
          <a:extLst>
            <a:ext uri="{FF2B5EF4-FFF2-40B4-BE49-F238E27FC236}">
              <a16:creationId xmlns:a16="http://schemas.microsoft.com/office/drawing/2014/main" id="{00000000-0008-0000-0800-0000A0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61" name="Text Box 162">
          <a:extLst>
            <a:ext uri="{FF2B5EF4-FFF2-40B4-BE49-F238E27FC236}">
              <a16:creationId xmlns:a16="http://schemas.microsoft.com/office/drawing/2014/main" id="{00000000-0008-0000-0800-0000A1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62" name="Text Box 163">
          <a:extLst>
            <a:ext uri="{FF2B5EF4-FFF2-40B4-BE49-F238E27FC236}">
              <a16:creationId xmlns:a16="http://schemas.microsoft.com/office/drawing/2014/main" id="{00000000-0008-0000-0800-0000A2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63" name="Text Box 164">
          <a:extLst>
            <a:ext uri="{FF2B5EF4-FFF2-40B4-BE49-F238E27FC236}">
              <a16:creationId xmlns:a16="http://schemas.microsoft.com/office/drawing/2014/main" id="{00000000-0008-0000-0800-0000A3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64" name="Text Box 165">
          <a:extLst>
            <a:ext uri="{FF2B5EF4-FFF2-40B4-BE49-F238E27FC236}">
              <a16:creationId xmlns:a16="http://schemas.microsoft.com/office/drawing/2014/main" id="{00000000-0008-0000-0800-0000A4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65" name="Text Box 166">
          <a:extLst>
            <a:ext uri="{FF2B5EF4-FFF2-40B4-BE49-F238E27FC236}">
              <a16:creationId xmlns:a16="http://schemas.microsoft.com/office/drawing/2014/main" id="{00000000-0008-0000-0800-0000A5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66" name="Text Box 167">
          <a:extLst>
            <a:ext uri="{FF2B5EF4-FFF2-40B4-BE49-F238E27FC236}">
              <a16:creationId xmlns:a16="http://schemas.microsoft.com/office/drawing/2014/main" id="{00000000-0008-0000-0800-0000A6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67" name="Text Box 168">
          <a:extLst>
            <a:ext uri="{FF2B5EF4-FFF2-40B4-BE49-F238E27FC236}">
              <a16:creationId xmlns:a16="http://schemas.microsoft.com/office/drawing/2014/main" id="{00000000-0008-0000-0800-0000A7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68" name="Text Box 169">
          <a:extLst>
            <a:ext uri="{FF2B5EF4-FFF2-40B4-BE49-F238E27FC236}">
              <a16:creationId xmlns:a16="http://schemas.microsoft.com/office/drawing/2014/main" id="{00000000-0008-0000-0800-0000A8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69" name="Text Box 170">
          <a:extLst>
            <a:ext uri="{FF2B5EF4-FFF2-40B4-BE49-F238E27FC236}">
              <a16:creationId xmlns:a16="http://schemas.microsoft.com/office/drawing/2014/main" id="{00000000-0008-0000-0800-0000A9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70" name="Text Box 171">
          <a:extLst>
            <a:ext uri="{FF2B5EF4-FFF2-40B4-BE49-F238E27FC236}">
              <a16:creationId xmlns:a16="http://schemas.microsoft.com/office/drawing/2014/main" id="{00000000-0008-0000-0800-0000AA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71" name="Text Box 172">
          <a:extLst>
            <a:ext uri="{FF2B5EF4-FFF2-40B4-BE49-F238E27FC236}">
              <a16:creationId xmlns:a16="http://schemas.microsoft.com/office/drawing/2014/main" id="{00000000-0008-0000-0800-0000AB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72" name="Text Box 173">
          <a:extLst>
            <a:ext uri="{FF2B5EF4-FFF2-40B4-BE49-F238E27FC236}">
              <a16:creationId xmlns:a16="http://schemas.microsoft.com/office/drawing/2014/main" id="{00000000-0008-0000-0800-0000AC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73" name="Text Box 174">
          <a:extLst>
            <a:ext uri="{FF2B5EF4-FFF2-40B4-BE49-F238E27FC236}">
              <a16:creationId xmlns:a16="http://schemas.microsoft.com/office/drawing/2014/main" id="{00000000-0008-0000-0800-0000AD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74" name="Text Box 175">
          <a:extLst>
            <a:ext uri="{FF2B5EF4-FFF2-40B4-BE49-F238E27FC236}">
              <a16:creationId xmlns:a16="http://schemas.microsoft.com/office/drawing/2014/main" id="{00000000-0008-0000-0800-0000AE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75" name="Text Box 176">
          <a:extLst>
            <a:ext uri="{FF2B5EF4-FFF2-40B4-BE49-F238E27FC236}">
              <a16:creationId xmlns:a16="http://schemas.microsoft.com/office/drawing/2014/main" id="{00000000-0008-0000-0800-0000AF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76" name="Text Box 177">
          <a:extLst>
            <a:ext uri="{FF2B5EF4-FFF2-40B4-BE49-F238E27FC236}">
              <a16:creationId xmlns:a16="http://schemas.microsoft.com/office/drawing/2014/main" id="{00000000-0008-0000-0800-0000B0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77" name="Text Box 178">
          <a:extLst>
            <a:ext uri="{FF2B5EF4-FFF2-40B4-BE49-F238E27FC236}">
              <a16:creationId xmlns:a16="http://schemas.microsoft.com/office/drawing/2014/main" id="{00000000-0008-0000-0800-0000B1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78" name="Text Box 179">
          <a:extLst>
            <a:ext uri="{FF2B5EF4-FFF2-40B4-BE49-F238E27FC236}">
              <a16:creationId xmlns:a16="http://schemas.microsoft.com/office/drawing/2014/main" id="{00000000-0008-0000-0800-0000B2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79" name="Text Box 180">
          <a:extLst>
            <a:ext uri="{FF2B5EF4-FFF2-40B4-BE49-F238E27FC236}">
              <a16:creationId xmlns:a16="http://schemas.microsoft.com/office/drawing/2014/main" id="{00000000-0008-0000-0800-0000B3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80" name="Text Box 181">
          <a:extLst>
            <a:ext uri="{FF2B5EF4-FFF2-40B4-BE49-F238E27FC236}">
              <a16:creationId xmlns:a16="http://schemas.microsoft.com/office/drawing/2014/main" id="{00000000-0008-0000-0800-0000B4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81" name="Text Box 182">
          <a:extLst>
            <a:ext uri="{FF2B5EF4-FFF2-40B4-BE49-F238E27FC236}">
              <a16:creationId xmlns:a16="http://schemas.microsoft.com/office/drawing/2014/main" id="{00000000-0008-0000-0800-0000B5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82" name="Text Box 183">
          <a:extLst>
            <a:ext uri="{FF2B5EF4-FFF2-40B4-BE49-F238E27FC236}">
              <a16:creationId xmlns:a16="http://schemas.microsoft.com/office/drawing/2014/main" id="{00000000-0008-0000-0800-0000B6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83" name="Text Box 184">
          <a:extLst>
            <a:ext uri="{FF2B5EF4-FFF2-40B4-BE49-F238E27FC236}">
              <a16:creationId xmlns:a16="http://schemas.microsoft.com/office/drawing/2014/main" id="{00000000-0008-0000-0800-0000B7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84" name="Text Box 185">
          <a:extLst>
            <a:ext uri="{FF2B5EF4-FFF2-40B4-BE49-F238E27FC236}">
              <a16:creationId xmlns:a16="http://schemas.microsoft.com/office/drawing/2014/main" id="{00000000-0008-0000-0800-0000B8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85" name="Text Box 186">
          <a:extLst>
            <a:ext uri="{FF2B5EF4-FFF2-40B4-BE49-F238E27FC236}">
              <a16:creationId xmlns:a16="http://schemas.microsoft.com/office/drawing/2014/main" id="{00000000-0008-0000-0800-0000B9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86" name="Text Box 187">
          <a:extLst>
            <a:ext uri="{FF2B5EF4-FFF2-40B4-BE49-F238E27FC236}">
              <a16:creationId xmlns:a16="http://schemas.microsoft.com/office/drawing/2014/main" id="{00000000-0008-0000-0800-0000BA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87" name="Text Box 188">
          <a:extLst>
            <a:ext uri="{FF2B5EF4-FFF2-40B4-BE49-F238E27FC236}">
              <a16:creationId xmlns:a16="http://schemas.microsoft.com/office/drawing/2014/main" id="{00000000-0008-0000-0800-0000BB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88" name="Text Box 189">
          <a:extLst>
            <a:ext uri="{FF2B5EF4-FFF2-40B4-BE49-F238E27FC236}">
              <a16:creationId xmlns:a16="http://schemas.microsoft.com/office/drawing/2014/main" id="{00000000-0008-0000-0800-0000BC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89" name="Text Box 190">
          <a:extLst>
            <a:ext uri="{FF2B5EF4-FFF2-40B4-BE49-F238E27FC236}">
              <a16:creationId xmlns:a16="http://schemas.microsoft.com/office/drawing/2014/main" id="{00000000-0008-0000-0800-0000BD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90" name="Text Box 191">
          <a:extLst>
            <a:ext uri="{FF2B5EF4-FFF2-40B4-BE49-F238E27FC236}">
              <a16:creationId xmlns:a16="http://schemas.microsoft.com/office/drawing/2014/main" id="{00000000-0008-0000-0800-0000BE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91" name="Text Box 192">
          <a:extLst>
            <a:ext uri="{FF2B5EF4-FFF2-40B4-BE49-F238E27FC236}">
              <a16:creationId xmlns:a16="http://schemas.microsoft.com/office/drawing/2014/main" id="{00000000-0008-0000-0800-0000BF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92" name="Text Box 193">
          <a:extLst>
            <a:ext uri="{FF2B5EF4-FFF2-40B4-BE49-F238E27FC236}">
              <a16:creationId xmlns:a16="http://schemas.microsoft.com/office/drawing/2014/main" id="{00000000-0008-0000-0800-0000C0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93" name="Text Box 194">
          <a:extLst>
            <a:ext uri="{FF2B5EF4-FFF2-40B4-BE49-F238E27FC236}">
              <a16:creationId xmlns:a16="http://schemas.microsoft.com/office/drawing/2014/main" id="{00000000-0008-0000-0800-0000C1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94" name="Text Box 195">
          <a:extLst>
            <a:ext uri="{FF2B5EF4-FFF2-40B4-BE49-F238E27FC236}">
              <a16:creationId xmlns:a16="http://schemas.microsoft.com/office/drawing/2014/main" id="{00000000-0008-0000-0800-0000C2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95" name="Text Box 196">
          <a:extLst>
            <a:ext uri="{FF2B5EF4-FFF2-40B4-BE49-F238E27FC236}">
              <a16:creationId xmlns:a16="http://schemas.microsoft.com/office/drawing/2014/main" id="{00000000-0008-0000-0800-0000C3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96" name="Text Box 197">
          <a:extLst>
            <a:ext uri="{FF2B5EF4-FFF2-40B4-BE49-F238E27FC236}">
              <a16:creationId xmlns:a16="http://schemas.microsoft.com/office/drawing/2014/main" id="{00000000-0008-0000-0800-0000C4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97" name="Text Box 198">
          <a:extLst>
            <a:ext uri="{FF2B5EF4-FFF2-40B4-BE49-F238E27FC236}">
              <a16:creationId xmlns:a16="http://schemas.microsoft.com/office/drawing/2014/main" id="{00000000-0008-0000-0800-0000C5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98" name="Text Box 199">
          <a:extLst>
            <a:ext uri="{FF2B5EF4-FFF2-40B4-BE49-F238E27FC236}">
              <a16:creationId xmlns:a16="http://schemas.microsoft.com/office/drawing/2014/main" id="{00000000-0008-0000-0800-0000C6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199" name="Text Box 200">
          <a:extLst>
            <a:ext uri="{FF2B5EF4-FFF2-40B4-BE49-F238E27FC236}">
              <a16:creationId xmlns:a16="http://schemas.microsoft.com/office/drawing/2014/main" id="{00000000-0008-0000-0800-0000C7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00" name="Text Box 201">
          <a:extLst>
            <a:ext uri="{FF2B5EF4-FFF2-40B4-BE49-F238E27FC236}">
              <a16:creationId xmlns:a16="http://schemas.microsoft.com/office/drawing/2014/main" id="{00000000-0008-0000-0800-0000C8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01" name="Text Box 202">
          <a:extLst>
            <a:ext uri="{FF2B5EF4-FFF2-40B4-BE49-F238E27FC236}">
              <a16:creationId xmlns:a16="http://schemas.microsoft.com/office/drawing/2014/main" id="{00000000-0008-0000-0800-0000C9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02" name="Text Box 203">
          <a:extLst>
            <a:ext uri="{FF2B5EF4-FFF2-40B4-BE49-F238E27FC236}">
              <a16:creationId xmlns:a16="http://schemas.microsoft.com/office/drawing/2014/main" id="{00000000-0008-0000-0800-0000CA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03" name="Text Box 204">
          <a:extLst>
            <a:ext uri="{FF2B5EF4-FFF2-40B4-BE49-F238E27FC236}">
              <a16:creationId xmlns:a16="http://schemas.microsoft.com/office/drawing/2014/main" id="{00000000-0008-0000-0800-0000CB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04" name="Text Box 205">
          <a:extLst>
            <a:ext uri="{FF2B5EF4-FFF2-40B4-BE49-F238E27FC236}">
              <a16:creationId xmlns:a16="http://schemas.microsoft.com/office/drawing/2014/main" id="{00000000-0008-0000-0800-0000CC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05" name="Text Box 206">
          <a:extLst>
            <a:ext uri="{FF2B5EF4-FFF2-40B4-BE49-F238E27FC236}">
              <a16:creationId xmlns:a16="http://schemas.microsoft.com/office/drawing/2014/main" id="{00000000-0008-0000-0800-0000CD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06" name="Text Box 207">
          <a:extLst>
            <a:ext uri="{FF2B5EF4-FFF2-40B4-BE49-F238E27FC236}">
              <a16:creationId xmlns:a16="http://schemas.microsoft.com/office/drawing/2014/main" id="{00000000-0008-0000-0800-0000CE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07" name="Text Box 208">
          <a:extLst>
            <a:ext uri="{FF2B5EF4-FFF2-40B4-BE49-F238E27FC236}">
              <a16:creationId xmlns:a16="http://schemas.microsoft.com/office/drawing/2014/main" id="{00000000-0008-0000-0800-0000CF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08" name="Text Box 209">
          <a:extLst>
            <a:ext uri="{FF2B5EF4-FFF2-40B4-BE49-F238E27FC236}">
              <a16:creationId xmlns:a16="http://schemas.microsoft.com/office/drawing/2014/main" id="{00000000-0008-0000-0800-0000D0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09" name="Text Box 210">
          <a:extLst>
            <a:ext uri="{FF2B5EF4-FFF2-40B4-BE49-F238E27FC236}">
              <a16:creationId xmlns:a16="http://schemas.microsoft.com/office/drawing/2014/main" id="{00000000-0008-0000-0800-0000D1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10" name="Text Box 211">
          <a:extLst>
            <a:ext uri="{FF2B5EF4-FFF2-40B4-BE49-F238E27FC236}">
              <a16:creationId xmlns:a16="http://schemas.microsoft.com/office/drawing/2014/main" id="{00000000-0008-0000-0800-0000D2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11" name="Text Box 212">
          <a:extLst>
            <a:ext uri="{FF2B5EF4-FFF2-40B4-BE49-F238E27FC236}">
              <a16:creationId xmlns:a16="http://schemas.microsoft.com/office/drawing/2014/main" id="{00000000-0008-0000-0800-0000D3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12" name="Text Box 213">
          <a:extLst>
            <a:ext uri="{FF2B5EF4-FFF2-40B4-BE49-F238E27FC236}">
              <a16:creationId xmlns:a16="http://schemas.microsoft.com/office/drawing/2014/main" id="{00000000-0008-0000-0800-0000D4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13" name="Text Box 214">
          <a:extLst>
            <a:ext uri="{FF2B5EF4-FFF2-40B4-BE49-F238E27FC236}">
              <a16:creationId xmlns:a16="http://schemas.microsoft.com/office/drawing/2014/main" id="{00000000-0008-0000-0800-0000D5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14" name="Text Box 215">
          <a:extLst>
            <a:ext uri="{FF2B5EF4-FFF2-40B4-BE49-F238E27FC236}">
              <a16:creationId xmlns:a16="http://schemas.microsoft.com/office/drawing/2014/main" id="{00000000-0008-0000-0800-0000D6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15" name="Text Box 216">
          <a:extLst>
            <a:ext uri="{FF2B5EF4-FFF2-40B4-BE49-F238E27FC236}">
              <a16:creationId xmlns:a16="http://schemas.microsoft.com/office/drawing/2014/main" id="{00000000-0008-0000-0800-0000D7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16" name="Text Box 217">
          <a:extLst>
            <a:ext uri="{FF2B5EF4-FFF2-40B4-BE49-F238E27FC236}">
              <a16:creationId xmlns:a16="http://schemas.microsoft.com/office/drawing/2014/main" id="{00000000-0008-0000-0800-0000D8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17" name="Text Box 218">
          <a:extLst>
            <a:ext uri="{FF2B5EF4-FFF2-40B4-BE49-F238E27FC236}">
              <a16:creationId xmlns:a16="http://schemas.microsoft.com/office/drawing/2014/main" id="{00000000-0008-0000-0800-0000D9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18" name="Text Box 219">
          <a:extLst>
            <a:ext uri="{FF2B5EF4-FFF2-40B4-BE49-F238E27FC236}">
              <a16:creationId xmlns:a16="http://schemas.microsoft.com/office/drawing/2014/main" id="{00000000-0008-0000-0800-0000DA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19" name="Text Box 220">
          <a:extLst>
            <a:ext uri="{FF2B5EF4-FFF2-40B4-BE49-F238E27FC236}">
              <a16:creationId xmlns:a16="http://schemas.microsoft.com/office/drawing/2014/main" id="{00000000-0008-0000-0800-0000DB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20" name="Text Box 221">
          <a:extLst>
            <a:ext uri="{FF2B5EF4-FFF2-40B4-BE49-F238E27FC236}">
              <a16:creationId xmlns:a16="http://schemas.microsoft.com/office/drawing/2014/main" id="{00000000-0008-0000-0800-0000DC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21" name="Text Box 222">
          <a:extLst>
            <a:ext uri="{FF2B5EF4-FFF2-40B4-BE49-F238E27FC236}">
              <a16:creationId xmlns:a16="http://schemas.microsoft.com/office/drawing/2014/main" id="{00000000-0008-0000-0800-0000DD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22" name="Text Box 223">
          <a:extLst>
            <a:ext uri="{FF2B5EF4-FFF2-40B4-BE49-F238E27FC236}">
              <a16:creationId xmlns:a16="http://schemas.microsoft.com/office/drawing/2014/main" id="{00000000-0008-0000-0800-0000DE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23" name="Text Box 224">
          <a:extLst>
            <a:ext uri="{FF2B5EF4-FFF2-40B4-BE49-F238E27FC236}">
              <a16:creationId xmlns:a16="http://schemas.microsoft.com/office/drawing/2014/main" id="{00000000-0008-0000-0800-0000DF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24" name="Text Box 225">
          <a:extLst>
            <a:ext uri="{FF2B5EF4-FFF2-40B4-BE49-F238E27FC236}">
              <a16:creationId xmlns:a16="http://schemas.microsoft.com/office/drawing/2014/main" id="{00000000-0008-0000-0800-0000E0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25" name="Text Box 226">
          <a:extLst>
            <a:ext uri="{FF2B5EF4-FFF2-40B4-BE49-F238E27FC236}">
              <a16:creationId xmlns:a16="http://schemas.microsoft.com/office/drawing/2014/main" id="{00000000-0008-0000-0800-0000E1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26" name="Text Box 227">
          <a:extLst>
            <a:ext uri="{FF2B5EF4-FFF2-40B4-BE49-F238E27FC236}">
              <a16:creationId xmlns:a16="http://schemas.microsoft.com/office/drawing/2014/main" id="{00000000-0008-0000-0800-0000E2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27" name="Text Box 228">
          <a:extLst>
            <a:ext uri="{FF2B5EF4-FFF2-40B4-BE49-F238E27FC236}">
              <a16:creationId xmlns:a16="http://schemas.microsoft.com/office/drawing/2014/main" id="{00000000-0008-0000-0800-0000E3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28" name="Text Box 229">
          <a:extLst>
            <a:ext uri="{FF2B5EF4-FFF2-40B4-BE49-F238E27FC236}">
              <a16:creationId xmlns:a16="http://schemas.microsoft.com/office/drawing/2014/main" id="{00000000-0008-0000-0800-0000E4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29" name="Text Box 230">
          <a:extLst>
            <a:ext uri="{FF2B5EF4-FFF2-40B4-BE49-F238E27FC236}">
              <a16:creationId xmlns:a16="http://schemas.microsoft.com/office/drawing/2014/main" id="{00000000-0008-0000-0800-0000E5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30" name="Text Box 231">
          <a:extLst>
            <a:ext uri="{FF2B5EF4-FFF2-40B4-BE49-F238E27FC236}">
              <a16:creationId xmlns:a16="http://schemas.microsoft.com/office/drawing/2014/main" id="{00000000-0008-0000-0800-0000E6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31" name="Text Box 232">
          <a:extLst>
            <a:ext uri="{FF2B5EF4-FFF2-40B4-BE49-F238E27FC236}">
              <a16:creationId xmlns:a16="http://schemas.microsoft.com/office/drawing/2014/main" id="{00000000-0008-0000-0800-0000E7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32" name="Text Box 233">
          <a:extLst>
            <a:ext uri="{FF2B5EF4-FFF2-40B4-BE49-F238E27FC236}">
              <a16:creationId xmlns:a16="http://schemas.microsoft.com/office/drawing/2014/main" id="{00000000-0008-0000-0800-0000E8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33" name="Text Box 234">
          <a:extLst>
            <a:ext uri="{FF2B5EF4-FFF2-40B4-BE49-F238E27FC236}">
              <a16:creationId xmlns:a16="http://schemas.microsoft.com/office/drawing/2014/main" id="{00000000-0008-0000-0800-0000E9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34" name="Text Box 235">
          <a:extLst>
            <a:ext uri="{FF2B5EF4-FFF2-40B4-BE49-F238E27FC236}">
              <a16:creationId xmlns:a16="http://schemas.microsoft.com/office/drawing/2014/main" id="{00000000-0008-0000-0800-0000EA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35" name="Text Box 236">
          <a:extLst>
            <a:ext uri="{FF2B5EF4-FFF2-40B4-BE49-F238E27FC236}">
              <a16:creationId xmlns:a16="http://schemas.microsoft.com/office/drawing/2014/main" id="{00000000-0008-0000-0800-0000EB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36" name="Text Box 237">
          <a:extLst>
            <a:ext uri="{FF2B5EF4-FFF2-40B4-BE49-F238E27FC236}">
              <a16:creationId xmlns:a16="http://schemas.microsoft.com/office/drawing/2014/main" id="{00000000-0008-0000-0800-0000EC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37" name="Text Box 238">
          <a:extLst>
            <a:ext uri="{FF2B5EF4-FFF2-40B4-BE49-F238E27FC236}">
              <a16:creationId xmlns:a16="http://schemas.microsoft.com/office/drawing/2014/main" id="{00000000-0008-0000-0800-0000ED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38" name="Text Box 239">
          <a:extLst>
            <a:ext uri="{FF2B5EF4-FFF2-40B4-BE49-F238E27FC236}">
              <a16:creationId xmlns:a16="http://schemas.microsoft.com/office/drawing/2014/main" id="{00000000-0008-0000-0800-0000EE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39" name="Text Box 240">
          <a:extLst>
            <a:ext uri="{FF2B5EF4-FFF2-40B4-BE49-F238E27FC236}">
              <a16:creationId xmlns:a16="http://schemas.microsoft.com/office/drawing/2014/main" id="{00000000-0008-0000-0800-0000EF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40" name="Text Box 241">
          <a:extLst>
            <a:ext uri="{FF2B5EF4-FFF2-40B4-BE49-F238E27FC236}">
              <a16:creationId xmlns:a16="http://schemas.microsoft.com/office/drawing/2014/main" id="{00000000-0008-0000-0800-0000F0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41" name="Text Box 242">
          <a:extLst>
            <a:ext uri="{FF2B5EF4-FFF2-40B4-BE49-F238E27FC236}">
              <a16:creationId xmlns:a16="http://schemas.microsoft.com/office/drawing/2014/main" id="{00000000-0008-0000-0800-0000F1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42" name="Text Box 243">
          <a:extLst>
            <a:ext uri="{FF2B5EF4-FFF2-40B4-BE49-F238E27FC236}">
              <a16:creationId xmlns:a16="http://schemas.microsoft.com/office/drawing/2014/main" id="{00000000-0008-0000-0800-0000F2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43" name="Text Box 244">
          <a:extLst>
            <a:ext uri="{FF2B5EF4-FFF2-40B4-BE49-F238E27FC236}">
              <a16:creationId xmlns:a16="http://schemas.microsoft.com/office/drawing/2014/main" id="{00000000-0008-0000-0800-0000F3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44" name="Text Box 245">
          <a:extLst>
            <a:ext uri="{FF2B5EF4-FFF2-40B4-BE49-F238E27FC236}">
              <a16:creationId xmlns:a16="http://schemas.microsoft.com/office/drawing/2014/main" id="{00000000-0008-0000-0800-0000F4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45" name="Text Box 246">
          <a:extLst>
            <a:ext uri="{FF2B5EF4-FFF2-40B4-BE49-F238E27FC236}">
              <a16:creationId xmlns:a16="http://schemas.microsoft.com/office/drawing/2014/main" id="{00000000-0008-0000-0800-0000F5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46" name="Text Box 247">
          <a:extLst>
            <a:ext uri="{FF2B5EF4-FFF2-40B4-BE49-F238E27FC236}">
              <a16:creationId xmlns:a16="http://schemas.microsoft.com/office/drawing/2014/main" id="{00000000-0008-0000-0800-0000F6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47" name="Text Box 248">
          <a:extLst>
            <a:ext uri="{FF2B5EF4-FFF2-40B4-BE49-F238E27FC236}">
              <a16:creationId xmlns:a16="http://schemas.microsoft.com/office/drawing/2014/main" id="{00000000-0008-0000-0800-0000F7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48" name="Text Box 249">
          <a:extLst>
            <a:ext uri="{FF2B5EF4-FFF2-40B4-BE49-F238E27FC236}">
              <a16:creationId xmlns:a16="http://schemas.microsoft.com/office/drawing/2014/main" id="{00000000-0008-0000-0800-0000F8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49" name="Text Box 250">
          <a:extLst>
            <a:ext uri="{FF2B5EF4-FFF2-40B4-BE49-F238E27FC236}">
              <a16:creationId xmlns:a16="http://schemas.microsoft.com/office/drawing/2014/main" id="{00000000-0008-0000-0800-0000F9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50" name="Text Box 251">
          <a:extLst>
            <a:ext uri="{FF2B5EF4-FFF2-40B4-BE49-F238E27FC236}">
              <a16:creationId xmlns:a16="http://schemas.microsoft.com/office/drawing/2014/main" id="{00000000-0008-0000-0800-0000FA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51" name="Text Box 252">
          <a:extLst>
            <a:ext uri="{FF2B5EF4-FFF2-40B4-BE49-F238E27FC236}">
              <a16:creationId xmlns:a16="http://schemas.microsoft.com/office/drawing/2014/main" id="{00000000-0008-0000-0800-0000FB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52" name="Text Box 253">
          <a:extLst>
            <a:ext uri="{FF2B5EF4-FFF2-40B4-BE49-F238E27FC236}">
              <a16:creationId xmlns:a16="http://schemas.microsoft.com/office/drawing/2014/main" id="{00000000-0008-0000-0800-0000FC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53" name="Text Box 254">
          <a:extLst>
            <a:ext uri="{FF2B5EF4-FFF2-40B4-BE49-F238E27FC236}">
              <a16:creationId xmlns:a16="http://schemas.microsoft.com/office/drawing/2014/main" id="{00000000-0008-0000-0800-0000FD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54" name="Text Box 255">
          <a:extLst>
            <a:ext uri="{FF2B5EF4-FFF2-40B4-BE49-F238E27FC236}">
              <a16:creationId xmlns:a16="http://schemas.microsoft.com/office/drawing/2014/main" id="{00000000-0008-0000-0800-0000FE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55" name="Text Box 256">
          <a:extLst>
            <a:ext uri="{FF2B5EF4-FFF2-40B4-BE49-F238E27FC236}">
              <a16:creationId xmlns:a16="http://schemas.microsoft.com/office/drawing/2014/main" id="{00000000-0008-0000-0800-0000FF00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56" name="Text Box 257">
          <a:extLst>
            <a:ext uri="{FF2B5EF4-FFF2-40B4-BE49-F238E27FC236}">
              <a16:creationId xmlns:a16="http://schemas.microsoft.com/office/drawing/2014/main" id="{00000000-0008-0000-0800-000000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57" name="Text Box 258">
          <a:extLst>
            <a:ext uri="{FF2B5EF4-FFF2-40B4-BE49-F238E27FC236}">
              <a16:creationId xmlns:a16="http://schemas.microsoft.com/office/drawing/2014/main" id="{00000000-0008-0000-0800-000001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58" name="Text Box 259">
          <a:extLst>
            <a:ext uri="{FF2B5EF4-FFF2-40B4-BE49-F238E27FC236}">
              <a16:creationId xmlns:a16="http://schemas.microsoft.com/office/drawing/2014/main" id="{00000000-0008-0000-0800-000002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59" name="Text Box 260">
          <a:extLst>
            <a:ext uri="{FF2B5EF4-FFF2-40B4-BE49-F238E27FC236}">
              <a16:creationId xmlns:a16="http://schemas.microsoft.com/office/drawing/2014/main" id="{00000000-0008-0000-0800-000003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60" name="Text Box 261">
          <a:extLst>
            <a:ext uri="{FF2B5EF4-FFF2-40B4-BE49-F238E27FC236}">
              <a16:creationId xmlns:a16="http://schemas.microsoft.com/office/drawing/2014/main" id="{00000000-0008-0000-0800-000004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61" name="Text Box 262">
          <a:extLst>
            <a:ext uri="{FF2B5EF4-FFF2-40B4-BE49-F238E27FC236}">
              <a16:creationId xmlns:a16="http://schemas.microsoft.com/office/drawing/2014/main" id="{00000000-0008-0000-0800-000005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62" name="Text Box 263">
          <a:extLst>
            <a:ext uri="{FF2B5EF4-FFF2-40B4-BE49-F238E27FC236}">
              <a16:creationId xmlns:a16="http://schemas.microsoft.com/office/drawing/2014/main" id="{00000000-0008-0000-0800-000006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63" name="Text Box 264">
          <a:extLst>
            <a:ext uri="{FF2B5EF4-FFF2-40B4-BE49-F238E27FC236}">
              <a16:creationId xmlns:a16="http://schemas.microsoft.com/office/drawing/2014/main" id="{00000000-0008-0000-0800-000007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64" name="Text Box 265">
          <a:extLst>
            <a:ext uri="{FF2B5EF4-FFF2-40B4-BE49-F238E27FC236}">
              <a16:creationId xmlns:a16="http://schemas.microsoft.com/office/drawing/2014/main" id="{00000000-0008-0000-0800-000008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65" name="Text Box 266">
          <a:extLst>
            <a:ext uri="{FF2B5EF4-FFF2-40B4-BE49-F238E27FC236}">
              <a16:creationId xmlns:a16="http://schemas.microsoft.com/office/drawing/2014/main" id="{00000000-0008-0000-0800-000009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66" name="Text Box 267">
          <a:extLst>
            <a:ext uri="{FF2B5EF4-FFF2-40B4-BE49-F238E27FC236}">
              <a16:creationId xmlns:a16="http://schemas.microsoft.com/office/drawing/2014/main" id="{00000000-0008-0000-0800-00000A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67" name="Text Box 268">
          <a:extLst>
            <a:ext uri="{FF2B5EF4-FFF2-40B4-BE49-F238E27FC236}">
              <a16:creationId xmlns:a16="http://schemas.microsoft.com/office/drawing/2014/main" id="{00000000-0008-0000-0800-00000B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68" name="Text Box 269">
          <a:extLst>
            <a:ext uri="{FF2B5EF4-FFF2-40B4-BE49-F238E27FC236}">
              <a16:creationId xmlns:a16="http://schemas.microsoft.com/office/drawing/2014/main" id="{00000000-0008-0000-0800-00000C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69" name="Text Box 270">
          <a:extLst>
            <a:ext uri="{FF2B5EF4-FFF2-40B4-BE49-F238E27FC236}">
              <a16:creationId xmlns:a16="http://schemas.microsoft.com/office/drawing/2014/main" id="{00000000-0008-0000-0800-00000D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70" name="Text Box 271">
          <a:extLst>
            <a:ext uri="{FF2B5EF4-FFF2-40B4-BE49-F238E27FC236}">
              <a16:creationId xmlns:a16="http://schemas.microsoft.com/office/drawing/2014/main" id="{00000000-0008-0000-0800-00000E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71" name="Text Box 272">
          <a:extLst>
            <a:ext uri="{FF2B5EF4-FFF2-40B4-BE49-F238E27FC236}">
              <a16:creationId xmlns:a16="http://schemas.microsoft.com/office/drawing/2014/main" id="{00000000-0008-0000-0800-00000F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72" name="Text Box 273">
          <a:extLst>
            <a:ext uri="{FF2B5EF4-FFF2-40B4-BE49-F238E27FC236}">
              <a16:creationId xmlns:a16="http://schemas.microsoft.com/office/drawing/2014/main" id="{00000000-0008-0000-0800-000010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73" name="Text Box 274">
          <a:extLst>
            <a:ext uri="{FF2B5EF4-FFF2-40B4-BE49-F238E27FC236}">
              <a16:creationId xmlns:a16="http://schemas.microsoft.com/office/drawing/2014/main" id="{00000000-0008-0000-0800-000011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74" name="Text Box 275">
          <a:extLst>
            <a:ext uri="{FF2B5EF4-FFF2-40B4-BE49-F238E27FC236}">
              <a16:creationId xmlns:a16="http://schemas.microsoft.com/office/drawing/2014/main" id="{00000000-0008-0000-0800-000012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75" name="Text Box 276">
          <a:extLst>
            <a:ext uri="{FF2B5EF4-FFF2-40B4-BE49-F238E27FC236}">
              <a16:creationId xmlns:a16="http://schemas.microsoft.com/office/drawing/2014/main" id="{00000000-0008-0000-0800-000013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76" name="Text Box 277">
          <a:extLst>
            <a:ext uri="{FF2B5EF4-FFF2-40B4-BE49-F238E27FC236}">
              <a16:creationId xmlns:a16="http://schemas.microsoft.com/office/drawing/2014/main" id="{00000000-0008-0000-0800-000014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77" name="Text Box 278">
          <a:extLst>
            <a:ext uri="{FF2B5EF4-FFF2-40B4-BE49-F238E27FC236}">
              <a16:creationId xmlns:a16="http://schemas.microsoft.com/office/drawing/2014/main" id="{00000000-0008-0000-0800-000015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78" name="Text Box 279">
          <a:extLst>
            <a:ext uri="{FF2B5EF4-FFF2-40B4-BE49-F238E27FC236}">
              <a16:creationId xmlns:a16="http://schemas.microsoft.com/office/drawing/2014/main" id="{00000000-0008-0000-0800-000016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79" name="Text Box 280">
          <a:extLst>
            <a:ext uri="{FF2B5EF4-FFF2-40B4-BE49-F238E27FC236}">
              <a16:creationId xmlns:a16="http://schemas.microsoft.com/office/drawing/2014/main" id="{00000000-0008-0000-0800-000017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80" name="Text Box 281">
          <a:extLst>
            <a:ext uri="{FF2B5EF4-FFF2-40B4-BE49-F238E27FC236}">
              <a16:creationId xmlns:a16="http://schemas.microsoft.com/office/drawing/2014/main" id="{00000000-0008-0000-0800-000018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81" name="Text Box 282">
          <a:extLst>
            <a:ext uri="{FF2B5EF4-FFF2-40B4-BE49-F238E27FC236}">
              <a16:creationId xmlns:a16="http://schemas.microsoft.com/office/drawing/2014/main" id="{00000000-0008-0000-0800-000019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82" name="Text Box 283">
          <a:extLst>
            <a:ext uri="{FF2B5EF4-FFF2-40B4-BE49-F238E27FC236}">
              <a16:creationId xmlns:a16="http://schemas.microsoft.com/office/drawing/2014/main" id="{00000000-0008-0000-0800-00001A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83" name="Text Box 284">
          <a:extLst>
            <a:ext uri="{FF2B5EF4-FFF2-40B4-BE49-F238E27FC236}">
              <a16:creationId xmlns:a16="http://schemas.microsoft.com/office/drawing/2014/main" id="{00000000-0008-0000-0800-00001B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84" name="Text Box 285">
          <a:extLst>
            <a:ext uri="{FF2B5EF4-FFF2-40B4-BE49-F238E27FC236}">
              <a16:creationId xmlns:a16="http://schemas.microsoft.com/office/drawing/2014/main" id="{00000000-0008-0000-0800-00001C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85" name="Text Box 286">
          <a:extLst>
            <a:ext uri="{FF2B5EF4-FFF2-40B4-BE49-F238E27FC236}">
              <a16:creationId xmlns:a16="http://schemas.microsoft.com/office/drawing/2014/main" id="{00000000-0008-0000-0800-00001D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86" name="Text Box 287">
          <a:extLst>
            <a:ext uri="{FF2B5EF4-FFF2-40B4-BE49-F238E27FC236}">
              <a16:creationId xmlns:a16="http://schemas.microsoft.com/office/drawing/2014/main" id="{00000000-0008-0000-0800-00001E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87" name="Text Box 288">
          <a:extLst>
            <a:ext uri="{FF2B5EF4-FFF2-40B4-BE49-F238E27FC236}">
              <a16:creationId xmlns:a16="http://schemas.microsoft.com/office/drawing/2014/main" id="{00000000-0008-0000-0800-00001F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88" name="Text Box 289">
          <a:extLst>
            <a:ext uri="{FF2B5EF4-FFF2-40B4-BE49-F238E27FC236}">
              <a16:creationId xmlns:a16="http://schemas.microsoft.com/office/drawing/2014/main" id="{00000000-0008-0000-0800-000020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89" name="Text Box 290">
          <a:extLst>
            <a:ext uri="{FF2B5EF4-FFF2-40B4-BE49-F238E27FC236}">
              <a16:creationId xmlns:a16="http://schemas.microsoft.com/office/drawing/2014/main" id="{00000000-0008-0000-0800-000021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90" name="Text Box 291">
          <a:extLst>
            <a:ext uri="{FF2B5EF4-FFF2-40B4-BE49-F238E27FC236}">
              <a16:creationId xmlns:a16="http://schemas.microsoft.com/office/drawing/2014/main" id="{00000000-0008-0000-0800-000022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91" name="Text Box 292">
          <a:extLst>
            <a:ext uri="{FF2B5EF4-FFF2-40B4-BE49-F238E27FC236}">
              <a16:creationId xmlns:a16="http://schemas.microsoft.com/office/drawing/2014/main" id="{00000000-0008-0000-0800-000023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92" name="Text Box 293">
          <a:extLst>
            <a:ext uri="{FF2B5EF4-FFF2-40B4-BE49-F238E27FC236}">
              <a16:creationId xmlns:a16="http://schemas.microsoft.com/office/drawing/2014/main" id="{00000000-0008-0000-0800-000024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93" name="Text Box 294">
          <a:extLst>
            <a:ext uri="{FF2B5EF4-FFF2-40B4-BE49-F238E27FC236}">
              <a16:creationId xmlns:a16="http://schemas.microsoft.com/office/drawing/2014/main" id="{00000000-0008-0000-0800-000025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94" name="Text Box 295">
          <a:extLst>
            <a:ext uri="{FF2B5EF4-FFF2-40B4-BE49-F238E27FC236}">
              <a16:creationId xmlns:a16="http://schemas.microsoft.com/office/drawing/2014/main" id="{00000000-0008-0000-0800-000026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95" name="Text Box 296">
          <a:extLst>
            <a:ext uri="{FF2B5EF4-FFF2-40B4-BE49-F238E27FC236}">
              <a16:creationId xmlns:a16="http://schemas.microsoft.com/office/drawing/2014/main" id="{00000000-0008-0000-0800-000027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96" name="Text Box 297">
          <a:extLst>
            <a:ext uri="{FF2B5EF4-FFF2-40B4-BE49-F238E27FC236}">
              <a16:creationId xmlns:a16="http://schemas.microsoft.com/office/drawing/2014/main" id="{00000000-0008-0000-0800-000028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97" name="Text Box 298">
          <a:extLst>
            <a:ext uri="{FF2B5EF4-FFF2-40B4-BE49-F238E27FC236}">
              <a16:creationId xmlns:a16="http://schemas.microsoft.com/office/drawing/2014/main" id="{00000000-0008-0000-0800-000029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98" name="Text Box 299">
          <a:extLst>
            <a:ext uri="{FF2B5EF4-FFF2-40B4-BE49-F238E27FC236}">
              <a16:creationId xmlns:a16="http://schemas.microsoft.com/office/drawing/2014/main" id="{00000000-0008-0000-0800-00002A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299" name="Text Box 300">
          <a:extLst>
            <a:ext uri="{FF2B5EF4-FFF2-40B4-BE49-F238E27FC236}">
              <a16:creationId xmlns:a16="http://schemas.microsoft.com/office/drawing/2014/main" id="{00000000-0008-0000-0800-00002B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00" name="Text Box 301">
          <a:extLst>
            <a:ext uri="{FF2B5EF4-FFF2-40B4-BE49-F238E27FC236}">
              <a16:creationId xmlns:a16="http://schemas.microsoft.com/office/drawing/2014/main" id="{00000000-0008-0000-0800-00002C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01" name="Text Box 302">
          <a:extLst>
            <a:ext uri="{FF2B5EF4-FFF2-40B4-BE49-F238E27FC236}">
              <a16:creationId xmlns:a16="http://schemas.microsoft.com/office/drawing/2014/main" id="{00000000-0008-0000-0800-00002D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02" name="Text Box 303">
          <a:extLst>
            <a:ext uri="{FF2B5EF4-FFF2-40B4-BE49-F238E27FC236}">
              <a16:creationId xmlns:a16="http://schemas.microsoft.com/office/drawing/2014/main" id="{00000000-0008-0000-0800-00002E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03" name="Text Box 304">
          <a:extLst>
            <a:ext uri="{FF2B5EF4-FFF2-40B4-BE49-F238E27FC236}">
              <a16:creationId xmlns:a16="http://schemas.microsoft.com/office/drawing/2014/main" id="{00000000-0008-0000-0800-00002F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04" name="Text Box 305">
          <a:extLst>
            <a:ext uri="{FF2B5EF4-FFF2-40B4-BE49-F238E27FC236}">
              <a16:creationId xmlns:a16="http://schemas.microsoft.com/office/drawing/2014/main" id="{00000000-0008-0000-0800-000030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05" name="Text Box 306">
          <a:extLst>
            <a:ext uri="{FF2B5EF4-FFF2-40B4-BE49-F238E27FC236}">
              <a16:creationId xmlns:a16="http://schemas.microsoft.com/office/drawing/2014/main" id="{00000000-0008-0000-0800-000031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06" name="Text Box 307">
          <a:extLst>
            <a:ext uri="{FF2B5EF4-FFF2-40B4-BE49-F238E27FC236}">
              <a16:creationId xmlns:a16="http://schemas.microsoft.com/office/drawing/2014/main" id="{00000000-0008-0000-0800-000032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07" name="Text Box 308">
          <a:extLst>
            <a:ext uri="{FF2B5EF4-FFF2-40B4-BE49-F238E27FC236}">
              <a16:creationId xmlns:a16="http://schemas.microsoft.com/office/drawing/2014/main" id="{00000000-0008-0000-0800-000033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08" name="Text Box 309">
          <a:extLst>
            <a:ext uri="{FF2B5EF4-FFF2-40B4-BE49-F238E27FC236}">
              <a16:creationId xmlns:a16="http://schemas.microsoft.com/office/drawing/2014/main" id="{00000000-0008-0000-0800-000034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09" name="Text Box 310">
          <a:extLst>
            <a:ext uri="{FF2B5EF4-FFF2-40B4-BE49-F238E27FC236}">
              <a16:creationId xmlns:a16="http://schemas.microsoft.com/office/drawing/2014/main" id="{00000000-0008-0000-0800-000035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10" name="Text Box 311">
          <a:extLst>
            <a:ext uri="{FF2B5EF4-FFF2-40B4-BE49-F238E27FC236}">
              <a16:creationId xmlns:a16="http://schemas.microsoft.com/office/drawing/2014/main" id="{00000000-0008-0000-0800-000036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11" name="Text Box 312">
          <a:extLst>
            <a:ext uri="{FF2B5EF4-FFF2-40B4-BE49-F238E27FC236}">
              <a16:creationId xmlns:a16="http://schemas.microsoft.com/office/drawing/2014/main" id="{00000000-0008-0000-0800-000037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12" name="Text Box 313">
          <a:extLst>
            <a:ext uri="{FF2B5EF4-FFF2-40B4-BE49-F238E27FC236}">
              <a16:creationId xmlns:a16="http://schemas.microsoft.com/office/drawing/2014/main" id="{00000000-0008-0000-0800-000038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13" name="Text Box 314">
          <a:extLst>
            <a:ext uri="{FF2B5EF4-FFF2-40B4-BE49-F238E27FC236}">
              <a16:creationId xmlns:a16="http://schemas.microsoft.com/office/drawing/2014/main" id="{00000000-0008-0000-0800-000039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14" name="Text Box 315">
          <a:extLst>
            <a:ext uri="{FF2B5EF4-FFF2-40B4-BE49-F238E27FC236}">
              <a16:creationId xmlns:a16="http://schemas.microsoft.com/office/drawing/2014/main" id="{00000000-0008-0000-0800-00003A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15" name="Text Box 316">
          <a:extLst>
            <a:ext uri="{FF2B5EF4-FFF2-40B4-BE49-F238E27FC236}">
              <a16:creationId xmlns:a16="http://schemas.microsoft.com/office/drawing/2014/main" id="{00000000-0008-0000-0800-00003B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16" name="Text Box 317">
          <a:extLst>
            <a:ext uri="{FF2B5EF4-FFF2-40B4-BE49-F238E27FC236}">
              <a16:creationId xmlns:a16="http://schemas.microsoft.com/office/drawing/2014/main" id="{00000000-0008-0000-0800-00003C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17" name="Text Box 318">
          <a:extLst>
            <a:ext uri="{FF2B5EF4-FFF2-40B4-BE49-F238E27FC236}">
              <a16:creationId xmlns:a16="http://schemas.microsoft.com/office/drawing/2014/main" id="{00000000-0008-0000-0800-00003D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18" name="Text Box 319">
          <a:extLst>
            <a:ext uri="{FF2B5EF4-FFF2-40B4-BE49-F238E27FC236}">
              <a16:creationId xmlns:a16="http://schemas.microsoft.com/office/drawing/2014/main" id="{00000000-0008-0000-0800-00003E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19" name="Text Box 320">
          <a:extLst>
            <a:ext uri="{FF2B5EF4-FFF2-40B4-BE49-F238E27FC236}">
              <a16:creationId xmlns:a16="http://schemas.microsoft.com/office/drawing/2014/main" id="{00000000-0008-0000-0800-00003F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20" name="Text Box 321">
          <a:extLst>
            <a:ext uri="{FF2B5EF4-FFF2-40B4-BE49-F238E27FC236}">
              <a16:creationId xmlns:a16="http://schemas.microsoft.com/office/drawing/2014/main" id="{00000000-0008-0000-0800-000040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21" name="Text Box 322">
          <a:extLst>
            <a:ext uri="{FF2B5EF4-FFF2-40B4-BE49-F238E27FC236}">
              <a16:creationId xmlns:a16="http://schemas.microsoft.com/office/drawing/2014/main" id="{00000000-0008-0000-0800-000041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22" name="Text Box 323">
          <a:extLst>
            <a:ext uri="{FF2B5EF4-FFF2-40B4-BE49-F238E27FC236}">
              <a16:creationId xmlns:a16="http://schemas.microsoft.com/office/drawing/2014/main" id="{00000000-0008-0000-0800-000042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23" name="Text Box 324">
          <a:extLst>
            <a:ext uri="{FF2B5EF4-FFF2-40B4-BE49-F238E27FC236}">
              <a16:creationId xmlns:a16="http://schemas.microsoft.com/office/drawing/2014/main" id="{00000000-0008-0000-0800-000043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24" name="Text Box 325">
          <a:extLst>
            <a:ext uri="{FF2B5EF4-FFF2-40B4-BE49-F238E27FC236}">
              <a16:creationId xmlns:a16="http://schemas.microsoft.com/office/drawing/2014/main" id="{00000000-0008-0000-0800-000044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25" name="Text Box 326">
          <a:extLst>
            <a:ext uri="{FF2B5EF4-FFF2-40B4-BE49-F238E27FC236}">
              <a16:creationId xmlns:a16="http://schemas.microsoft.com/office/drawing/2014/main" id="{00000000-0008-0000-0800-000045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26" name="Text Box 327">
          <a:extLst>
            <a:ext uri="{FF2B5EF4-FFF2-40B4-BE49-F238E27FC236}">
              <a16:creationId xmlns:a16="http://schemas.microsoft.com/office/drawing/2014/main" id="{00000000-0008-0000-0800-000046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27" name="Text Box 328">
          <a:extLst>
            <a:ext uri="{FF2B5EF4-FFF2-40B4-BE49-F238E27FC236}">
              <a16:creationId xmlns:a16="http://schemas.microsoft.com/office/drawing/2014/main" id="{00000000-0008-0000-0800-000047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28" name="Text Box 329">
          <a:extLst>
            <a:ext uri="{FF2B5EF4-FFF2-40B4-BE49-F238E27FC236}">
              <a16:creationId xmlns:a16="http://schemas.microsoft.com/office/drawing/2014/main" id="{00000000-0008-0000-0800-000048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29" name="Text Box 330">
          <a:extLst>
            <a:ext uri="{FF2B5EF4-FFF2-40B4-BE49-F238E27FC236}">
              <a16:creationId xmlns:a16="http://schemas.microsoft.com/office/drawing/2014/main" id="{00000000-0008-0000-0800-000049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30" name="Text Box 331">
          <a:extLst>
            <a:ext uri="{FF2B5EF4-FFF2-40B4-BE49-F238E27FC236}">
              <a16:creationId xmlns:a16="http://schemas.microsoft.com/office/drawing/2014/main" id="{00000000-0008-0000-0800-00004A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31" name="Text Box 332">
          <a:extLst>
            <a:ext uri="{FF2B5EF4-FFF2-40B4-BE49-F238E27FC236}">
              <a16:creationId xmlns:a16="http://schemas.microsoft.com/office/drawing/2014/main" id="{00000000-0008-0000-0800-00004B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32" name="Text Box 333">
          <a:extLst>
            <a:ext uri="{FF2B5EF4-FFF2-40B4-BE49-F238E27FC236}">
              <a16:creationId xmlns:a16="http://schemas.microsoft.com/office/drawing/2014/main" id="{00000000-0008-0000-0800-00004C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33" name="Text Box 334">
          <a:extLst>
            <a:ext uri="{FF2B5EF4-FFF2-40B4-BE49-F238E27FC236}">
              <a16:creationId xmlns:a16="http://schemas.microsoft.com/office/drawing/2014/main" id="{00000000-0008-0000-0800-00004D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34" name="Text Box 335">
          <a:extLst>
            <a:ext uri="{FF2B5EF4-FFF2-40B4-BE49-F238E27FC236}">
              <a16:creationId xmlns:a16="http://schemas.microsoft.com/office/drawing/2014/main" id="{00000000-0008-0000-0800-00004E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35" name="Text Box 336">
          <a:extLst>
            <a:ext uri="{FF2B5EF4-FFF2-40B4-BE49-F238E27FC236}">
              <a16:creationId xmlns:a16="http://schemas.microsoft.com/office/drawing/2014/main" id="{00000000-0008-0000-0800-00004F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36" name="Text Box 337">
          <a:extLst>
            <a:ext uri="{FF2B5EF4-FFF2-40B4-BE49-F238E27FC236}">
              <a16:creationId xmlns:a16="http://schemas.microsoft.com/office/drawing/2014/main" id="{00000000-0008-0000-0800-000050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37" name="Text Box 338">
          <a:extLst>
            <a:ext uri="{FF2B5EF4-FFF2-40B4-BE49-F238E27FC236}">
              <a16:creationId xmlns:a16="http://schemas.microsoft.com/office/drawing/2014/main" id="{00000000-0008-0000-0800-000051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38" name="Text Box 339">
          <a:extLst>
            <a:ext uri="{FF2B5EF4-FFF2-40B4-BE49-F238E27FC236}">
              <a16:creationId xmlns:a16="http://schemas.microsoft.com/office/drawing/2014/main" id="{00000000-0008-0000-0800-000052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39" name="Text Box 340">
          <a:extLst>
            <a:ext uri="{FF2B5EF4-FFF2-40B4-BE49-F238E27FC236}">
              <a16:creationId xmlns:a16="http://schemas.microsoft.com/office/drawing/2014/main" id="{00000000-0008-0000-0800-000053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40" name="Text Box 341">
          <a:extLst>
            <a:ext uri="{FF2B5EF4-FFF2-40B4-BE49-F238E27FC236}">
              <a16:creationId xmlns:a16="http://schemas.microsoft.com/office/drawing/2014/main" id="{00000000-0008-0000-0800-000054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41" name="Text Box 342">
          <a:extLst>
            <a:ext uri="{FF2B5EF4-FFF2-40B4-BE49-F238E27FC236}">
              <a16:creationId xmlns:a16="http://schemas.microsoft.com/office/drawing/2014/main" id="{00000000-0008-0000-0800-000055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42" name="Text Box 343">
          <a:extLst>
            <a:ext uri="{FF2B5EF4-FFF2-40B4-BE49-F238E27FC236}">
              <a16:creationId xmlns:a16="http://schemas.microsoft.com/office/drawing/2014/main" id="{00000000-0008-0000-0800-000056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43" name="Text Box 344">
          <a:extLst>
            <a:ext uri="{FF2B5EF4-FFF2-40B4-BE49-F238E27FC236}">
              <a16:creationId xmlns:a16="http://schemas.microsoft.com/office/drawing/2014/main" id="{00000000-0008-0000-0800-000057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44" name="Text Box 345">
          <a:extLst>
            <a:ext uri="{FF2B5EF4-FFF2-40B4-BE49-F238E27FC236}">
              <a16:creationId xmlns:a16="http://schemas.microsoft.com/office/drawing/2014/main" id="{00000000-0008-0000-0800-000058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45" name="Text Box 346">
          <a:extLst>
            <a:ext uri="{FF2B5EF4-FFF2-40B4-BE49-F238E27FC236}">
              <a16:creationId xmlns:a16="http://schemas.microsoft.com/office/drawing/2014/main" id="{00000000-0008-0000-0800-000059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46" name="Text Box 347">
          <a:extLst>
            <a:ext uri="{FF2B5EF4-FFF2-40B4-BE49-F238E27FC236}">
              <a16:creationId xmlns:a16="http://schemas.microsoft.com/office/drawing/2014/main" id="{00000000-0008-0000-0800-00005A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47" name="Text Box 348">
          <a:extLst>
            <a:ext uri="{FF2B5EF4-FFF2-40B4-BE49-F238E27FC236}">
              <a16:creationId xmlns:a16="http://schemas.microsoft.com/office/drawing/2014/main" id="{00000000-0008-0000-0800-00005B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48" name="Text Box 349">
          <a:extLst>
            <a:ext uri="{FF2B5EF4-FFF2-40B4-BE49-F238E27FC236}">
              <a16:creationId xmlns:a16="http://schemas.microsoft.com/office/drawing/2014/main" id="{00000000-0008-0000-0800-00005C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49" name="Text Box 350">
          <a:extLst>
            <a:ext uri="{FF2B5EF4-FFF2-40B4-BE49-F238E27FC236}">
              <a16:creationId xmlns:a16="http://schemas.microsoft.com/office/drawing/2014/main" id="{00000000-0008-0000-0800-00005D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50" name="Text Box 351">
          <a:extLst>
            <a:ext uri="{FF2B5EF4-FFF2-40B4-BE49-F238E27FC236}">
              <a16:creationId xmlns:a16="http://schemas.microsoft.com/office/drawing/2014/main" id="{00000000-0008-0000-0800-00005E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51" name="Text Box 352">
          <a:extLst>
            <a:ext uri="{FF2B5EF4-FFF2-40B4-BE49-F238E27FC236}">
              <a16:creationId xmlns:a16="http://schemas.microsoft.com/office/drawing/2014/main" id="{00000000-0008-0000-0800-00005F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52" name="Text Box 353">
          <a:extLst>
            <a:ext uri="{FF2B5EF4-FFF2-40B4-BE49-F238E27FC236}">
              <a16:creationId xmlns:a16="http://schemas.microsoft.com/office/drawing/2014/main" id="{00000000-0008-0000-0800-000060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53" name="Text Box 354">
          <a:extLst>
            <a:ext uri="{FF2B5EF4-FFF2-40B4-BE49-F238E27FC236}">
              <a16:creationId xmlns:a16="http://schemas.microsoft.com/office/drawing/2014/main" id="{00000000-0008-0000-0800-000061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54" name="Text Box 355">
          <a:extLst>
            <a:ext uri="{FF2B5EF4-FFF2-40B4-BE49-F238E27FC236}">
              <a16:creationId xmlns:a16="http://schemas.microsoft.com/office/drawing/2014/main" id="{00000000-0008-0000-0800-000062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55" name="Text Box 356">
          <a:extLst>
            <a:ext uri="{FF2B5EF4-FFF2-40B4-BE49-F238E27FC236}">
              <a16:creationId xmlns:a16="http://schemas.microsoft.com/office/drawing/2014/main" id="{00000000-0008-0000-0800-000063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56" name="Text Box 357">
          <a:extLst>
            <a:ext uri="{FF2B5EF4-FFF2-40B4-BE49-F238E27FC236}">
              <a16:creationId xmlns:a16="http://schemas.microsoft.com/office/drawing/2014/main" id="{00000000-0008-0000-0800-000064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57" name="Text Box 358">
          <a:extLst>
            <a:ext uri="{FF2B5EF4-FFF2-40B4-BE49-F238E27FC236}">
              <a16:creationId xmlns:a16="http://schemas.microsoft.com/office/drawing/2014/main" id="{00000000-0008-0000-0800-000065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58" name="Text Box 359">
          <a:extLst>
            <a:ext uri="{FF2B5EF4-FFF2-40B4-BE49-F238E27FC236}">
              <a16:creationId xmlns:a16="http://schemas.microsoft.com/office/drawing/2014/main" id="{00000000-0008-0000-0800-000066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59" name="Text Box 360">
          <a:extLst>
            <a:ext uri="{FF2B5EF4-FFF2-40B4-BE49-F238E27FC236}">
              <a16:creationId xmlns:a16="http://schemas.microsoft.com/office/drawing/2014/main" id="{00000000-0008-0000-0800-000067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60" name="Text Box 361">
          <a:extLst>
            <a:ext uri="{FF2B5EF4-FFF2-40B4-BE49-F238E27FC236}">
              <a16:creationId xmlns:a16="http://schemas.microsoft.com/office/drawing/2014/main" id="{00000000-0008-0000-0800-000068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61" name="Text Box 362">
          <a:extLst>
            <a:ext uri="{FF2B5EF4-FFF2-40B4-BE49-F238E27FC236}">
              <a16:creationId xmlns:a16="http://schemas.microsoft.com/office/drawing/2014/main" id="{00000000-0008-0000-0800-000069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62" name="Text Box 363">
          <a:extLst>
            <a:ext uri="{FF2B5EF4-FFF2-40B4-BE49-F238E27FC236}">
              <a16:creationId xmlns:a16="http://schemas.microsoft.com/office/drawing/2014/main" id="{00000000-0008-0000-0800-00006A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63" name="Text Box 364">
          <a:extLst>
            <a:ext uri="{FF2B5EF4-FFF2-40B4-BE49-F238E27FC236}">
              <a16:creationId xmlns:a16="http://schemas.microsoft.com/office/drawing/2014/main" id="{00000000-0008-0000-0800-00006B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64" name="Text Box 365">
          <a:extLst>
            <a:ext uri="{FF2B5EF4-FFF2-40B4-BE49-F238E27FC236}">
              <a16:creationId xmlns:a16="http://schemas.microsoft.com/office/drawing/2014/main" id="{00000000-0008-0000-0800-00006C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65" name="Text Box 366">
          <a:extLst>
            <a:ext uri="{FF2B5EF4-FFF2-40B4-BE49-F238E27FC236}">
              <a16:creationId xmlns:a16="http://schemas.microsoft.com/office/drawing/2014/main" id="{00000000-0008-0000-0800-00006D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66" name="Text Box 367">
          <a:extLst>
            <a:ext uri="{FF2B5EF4-FFF2-40B4-BE49-F238E27FC236}">
              <a16:creationId xmlns:a16="http://schemas.microsoft.com/office/drawing/2014/main" id="{00000000-0008-0000-0800-00006E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67" name="Text Box 368">
          <a:extLst>
            <a:ext uri="{FF2B5EF4-FFF2-40B4-BE49-F238E27FC236}">
              <a16:creationId xmlns:a16="http://schemas.microsoft.com/office/drawing/2014/main" id="{00000000-0008-0000-0800-00006F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68" name="Text Box 369">
          <a:extLst>
            <a:ext uri="{FF2B5EF4-FFF2-40B4-BE49-F238E27FC236}">
              <a16:creationId xmlns:a16="http://schemas.microsoft.com/office/drawing/2014/main" id="{00000000-0008-0000-0800-000070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69" name="Text Box 370">
          <a:extLst>
            <a:ext uri="{FF2B5EF4-FFF2-40B4-BE49-F238E27FC236}">
              <a16:creationId xmlns:a16="http://schemas.microsoft.com/office/drawing/2014/main" id="{00000000-0008-0000-0800-000071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70" name="Text Box 371">
          <a:extLst>
            <a:ext uri="{FF2B5EF4-FFF2-40B4-BE49-F238E27FC236}">
              <a16:creationId xmlns:a16="http://schemas.microsoft.com/office/drawing/2014/main" id="{00000000-0008-0000-0800-000072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71" name="Text Box 372">
          <a:extLst>
            <a:ext uri="{FF2B5EF4-FFF2-40B4-BE49-F238E27FC236}">
              <a16:creationId xmlns:a16="http://schemas.microsoft.com/office/drawing/2014/main" id="{00000000-0008-0000-0800-000073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72" name="Text Box 373">
          <a:extLst>
            <a:ext uri="{FF2B5EF4-FFF2-40B4-BE49-F238E27FC236}">
              <a16:creationId xmlns:a16="http://schemas.microsoft.com/office/drawing/2014/main" id="{00000000-0008-0000-0800-000074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73" name="Text Box 374">
          <a:extLst>
            <a:ext uri="{FF2B5EF4-FFF2-40B4-BE49-F238E27FC236}">
              <a16:creationId xmlns:a16="http://schemas.microsoft.com/office/drawing/2014/main" id="{00000000-0008-0000-0800-000075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74" name="Text Box 375">
          <a:extLst>
            <a:ext uri="{FF2B5EF4-FFF2-40B4-BE49-F238E27FC236}">
              <a16:creationId xmlns:a16="http://schemas.microsoft.com/office/drawing/2014/main" id="{00000000-0008-0000-0800-000076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75" name="Text Box 376">
          <a:extLst>
            <a:ext uri="{FF2B5EF4-FFF2-40B4-BE49-F238E27FC236}">
              <a16:creationId xmlns:a16="http://schemas.microsoft.com/office/drawing/2014/main" id="{00000000-0008-0000-0800-000077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76" name="Text Box 377">
          <a:extLst>
            <a:ext uri="{FF2B5EF4-FFF2-40B4-BE49-F238E27FC236}">
              <a16:creationId xmlns:a16="http://schemas.microsoft.com/office/drawing/2014/main" id="{00000000-0008-0000-0800-000078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77" name="Text Box 378">
          <a:extLst>
            <a:ext uri="{FF2B5EF4-FFF2-40B4-BE49-F238E27FC236}">
              <a16:creationId xmlns:a16="http://schemas.microsoft.com/office/drawing/2014/main" id="{00000000-0008-0000-0800-000079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78" name="Text Box 379">
          <a:extLst>
            <a:ext uri="{FF2B5EF4-FFF2-40B4-BE49-F238E27FC236}">
              <a16:creationId xmlns:a16="http://schemas.microsoft.com/office/drawing/2014/main" id="{00000000-0008-0000-0800-00007A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79" name="Text Box 380">
          <a:extLst>
            <a:ext uri="{FF2B5EF4-FFF2-40B4-BE49-F238E27FC236}">
              <a16:creationId xmlns:a16="http://schemas.microsoft.com/office/drawing/2014/main" id="{00000000-0008-0000-0800-00007B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80" name="Text Box 381">
          <a:extLst>
            <a:ext uri="{FF2B5EF4-FFF2-40B4-BE49-F238E27FC236}">
              <a16:creationId xmlns:a16="http://schemas.microsoft.com/office/drawing/2014/main" id="{00000000-0008-0000-0800-00007C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81" name="Text Box 382">
          <a:extLst>
            <a:ext uri="{FF2B5EF4-FFF2-40B4-BE49-F238E27FC236}">
              <a16:creationId xmlns:a16="http://schemas.microsoft.com/office/drawing/2014/main" id="{00000000-0008-0000-0800-00007D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82" name="Text Box 383">
          <a:extLst>
            <a:ext uri="{FF2B5EF4-FFF2-40B4-BE49-F238E27FC236}">
              <a16:creationId xmlns:a16="http://schemas.microsoft.com/office/drawing/2014/main" id="{00000000-0008-0000-0800-00007E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83" name="Text Box 384">
          <a:extLst>
            <a:ext uri="{FF2B5EF4-FFF2-40B4-BE49-F238E27FC236}">
              <a16:creationId xmlns:a16="http://schemas.microsoft.com/office/drawing/2014/main" id="{00000000-0008-0000-0800-00007F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84" name="Text Box 385">
          <a:extLst>
            <a:ext uri="{FF2B5EF4-FFF2-40B4-BE49-F238E27FC236}">
              <a16:creationId xmlns:a16="http://schemas.microsoft.com/office/drawing/2014/main" id="{00000000-0008-0000-0800-000080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85" name="Text Box 386">
          <a:extLst>
            <a:ext uri="{FF2B5EF4-FFF2-40B4-BE49-F238E27FC236}">
              <a16:creationId xmlns:a16="http://schemas.microsoft.com/office/drawing/2014/main" id="{00000000-0008-0000-0800-000081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86" name="Text Box 387">
          <a:extLst>
            <a:ext uri="{FF2B5EF4-FFF2-40B4-BE49-F238E27FC236}">
              <a16:creationId xmlns:a16="http://schemas.microsoft.com/office/drawing/2014/main" id="{00000000-0008-0000-0800-000082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87" name="Text Box 388">
          <a:extLst>
            <a:ext uri="{FF2B5EF4-FFF2-40B4-BE49-F238E27FC236}">
              <a16:creationId xmlns:a16="http://schemas.microsoft.com/office/drawing/2014/main" id="{00000000-0008-0000-0800-000083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88" name="Text Box 389">
          <a:extLst>
            <a:ext uri="{FF2B5EF4-FFF2-40B4-BE49-F238E27FC236}">
              <a16:creationId xmlns:a16="http://schemas.microsoft.com/office/drawing/2014/main" id="{00000000-0008-0000-0800-000084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89" name="Text Box 390">
          <a:extLst>
            <a:ext uri="{FF2B5EF4-FFF2-40B4-BE49-F238E27FC236}">
              <a16:creationId xmlns:a16="http://schemas.microsoft.com/office/drawing/2014/main" id="{00000000-0008-0000-0800-000085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90" name="Text Box 391">
          <a:extLst>
            <a:ext uri="{FF2B5EF4-FFF2-40B4-BE49-F238E27FC236}">
              <a16:creationId xmlns:a16="http://schemas.microsoft.com/office/drawing/2014/main" id="{00000000-0008-0000-0800-000086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91" name="Text Box 392">
          <a:extLst>
            <a:ext uri="{FF2B5EF4-FFF2-40B4-BE49-F238E27FC236}">
              <a16:creationId xmlns:a16="http://schemas.microsoft.com/office/drawing/2014/main" id="{00000000-0008-0000-0800-000087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92" name="Text Box 393">
          <a:extLst>
            <a:ext uri="{FF2B5EF4-FFF2-40B4-BE49-F238E27FC236}">
              <a16:creationId xmlns:a16="http://schemas.microsoft.com/office/drawing/2014/main" id="{00000000-0008-0000-0800-000088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93" name="Text Box 394">
          <a:extLst>
            <a:ext uri="{FF2B5EF4-FFF2-40B4-BE49-F238E27FC236}">
              <a16:creationId xmlns:a16="http://schemas.microsoft.com/office/drawing/2014/main" id="{00000000-0008-0000-0800-000089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94" name="Text Box 395">
          <a:extLst>
            <a:ext uri="{FF2B5EF4-FFF2-40B4-BE49-F238E27FC236}">
              <a16:creationId xmlns:a16="http://schemas.microsoft.com/office/drawing/2014/main" id="{00000000-0008-0000-0800-00008A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95" name="Text Box 396">
          <a:extLst>
            <a:ext uri="{FF2B5EF4-FFF2-40B4-BE49-F238E27FC236}">
              <a16:creationId xmlns:a16="http://schemas.microsoft.com/office/drawing/2014/main" id="{00000000-0008-0000-0800-00008B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96" name="Text Box 397">
          <a:extLst>
            <a:ext uri="{FF2B5EF4-FFF2-40B4-BE49-F238E27FC236}">
              <a16:creationId xmlns:a16="http://schemas.microsoft.com/office/drawing/2014/main" id="{00000000-0008-0000-0800-00008C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97" name="Text Box 398">
          <a:extLst>
            <a:ext uri="{FF2B5EF4-FFF2-40B4-BE49-F238E27FC236}">
              <a16:creationId xmlns:a16="http://schemas.microsoft.com/office/drawing/2014/main" id="{00000000-0008-0000-0800-00008D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98" name="Text Box 399">
          <a:extLst>
            <a:ext uri="{FF2B5EF4-FFF2-40B4-BE49-F238E27FC236}">
              <a16:creationId xmlns:a16="http://schemas.microsoft.com/office/drawing/2014/main" id="{00000000-0008-0000-0800-00008E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399" name="Text Box 400">
          <a:extLst>
            <a:ext uri="{FF2B5EF4-FFF2-40B4-BE49-F238E27FC236}">
              <a16:creationId xmlns:a16="http://schemas.microsoft.com/office/drawing/2014/main" id="{00000000-0008-0000-0800-00008F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00" name="Text Box 401">
          <a:extLst>
            <a:ext uri="{FF2B5EF4-FFF2-40B4-BE49-F238E27FC236}">
              <a16:creationId xmlns:a16="http://schemas.microsoft.com/office/drawing/2014/main" id="{00000000-0008-0000-0800-000090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01" name="Text Box 402">
          <a:extLst>
            <a:ext uri="{FF2B5EF4-FFF2-40B4-BE49-F238E27FC236}">
              <a16:creationId xmlns:a16="http://schemas.microsoft.com/office/drawing/2014/main" id="{00000000-0008-0000-0800-000091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02" name="Text Box 403">
          <a:extLst>
            <a:ext uri="{FF2B5EF4-FFF2-40B4-BE49-F238E27FC236}">
              <a16:creationId xmlns:a16="http://schemas.microsoft.com/office/drawing/2014/main" id="{00000000-0008-0000-0800-000092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03" name="Text Box 404">
          <a:extLst>
            <a:ext uri="{FF2B5EF4-FFF2-40B4-BE49-F238E27FC236}">
              <a16:creationId xmlns:a16="http://schemas.microsoft.com/office/drawing/2014/main" id="{00000000-0008-0000-0800-000093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04" name="Text Box 405">
          <a:extLst>
            <a:ext uri="{FF2B5EF4-FFF2-40B4-BE49-F238E27FC236}">
              <a16:creationId xmlns:a16="http://schemas.microsoft.com/office/drawing/2014/main" id="{00000000-0008-0000-0800-000094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05" name="Text Box 406">
          <a:extLst>
            <a:ext uri="{FF2B5EF4-FFF2-40B4-BE49-F238E27FC236}">
              <a16:creationId xmlns:a16="http://schemas.microsoft.com/office/drawing/2014/main" id="{00000000-0008-0000-0800-000095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06" name="Text Box 407">
          <a:extLst>
            <a:ext uri="{FF2B5EF4-FFF2-40B4-BE49-F238E27FC236}">
              <a16:creationId xmlns:a16="http://schemas.microsoft.com/office/drawing/2014/main" id="{00000000-0008-0000-0800-000096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07" name="Text Box 408">
          <a:extLst>
            <a:ext uri="{FF2B5EF4-FFF2-40B4-BE49-F238E27FC236}">
              <a16:creationId xmlns:a16="http://schemas.microsoft.com/office/drawing/2014/main" id="{00000000-0008-0000-0800-000097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08" name="Text Box 409">
          <a:extLst>
            <a:ext uri="{FF2B5EF4-FFF2-40B4-BE49-F238E27FC236}">
              <a16:creationId xmlns:a16="http://schemas.microsoft.com/office/drawing/2014/main" id="{00000000-0008-0000-0800-000098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09" name="Text Box 410">
          <a:extLst>
            <a:ext uri="{FF2B5EF4-FFF2-40B4-BE49-F238E27FC236}">
              <a16:creationId xmlns:a16="http://schemas.microsoft.com/office/drawing/2014/main" id="{00000000-0008-0000-0800-000099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10" name="Text Box 411">
          <a:extLst>
            <a:ext uri="{FF2B5EF4-FFF2-40B4-BE49-F238E27FC236}">
              <a16:creationId xmlns:a16="http://schemas.microsoft.com/office/drawing/2014/main" id="{00000000-0008-0000-0800-00009A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11" name="Text Box 412">
          <a:extLst>
            <a:ext uri="{FF2B5EF4-FFF2-40B4-BE49-F238E27FC236}">
              <a16:creationId xmlns:a16="http://schemas.microsoft.com/office/drawing/2014/main" id="{00000000-0008-0000-0800-00009B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12" name="Text Box 413">
          <a:extLst>
            <a:ext uri="{FF2B5EF4-FFF2-40B4-BE49-F238E27FC236}">
              <a16:creationId xmlns:a16="http://schemas.microsoft.com/office/drawing/2014/main" id="{00000000-0008-0000-0800-00009C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13" name="Text Box 414">
          <a:extLst>
            <a:ext uri="{FF2B5EF4-FFF2-40B4-BE49-F238E27FC236}">
              <a16:creationId xmlns:a16="http://schemas.microsoft.com/office/drawing/2014/main" id="{00000000-0008-0000-0800-00009D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14" name="Text Box 415">
          <a:extLst>
            <a:ext uri="{FF2B5EF4-FFF2-40B4-BE49-F238E27FC236}">
              <a16:creationId xmlns:a16="http://schemas.microsoft.com/office/drawing/2014/main" id="{00000000-0008-0000-0800-00009E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15" name="Text Box 416">
          <a:extLst>
            <a:ext uri="{FF2B5EF4-FFF2-40B4-BE49-F238E27FC236}">
              <a16:creationId xmlns:a16="http://schemas.microsoft.com/office/drawing/2014/main" id="{00000000-0008-0000-0800-00009F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16" name="Text Box 417">
          <a:extLst>
            <a:ext uri="{FF2B5EF4-FFF2-40B4-BE49-F238E27FC236}">
              <a16:creationId xmlns:a16="http://schemas.microsoft.com/office/drawing/2014/main" id="{00000000-0008-0000-0800-0000A0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17" name="Text Box 418">
          <a:extLst>
            <a:ext uri="{FF2B5EF4-FFF2-40B4-BE49-F238E27FC236}">
              <a16:creationId xmlns:a16="http://schemas.microsoft.com/office/drawing/2014/main" id="{00000000-0008-0000-0800-0000A1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18" name="Text Box 419">
          <a:extLst>
            <a:ext uri="{FF2B5EF4-FFF2-40B4-BE49-F238E27FC236}">
              <a16:creationId xmlns:a16="http://schemas.microsoft.com/office/drawing/2014/main" id="{00000000-0008-0000-0800-0000A2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19" name="Text Box 420">
          <a:extLst>
            <a:ext uri="{FF2B5EF4-FFF2-40B4-BE49-F238E27FC236}">
              <a16:creationId xmlns:a16="http://schemas.microsoft.com/office/drawing/2014/main" id="{00000000-0008-0000-0800-0000A3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20" name="Text Box 421">
          <a:extLst>
            <a:ext uri="{FF2B5EF4-FFF2-40B4-BE49-F238E27FC236}">
              <a16:creationId xmlns:a16="http://schemas.microsoft.com/office/drawing/2014/main" id="{00000000-0008-0000-0800-0000A4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21" name="Text Box 422">
          <a:extLst>
            <a:ext uri="{FF2B5EF4-FFF2-40B4-BE49-F238E27FC236}">
              <a16:creationId xmlns:a16="http://schemas.microsoft.com/office/drawing/2014/main" id="{00000000-0008-0000-0800-0000A5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22" name="Text Box 423">
          <a:extLst>
            <a:ext uri="{FF2B5EF4-FFF2-40B4-BE49-F238E27FC236}">
              <a16:creationId xmlns:a16="http://schemas.microsoft.com/office/drawing/2014/main" id="{00000000-0008-0000-0800-0000A6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23" name="Text Box 424">
          <a:extLst>
            <a:ext uri="{FF2B5EF4-FFF2-40B4-BE49-F238E27FC236}">
              <a16:creationId xmlns:a16="http://schemas.microsoft.com/office/drawing/2014/main" id="{00000000-0008-0000-0800-0000A7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24" name="Text Box 425">
          <a:extLst>
            <a:ext uri="{FF2B5EF4-FFF2-40B4-BE49-F238E27FC236}">
              <a16:creationId xmlns:a16="http://schemas.microsoft.com/office/drawing/2014/main" id="{00000000-0008-0000-0800-0000A8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25" name="Text Box 426">
          <a:extLst>
            <a:ext uri="{FF2B5EF4-FFF2-40B4-BE49-F238E27FC236}">
              <a16:creationId xmlns:a16="http://schemas.microsoft.com/office/drawing/2014/main" id="{00000000-0008-0000-0800-0000A9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26" name="Text Box 427">
          <a:extLst>
            <a:ext uri="{FF2B5EF4-FFF2-40B4-BE49-F238E27FC236}">
              <a16:creationId xmlns:a16="http://schemas.microsoft.com/office/drawing/2014/main" id="{00000000-0008-0000-0800-0000AA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27" name="Text Box 428">
          <a:extLst>
            <a:ext uri="{FF2B5EF4-FFF2-40B4-BE49-F238E27FC236}">
              <a16:creationId xmlns:a16="http://schemas.microsoft.com/office/drawing/2014/main" id="{00000000-0008-0000-0800-0000AB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28" name="Text Box 429">
          <a:extLst>
            <a:ext uri="{FF2B5EF4-FFF2-40B4-BE49-F238E27FC236}">
              <a16:creationId xmlns:a16="http://schemas.microsoft.com/office/drawing/2014/main" id="{00000000-0008-0000-0800-0000AC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29" name="Text Box 430">
          <a:extLst>
            <a:ext uri="{FF2B5EF4-FFF2-40B4-BE49-F238E27FC236}">
              <a16:creationId xmlns:a16="http://schemas.microsoft.com/office/drawing/2014/main" id="{00000000-0008-0000-0800-0000AD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30" name="Text Box 431">
          <a:extLst>
            <a:ext uri="{FF2B5EF4-FFF2-40B4-BE49-F238E27FC236}">
              <a16:creationId xmlns:a16="http://schemas.microsoft.com/office/drawing/2014/main" id="{00000000-0008-0000-0800-0000AE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31" name="Text Box 432">
          <a:extLst>
            <a:ext uri="{FF2B5EF4-FFF2-40B4-BE49-F238E27FC236}">
              <a16:creationId xmlns:a16="http://schemas.microsoft.com/office/drawing/2014/main" id="{00000000-0008-0000-0800-0000AF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32" name="Text Box 433">
          <a:extLst>
            <a:ext uri="{FF2B5EF4-FFF2-40B4-BE49-F238E27FC236}">
              <a16:creationId xmlns:a16="http://schemas.microsoft.com/office/drawing/2014/main" id="{00000000-0008-0000-0800-0000B0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33" name="Text Box 434">
          <a:extLst>
            <a:ext uri="{FF2B5EF4-FFF2-40B4-BE49-F238E27FC236}">
              <a16:creationId xmlns:a16="http://schemas.microsoft.com/office/drawing/2014/main" id="{00000000-0008-0000-0800-0000B1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34" name="Text Box 435">
          <a:extLst>
            <a:ext uri="{FF2B5EF4-FFF2-40B4-BE49-F238E27FC236}">
              <a16:creationId xmlns:a16="http://schemas.microsoft.com/office/drawing/2014/main" id="{00000000-0008-0000-0800-0000B2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35" name="Text Box 436">
          <a:extLst>
            <a:ext uri="{FF2B5EF4-FFF2-40B4-BE49-F238E27FC236}">
              <a16:creationId xmlns:a16="http://schemas.microsoft.com/office/drawing/2014/main" id="{00000000-0008-0000-0800-0000B3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36" name="Text Box 437">
          <a:extLst>
            <a:ext uri="{FF2B5EF4-FFF2-40B4-BE49-F238E27FC236}">
              <a16:creationId xmlns:a16="http://schemas.microsoft.com/office/drawing/2014/main" id="{00000000-0008-0000-0800-0000B4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37" name="Text Box 438">
          <a:extLst>
            <a:ext uri="{FF2B5EF4-FFF2-40B4-BE49-F238E27FC236}">
              <a16:creationId xmlns:a16="http://schemas.microsoft.com/office/drawing/2014/main" id="{00000000-0008-0000-0800-0000B5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38" name="Text Box 439">
          <a:extLst>
            <a:ext uri="{FF2B5EF4-FFF2-40B4-BE49-F238E27FC236}">
              <a16:creationId xmlns:a16="http://schemas.microsoft.com/office/drawing/2014/main" id="{00000000-0008-0000-0800-0000B6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39" name="Text Box 440">
          <a:extLst>
            <a:ext uri="{FF2B5EF4-FFF2-40B4-BE49-F238E27FC236}">
              <a16:creationId xmlns:a16="http://schemas.microsoft.com/office/drawing/2014/main" id="{00000000-0008-0000-0800-0000B7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40" name="Text Box 441">
          <a:extLst>
            <a:ext uri="{FF2B5EF4-FFF2-40B4-BE49-F238E27FC236}">
              <a16:creationId xmlns:a16="http://schemas.microsoft.com/office/drawing/2014/main" id="{00000000-0008-0000-0800-0000B8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41" name="Text Box 442">
          <a:extLst>
            <a:ext uri="{FF2B5EF4-FFF2-40B4-BE49-F238E27FC236}">
              <a16:creationId xmlns:a16="http://schemas.microsoft.com/office/drawing/2014/main" id="{00000000-0008-0000-0800-0000B9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42" name="Text Box 443">
          <a:extLst>
            <a:ext uri="{FF2B5EF4-FFF2-40B4-BE49-F238E27FC236}">
              <a16:creationId xmlns:a16="http://schemas.microsoft.com/office/drawing/2014/main" id="{00000000-0008-0000-0800-0000BA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43" name="Text Box 444">
          <a:extLst>
            <a:ext uri="{FF2B5EF4-FFF2-40B4-BE49-F238E27FC236}">
              <a16:creationId xmlns:a16="http://schemas.microsoft.com/office/drawing/2014/main" id="{00000000-0008-0000-0800-0000BB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44" name="Text Box 445">
          <a:extLst>
            <a:ext uri="{FF2B5EF4-FFF2-40B4-BE49-F238E27FC236}">
              <a16:creationId xmlns:a16="http://schemas.microsoft.com/office/drawing/2014/main" id="{00000000-0008-0000-0800-0000BC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45" name="Text Box 446">
          <a:extLst>
            <a:ext uri="{FF2B5EF4-FFF2-40B4-BE49-F238E27FC236}">
              <a16:creationId xmlns:a16="http://schemas.microsoft.com/office/drawing/2014/main" id="{00000000-0008-0000-0800-0000BD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106680</xdr:colOff>
      <xdr:row>4502</xdr:row>
      <xdr:rowOff>3981</xdr:rowOff>
    </xdr:to>
    <xdr:sp macro="" textlink="">
      <xdr:nvSpPr>
        <xdr:cNvPr id="446" name="Text Box 447">
          <a:extLst>
            <a:ext uri="{FF2B5EF4-FFF2-40B4-BE49-F238E27FC236}">
              <a16:creationId xmlns:a16="http://schemas.microsoft.com/office/drawing/2014/main" id="{00000000-0008-0000-0800-0000BE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106680" cy="132450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47" name="Text Box 76">
          <a:extLst>
            <a:ext uri="{FF2B5EF4-FFF2-40B4-BE49-F238E27FC236}">
              <a16:creationId xmlns:a16="http://schemas.microsoft.com/office/drawing/2014/main" id="{00000000-0008-0000-0800-0000BF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48" name="Text Box 77">
          <a:extLst>
            <a:ext uri="{FF2B5EF4-FFF2-40B4-BE49-F238E27FC236}">
              <a16:creationId xmlns:a16="http://schemas.microsoft.com/office/drawing/2014/main" id="{00000000-0008-0000-0800-0000C0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49" name="Text Box 78">
          <a:extLst>
            <a:ext uri="{FF2B5EF4-FFF2-40B4-BE49-F238E27FC236}">
              <a16:creationId xmlns:a16="http://schemas.microsoft.com/office/drawing/2014/main" id="{00000000-0008-0000-0800-0000C1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50" name="Text Box 79">
          <a:extLst>
            <a:ext uri="{FF2B5EF4-FFF2-40B4-BE49-F238E27FC236}">
              <a16:creationId xmlns:a16="http://schemas.microsoft.com/office/drawing/2014/main" id="{00000000-0008-0000-0800-0000C2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51" name="Text Box 80">
          <a:extLst>
            <a:ext uri="{FF2B5EF4-FFF2-40B4-BE49-F238E27FC236}">
              <a16:creationId xmlns:a16="http://schemas.microsoft.com/office/drawing/2014/main" id="{00000000-0008-0000-0800-0000C3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52" name="Text Box 81">
          <a:extLst>
            <a:ext uri="{FF2B5EF4-FFF2-40B4-BE49-F238E27FC236}">
              <a16:creationId xmlns:a16="http://schemas.microsoft.com/office/drawing/2014/main" id="{00000000-0008-0000-0800-0000C4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53" name="Text Box 82">
          <a:extLst>
            <a:ext uri="{FF2B5EF4-FFF2-40B4-BE49-F238E27FC236}">
              <a16:creationId xmlns:a16="http://schemas.microsoft.com/office/drawing/2014/main" id="{00000000-0008-0000-0800-0000C5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54" name="Text Box 83">
          <a:extLst>
            <a:ext uri="{FF2B5EF4-FFF2-40B4-BE49-F238E27FC236}">
              <a16:creationId xmlns:a16="http://schemas.microsoft.com/office/drawing/2014/main" id="{00000000-0008-0000-0800-0000C6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55" name="Text Box 84">
          <a:extLst>
            <a:ext uri="{FF2B5EF4-FFF2-40B4-BE49-F238E27FC236}">
              <a16:creationId xmlns:a16="http://schemas.microsoft.com/office/drawing/2014/main" id="{00000000-0008-0000-0800-0000C7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56" name="Text Box 85">
          <a:extLst>
            <a:ext uri="{FF2B5EF4-FFF2-40B4-BE49-F238E27FC236}">
              <a16:creationId xmlns:a16="http://schemas.microsoft.com/office/drawing/2014/main" id="{00000000-0008-0000-0800-0000C8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57" name="Text Box 86">
          <a:extLst>
            <a:ext uri="{FF2B5EF4-FFF2-40B4-BE49-F238E27FC236}">
              <a16:creationId xmlns:a16="http://schemas.microsoft.com/office/drawing/2014/main" id="{00000000-0008-0000-0800-0000C9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58" name="Text Box 87">
          <a:extLst>
            <a:ext uri="{FF2B5EF4-FFF2-40B4-BE49-F238E27FC236}">
              <a16:creationId xmlns:a16="http://schemas.microsoft.com/office/drawing/2014/main" id="{00000000-0008-0000-0800-0000CA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59" name="Text Box 88">
          <a:extLst>
            <a:ext uri="{FF2B5EF4-FFF2-40B4-BE49-F238E27FC236}">
              <a16:creationId xmlns:a16="http://schemas.microsoft.com/office/drawing/2014/main" id="{00000000-0008-0000-0800-0000CB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60" name="Text Box 89">
          <a:extLst>
            <a:ext uri="{FF2B5EF4-FFF2-40B4-BE49-F238E27FC236}">
              <a16:creationId xmlns:a16="http://schemas.microsoft.com/office/drawing/2014/main" id="{00000000-0008-0000-0800-0000CC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61" name="Text Box 90">
          <a:extLst>
            <a:ext uri="{FF2B5EF4-FFF2-40B4-BE49-F238E27FC236}">
              <a16:creationId xmlns:a16="http://schemas.microsoft.com/office/drawing/2014/main" id="{00000000-0008-0000-0800-0000CD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62" name="Text Box 91">
          <a:extLst>
            <a:ext uri="{FF2B5EF4-FFF2-40B4-BE49-F238E27FC236}">
              <a16:creationId xmlns:a16="http://schemas.microsoft.com/office/drawing/2014/main" id="{00000000-0008-0000-0800-0000CE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63" name="Text Box 92">
          <a:extLst>
            <a:ext uri="{FF2B5EF4-FFF2-40B4-BE49-F238E27FC236}">
              <a16:creationId xmlns:a16="http://schemas.microsoft.com/office/drawing/2014/main" id="{00000000-0008-0000-0800-0000CF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64" name="Text Box 93">
          <a:extLst>
            <a:ext uri="{FF2B5EF4-FFF2-40B4-BE49-F238E27FC236}">
              <a16:creationId xmlns:a16="http://schemas.microsoft.com/office/drawing/2014/main" id="{00000000-0008-0000-0800-0000D0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65" name="Text Box 94">
          <a:extLst>
            <a:ext uri="{FF2B5EF4-FFF2-40B4-BE49-F238E27FC236}">
              <a16:creationId xmlns:a16="http://schemas.microsoft.com/office/drawing/2014/main" id="{00000000-0008-0000-0800-0000D1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66" name="Text Box 95">
          <a:extLst>
            <a:ext uri="{FF2B5EF4-FFF2-40B4-BE49-F238E27FC236}">
              <a16:creationId xmlns:a16="http://schemas.microsoft.com/office/drawing/2014/main" id="{00000000-0008-0000-0800-0000D2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67" name="Text Box 96">
          <a:extLst>
            <a:ext uri="{FF2B5EF4-FFF2-40B4-BE49-F238E27FC236}">
              <a16:creationId xmlns:a16="http://schemas.microsoft.com/office/drawing/2014/main" id="{00000000-0008-0000-0800-0000D3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68" name="Text Box 97">
          <a:extLst>
            <a:ext uri="{FF2B5EF4-FFF2-40B4-BE49-F238E27FC236}">
              <a16:creationId xmlns:a16="http://schemas.microsoft.com/office/drawing/2014/main" id="{00000000-0008-0000-0800-0000D4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69" name="Text Box 98">
          <a:extLst>
            <a:ext uri="{FF2B5EF4-FFF2-40B4-BE49-F238E27FC236}">
              <a16:creationId xmlns:a16="http://schemas.microsoft.com/office/drawing/2014/main" id="{00000000-0008-0000-0800-0000D5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70" name="Text Box 99">
          <a:extLst>
            <a:ext uri="{FF2B5EF4-FFF2-40B4-BE49-F238E27FC236}">
              <a16:creationId xmlns:a16="http://schemas.microsoft.com/office/drawing/2014/main" id="{00000000-0008-0000-0800-0000D6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71" name="Text Box 100">
          <a:extLst>
            <a:ext uri="{FF2B5EF4-FFF2-40B4-BE49-F238E27FC236}">
              <a16:creationId xmlns:a16="http://schemas.microsoft.com/office/drawing/2014/main" id="{00000000-0008-0000-0800-0000D7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72" name="Text Box 101">
          <a:extLst>
            <a:ext uri="{FF2B5EF4-FFF2-40B4-BE49-F238E27FC236}">
              <a16:creationId xmlns:a16="http://schemas.microsoft.com/office/drawing/2014/main" id="{00000000-0008-0000-0800-0000D8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73" name="Text Box 102">
          <a:extLst>
            <a:ext uri="{FF2B5EF4-FFF2-40B4-BE49-F238E27FC236}">
              <a16:creationId xmlns:a16="http://schemas.microsoft.com/office/drawing/2014/main" id="{00000000-0008-0000-0800-0000D9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74" name="Text Box 103">
          <a:extLst>
            <a:ext uri="{FF2B5EF4-FFF2-40B4-BE49-F238E27FC236}">
              <a16:creationId xmlns:a16="http://schemas.microsoft.com/office/drawing/2014/main" id="{00000000-0008-0000-0800-0000DA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75" name="Text Box 104">
          <a:extLst>
            <a:ext uri="{FF2B5EF4-FFF2-40B4-BE49-F238E27FC236}">
              <a16:creationId xmlns:a16="http://schemas.microsoft.com/office/drawing/2014/main" id="{00000000-0008-0000-0800-0000DB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76" name="Text Box 105">
          <a:extLst>
            <a:ext uri="{FF2B5EF4-FFF2-40B4-BE49-F238E27FC236}">
              <a16:creationId xmlns:a16="http://schemas.microsoft.com/office/drawing/2014/main" id="{00000000-0008-0000-0800-0000DC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77" name="Text Box 106">
          <a:extLst>
            <a:ext uri="{FF2B5EF4-FFF2-40B4-BE49-F238E27FC236}">
              <a16:creationId xmlns:a16="http://schemas.microsoft.com/office/drawing/2014/main" id="{00000000-0008-0000-0800-0000DD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78" name="Text Box 107">
          <a:extLst>
            <a:ext uri="{FF2B5EF4-FFF2-40B4-BE49-F238E27FC236}">
              <a16:creationId xmlns:a16="http://schemas.microsoft.com/office/drawing/2014/main" id="{00000000-0008-0000-0800-0000DE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79" name="Text Box 108">
          <a:extLst>
            <a:ext uri="{FF2B5EF4-FFF2-40B4-BE49-F238E27FC236}">
              <a16:creationId xmlns:a16="http://schemas.microsoft.com/office/drawing/2014/main" id="{00000000-0008-0000-0800-0000DF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80" name="Text Box 109">
          <a:extLst>
            <a:ext uri="{FF2B5EF4-FFF2-40B4-BE49-F238E27FC236}">
              <a16:creationId xmlns:a16="http://schemas.microsoft.com/office/drawing/2014/main" id="{00000000-0008-0000-0800-0000E0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81" name="Text Box 110">
          <a:extLst>
            <a:ext uri="{FF2B5EF4-FFF2-40B4-BE49-F238E27FC236}">
              <a16:creationId xmlns:a16="http://schemas.microsoft.com/office/drawing/2014/main" id="{00000000-0008-0000-0800-0000E1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82" name="Text Box 111">
          <a:extLst>
            <a:ext uri="{FF2B5EF4-FFF2-40B4-BE49-F238E27FC236}">
              <a16:creationId xmlns:a16="http://schemas.microsoft.com/office/drawing/2014/main" id="{00000000-0008-0000-0800-0000E2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83" name="Text Box 112">
          <a:extLst>
            <a:ext uri="{FF2B5EF4-FFF2-40B4-BE49-F238E27FC236}">
              <a16:creationId xmlns:a16="http://schemas.microsoft.com/office/drawing/2014/main" id="{00000000-0008-0000-0800-0000E3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84" name="Text Box 113">
          <a:extLst>
            <a:ext uri="{FF2B5EF4-FFF2-40B4-BE49-F238E27FC236}">
              <a16:creationId xmlns:a16="http://schemas.microsoft.com/office/drawing/2014/main" id="{00000000-0008-0000-0800-0000E4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85" name="Text Box 114">
          <a:extLst>
            <a:ext uri="{FF2B5EF4-FFF2-40B4-BE49-F238E27FC236}">
              <a16:creationId xmlns:a16="http://schemas.microsoft.com/office/drawing/2014/main" id="{00000000-0008-0000-0800-0000E5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86" name="Text Box 115">
          <a:extLst>
            <a:ext uri="{FF2B5EF4-FFF2-40B4-BE49-F238E27FC236}">
              <a16:creationId xmlns:a16="http://schemas.microsoft.com/office/drawing/2014/main" id="{00000000-0008-0000-0800-0000E6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87" name="Text Box 116">
          <a:extLst>
            <a:ext uri="{FF2B5EF4-FFF2-40B4-BE49-F238E27FC236}">
              <a16:creationId xmlns:a16="http://schemas.microsoft.com/office/drawing/2014/main" id="{00000000-0008-0000-0800-0000E7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88" name="Text Box 117">
          <a:extLst>
            <a:ext uri="{FF2B5EF4-FFF2-40B4-BE49-F238E27FC236}">
              <a16:creationId xmlns:a16="http://schemas.microsoft.com/office/drawing/2014/main" id="{00000000-0008-0000-0800-0000E8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89" name="Text Box 118">
          <a:extLst>
            <a:ext uri="{FF2B5EF4-FFF2-40B4-BE49-F238E27FC236}">
              <a16:creationId xmlns:a16="http://schemas.microsoft.com/office/drawing/2014/main" id="{00000000-0008-0000-0800-0000E9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90" name="Text Box 119">
          <a:extLst>
            <a:ext uri="{FF2B5EF4-FFF2-40B4-BE49-F238E27FC236}">
              <a16:creationId xmlns:a16="http://schemas.microsoft.com/office/drawing/2014/main" id="{00000000-0008-0000-0800-0000EA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91" name="Text Box 120">
          <a:extLst>
            <a:ext uri="{FF2B5EF4-FFF2-40B4-BE49-F238E27FC236}">
              <a16:creationId xmlns:a16="http://schemas.microsoft.com/office/drawing/2014/main" id="{00000000-0008-0000-0800-0000EB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92" name="Text Box 121">
          <a:extLst>
            <a:ext uri="{FF2B5EF4-FFF2-40B4-BE49-F238E27FC236}">
              <a16:creationId xmlns:a16="http://schemas.microsoft.com/office/drawing/2014/main" id="{00000000-0008-0000-0800-0000EC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93" name="Text Box 122">
          <a:extLst>
            <a:ext uri="{FF2B5EF4-FFF2-40B4-BE49-F238E27FC236}">
              <a16:creationId xmlns:a16="http://schemas.microsoft.com/office/drawing/2014/main" id="{00000000-0008-0000-0800-0000ED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94" name="Text Box 123">
          <a:extLst>
            <a:ext uri="{FF2B5EF4-FFF2-40B4-BE49-F238E27FC236}">
              <a16:creationId xmlns:a16="http://schemas.microsoft.com/office/drawing/2014/main" id="{00000000-0008-0000-0800-0000EE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95" name="Text Box 124">
          <a:extLst>
            <a:ext uri="{FF2B5EF4-FFF2-40B4-BE49-F238E27FC236}">
              <a16:creationId xmlns:a16="http://schemas.microsoft.com/office/drawing/2014/main" id="{00000000-0008-0000-0800-0000EF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96" name="Text Box 125">
          <a:extLst>
            <a:ext uri="{FF2B5EF4-FFF2-40B4-BE49-F238E27FC236}">
              <a16:creationId xmlns:a16="http://schemas.microsoft.com/office/drawing/2014/main" id="{00000000-0008-0000-0800-0000F0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97" name="Text Box 126">
          <a:extLst>
            <a:ext uri="{FF2B5EF4-FFF2-40B4-BE49-F238E27FC236}">
              <a16:creationId xmlns:a16="http://schemas.microsoft.com/office/drawing/2014/main" id="{00000000-0008-0000-0800-0000F1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98" name="Text Box 127">
          <a:extLst>
            <a:ext uri="{FF2B5EF4-FFF2-40B4-BE49-F238E27FC236}">
              <a16:creationId xmlns:a16="http://schemas.microsoft.com/office/drawing/2014/main" id="{00000000-0008-0000-0800-0000F2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499" name="Text Box 128">
          <a:extLst>
            <a:ext uri="{FF2B5EF4-FFF2-40B4-BE49-F238E27FC236}">
              <a16:creationId xmlns:a16="http://schemas.microsoft.com/office/drawing/2014/main" id="{00000000-0008-0000-0800-0000F3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00" name="Text Box 129">
          <a:extLst>
            <a:ext uri="{FF2B5EF4-FFF2-40B4-BE49-F238E27FC236}">
              <a16:creationId xmlns:a16="http://schemas.microsoft.com/office/drawing/2014/main" id="{00000000-0008-0000-0800-0000F4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01" name="Text Box 130">
          <a:extLst>
            <a:ext uri="{FF2B5EF4-FFF2-40B4-BE49-F238E27FC236}">
              <a16:creationId xmlns:a16="http://schemas.microsoft.com/office/drawing/2014/main" id="{00000000-0008-0000-0800-0000F5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02" name="Text Box 131">
          <a:extLst>
            <a:ext uri="{FF2B5EF4-FFF2-40B4-BE49-F238E27FC236}">
              <a16:creationId xmlns:a16="http://schemas.microsoft.com/office/drawing/2014/main" id="{00000000-0008-0000-0800-0000F6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03" name="Text Box 132">
          <a:extLst>
            <a:ext uri="{FF2B5EF4-FFF2-40B4-BE49-F238E27FC236}">
              <a16:creationId xmlns:a16="http://schemas.microsoft.com/office/drawing/2014/main" id="{00000000-0008-0000-0800-0000F7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04" name="Text Box 133">
          <a:extLst>
            <a:ext uri="{FF2B5EF4-FFF2-40B4-BE49-F238E27FC236}">
              <a16:creationId xmlns:a16="http://schemas.microsoft.com/office/drawing/2014/main" id="{00000000-0008-0000-0800-0000F8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05" name="Text Box 134">
          <a:extLst>
            <a:ext uri="{FF2B5EF4-FFF2-40B4-BE49-F238E27FC236}">
              <a16:creationId xmlns:a16="http://schemas.microsoft.com/office/drawing/2014/main" id="{00000000-0008-0000-0800-0000F9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06" name="Text Box 135">
          <a:extLst>
            <a:ext uri="{FF2B5EF4-FFF2-40B4-BE49-F238E27FC236}">
              <a16:creationId xmlns:a16="http://schemas.microsoft.com/office/drawing/2014/main" id="{00000000-0008-0000-0800-0000FA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07" name="Text Box 136">
          <a:extLst>
            <a:ext uri="{FF2B5EF4-FFF2-40B4-BE49-F238E27FC236}">
              <a16:creationId xmlns:a16="http://schemas.microsoft.com/office/drawing/2014/main" id="{00000000-0008-0000-0800-0000FB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08" name="Text Box 137">
          <a:extLst>
            <a:ext uri="{FF2B5EF4-FFF2-40B4-BE49-F238E27FC236}">
              <a16:creationId xmlns:a16="http://schemas.microsoft.com/office/drawing/2014/main" id="{00000000-0008-0000-0800-0000FC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09" name="Text Box 138">
          <a:extLst>
            <a:ext uri="{FF2B5EF4-FFF2-40B4-BE49-F238E27FC236}">
              <a16:creationId xmlns:a16="http://schemas.microsoft.com/office/drawing/2014/main" id="{00000000-0008-0000-0800-0000FD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10" name="Text Box 139">
          <a:extLst>
            <a:ext uri="{FF2B5EF4-FFF2-40B4-BE49-F238E27FC236}">
              <a16:creationId xmlns:a16="http://schemas.microsoft.com/office/drawing/2014/main" id="{00000000-0008-0000-0800-0000FE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11" name="Text Box 158">
          <a:extLst>
            <a:ext uri="{FF2B5EF4-FFF2-40B4-BE49-F238E27FC236}">
              <a16:creationId xmlns:a16="http://schemas.microsoft.com/office/drawing/2014/main" id="{00000000-0008-0000-0800-0000FF01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12" name="Text Box 159">
          <a:extLst>
            <a:ext uri="{FF2B5EF4-FFF2-40B4-BE49-F238E27FC236}">
              <a16:creationId xmlns:a16="http://schemas.microsoft.com/office/drawing/2014/main" id="{00000000-0008-0000-0800-000000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13" name="Text Box 160">
          <a:extLst>
            <a:ext uri="{FF2B5EF4-FFF2-40B4-BE49-F238E27FC236}">
              <a16:creationId xmlns:a16="http://schemas.microsoft.com/office/drawing/2014/main" id="{00000000-0008-0000-0800-000001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14" name="Text Box 161">
          <a:extLst>
            <a:ext uri="{FF2B5EF4-FFF2-40B4-BE49-F238E27FC236}">
              <a16:creationId xmlns:a16="http://schemas.microsoft.com/office/drawing/2014/main" id="{00000000-0008-0000-0800-000002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15" name="Text Box 162">
          <a:extLst>
            <a:ext uri="{FF2B5EF4-FFF2-40B4-BE49-F238E27FC236}">
              <a16:creationId xmlns:a16="http://schemas.microsoft.com/office/drawing/2014/main" id="{00000000-0008-0000-0800-000003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16" name="Text Box 163">
          <a:extLst>
            <a:ext uri="{FF2B5EF4-FFF2-40B4-BE49-F238E27FC236}">
              <a16:creationId xmlns:a16="http://schemas.microsoft.com/office/drawing/2014/main" id="{00000000-0008-0000-0800-000004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17" name="Text Box 164">
          <a:extLst>
            <a:ext uri="{FF2B5EF4-FFF2-40B4-BE49-F238E27FC236}">
              <a16:creationId xmlns:a16="http://schemas.microsoft.com/office/drawing/2014/main" id="{00000000-0008-0000-0800-000005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18" name="Text Box 165">
          <a:extLst>
            <a:ext uri="{FF2B5EF4-FFF2-40B4-BE49-F238E27FC236}">
              <a16:creationId xmlns:a16="http://schemas.microsoft.com/office/drawing/2014/main" id="{00000000-0008-0000-0800-000006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19" name="Text Box 166">
          <a:extLst>
            <a:ext uri="{FF2B5EF4-FFF2-40B4-BE49-F238E27FC236}">
              <a16:creationId xmlns:a16="http://schemas.microsoft.com/office/drawing/2014/main" id="{00000000-0008-0000-0800-000007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20" name="Text Box 167">
          <a:extLst>
            <a:ext uri="{FF2B5EF4-FFF2-40B4-BE49-F238E27FC236}">
              <a16:creationId xmlns:a16="http://schemas.microsoft.com/office/drawing/2014/main" id="{00000000-0008-0000-0800-000008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21" name="Text Box 168">
          <a:extLst>
            <a:ext uri="{FF2B5EF4-FFF2-40B4-BE49-F238E27FC236}">
              <a16:creationId xmlns:a16="http://schemas.microsoft.com/office/drawing/2014/main" id="{00000000-0008-0000-0800-000009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22" name="Text Box 169">
          <a:extLst>
            <a:ext uri="{FF2B5EF4-FFF2-40B4-BE49-F238E27FC236}">
              <a16:creationId xmlns:a16="http://schemas.microsoft.com/office/drawing/2014/main" id="{00000000-0008-0000-0800-00000A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23" name="Text Box 170">
          <a:extLst>
            <a:ext uri="{FF2B5EF4-FFF2-40B4-BE49-F238E27FC236}">
              <a16:creationId xmlns:a16="http://schemas.microsoft.com/office/drawing/2014/main" id="{00000000-0008-0000-0800-00000B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24" name="Text Box 171">
          <a:extLst>
            <a:ext uri="{FF2B5EF4-FFF2-40B4-BE49-F238E27FC236}">
              <a16:creationId xmlns:a16="http://schemas.microsoft.com/office/drawing/2014/main" id="{00000000-0008-0000-0800-00000C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25" name="Text Box 172">
          <a:extLst>
            <a:ext uri="{FF2B5EF4-FFF2-40B4-BE49-F238E27FC236}">
              <a16:creationId xmlns:a16="http://schemas.microsoft.com/office/drawing/2014/main" id="{00000000-0008-0000-0800-00000D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26" name="Text Box 173">
          <a:extLst>
            <a:ext uri="{FF2B5EF4-FFF2-40B4-BE49-F238E27FC236}">
              <a16:creationId xmlns:a16="http://schemas.microsoft.com/office/drawing/2014/main" id="{00000000-0008-0000-0800-00000E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27" name="Text Box 174">
          <a:extLst>
            <a:ext uri="{FF2B5EF4-FFF2-40B4-BE49-F238E27FC236}">
              <a16:creationId xmlns:a16="http://schemas.microsoft.com/office/drawing/2014/main" id="{00000000-0008-0000-0800-00000F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28" name="Text Box 175">
          <a:extLst>
            <a:ext uri="{FF2B5EF4-FFF2-40B4-BE49-F238E27FC236}">
              <a16:creationId xmlns:a16="http://schemas.microsoft.com/office/drawing/2014/main" id="{00000000-0008-0000-0800-000010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29" name="Text Box 176">
          <a:extLst>
            <a:ext uri="{FF2B5EF4-FFF2-40B4-BE49-F238E27FC236}">
              <a16:creationId xmlns:a16="http://schemas.microsoft.com/office/drawing/2014/main" id="{00000000-0008-0000-0800-000011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30" name="Text Box 177">
          <a:extLst>
            <a:ext uri="{FF2B5EF4-FFF2-40B4-BE49-F238E27FC236}">
              <a16:creationId xmlns:a16="http://schemas.microsoft.com/office/drawing/2014/main" id="{00000000-0008-0000-0800-000012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31" name="Text Box 178">
          <a:extLst>
            <a:ext uri="{FF2B5EF4-FFF2-40B4-BE49-F238E27FC236}">
              <a16:creationId xmlns:a16="http://schemas.microsoft.com/office/drawing/2014/main" id="{00000000-0008-0000-0800-000013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32" name="Text Box 179">
          <a:extLst>
            <a:ext uri="{FF2B5EF4-FFF2-40B4-BE49-F238E27FC236}">
              <a16:creationId xmlns:a16="http://schemas.microsoft.com/office/drawing/2014/main" id="{00000000-0008-0000-0800-000014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33" name="Text Box 180">
          <a:extLst>
            <a:ext uri="{FF2B5EF4-FFF2-40B4-BE49-F238E27FC236}">
              <a16:creationId xmlns:a16="http://schemas.microsoft.com/office/drawing/2014/main" id="{00000000-0008-0000-0800-000015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34" name="Text Box 181">
          <a:extLst>
            <a:ext uri="{FF2B5EF4-FFF2-40B4-BE49-F238E27FC236}">
              <a16:creationId xmlns:a16="http://schemas.microsoft.com/office/drawing/2014/main" id="{00000000-0008-0000-0800-000016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35" name="Text Box 182">
          <a:extLst>
            <a:ext uri="{FF2B5EF4-FFF2-40B4-BE49-F238E27FC236}">
              <a16:creationId xmlns:a16="http://schemas.microsoft.com/office/drawing/2014/main" id="{00000000-0008-0000-0800-000017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36" name="Text Box 183">
          <a:extLst>
            <a:ext uri="{FF2B5EF4-FFF2-40B4-BE49-F238E27FC236}">
              <a16:creationId xmlns:a16="http://schemas.microsoft.com/office/drawing/2014/main" id="{00000000-0008-0000-0800-000018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37" name="Text Box 184">
          <a:extLst>
            <a:ext uri="{FF2B5EF4-FFF2-40B4-BE49-F238E27FC236}">
              <a16:creationId xmlns:a16="http://schemas.microsoft.com/office/drawing/2014/main" id="{00000000-0008-0000-0800-000019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38" name="Text Box 185">
          <a:extLst>
            <a:ext uri="{FF2B5EF4-FFF2-40B4-BE49-F238E27FC236}">
              <a16:creationId xmlns:a16="http://schemas.microsoft.com/office/drawing/2014/main" id="{00000000-0008-0000-0800-00001A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39" name="Text Box 186">
          <a:extLst>
            <a:ext uri="{FF2B5EF4-FFF2-40B4-BE49-F238E27FC236}">
              <a16:creationId xmlns:a16="http://schemas.microsoft.com/office/drawing/2014/main" id="{00000000-0008-0000-0800-00001B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40" name="Text Box 187">
          <a:extLst>
            <a:ext uri="{FF2B5EF4-FFF2-40B4-BE49-F238E27FC236}">
              <a16:creationId xmlns:a16="http://schemas.microsoft.com/office/drawing/2014/main" id="{00000000-0008-0000-0800-00001C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41" name="Text Box 188">
          <a:extLst>
            <a:ext uri="{FF2B5EF4-FFF2-40B4-BE49-F238E27FC236}">
              <a16:creationId xmlns:a16="http://schemas.microsoft.com/office/drawing/2014/main" id="{00000000-0008-0000-0800-00001D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42" name="Text Box 189">
          <a:extLst>
            <a:ext uri="{FF2B5EF4-FFF2-40B4-BE49-F238E27FC236}">
              <a16:creationId xmlns:a16="http://schemas.microsoft.com/office/drawing/2014/main" id="{00000000-0008-0000-0800-00001E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43" name="Text Box 190">
          <a:extLst>
            <a:ext uri="{FF2B5EF4-FFF2-40B4-BE49-F238E27FC236}">
              <a16:creationId xmlns:a16="http://schemas.microsoft.com/office/drawing/2014/main" id="{00000000-0008-0000-0800-00001F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44" name="Text Box 191">
          <a:extLst>
            <a:ext uri="{FF2B5EF4-FFF2-40B4-BE49-F238E27FC236}">
              <a16:creationId xmlns:a16="http://schemas.microsoft.com/office/drawing/2014/main" id="{00000000-0008-0000-0800-000020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45" name="Text Box 192">
          <a:extLst>
            <a:ext uri="{FF2B5EF4-FFF2-40B4-BE49-F238E27FC236}">
              <a16:creationId xmlns:a16="http://schemas.microsoft.com/office/drawing/2014/main" id="{00000000-0008-0000-0800-000021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46" name="Text Box 193">
          <a:extLst>
            <a:ext uri="{FF2B5EF4-FFF2-40B4-BE49-F238E27FC236}">
              <a16:creationId xmlns:a16="http://schemas.microsoft.com/office/drawing/2014/main" id="{00000000-0008-0000-0800-000022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47" name="Text Box 194">
          <a:extLst>
            <a:ext uri="{FF2B5EF4-FFF2-40B4-BE49-F238E27FC236}">
              <a16:creationId xmlns:a16="http://schemas.microsoft.com/office/drawing/2014/main" id="{00000000-0008-0000-0800-000023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48" name="Text Box 195">
          <a:extLst>
            <a:ext uri="{FF2B5EF4-FFF2-40B4-BE49-F238E27FC236}">
              <a16:creationId xmlns:a16="http://schemas.microsoft.com/office/drawing/2014/main" id="{00000000-0008-0000-0800-000024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49" name="Text Box 196">
          <a:extLst>
            <a:ext uri="{FF2B5EF4-FFF2-40B4-BE49-F238E27FC236}">
              <a16:creationId xmlns:a16="http://schemas.microsoft.com/office/drawing/2014/main" id="{00000000-0008-0000-0800-000025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50" name="Text Box 197">
          <a:extLst>
            <a:ext uri="{FF2B5EF4-FFF2-40B4-BE49-F238E27FC236}">
              <a16:creationId xmlns:a16="http://schemas.microsoft.com/office/drawing/2014/main" id="{00000000-0008-0000-0800-000026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51" name="Text Box 198">
          <a:extLst>
            <a:ext uri="{FF2B5EF4-FFF2-40B4-BE49-F238E27FC236}">
              <a16:creationId xmlns:a16="http://schemas.microsoft.com/office/drawing/2014/main" id="{00000000-0008-0000-0800-000027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52" name="Text Box 199">
          <a:extLst>
            <a:ext uri="{FF2B5EF4-FFF2-40B4-BE49-F238E27FC236}">
              <a16:creationId xmlns:a16="http://schemas.microsoft.com/office/drawing/2014/main" id="{00000000-0008-0000-0800-000028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53" name="Text Box 200">
          <a:extLst>
            <a:ext uri="{FF2B5EF4-FFF2-40B4-BE49-F238E27FC236}">
              <a16:creationId xmlns:a16="http://schemas.microsoft.com/office/drawing/2014/main" id="{00000000-0008-0000-0800-000029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54" name="Text Box 201">
          <a:extLst>
            <a:ext uri="{FF2B5EF4-FFF2-40B4-BE49-F238E27FC236}">
              <a16:creationId xmlns:a16="http://schemas.microsoft.com/office/drawing/2014/main" id="{00000000-0008-0000-0800-00002A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55" name="Text Box 202">
          <a:extLst>
            <a:ext uri="{FF2B5EF4-FFF2-40B4-BE49-F238E27FC236}">
              <a16:creationId xmlns:a16="http://schemas.microsoft.com/office/drawing/2014/main" id="{00000000-0008-0000-0800-00002B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56" name="Text Box 203">
          <a:extLst>
            <a:ext uri="{FF2B5EF4-FFF2-40B4-BE49-F238E27FC236}">
              <a16:creationId xmlns:a16="http://schemas.microsoft.com/office/drawing/2014/main" id="{00000000-0008-0000-0800-00002C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57" name="Text Box 204">
          <a:extLst>
            <a:ext uri="{FF2B5EF4-FFF2-40B4-BE49-F238E27FC236}">
              <a16:creationId xmlns:a16="http://schemas.microsoft.com/office/drawing/2014/main" id="{00000000-0008-0000-0800-00002D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58" name="Text Box 205">
          <a:extLst>
            <a:ext uri="{FF2B5EF4-FFF2-40B4-BE49-F238E27FC236}">
              <a16:creationId xmlns:a16="http://schemas.microsoft.com/office/drawing/2014/main" id="{00000000-0008-0000-0800-00002E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59" name="Text Box 206">
          <a:extLst>
            <a:ext uri="{FF2B5EF4-FFF2-40B4-BE49-F238E27FC236}">
              <a16:creationId xmlns:a16="http://schemas.microsoft.com/office/drawing/2014/main" id="{00000000-0008-0000-0800-00002F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60" name="Text Box 207">
          <a:extLst>
            <a:ext uri="{FF2B5EF4-FFF2-40B4-BE49-F238E27FC236}">
              <a16:creationId xmlns:a16="http://schemas.microsoft.com/office/drawing/2014/main" id="{00000000-0008-0000-0800-000030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61" name="Text Box 208">
          <a:extLst>
            <a:ext uri="{FF2B5EF4-FFF2-40B4-BE49-F238E27FC236}">
              <a16:creationId xmlns:a16="http://schemas.microsoft.com/office/drawing/2014/main" id="{00000000-0008-0000-0800-000031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62" name="Text Box 209">
          <a:extLst>
            <a:ext uri="{FF2B5EF4-FFF2-40B4-BE49-F238E27FC236}">
              <a16:creationId xmlns:a16="http://schemas.microsoft.com/office/drawing/2014/main" id="{00000000-0008-0000-0800-000032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63" name="Text Box 210">
          <a:extLst>
            <a:ext uri="{FF2B5EF4-FFF2-40B4-BE49-F238E27FC236}">
              <a16:creationId xmlns:a16="http://schemas.microsoft.com/office/drawing/2014/main" id="{00000000-0008-0000-0800-000033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64" name="Text Box 211">
          <a:extLst>
            <a:ext uri="{FF2B5EF4-FFF2-40B4-BE49-F238E27FC236}">
              <a16:creationId xmlns:a16="http://schemas.microsoft.com/office/drawing/2014/main" id="{00000000-0008-0000-0800-000034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65" name="Text Box 212">
          <a:extLst>
            <a:ext uri="{FF2B5EF4-FFF2-40B4-BE49-F238E27FC236}">
              <a16:creationId xmlns:a16="http://schemas.microsoft.com/office/drawing/2014/main" id="{00000000-0008-0000-0800-000035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66" name="Text Box 213">
          <a:extLst>
            <a:ext uri="{FF2B5EF4-FFF2-40B4-BE49-F238E27FC236}">
              <a16:creationId xmlns:a16="http://schemas.microsoft.com/office/drawing/2014/main" id="{00000000-0008-0000-0800-000036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67" name="Text Box 214">
          <a:extLst>
            <a:ext uri="{FF2B5EF4-FFF2-40B4-BE49-F238E27FC236}">
              <a16:creationId xmlns:a16="http://schemas.microsoft.com/office/drawing/2014/main" id="{00000000-0008-0000-0800-000037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68" name="Text Box 215">
          <a:extLst>
            <a:ext uri="{FF2B5EF4-FFF2-40B4-BE49-F238E27FC236}">
              <a16:creationId xmlns:a16="http://schemas.microsoft.com/office/drawing/2014/main" id="{00000000-0008-0000-0800-000038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69" name="Text Box 216">
          <a:extLst>
            <a:ext uri="{FF2B5EF4-FFF2-40B4-BE49-F238E27FC236}">
              <a16:creationId xmlns:a16="http://schemas.microsoft.com/office/drawing/2014/main" id="{00000000-0008-0000-0800-000039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70" name="Text Box 217">
          <a:extLst>
            <a:ext uri="{FF2B5EF4-FFF2-40B4-BE49-F238E27FC236}">
              <a16:creationId xmlns:a16="http://schemas.microsoft.com/office/drawing/2014/main" id="{00000000-0008-0000-0800-00003A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71" name="Text Box 218">
          <a:extLst>
            <a:ext uri="{FF2B5EF4-FFF2-40B4-BE49-F238E27FC236}">
              <a16:creationId xmlns:a16="http://schemas.microsoft.com/office/drawing/2014/main" id="{00000000-0008-0000-0800-00003B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72" name="Text Box 219">
          <a:extLst>
            <a:ext uri="{FF2B5EF4-FFF2-40B4-BE49-F238E27FC236}">
              <a16:creationId xmlns:a16="http://schemas.microsoft.com/office/drawing/2014/main" id="{00000000-0008-0000-0800-00003C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73" name="Text Box 220">
          <a:extLst>
            <a:ext uri="{FF2B5EF4-FFF2-40B4-BE49-F238E27FC236}">
              <a16:creationId xmlns:a16="http://schemas.microsoft.com/office/drawing/2014/main" id="{00000000-0008-0000-0800-00003D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74" name="Text Box 221">
          <a:extLst>
            <a:ext uri="{FF2B5EF4-FFF2-40B4-BE49-F238E27FC236}">
              <a16:creationId xmlns:a16="http://schemas.microsoft.com/office/drawing/2014/main" id="{00000000-0008-0000-0800-00003E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75" name="Text Box 222">
          <a:extLst>
            <a:ext uri="{FF2B5EF4-FFF2-40B4-BE49-F238E27FC236}">
              <a16:creationId xmlns:a16="http://schemas.microsoft.com/office/drawing/2014/main" id="{00000000-0008-0000-0800-00003F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76" name="Text Box 223">
          <a:extLst>
            <a:ext uri="{FF2B5EF4-FFF2-40B4-BE49-F238E27FC236}">
              <a16:creationId xmlns:a16="http://schemas.microsoft.com/office/drawing/2014/main" id="{00000000-0008-0000-0800-000040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77" name="Text Box 224">
          <a:extLst>
            <a:ext uri="{FF2B5EF4-FFF2-40B4-BE49-F238E27FC236}">
              <a16:creationId xmlns:a16="http://schemas.microsoft.com/office/drawing/2014/main" id="{00000000-0008-0000-0800-000041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78" name="Text Box 225">
          <a:extLst>
            <a:ext uri="{FF2B5EF4-FFF2-40B4-BE49-F238E27FC236}">
              <a16:creationId xmlns:a16="http://schemas.microsoft.com/office/drawing/2014/main" id="{00000000-0008-0000-0800-000042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79" name="Text Box 226">
          <a:extLst>
            <a:ext uri="{FF2B5EF4-FFF2-40B4-BE49-F238E27FC236}">
              <a16:creationId xmlns:a16="http://schemas.microsoft.com/office/drawing/2014/main" id="{00000000-0008-0000-0800-000043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80" name="Text Box 227">
          <a:extLst>
            <a:ext uri="{FF2B5EF4-FFF2-40B4-BE49-F238E27FC236}">
              <a16:creationId xmlns:a16="http://schemas.microsoft.com/office/drawing/2014/main" id="{00000000-0008-0000-0800-000044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81" name="Text Box 228">
          <a:extLst>
            <a:ext uri="{FF2B5EF4-FFF2-40B4-BE49-F238E27FC236}">
              <a16:creationId xmlns:a16="http://schemas.microsoft.com/office/drawing/2014/main" id="{00000000-0008-0000-0800-000045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82" name="Text Box 229">
          <a:extLst>
            <a:ext uri="{FF2B5EF4-FFF2-40B4-BE49-F238E27FC236}">
              <a16:creationId xmlns:a16="http://schemas.microsoft.com/office/drawing/2014/main" id="{00000000-0008-0000-0800-000046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83" name="Text Box 230">
          <a:extLst>
            <a:ext uri="{FF2B5EF4-FFF2-40B4-BE49-F238E27FC236}">
              <a16:creationId xmlns:a16="http://schemas.microsoft.com/office/drawing/2014/main" id="{00000000-0008-0000-0800-000047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84" name="Text Box 231">
          <a:extLst>
            <a:ext uri="{FF2B5EF4-FFF2-40B4-BE49-F238E27FC236}">
              <a16:creationId xmlns:a16="http://schemas.microsoft.com/office/drawing/2014/main" id="{00000000-0008-0000-0800-000048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85" name="Text Box 232">
          <a:extLst>
            <a:ext uri="{FF2B5EF4-FFF2-40B4-BE49-F238E27FC236}">
              <a16:creationId xmlns:a16="http://schemas.microsoft.com/office/drawing/2014/main" id="{00000000-0008-0000-0800-000049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86" name="Text Box 233">
          <a:extLst>
            <a:ext uri="{FF2B5EF4-FFF2-40B4-BE49-F238E27FC236}">
              <a16:creationId xmlns:a16="http://schemas.microsoft.com/office/drawing/2014/main" id="{00000000-0008-0000-0800-00004A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87" name="Text Box 234">
          <a:extLst>
            <a:ext uri="{FF2B5EF4-FFF2-40B4-BE49-F238E27FC236}">
              <a16:creationId xmlns:a16="http://schemas.microsoft.com/office/drawing/2014/main" id="{00000000-0008-0000-0800-00004B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88" name="Text Box 235">
          <a:extLst>
            <a:ext uri="{FF2B5EF4-FFF2-40B4-BE49-F238E27FC236}">
              <a16:creationId xmlns:a16="http://schemas.microsoft.com/office/drawing/2014/main" id="{00000000-0008-0000-0800-00004C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89" name="Text Box 236">
          <a:extLst>
            <a:ext uri="{FF2B5EF4-FFF2-40B4-BE49-F238E27FC236}">
              <a16:creationId xmlns:a16="http://schemas.microsoft.com/office/drawing/2014/main" id="{00000000-0008-0000-0800-00004D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90" name="Text Box 237">
          <a:extLst>
            <a:ext uri="{FF2B5EF4-FFF2-40B4-BE49-F238E27FC236}">
              <a16:creationId xmlns:a16="http://schemas.microsoft.com/office/drawing/2014/main" id="{00000000-0008-0000-0800-00004E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91" name="Text Box 238">
          <a:extLst>
            <a:ext uri="{FF2B5EF4-FFF2-40B4-BE49-F238E27FC236}">
              <a16:creationId xmlns:a16="http://schemas.microsoft.com/office/drawing/2014/main" id="{00000000-0008-0000-0800-00004F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92" name="Text Box 239">
          <a:extLst>
            <a:ext uri="{FF2B5EF4-FFF2-40B4-BE49-F238E27FC236}">
              <a16:creationId xmlns:a16="http://schemas.microsoft.com/office/drawing/2014/main" id="{00000000-0008-0000-0800-000050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93" name="Text Box 240">
          <a:extLst>
            <a:ext uri="{FF2B5EF4-FFF2-40B4-BE49-F238E27FC236}">
              <a16:creationId xmlns:a16="http://schemas.microsoft.com/office/drawing/2014/main" id="{00000000-0008-0000-0800-000051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94" name="Text Box 241">
          <a:extLst>
            <a:ext uri="{FF2B5EF4-FFF2-40B4-BE49-F238E27FC236}">
              <a16:creationId xmlns:a16="http://schemas.microsoft.com/office/drawing/2014/main" id="{00000000-0008-0000-0800-000052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95" name="Text Box 242">
          <a:extLst>
            <a:ext uri="{FF2B5EF4-FFF2-40B4-BE49-F238E27FC236}">
              <a16:creationId xmlns:a16="http://schemas.microsoft.com/office/drawing/2014/main" id="{00000000-0008-0000-0800-000053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96" name="Text Box 243">
          <a:extLst>
            <a:ext uri="{FF2B5EF4-FFF2-40B4-BE49-F238E27FC236}">
              <a16:creationId xmlns:a16="http://schemas.microsoft.com/office/drawing/2014/main" id="{00000000-0008-0000-0800-000054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97" name="Text Box 244">
          <a:extLst>
            <a:ext uri="{FF2B5EF4-FFF2-40B4-BE49-F238E27FC236}">
              <a16:creationId xmlns:a16="http://schemas.microsoft.com/office/drawing/2014/main" id="{00000000-0008-0000-0800-000055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98" name="Text Box 245">
          <a:extLst>
            <a:ext uri="{FF2B5EF4-FFF2-40B4-BE49-F238E27FC236}">
              <a16:creationId xmlns:a16="http://schemas.microsoft.com/office/drawing/2014/main" id="{00000000-0008-0000-0800-000056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599" name="Text Box 246">
          <a:extLst>
            <a:ext uri="{FF2B5EF4-FFF2-40B4-BE49-F238E27FC236}">
              <a16:creationId xmlns:a16="http://schemas.microsoft.com/office/drawing/2014/main" id="{00000000-0008-0000-0800-000057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00" name="Text Box 247">
          <a:extLst>
            <a:ext uri="{FF2B5EF4-FFF2-40B4-BE49-F238E27FC236}">
              <a16:creationId xmlns:a16="http://schemas.microsoft.com/office/drawing/2014/main" id="{00000000-0008-0000-0800-000058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01" name="Text Box 248">
          <a:extLst>
            <a:ext uri="{FF2B5EF4-FFF2-40B4-BE49-F238E27FC236}">
              <a16:creationId xmlns:a16="http://schemas.microsoft.com/office/drawing/2014/main" id="{00000000-0008-0000-0800-000059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02" name="Text Box 249">
          <a:extLst>
            <a:ext uri="{FF2B5EF4-FFF2-40B4-BE49-F238E27FC236}">
              <a16:creationId xmlns:a16="http://schemas.microsoft.com/office/drawing/2014/main" id="{00000000-0008-0000-0800-00005A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03" name="Text Box 250">
          <a:extLst>
            <a:ext uri="{FF2B5EF4-FFF2-40B4-BE49-F238E27FC236}">
              <a16:creationId xmlns:a16="http://schemas.microsoft.com/office/drawing/2014/main" id="{00000000-0008-0000-0800-00005B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04" name="Text Box 251">
          <a:extLst>
            <a:ext uri="{FF2B5EF4-FFF2-40B4-BE49-F238E27FC236}">
              <a16:creationId xmlns:a16="http://schemas.microsoft.com/office/drawing/2014/main" id="{00000000-0008-0000-0800-00005C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05" name="Text Box 252">
          <a:extLst>
            <a:ext uri="{FF2B5EF4-FFF2-40B4-BE49-F238E27FC236}">
              <a16:creationId xmlns:a16="http://schemas.microsoft.com/office/drawing/2014/main" id="{00000000-0008-0000-0800-00005D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06" name="Text Box 253">
          <a:extLst>
            <a:ext uri="{FF2B5EF4-FFF2-40B4-BE49-F238E27FC236}">
              <a16:creationId xmlns:a16="http://schemas.microsoft.com/office/drawing/2014/main" id="{00000000-0008-0000-0800-00005E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07" name="Text Box 254">
          <a:extLst>
            <a:ext uri="{FF2B5EF4-FFF2-40B4-BE49-F238E27FC236}">
              <a16:creationId xmlns:a16="http://schemas.microsoft.com/office/drawing/2014/main" id="{00000000-0008-0000-0800-00005F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08" name="Text Box 255">
          <a:extLst>
            <a:ext uri="{FF2B5EF4-FFF2-40B4-BE49-F238E27FC236}">
              <a16:creationId xmlns:a16="http://schemas.microsoft.com/office/drawing/2014/main" id="{00000000-0008-0000-0800-000060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09" name="Text Box 256">
          <a:extLst>
            <a:ext uri="{FF2B5EF4-FFF2-40B4-BE49-F238E27FC236}">
              <a16:creationId xmlns:a16="http://schemas.microsoft.com/office/drawing/2014/main" id="{00000000-0008-0000-0800-000061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10" name="Text Box 257">
          <a:extLst>
            <a:ext uri="{FF2B5EF4-FFF2-40B4-BE49-F238E27FC236}">
              <a16:creationId xmlns:a16="http://schemas.microsoft.com/office/drawing/2014/main" id="{00000000-0008-0000-0800-000062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11" name="Text Box 258">
          <a:extLst>
            <a:ext uri="{FF2B5EF4-FFF2-40B4-BE49-F238E27FC236}">
              <a16:creationId xmlns:a16="http://schemas.microsoft.com/office/drawing/2014/main" id="{00000000-0008-0000-0800-000063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12" name="Text Box 259">
          <a:extLst>
            <a:ext uri="{FF2B5EF4-FFF2-40B4-BE49-F238E27FC236}">
              <a16:creationId xmlns:a16="http://schemas.microsoft.com/office/drawing/2014/main" id="{00000000-0008-0000-0800-000064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13" name="Text Box 260">
          <a:extLst>
            <a:ext uri="{FF2B5EF4-FFF2-40B4-BE49-F238E27FC236}">
              <a16:creationId xmlns:a16="http://schemas.microsoft.com/office/drawing/2014/main" id="{00000000-0008-0000-0800-000065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14" name="Text Box 261">
          <a:extLst>
            <a:ext uri="{FF2B5EF4-FFF2-40B4-BE49-F238E27FC236}">
              <a16:creationId xmlns:a16="http://schemas.microsoft.com/office/drawing/2014/main" id="{00000000-0008-0000-0800-000066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15" name="Text Box 262">
          <a:extLst>
            <a:ext uri="{FF2B5EF4-FFF2-40B4-BE49-F238E27FC236}">
              <a16:creationId xmlns:a16="http://schemas.microsoft.com/office/drawing/2014/main" id="{00000000-0008-0000-0800-000067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16" name="Text Box 263">
          <a:extLst>
            <a:ext uri="{FF2B5EF4-FFF2-40B4-BE49-F238E27FC236}">
              <a16:creationId xmlns:a16="http://schemas.microsoft.com/office/drawing/2014/main" id="{00000000-0008-0000-0800-000068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17" name="Text Box 264">
          <a:extLst>
            <a:ext uri="{FF2B5EF4-FFF2-40B4-BE49-F238E27FC236}">
              <a16:creationId xmlns:a16="http://schemas.microsoft.com/office/drawing/2014/main" id="{00000000-0008-0000-0800-000069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18" name="Text Box 265">
          <a:extLst>
            <a:ext uri="{FF2B5EF4-FFF2-40B4-BE49-F238E27FC236}">
              <a16:creationId xmlns:a16="http://schemas.microsoft.com/office/drawing/2014/main" id="{00000000-0008-0000-0800-00006A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19" name="Text Box 266">
          <a:extLst>
            <a:ext uri="{FF2B5EF4-FFF2-40B4-BE49-F238E27FC236}">
              <a16:creationId xmlns:a16="http://schemas.microsoft.com/office/drawing/2014/main" id="{00000000-0008-0000-0800-00006B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20" name="Text Box 267">
          <a:extLst>
            <a:ext uri="{FF2B5EF4-FFF2-40B4-BE49-F238E27FC236}">
              <a16:creationId xmlns:a16="http://schemas.microsoft.com/office/drawing/2014/main" id="{00000000-0008-0000-0800-00006C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21" name="Text Box 268">
          <a:extLst>
            <a:ext uri="{FF2B5EF4-FFF2-40B4-BE49-F238E27FC236}">
              <a16:creationId xmlns:a16="http://schemas.microsoft.com/office/drawing/2014/main" id="{00000000-0008-0000-0800-00006D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22" name="Text Box 269">
          <a:extLst>
            <a:ext uri="{FF2B5EF4-FFF2-40B4-BE49-F238E27FC236}">
              <a16:creationId xmlns:a16="http://schemas.microsoft.com/office/drawing/2014/main" id="{00000000-0008-0000-0800-00006E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23" name="Text Box 270">
          <a:extLst>
            <a:ext uri="{FF2B5EF4-FFF2-40B4-BE49-F238E27FC236}">
              <a16:creationId xmlns:a16="http://schemas.microsoft.com/office/drawing/2014/main" id="{00000000-0008-0000-0800-00006F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24" name="Text Box 271">
          <a:extLst>
            <a:ext uri="{FF2B5EF4-FFF2-40B4-BE49-F238E27FC236}">
              <a16:creationId xmlns:a16="http://schemas.microsoft.com/office/drawing/2014/main" id="{00000000-0008-0000-0800-000070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25" name="Text Box 272">
          <a:extLst>
            <a:ext uri="{FF2B5EF4-FFF2-40B4-BE49-F238E27FC236}">
              <a16:creationId xmlns:a16="http://schemas.microsoft.com/office/drawing/2014/main" id="{00000000-0008-0000-0800-000071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26" name="Text Box 273">
          <a:extLst>
            <a:ext uri="{FF2B5EF4-FFF2-40B4-BE49-F238E27FC236}">
              <a16:creationId xmlns:a16="http://schemas.microsoft.com/office/drawing/2014/main" id="{00000000-0008-0000-0800-000072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27" name="Text Box 274">
          <a:extLst>
            <a:ext uri="{FF2B5EF4-FFF2-40B4-BE49-F238E27FC236}">
              <a16:creationId xmlns:a16="http://schemas.microsoft.com/office/drawing/2014/main" id="{00000000-0008-0000-0800-000073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28" name="Text Box 275">
          <a:extLst>
            <a:ext uri="{FF2B5EF4-FFF2-40B4-BE49-F238E27FC236}">
              <a16:creationId xmlns:a16="http://schemas.microsoft.com/office/drawing/2014/main" id="{00000000-0008-0000-0800-000074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29" name="Text Box 276">
          <a:extLst>
            <a:ext uri="{FF2B5EF4-FFF2-40B4-BE49-F238E27FC236}">
              <a16:creationId xmlns:a16="http://schemas.microsoft.com/office/drawing/2014/main" id="{00000000-0008-0000-0800-000075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30" name="Text Box 277">
          <a:extLst>
            <a:ext uri="{FF2B5EF4-FFF2-40B4-BE49-F238E27FC236}">
              <a16:creationId xmlns:a16="http://schemas.microsoft.com/office/drawing/2014/main" id="{00000000-0008-0000-0800-000076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31" name="Text Box 278">
          <a:extLst>
            <a:ext uri="{FF2B5EF4-FFF2-40B4-BE49-F238E27FC236}">
              <a16:creationId xmlns:a16="http://schemas.microsoft.com/office/drawing/2014/main" id="{00000000-0008-0000-0800-000077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32" name="Text Box 279">
          <a:extLst>
            <a:ext uri="{FF2B5EF4-FFF2-40B4-BE49-F238E27FC236}">
              <a16:creationId xmlns:a16="http://schemas.microsoft.com/office/drawing/2014/main" id="{00000000-0008-0000-0800-000078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33" name="Text Box 280">
          <a:extLst>
            <a:ext uri="{FF2B5EF4-FFF2-40B4-BE49-F238E27FC236}">
              <a16:creationId xmlns:a16="http://schemas.microsoft.com/office/drawing/2014/main" id="{00000000-0008-0000-0800-000079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34" name="Text Box 281">
          <a:extLst>
            <a:ext uri="{FF2B5EF4-FFF2-40B4-BE49-F238E27FC236}">
              <a16:creationId xmlns:a16="http://schemas.microsoft.com/office/drawing/2014/main" id="{00000000-0008-0000-0800-00007A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35" name="Text Box 282">
          <a:extLst>
            <a:ext uri="{FF2B5EF4-FFF2-40B4-BE49-F238E27FC236}">
              <a16:creationId xmlns:a16="http://schemas.microsoft.com/office/drawing/2014/main" id="{00000000-0008-0000-0800-00007B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36" name="Text Box 283">
          <a:extLst>
            <a:ext uri="{FF2B5EF4-FFF2-40B4-BE49-F238E27FC236}">
              <a16:creationId xmlns:a16="http://schemas.microsoft.com/office/drawing/2014/main" id="{00000000-0008-0000-0800-00007C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37" name="Text Box 284">
          <a:extLst>
            <a:ext uri="{FF2B5EF4-FFF2-40B4-BE49-F238E27FC236}">
              <a16:creationId xmlns:a16="http://schemas.microsoft.com/office/drawing/2014/main" id="{00000000-0008-0000-0800-00007D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38" name="Text Box 285">
          <a:extLst>
            <a:ext uri="{FF2B5EF4-FFF2-40B4-BE49-F238E27FC236}">
              <a16:creationId xmlns:a16="http://schemas.microsoft.com/office/drawing/2014/main" id="{00000000-0008-0000-0800-00007E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39" name="Text Box 286">
          <a:extLst>
            <a:ext uri="{FF2B5EF4-FFF2-40B4-BE49-F238E27FC236}">
              <a16:creationId xmlns:a16="http://schemas.microsoft.com/office/drawing/2014/main" id="{00000000-0008-0000-0800-00007F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40" name="Text Box 287">
          <a:extLst>
            <a:ext uri="{FF2B5EF4-FFF2-40B4-BE49-F238E27FC236}">
              <a16:creationId xmlns:a16="http://schemas.microsoft.com/office/drawing/2014/main" id="{00000000-0008-0000-0800-000080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41" name="Text Box 288">
          <a:extLst>
            <a:ext uri="{FF2B5EF4-FFF2-40B4-BE49-F238E27FC236}">
              <a16:creationId xmlns:a16="http://schemas.microsoft.com/office/drawing/2014/main" id="{00000000-0008-0000-0800-000081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42" name="Text Box 289">
          <a:extLst>
            <a:ext uri="{FF2B5EF4-FFF2-40B4-BE49-F238E27FC236}">
              <a16:creationId xmlns:a16="http://schemas.microsoft.com/office/drawing/2014/main" id="{00000000-0008-0000-0800-000082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43" name="Text Box 290">
          <a:extLst>
            <a:ext uri="{FF2B5EF4-FFF2-40B4-BE49-F238E27FC236}">
              <a16:creationId xmlns:a16="http://schemas.microsoft.com/office/drawing/2014/main" id="{00000000-0008-0000-0800-000083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44" name="Text Box 291">
          <a:extLst>
            <a:ext uri="{FF2B5EF4-FFF2-40B4-BE49-F238E27FC236}">
              <a16:creationId xmlns:a16="http://schemas.microsoft.com/office/drawing/2014/main" id="{00000000-0008-0000-0800-000084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45" name="Text Box 292">
          <a:extLst>
            <a:ext uri="{FF2B5EF4-FFF2-40B4-BE49-F238E27FC236}">
              <a16:creationId xmlns:a16="http://schemas.microsoft.com/office/drawing/2014/main" id="{00000000-0008-0000-0800-000085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46" name="Text Box 293">
          <a:extLst>
            <a:ext uri="{FF2B5EF4-FFF2-40B4-BE49-F238E27FC236}">
              <a16:creationId xmlns:a16="http://schemas.microsoft.com/office/drawing/2014/main" id="{00000000-0008-0000-0800-000086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47" name="Text Box 294">
          <a:extLst>
            <a:ext uri="{FF2B5EF4-FFF2-40B4-BE49-F238E27FC236}">
              <a16:creationId xmlns:a16="http://schemas.microsoft.com/office/drawing/2014/main" id="{00000000-0008-0000-0800-000087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48" name="Text Box 295">
          <a:extLst>
            <a:ext uri="{FF2B5EF4-FFF2-40B4-BE49-F238E27FC236}">
              <a16:creationId xmlns:a16="http://schemas.microsoft.com/office/drawing/2014/main" id="{00000000-0008-0000-0800-000088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49" name="Text Box 296">
          <a:extLst>
            <a:ext uri="{FF2B5EF4-FFF2-40B4-BE49-F238E27FC236}">
              <a16:creationId xmlns:a16="http://schemas.microsoft.com/office/drawing/2014/main" id="{00000000-0008-0000-0800-000089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50" name="Text Box 297">
          <a:extLst>
            <a:ext uri="{FF2B5EF4-FFF2-40B4-BE49-F238E27FC236}">
              <a16:creationId xmlns:a16="http://schemas.microsoft.com/office/drawing/2014/main" id="{00000000-0008-0000-0800-00008A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51" name="Text Box 298">
          <a:extLst>
            <a:ext uri="{FF2B5EF4-FFF2-40B4-BE49-F238E27FC236}">
              <a16:creationId xmlns:a16="http://schemas.microsoft.com/office/drawing/2014/main" id="{00000000-0008-0000-0800-00008B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52" name="Text Box 299">
          <a:extLst>
            <a:ext uri="{FF2B5EF4-FFF2-40B4-BE49-F238E27FC236}">
              <a16:creationId xmlns:a16="http://schemas.microsoft.com/office/drawing/2014/main" id="{00000000-0008-0000-0800-00008C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53" name="Text Box 300">
          <a:extLst>
            <a:ext uri="{FF2B5EF4-FFF2-40B4-BE49-F238E27FC236}">
              <a16:creationId xmlns:a16="http://schemas.microsoft.com/office/drawing/2014/main" id="{00000000-0008-0000-0800-00008D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54" name="Text Box 301">
          <a:extLst>
            <a:ext uri="{FF2B5EF4-FFF2-40B4-BE49-F238E27FC236}">
              <a16:creationId xmlns:a16="http://schemas.microsoft.com/office/drawing/2014/main" id="{00000000-0008-0000-0800-00008E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55" name="Text Box 302">
          <a:extLst>
            <a:ext uri="{FF2B5EF4-FFF2-40B4-BE49-F238E27FC236}">
              <a16:creationId xmlns:a16="http://schemas.microsoft.com/office/drawing/2014/main" id="{00000000-0008-0000-0800-00008F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56" name="Text Box 303">
          <a:extLst>
            <a:ext uri="{FF2B5EF4-FFF2-40B4-BE49-F238E27FC236}">
              <a16:creationId xmlns:a16="http://schemas.microsoft.com/office/drawing/2014/main" id="{00000000-0008-0000-0800-000090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57" name="Text Box 304">
          <a:extLst>
            <a:ext uri="{FF2B5EF4-FFF2-40B4-BE49-F238E27FC236}">
              <a16:creationId xmlns:a16="http://schemas.microsoft.com/office/drawing/2014/main" id="{00000000-0008-0000-0800-000091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58" name="Text Box 305">
          <a:extLst>
            <a:ext uri="{FF2B5EF4-FFF2-40B4-BE49-F238E27FC236}">
              <a16:creationId xmlns:a16="http://schemas.microsoft.com/office/drawing/2014/main" id="{00000000-0008-0000-0800-000092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59" name="Text Box 306">
          <a:extLst>
            <a:ext uri="{FF2B5EF4-FFF2-40B4-BE49-F238E27FC236}">
              <a16:creationId xmlns:a16="http://schemas.microsoft.com/office/drawing/2014/main" id="{00000000-0008-0000-0800-000093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60" name="Text Box 307">
          <a:extLst>
            <a:ext uri="{FF2B5EF4-FFF2-40B4-BE49-F238E27FC236}">
              <a16:creationId xmlns:a16="http://schemas.microsoft.com/office/drawing/2014/main" id="{00000000-0008-0000-0800-000094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61" name="Text Box 308">
          <a:extLst>
            <a:ext uri="{FF2B5EF4-FFF2-40B4-BE49-F238E27FC236}">
              <a16:creationId xmlns:a16="http://schemas.microsoft.com/office/drawing/2014/main" id="{00000000-0008-0000-0800-000095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62" name="Text Box 309">
          <a:extLst>
            <a:ext uri="{FF2B5EF4-FFF2-40B4-BE49-F238E27FC236}">
              <a16:creationId xmlns:a16="http://schemas.microsoft.com/office/drawing/2014/main" id="{00000000-0008-0000-0800-000096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63" name="Text Box 310">
          <a:extLst>
            <a:ext uri="{FF2B5EF4-FFF2-40B4-BE49-F238E27FC236}">
              <a16:creationId xmlns:a16="http://schemas.microsoft.com/office/drawing/2014/main" id="{00000000-0008-0000-0800-000097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64" name="Text Box 311">
          <a:extLst>
            <a:ext uri="{FF2B5EF4-FFF2-40B4-BE49-F238E27FC236}">
              <a16:creationId xmlns:a16="http://schemas.microsoft.com/office/drawing/2014/main" id="{00000000-0008-0000-0800-000098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65" name="Text Box 312">
          <a:extLst>
            <a:ext uri="{FF2B5EF4-FFF2-40B4-BE49-F238E27FC236}">
              <a16:creationId xmlns:a16="http://schemas.microsoft.com/office/drawing/2014/main" id="{00000000-0008-0000-0800-000099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66" name="Text Box 313">
          <a:extLst>
            <a:ext uri="{FF2B5EF4-FFF2-40B4-BE49-F238E27FC236}">
              <a16:creationId xmlns:a16="http://schemas.microsoft.com/office/drawing/2014/main" id="{00000000-0008-0000-0800-00009A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67" name="Text Box 314">
          <a:extLst>
            <a:ext uri="{FF2B5EF4-FFF2-40B4-BE49-F238E27FC236}">
              <a16:creationId xmlns:a16="http://schemas.microsoft.com/office/drawing/2014/main" id="{00000000-0008-0000-0800-00009B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68" name="Text Box 315">
          <a:extLst>
            <a:ext uri="{FF2B5EF4-FFF2-40B4-BE49-F238E27FC236}">
              <a16:creationId xmlns:a16="http://schemas.microsoft.com/office/drawing/2014/main" id="{00000000-0008-0000-0800-00009C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69" name="Text Box 316">
          <a:extLst>
            <a:ext uri="{FF2B5EF4-FFF2-40B4-BE49-F238E27FC236}">
              <a16:creationId xmlns:a16="http://schemas.microsoft.com/office/drawing/2014/main" id="{00000000-0008-0000-0800-00009D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70" name="Text Box 317">
          <a:extLst>
            <a:ext uri="{FF2B5EF4-FFF2-40B4-BE49-F238E27FC236}">
              <a16:creationId xmlns:a16="http://schemas.microsoft.com/office/drawing/2014/main" id="{00000000-0008-0000-0800-00009E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71" name="Text Box 318">
          <a:extLst>
            <a:ext uri="{FF2B5EF4-FFF2-40B4-BE49-F238E27FC236}">
              <a16:creationId xmlns:a16="http://schemas.microsoft.com/office/drawing/2014/main" id="{00000000-0008-0000-0800-00009F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72" name="Text Box 319">
          <a:extLst>
            <a:ext uri="{FF2B5EF4-FFF2-40B4-BE49-F238E27FC236}">
              <a16:creationId xmlns:a16="http://schemas.microsoft.com/office/drawing/2014/main" id="{00000000-0008-0000-0800-0000A0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73" name="Text Box 320">
          <a:extLst>
            <a:ext uri="{FF2B5EF4-FFF2-40B4-BE49-F238E27FC236}">
              <a16:creationId xmlns:a16="http://schemas.microsoft.com/office/drawing/2014/main" id="{00000000-0008-0000-0800-0000A1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74" name="Text Box 321">
          <a:extLst>
            <a:ext uri="{FF2B5EF4-FFF2-40B4-BE49-F238E27FC236}">
              <a16:creationId xmlns:a16="http://schemas.microsoft.com/office/drawing/2014/main" id="{00000000-0008-0000-0800-0000A2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75" name="Text Box 322">
          <a:extLst>
            <a:ext uri="{FF2B5EF4-FFF2-40B4-BE49-F238E27FC236}">
              <a16:creationId xmlns:a16="http://schemas.microsoft.com/office/drawing/2014/main" id="{00000000-0008-0000-0800-0000A3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76" name="Text Box 323">
          <a:extLst>
            <a:ext uri="{FF2B5EF4-FFF2-40B4-BE49-F238E27FC236}">
              <a16:creationId xmlns:a16="http://schemas.microsoft.com/office/drawing/2014/main" id="{00000000-0008-0000-0800-0000A4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77" name="Text Box 324">
          <a:extLst>
            <a:ext uri="{FF2B5EF4-FFF2-40B4-BE49-F238E27FC236}">
              <a16:creationId xmlns:a16="http://schemas.microsoft.com/office/drawing/2014/main" id="{00000000-0008-0000-0800-0000A5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78" name="Text Box 325">
          <a:extLst>
            <a:ext uri="{FF2B5EF4-FFF2-40B4-BE49-F238E27FC236}">
              <a16:creationId xmlns:a16="http://schemas.microsoft.com/office/drawing/2014/main" id="{00000000-0008-0000-0800-0000A6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79" name="Text Box 326">
          <a:extLst>
            <a:ext uri="{FF2B5EF4-FFF2-40B4-BE49-F238E27FC236}">
              <a16:creationId xmlns:a16="http://schemas.microsoft.com/office/drawing/2014/main" id="{00000000-0008-0000-0800-0000A7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80" name="Text Box 327">
          <a:extLst>
            <a:ext uri="{FF2B5EF4-FFF2-40B4-BE49-F238E27FC236}">
              <a16:creationId xmlns:a16="http://schemas.microsoft.com/office/drawing/2014/main" id="{00000000-0008-0000-0800-0000A8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81" name="Text Box 328">
          <a:extLst>
            <a:ext uri="{FF2B5EF4-FFF2-40B4-BE49-F238E27FC236}">
              <a16:creationId xmlns:a16="http://schemas.microsoft.com/office/drawing/2014/main" id="{00000000-0008-0000-0800-0000A9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82" name="Text Box 329">
          <a:extLst>
            <a:ext uri="{FF2B5EF4-FFF2-40B4-BE49-F238E27FC236}">
              <a16:creationId xmlns:a16="http://schemas.microsoft.com/office/drawing/2014/main" id="{00000000-0008-0000-0800-0000AA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83" name="Text Box 330">
          <a:extLst>
            <a:ext uri="{FF2B5EF4-FFF2-40B4-BE49-F238E27FC236}">
              <a16:creationId xmlns:a16="http://schemas.microsoft.com/office/drawing/2014/main" id="{00000000-0008-0000-0800-0000AB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84" name="Text Box 331">
          <a:extLst>
            <a:ext uri="{FF2B5EF4-FFF2-40B4-BE49-F238E27FC236}">
              <a16:creationId xmlns:a16="http://schemas.microsoft.com/office/drawing/2014/main" id="{00000000-0008-0000-0800-0000AC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85" name="Text Box 332">
          <a:extLst>
            <a:ext uri="{FF2B5EF4-FFF2-40B4-BE49-F238E27FC236}">
              <a16:creationId xmlns:a16="http://schemas.microsoft.com/office/drawing/2014/main" id="{00000000-0008-0000-0800-0000AD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86" name="Text Box 333">
          <a:extLst>
            <a:ext uri="{FF2B5EF4-FFF2-40B4-BE49-F238E27FC236}">
              <a16:creationId xmlns:a16="http://schemas.microsoft.com/office/drawing/2014/main" id="{00000000-0008-0000-0800-0000AE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87" name="Text Box 334">
          <a:extLst>
            <a:ext uri="{FF2B5EF4-FFF2-40B4-BE49-F238E27FC236}">
              <a16:creationId xmlns:a16="http://schemas.microsoft.com/office/drawing/2014/main" id="{00000000-0008-0000-0800-0000AF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88" name="Text Box 335">
          <a:extLst>
            <a:ext uri="{FF2B5EF4-FFF2-40B4-BE49-F238E27FC236}">
              <a16:creationId xmlns:a16="http://schemas.microsoft.com/office/drawing/2014/main" id="{00000000-0008-0000-0800-0000B0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89" name="Text Box 336">
          <a:extLst>
            <a:ext uri="{FF2B5EF4-FFF2-40B4-BE49-F238E27FC236}">
              <a16:creationId xmlns:a16="http://schemas.microsoft.com/office/drawing/2014/main" id="{00000000-0008-0000-0800-0000B1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90" name="Text Box 337">
          <a:extLst>
            <a:ext uri="{FF2B5EF4-FFF2-40B4-BE49-F238E27FC236}">
              <a16:creationId xmlns:a16="http://schemas.microsoft.com/office/drawing/2014/main" id="{00000000-0008-0000-0800-0000B2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91" name="Text Box 338">
          <a:extLst>
            <a:ext uri="{FF2B5EF4-FFF2-40B4-BE49-F238E27FC236}">
              <a16:creationId xmlns:a16="http://schemas.microsoft.com/office/drawing/2014/main" id="{00000000-0008-0000-0800-0000B3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92" name="Text Box 339">
          <a:extLst>
            <a:ext uri="{FF2B5EF4-FFF2-40B4-BE49-F238E27FC236}">
              <a16:creationId xmlns:a16="http://schemas.microsoft.com/office/drawing/2014/main" id="{00000000-0008-0000-0800-0000B4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93" name="Text Box 340">
          <a:extLst>
            <a:ext uri="{FF2B5EF4-FFF2-40B4-BE49-F238E27FC236}">
              <a16:creationId xmlns:a16="http://schemas.microsoft.com/office/drawing/2014/main" id="{00000000-0008-0000-0800-0000B5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94" name="Text Box 341">
          <a:extLst>
            <a:ext uri="{FF2B5EF4-FFF2-40B4-BE49-F238E27FC236}">
              <a16:creationId xmlns:a16="http://schemas.microsoft.com/office/drawing/2014/main" id="{00000000-0008-0000-0800-0000B6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95" name="Text Box 342">
          <a:extLst>
            <a:ext uri="{FF2B5EF4-FFF2-40B4-BE49-F238E27FC236}">
              <a16:creationId xmlns:a16="http://schemas.microsoft.com/office/drawing/2014/main" id="{00000000-0008-0000-0800-0000B7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96" name="Text Box 343">
          <a:extLst>
            <a:ext uri="{FF2B5EF4-FFF2-40B4-BE49-F238E27FC236}">
              <a16:creationId xmlns:a16="http://schemas.microsoft.com/office/drawing/2014/main" id="{00000000-0008-0000-0800-0000B8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97" name="Text Box 344">
          <a:extLst>
            <a:ext uri="{FF2B5EF4-FFF2-40B4-BE49-F238E27FC236}">
              <a16:creationId xmlns:a16="http://schemas.microsoft.com/office/drawing/2014/main" id="{00000000-0008-0000-0800-0000B9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98" name="Text Box 345">
          <a:extLst>
            <a:ext uri="{FF2B5EF4-FFF2-40B4-BE49-F238E27FC236}">
              <a16:creationId xmlns:a16="http://schemas.microsoft.com/office/drawing/2014/main" id="{00000000-0008-0000-0800-0000BA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699" name="Text Box 346">
          <a:extLst>
            <a:ext uri="{FF2B5EF4-FFF2-40B4-BE49-F238E27FC236}">
              <a16:creationId xmlns:a16="http://schemas.microsoft.com/office/drawing/2014/main" id="{00000000-0008-0000-0800-0000BB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700" name="Text Box 347">
          <a:extLst>
            <a:ext uri="{FF2B5EF4-FFF2-40B4-BE49-F238E27FC236}">
              <a16:creationId xmlns:a16="http://schemas.microsoft.com/office/drawing/2014/main" id="{00000000-0008-0000-0800-0000BC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701" name="Text Box 348">
          <a:extLst>
            <a:ext uri="{FF2B5EF4-FFF2-40B4-BE49-F238E27FC236}">
              <a16:creationId xmlns:a16="http://schemas.microsoft.com/office/drawing/2014/main" id="{00000000-0008-0000-0800-0000BD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702" name="Text Box 349">
          <a:extLst>
            <a:ext uri="{FF2B5EF4-FFF2-40B4-BE49-F238E27FC236}">
              <a16:creationId xmlns:a16="http://schemas.microsoft.com/office/drawing/2014/main" id="{00000000-0008-0000-0800-0000BE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703" name="Text Box 350">
          <a:extLst>
            <a:ext uri="{FF2B5EF4-FFF2-40B4-BE49-F238E27FC236}">
              <a16:creationId xmlns:a16="http://schemas.microsoft.com/office/drawing/2014/main" id="{00000000-0008-0000-0800-0000BF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704" name="Text Box 351">
          <a:extLst>
            <a:ext uri="{FF2B5EF4-FFF2-40B4-BE49-F238E27FC236}">
              <a16:creationId xmlns:a16="http://schemas.microsoft.com/office/drawing/2014/main" id="{00000000-0008-0000-0800-0000C0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705" name="Text Box 352">
          <a:extLst>
            <a:ext uri="{FF2B5EF4-FFF2-40B4-BE49-F238E27FC236}">
              <a16:creationId xmlns:a16="http://schemas.microsoft.com/office/drawing/2014/main" id="{00000000-0008-0000-0800-0000C1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706" name="Text Box 353">
          <a:extLst>
            <a:ext uri="{FF2B5EF4-FFF2-40B4-BE49-F238E27FC236}">
              <a16:creationId xmlns:a16="http://schemas.microsoft.com/office/drawing/2014/main" id="{00000000-0008-0000-0800-0000C2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707" name="Text Box 354">
          <a:extLst>
            <a:ext uri="{FF2B5EF4-FFF2-40B4-BE49-F238E27FC236}">
              <a16:creationId xmlns:a16="http://schemas.microsoft.com/office/drawing/2014/main" id="{00000000-0008-0000-0800-0000C3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708" name="Text Box 355">
          <a:extLst>
            <a:ext uri="{FF2B5EF4-FFF2-40B4-BE49-F238E27FC236}">
              <a16:creationId xmlns:a16="http://schemas.microsoft.com/office/drawing/2014/main" id="{00000000-0008-0000-0800-0000C4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709" name="Text Box 356">
          <a:extLst>
            <a:ext uri="{FF2B5EF4-FFF2-40B4-BE49-F238E27FC236}">
              <a16:creationId xmlns:a16="http://schemas.microsoft.com/office/drawing/2014/main" id="{00000000-0008-0000-0800-0000C5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710" name="Text Box 357">
          <a:extLst>
            <a:ext uri="{FF2B5EF4-FFF2-40B4-BE49-F238E27FC236}">
              <a16:creationId xmlns:a16="http://schemas.microsoft.com/office/drawing/2014/main" id="{00000000-0008-0000-0800-0000C6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711" name="Text Box 358">
          <a:extLst>
            <a:ext uri="{FF2B5EF4-FFF2-40B4-BE49-F238E27FC236}">
              <a16:creationId xmlns:a16="http://schemas.microsoft.com/office/drawing/2014/main" id="{00000000-0008-0000-0800-0000C7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712" name="Text Box 359">
          <a:extLst>
            <a:ext uri="{FF2B5EF4-FFF2-40B4-BE49-F238E27FC236}">
              <a16:creationId xmlns:a16="http://schemas.microsoft.com/office/drawing/2014/main" id="{00000000-0008-0000-0800-0000C8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822960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713" name="Text Box 360">
          <a:extLst>
            <a:ext uri="{FF2B5EF4-FFF2-40B4-BE49-F238E27FC236}">
              <a16:creationId xmlns:a16="http://schemas.microsoft.com/office/drawing/2014/main" id="{00000000-0008-0000-0800-0000C9020000}"/>
            </a:ext>
          </a:extLst>
        </xdr:cNvPr>
        <xdr:cNvSpPr txBox="1">
          <a:spLocks noChangeArrowheads="1"/>
        </xdr:cNvSpPr>
      </xdr:nvSpPr>
      <xdr:spPr bwMode="auto">
        <a:xfrm>
          <a:off x="5334000" y="646290300"/>
          <a:ext cx="9144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832485</xdr:colOff>
      <xdr:row>3682</xdr:row>
      <xdr:rowOff>0</xdr:rowOff>
    </xdr:from>
    <xdr:to>
      <xdr:col>2</xdr:col>
      <xdr:colOff>91440</xdr:colOff>
      <xdr:row>3918</xdr:row>
      <xdr:rowOff>164413</xdr:rowOff>
    </xdr:to>
    <xdr:sp macro="" textlink="">
      <xdr:nvSpPr>
        <xdr:cNvPr id="714" name="Text Box 361">
          <a:extLst>
            <a:ext uri="{FF2B5EF4-FFF2-40B4-BE49-F238E27FC236}">
              <a16:creationId xmlns:a16="http://schemas.microsoft.com/office/drawing/2014/main" id="{00000000-0008-0000-0800-0000CA020000}"/>
            </a:ext>
          </a:extLst>
        </xdr:cNvPr>
        <xdr:cNvSpPr txBox="1">
          <a:spLocks noChangeArrowheads="1"/>
        </xdr:cNvSpPr>
      </xdr:nvSpPr>
      <xdr:spPr bwMode="auto">
        <a:xfrm>
          <a:off x="5337810" y="3571875"/>
          <a:ext cx="91440" cy="20453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628651</xdr:colOff>
      <xdr:row>10</xdr:row>
      <xdr:rowOff>2379</xdr:rowOff>
    </xdr:from>
    <xdr:to>
      <xdr:col>6</xdr:col>
      <xdr:colOff>333376</xdr:colOff>
      <xdr:row>61</xdr:row>
      <xdr:rowOff>1275</xdr:rowOff>
    </xdr:to>
    <xdr:pic>
      <xdr:nvPicPr>
        <xdr:cNvPr id="80901" name="Picture 5">
          <a:extLst>
            <a:ext uri="{FF2B5EF4-FFF2-40B4-BE49-F238E27FC236}">
              <a16:creationId xmlns:a16="http://schemas.microsoft.com/office/drawing/2014/main" id="{00000000-0008-0000-0900-0000053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6200000">
          <a:off x="3142612" y="-308926"/>
          <a:ext cx="9392928" cy="14420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338138</xdr:colOff>
      <xdr:row>76</xdr:row>
      <xdr:rowOff>114299</xdr:rowOff>
    </xdr:from>
    <xdr:to>
      <xdr:col>6</xdr:col>
      <xdr:colOff>261940</xdr:colOff>
      <xdr:row>135</xdr:row>
      <xdr:rowOff>82470</xdr:rowOff>
    </xdr:to>
    <xdr:pic>
      <xdr:nvPicPr>
        <xdr:cNvPr id="80903" name="Picture 7">
          <a:extLst>
            <a:ext uri="{FF2B5EF4-FFF2-40B4-BE49-F238E27FC236}">
              <a16:creationId xmlns:a16="http://schemas.microsoft.com/office/drawing/2014/main" id="{00000000-0008-0000-0900-0000073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2756735" y="11792702"/>
          <a:ext cx="9802734" cy="146399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573881</xdr:colOff>
      <xdr:row>157</xdr:row>
      <xdr:rowOff>9523</xdr:rowOff>
    </xdr:from>
    <xdr:to>
      <xdr:col>7</xdr:col>
      <xdr:colOff>68261</xdr:colOff>
      <xdr:row>217</xdr:row>
      <xdr:rowOff>83342</xdr:rowOff>
    </xdr:to>
    <xdr:pic>
      <xdr:nvPicPr>
        <xdr:cNvPr id="80905" name="Picture 9">
          <a:extLst>
            <a:ext uri="{FF2B5EF4-FFF2-40B4-BE49-F238E27FC236}">
              <a16:creationId xmlns:a16="http://schemas.microsoft.com/office/drawing/2014/main" id="{00000000-0008-0000-0900-0000093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16200000">
          <a:off x="2945208" y="25236884"/>
          <a:ext cx="10075069" cy="148177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507208</xdr:colOff>
      <xdr:row>235</xdr:row>
      <xdr:rowOff>76198</xdr:rowOff>
    </xdr:from>
    <xdr:to>
      <xdr:col>6</xdr:col>
      <xdr:colOff>250036</xdr:colOff>
      <xdr:row>293</xdr:row>
      <xdr:rowOff>47624</xdr:rowOff>
    </xdr:to>
    <xdr:pic>
      <xdr:nvPicPr>
        <xdr:cNvPr id="80907" name="Picture 11">
          <a:extLst>
            <a:ext uri="{FF2B5EF4-FFF2-40B4-BE49-F238E27FC236}">
              <a16:creationId xmlns:a16="http://schemas.microsoft.com/office/drawing/2014/main" id="{00000000-0008-0000-0900-00000B3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16200000">
          <a:off x="2917034" y="38266685"/>
          <a:ext cx="9639301" cy="144589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578645</xdr:colOff>
      <xdr:row>318</xdr:row>
      <xdr:rowOff>16668</xdr:rowOff>
    </xdr:from>
    <xdr:to>
      <xdr:col>7</xdr:col>
      <xdr:colOff>112426</xdr:colOff>
      <xdr:row>378</xdr:row>
      <xdr:rowOff>83343</xdr:rowOff>
    </xdr:to>
    <xdr:pic>
      <xdr:nvPicPr>
        <xdr:cNvPr id="80909" name="Picture 13">
          <a:extLst>
            <a:ext uri="{FF2B5EF4-FFF2-40B4-BE49-F238E27FC236}">
              <a16:creationId xmlns:a16="http://schemas.microsoft.com/office/drawing/2014/main" id="{00000000-0008-0000-0900-00000D3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16200000">
          <a:off x="2973245" y="52057443"/>
          <a:ext cx="10067925" cy="14857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900112</xdr:colOff>
      <xdr:row>393</xdr:row>
      <xdr:rowOff>111919</xdr:rowOff>
    </xdr:from>
    <xdr:to>
      <xdr:col>4</xdr:col>
      <xdr:colOff>238127</xdr:colOff>
      <xdr:row>463</xdr:row>
      <xdr:rowOff>20775</xdr:rowOff>
    </xdr:to>
    <xdr:pic>
      <xdr:nvPicPr>
        <xdr:cNvPr id="80911" name="Picture 15">
          <a:extLst>
            <a:ext uri="{FF2B5EF4-FFF2-40B4-BE49-F238E27FC236}">
              <a16:creationId xmlns:a16="http://schemas.microsoft.com/office/drawing/2014/main" id="{00000000-0008-0000-0900-00000F3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16200000">
          <a:off x="1352879" y="66596090"/>
          <a:ext cx="11576981" cy="1248251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500062</xdr:colOff>
      <xdr:row>6</xdr:row>
      <xdr:rowOff>71436</xdr:rowOff>
    </xdr:from>
    <xdr:to>
      <xdr:col>7</xdr:col>
      <xdr:colOff>154780</xdr:colOff>
      <xdr:row>54</xdr:row>
      <xdr:rowOff>23811</xdr:rowOff>
    </xdr:to>
    <xdr:pic>
      <xdr:nvPicPr>
        <xdr:cNvPr id="57346" name="Picture 2">
          <a:extLst>
            <a:ext uri="{FF2B5EF4-FFF2-40B4-BE49-F238E27FC236}">
              <a16:creationId xmlns:a16="http://schemas.microsoft.com/office/drawing/2014/main" id="{00000000-0008-0000-0A00-000002E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0062" y="1881186"/>
          <a:ext cx="12930187" cy="7953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678656</xdr:colOff>
      <xdr:row>80</xdr:row>
      <xdr:rowOff>47625</xdr:rowOff>
    </xdr:from>
    <xdr:to>
      <xdr:col>6</xdr:col>
      <xdr:colOff>881062</xdr:colOff>
      <xdr:row>128</xdr:row>
      <xdr:rowOff>83344</xdr:rowOff>
    </xdr:to>
    <xdr:pic>
      <xdr:nvPicPr>
        <xdr:cNvPr id="57348" name="Picture 4">
          <a:extLst>
            <a:ext uri="{FF2B5EF4-FFF2-40B4-BE49-F238E27FC236}">
              <a16:creationId xmlns:a16="http://schemas.microsoft.com/office/drawing/2014/main" id="{00000000-0008-0000-0A00-000004E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8656" y="14192250"/>
          <a:ext cx="12573000" cy="8036719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690561</xdr:colOff>
      <xdr:row>6</xdr:row>
      <xdr:rowOff>119062</xdr:rowOff>
    </xdr:from>
    <xdr:to>
      <xdr:col>7</xdr:col>
      <xdr:colOff>95249</xdr:colOff>
      <xdr:row>52</xdr:row>
      <xdr:rowOff>83344</xdr:rowOff>
    </xdr:to>
    <xdr:pic>
      <xdr:nvPicPr>
        <xdr:cNvPr id="60418" name="Picture 2">
          <a:extLst>
            <a:ext uri="{FF2B5EF4-FFF2-40B4-BE49-F238E27FC236}">
              <a16:creationId xmlns:a16="http://schemas.microsoft.com/office/drawing/2014/main" id="{00000000-0008-0000-0B00-000002E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0561" y="1726406"/>
          <a:ext cx="12287251" cy="82986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357188</xdr:colOff>
      <xdr:row>83</xdr:row>
      <xdr:rowOff>23811</xdr:rowOff>
    </xdr:from>
    <xdr:to>
      <xdr:col>6</xdr:col>
      <xdr:colOff>762000</xdr:colOff>
      <xdr:row>130</xdr:row>
      <xdr:rowOff>95249</xdr:rowOff>
    </xdr:to>
    <xdr:pic>
      <xdr:nvPicPr>
        <xdr:cNvPr id="60420" name="Picture 4">
          <a:extLst>
            <a:ext uri="{FF2B5EF4-FFF2-40B4-BE49-F238E27FC236}">
              <a16:creationId xmlns:a16="http://schemas.microsoft.com/office/drawing/2014/main" id="{00000000-0008-0000-0B00-000004E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7188" y="15132842"/>
          <a:ext cx="12418218" cy="7905751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154</xdr:row>
      <xdr:rowOff>0</xdr:rowOff>
    </xdr:from>
    <xdr:to>
      <xdr:col>2</xdr:col>
      <xdr:colOff>0</xdr:colOff>
      <xdr:row>154</xdr:row>
      <xdr:rowOff>0</xdr:rowOff>
    </xdr:to>
    <xdr:sp macro="" textlink="">
      <xdr:nvSpPr>
        <xdr:cNvPr id="2" name="AutoShape 10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/>
        </xdr:cNvSpPr>
      </xdr:nvSpPr>
      <xdr:spPr bwMode="auto">
        <a:xfrm>
          <a:off x="7734300" y="35394900"/>
          <a:ext cx="0" cy="0"/>
        </a:xfrm>
        <a:prstGeom prst="lef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154</xdr:row>
      <xdr:rowOff>0</xdr:rowOff>
    </xdr:from>
    <xdr:to>
      <xdr:col>2</xdr:col>
      <xdr:colOff>0</xdr:colOff>
      <xdr:row>154</xdr:row>
      <xdr:rowOff>0</xdr:rowOff>
    </xdr:to>
    <xdr:sp macro="" textlink="">
      <xdr:nvSpPr>
        <xdr:cNvPr id="3" name="AutoShape 1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/>
        </xdr:cNvSpPr>
      </xdr:nvSpPr>
      <xdr:spPr bwMode="auto">
        <a:xfrm>
          <a:off x="7734300" y="35394900"/>
          <a:ext cx="0" cy="0"/>
        </a:xfrm>
        <a:prstGeom prst="lef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508396</xdr:colOff>
      <xdr:row>8</xdr:row>
      <xdr:rowOff>86913</xdr:rowOff>
    </xdr:from>
    <xdr:to>
      <xdr:col>5</xdr:col>
      <xdr:colOff>673532</xdr:colOff>
      <xdr:row>58</xdr:row>
      <xdr:rowOff>142874</xdr:rowOff>
    </xdr:to>
    <xdr:pic>
      <xdr:nvPicPr>
        <xdr:cNvPr id="81922" name="Picture 2">
          <a:extLst>
            <a:ext uri="{FF2B5EF4-FFF2-40B4-BE49-F238E27FC236}">
              <a16:creationId xmlns:a16="http://schemas.microsoft.com/office/drawing/2014/main" id="{00000000-0008-0000-1000-0000024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6200000">
          <a:off x="2938281" y="-187941"/>
          <a:ext cx="9057086" cy="139168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279797</xdr:colOff>
      <xdr:row>79</xdr:row>
      <xdr:rowOff>29764</xdr:rowOff>
    </xdr:from>
    <xdr:to>
      <xdr:col>5</xdr:col>
      <xdr:colOff>626753</xdr:colOff>
      <xdr:row>137</xdr:row>
      <xdr:rowOff>47624</xdr:rowOff>
    </xdr:to>
    <xdr:pic>
      <xdr:nvPicPr>
        <xdr:cNvPr id="81924" name="Picture 4">
          <a:extLst>
            <a:ext uri="{FF2B5EF4-FFF2-40B4-BE49-F238E27FC236}">
              <a16:creationId xmlns:a16="http://schemas.microsoft.com/office/drawing/2014/main" id="{00000000-0008-0000-1000-0000044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6200000">
          <a:off x="2486267" y="12479888"/>
          <a:ext cx="9685735" cy="14098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408385</xdr:colOff>
      <xdr:row>152</xdr:row>
      <xdr:rowOff>8333</xdr:rowOff>
    </xdr:from>
    <xdr:to>
      <xdr:col>5</xdr:col>
      <xdr:colOff>672941</xdr:colOff>
      <xdr:row>210</xdr:row>
      <xdr:rowOff>107156</xdr:rowOff>
    </xdr:to>
    <xdr:pic>
      <xdr:nvPicPr>
        <xdr:cNvPr id="81926" name="Picture 6">
          <a:extLst>
            <a:ext uri="{FF2B5EF4-FFF2-40B4-BE49-F238E27FC236}">
              <a16:creationId xmlns:a16="http://schemas.microsoft.com/office/drawing/2014/main" id="{00000000-0008-0000-1000-0000064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16200000">
          <a:off x="2533174" y="24708325"/>
          <a:ext cx="9766698" cy="14016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403621</xdr:colOff>
      <xdr:row>222</xdr:row>
      <xdr:rowOff>96441</xdr:rowOff>
    </xdr:from>
    <xdr:to>
      <xdr:col>5</xdr:col>
      <xdr:colOff>652157</xdr:colOff>
      <xdr:row>278</xdr:row>
      <xdr:rowOff>11906</xdr:rowOff>
    </xdr:to>
    <xdr:pic>
      <xdr:nvPicPr>
        <xdr:cNvPr id="81928" name="Picture 8">
          <a:extLst>
            <a:ext uri="{FF2B5EF4-FFF2-40B4-BE49-F238E27FC236}">
              <a16:creationId xmlns:a16="http://schemas.microsoft.com/office/drawing/2014/main" id="{00000000-0008-0000-1000-0000084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16200000">
          <a:off x="2778766" y="36214202"/>
          <a:ext cx="9249965" cy="140002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289323</xdr:colOff>
      <xdr:row>302</xdr:row>
      <xdr:rowOff>67867</xdr:rowOff>
    </xdr:from>
    <xdr:to>
      <xdr:col>5</xdr:col>
      <xdr:colOff>854530</xdr:colOff>
      <xdr:row>359</xdr:row>
      <xdr:rowOff>119062</xdr:rowOff>
    </xdr:to>
    <xdr:pic>
      <xdr:nvPicPr>
        <xdr:cNvPr id="81930" name="Picture 10">
          <a:extLst>
            <a:ext uri="{FF2B5EF4-FFF2-40B4-BE49-F238E27FC236}">
              <a16:creationId xmlns:a16="http://schemas.microsoft.com/office/drawing/2014/main" id="{00000000-0008-0000-1000-00000A4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16200000">
          <a:off x="2671594" y="49513502"/>
          <a:ext cx="9552383" cy="143169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2012161</xdr:colOff>
      <xdr:row>374</xdr:row>
      <xdr:rowOff>23812</xdr:rowOff>
    </xdr:from>
    <xdr:to>
      <xdr:col>0</xdr:col>
      <xdr:colOff>6319054</xdr:colOff>
      <xdr:row>427</xdr:row>
      <xdr:rowOff>83346</xdr:rowOff>
    </xdr:to>
    <xdr:pic>
      <xdr:nvPicPr>
        <xdr:cNvPr id="81932" name="Picture 12">
          <a:extLst>
            <a:ext uri="{FF2B5EF4-FFF2-40B4-BE49-F238E27FC236}">
              <a16:creationId xmlns:a16="http://schemas.microsoft.com/office/drawing/2014/main" id="{00000000-0008-0000-1000-00000C4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16200000">
          <a:off x="-275425" y="66140804"/>
          <a:ext cx="8882066" cy="430689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rreio01.prodesp.sp.gov.br/DOCUME~1/MMFUZE~1/CONFIG~1/Temp/notesED75DF/Or&#231;09-SF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rreio01.prodesp.sp.gov.br/DOCUME~1/jneto/CONFIG~1/Temp/notesED75DF/Exemplo%20Or&#231;10-SSP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rreio01.prodesp.sp.gov.br/DOCUME~1/MMFUZE~1/CONFIG~1/Temp/notesED75DF/Or&#231;09-SU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TOSCOSTA\Prodesp-Sede$\Financeiro\3%20%20Execu&#231;&#227;o%20Financeira\Alugu&#233;is%20Poupatempo\ALUGUEIS%20CONTABILIDAD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41896\AppData\Roaming\Microsoft\Excel\relatorio%20despesas%20convenio_SAG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rreio01.prodesp.sp.gov.br/DOCUME~1/MMFUZE~1/CONFIG~1/Temp/notesED75DF/Or&#231;09-SN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AT&#211;RIOS%20GERENCIAIS%20-%202011(Base%20Janeiro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sed-arq-cl\AGF$\Financeiro\3%20%20Execu&#231;&#227;o%20Financeira\z&#233;%20roberto\FLUXO%202011\Trabalhos%20para%20DAF\https:\correio01.prodesp.sp.gov.br\DOCUME~1\MMFUZE~1\CONFIG~1\Temp\notesED75DF\Or&#231;09-SF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sed-arq-cl\AGF$\Financeiro\3%20%20Execu&#231;&#227;o%20Financeira\z&#233;%20roberto\FLUXO%202011\Trabalhos%20para%20DAF\https:\correio01.prodesp.sp.gov.br\DOCUME~1\MMFUZE~1\CONFIG~1\Temp\notesED75DF\Or&#231;09-SN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3%20%20Execu&#231;&#227;o%20Financeira\z&#233;%20roberto\FLUXO%202011\Trabalhos%20para%20DAF\https:\correio01.prodesp.sp.gov.br\DOCUME~1\MMFUZE~1\CONFIG~1\Temp\notesED75DF\Or&#231;09-SF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3%20%20Execu&#231;&#227;o%20Financeira\z&#233;%20roberto\FLUXO%202011\Trabalhos%20para%20DAF\https:\correio01.prodesp.sp.gov.br\DOCUME~1\MMFUZE~1\CONFIG~1\Temp\notesED75DF\Or&#231;09-SN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RACF3\GERACF2\PAGINA1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rreio01.prodesp.sp.gov.br/DOCUME~1/MMFUZE~1/CONFIG~1/Temp/notesED75DF/Or&#231;09-SS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PARA PREENCHIMENTO"/>
      <sheetName val="SFA"/>
    </sheetNames>
    <sheetDataSet>
      <sheetData sheetId="0"/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P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PARA PREENCHIMENTO"/>
      <sheetName val="SUE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TOS"/>
      <sheetName val="JAN-05"/>
      <sheetName val="JAN-05 (2)"/>
      <sheetName val=" FEV-05"/>
      <sheetName val="MAR-05"/>
      <sheetName val="ABR-05"/>
      <sheetName val="MAI-05"/>
      <sheetName val="JUN-05"/>
      <sheetName val="JUL-05"/>
      <sheetName val="AGO-05"/>
      <sheetName val="SET-05"/>
      <sheetName val="OUT-05"/>
      <sheetName val="NOV-05"/>
      <sheetName val="DEZ-05"/>
      <sheetName val="JAN-06"/>
      <sheetName val="FEV-06"/>
      <sheetName val="MAR-06"/>
      <sheetName val="ABR-06"/>
      <sheetName val="MAIO-06"/>
      <sheetName val="JUN-06"/>
      <sheetName val="JUL-06"/>
      <sheetName val="AGO-06"/>
      <sheetName val="SET-06"/>
      <sheetName val="OUT-06"/>
      <sheetName val="NOV-06"/>
      <sheetName val="DEZ-06"/>
      <sheetName val="JAN-07"/>
      <sheetName val="FEV-07"/>
      <sheetName val="MAR-07"/>
      <sheetName val="ABR-07"/>
      <sheetName val="MAI-07"/>
      <sheetName val="JUN-07"/>
      <sheetName val="JUL-07"/>
      <sheetName val="AGO-07"/>
      <sheetName val="SET-07"/>
      <sheetName val="OUT-07"/>
      <sheetName val="NOV-07"/>
      <sheetName val="DEZ-07"/>
      <sheetName val="JAN-08"/>
      <sheetName val="FEV-08"/>
      <sheetName val="MAR-08"/>
      <sheetName val="ABR-08"/>
      <sheetName val="MAI-08 "/>
      <sheetName val="JUN-08 "/>
      <sheetName val="JUL-08 "/>
      <sheetName val="AGO-08"/>
      <sheetName val="SET-08"/>
      <sheetName val="OUT-08 "/>
      <sheetName val="NOV-08"/>
      <sheetName val="DEZ-08"/>
      <sheetName val="JAN-09"/>
      <sheetName val="FEV-09"/>
      <sheetName val="MAR-09 "/>
      <sheetName val="ABR-09"/>
      <sheetName val="MAI-09"/>
      <sheetName val="JUN-09"/>
      <sheetName val="JUL-09"/>
      <sheetName val="AGOSTO-09 "/>
      <sheetName val="SETEMBRO-09"/>
      <sheetName val="OUTUBRO-09"/>
      <sheetName val="NOVEMBRO-09"/>
      <sheetName val="DEZEMBRO-09"/>
      <sheetName val="JANEIRO-10"/>
      <sheetName val="FEVEREIRO - 10"/>
      <sheetName val="MARÇO-10"/>
      <sheetName val="ABRIL- 10"/>
      <sheetName val="MAIO-10"/>
      <sheetName val="JUNHO-10"/>
      <sheetName val="JULHO-10 "/>
      <sheetName val="AGOSTO-10"/>
      <sheetName val="SETEMBRO-10"/>
      <sheetName val="OUTUBRO-10"/>
      <sheetName val="NOVEMBRO-10"/>
      <sheetName val="DEZEMBRO-10"/>
      <sheetName val="DEZEMBRO-10 (2)"/>
      <sheetName val="AGOSTO"/>
      <sheetName val="SETEMBRO"/>
      <sheetName val="JUNHO"/>
      <sheetName val="JULHO "/>
      <sheetName val="Plan1"/>
      <sheetName val="RECEB AGO-04"/>
      <sheetName val="REC SET-06"/>
      <sheetName val="REC OUT-06"/>
      <sheetName val="JAN-FEV-MAR"/>
    </sheetNames>
    <sheetDataSet>
      <sheetData sheetId="0"/>
      <sheetData sheetId="1" refreshError="1">
        <row r="6">
          <cell r="R6" t="str">
            <v xml:space="preserve"> Cod. </v>
          </cell>
          <cell r="S6" t="str">
            <v>Poupa Tempo/Local</v>
          </cell>
          <cell r="T6" t="str">
            <v>C. Aloc.</v>
          </cell>
          <cell r="U6" t="str">
            <v>Nat.</v>
          </cell>
          <cell r="V6" t="str">
            <v>Tipo</v>
          </cell>
          <cell r="W6" t="str">
            <v>ESP.</v>
          </cell>
        </row>
        <row r="8">
          <cell r="R8">
            <v>1</v>
          </cell>
          <cell r="S8" t="str">
            <v>Superintendência</v>
          </cell>
          <cell r="T8">
            <v>1070</v>
          </cell>
          <cell r="U8">
            <v>2</v>
          </cell>
          <cell r="V8">
            <v>1</v>
          </cell>
          <cell r="W8" t="str">
            <v>E4120</v>
          </cell>
        </row>
        <row r="9">
          <cell r="R9">
            <v>2</v>
          </cell>
          <cell r="S9" t="str">
            <v>Alfredo Issa</v>
          </cell>
          <cell r="T9">
            <v>1080</v>
          </cell>
          <cell r="U9">
            <v>2</v>
          </cell>
          <cell r="V9">
            <v>1</v>
          </cell>
          <cell r="W9" t="str">
            <v>E4121</v>
          </cell>
        </row>
        <row r="10">
          <cell r="R10">
            <v>2</v>
          </cell>
          <cell r="S10" t="str">
            <v>Alfredo Issa</v>
          </cell>
          <cell r="T10">
            <v>1080</v>
          </cell>
          <cell r="U10">
            <v>2</v>
          </cell>
          <cell r="V10">
            <v>1</v>
          </cell>
          <cell r="W10" t="str">
            <v>E4121</v>
          </cell>
        </row>
        <row r="11">
          <cell r="R11">
            <v>3</v>
          </cell>
          <cell r="S11" t="str">
            <v>Sé</v>
          </cell>
          <cell r="T11">
            <v>1085</v>
          </cell>
          <cell r="U11">
            <v>2</v>
          </cell>
          <cell r="V11">
            <v>1</v>
          </cell>
          <cell r="W11" t="str">
            <v>E4125</v>
          </cell>
        </row>
        <row r="12">
          <cell r="R12">
            <v>4</v>
          </cell>
          <cell r="S12" t="str">
            <v>Itaquera</v>
          </cell>
          <cell r="T12">
            <v>1090</v>
          </cell>
          <cell r="U12">
            <v>2</v>
          </cell>
          <cell r="V12">
            <v>1</v>
          </cell>
          <cell r="W12" t="str">
            <v>E4126</v>
          </cell>
        </row>
        <row r="13">
          <cell r="R13">
            <v>5</v>
          </cell>
          <cell r="S13" t="str">
            <v>Campinas</v>
          </cell>
          <cell r="T13">
            <v>1095</v>
          </cell>
          <cell r="U13">
            <v>2</v>
          </cell>
          <cell r="V13">
            <v>1</v>
          </cell>
          <cell r="W13" t="str">
            <v>E4122</v>
          </cell>
        </row>
        <row r="14">
          <cell r="R14">
            <v>6</v>
          </cell>
          <cell r="S14" t="str">
            <v>Santo Amaro</v>
          </cell>
          <cell r="T14">
            <v>1100</v>
          </cell>
          <cell r="U14">
            <v>2</v>
          </cell>
          <cell r="V14">
            <v>1</v>
          </cell>
          <cell r="W14" t="str">
            <v>E4123</v>
          </cell>
        </row>
        <row r="15">
          <cell r="R15">
            <v>7</v>
          </cell>
          <cell r="S15" t="str">
            <v>São José dos Campos</v>
          </cell>
          <cell r="T15">
            <v>1105</v>
          </cell>
          <cell r="U15">
            <v>2</v>
          </cell>
          <cell r="V15">
            <v>1</v>
          </cell>
          <cell r="W15" t="str">
            <v>E4124</v>
          </cell>
        </row>
        <row r="16">
          <cell r="R16">
            <v>8</v>
          </cell>
          <cell r="S16" t="str">
            <v>São Bernado do Campo</v>
          </cell>
          <cell r="T16">
            <v>1115</v>
          </cell>
          <cell r="U16">
            <v>2</v>
          </cell>
          <cell r="V16">
            <v>1</v>
          </cell>
          <cell r="W16" t="str">
            <v>E4127</v>
          </cell>
        </row>
        <row r="17">
          <cell r="R17">
            <v>9</v>
          </cell>
          <cell r="S17" t="str">
            <v>Guarulhos</v>
          </cell>
          <cell r="T17">
            <v>1120</v>
          </cell>
          <cell r="U17">
            <v>2</v>
          </cell>
          <cell r="V17">
            <v>1</v>
          </cell>
          <cell r="W17" t="str">
            <v>E4128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 Analítico - Detalhame"/>
      <sheetName val="plano contabil"/>
    </sheetNames>
    <sheetDataSet>
      <sheetData sheetId="0" refreshError="1"/>
      <sheetData sheetId="1">
        <row r="19">
          <cell r="C19">
            <v>111010800000</v>
          </cell>
        </row>
        <row r="431">
          <cell r="C431">
            <v>112120801010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PARA PREENCHIMENTO"/>
      <sheetName val="SND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dências Faturamento"/>
      <sheetName val="Projeção Mensal"/>
      <sheetName val="Prova 110"/>
      <sheetName val="Gerências"/>
      <sheetName val="Proj.ATT Notes 11-02 Sandra B."/>
      <sheetName val="Real+Prev. Secr."/>
      <sheetName val="Proj. Receita-2010(Faturamento)"/>
      <sheetName val="Prova Geral"/>
      <sheetName val="CAPA RECEITAS - Secretaria"/>
      <sheetName val="Índice-COMPLETO"/>
      <sheetName val="Sec-Resumo -Dotação &amp; Empenho "/>
      <sheetName val="Real+Prev. Secr. Resumo"/>
      <sheetName val="Real+Projeção-(Resumo)"/>
      <sheetName val="Real+Projeção-Estrutura-2010"/>
      <sheetName val="Demonst. Meta 2010"/>
      <sheetName val="Graf. Evol. Dezembro-2010"/>
      <sheetName val="Dotação x Empenhos - Secretaria"/>
      <sheetName val="Variação - Por Gerência"/>
      <sheetName val="Demonst. Meta 2010 - Dalva"/>
      <sheetName val="Variação Mensal - Secretaria"/>
      <sheetName val="Anotações Duvidas"/>
      <sheetName val="Projeção Moutinho - 20-05-2010"/>
      <sheetName val="ESTRUTURA - 2010"/>
      <sheetName val="Abertura por Superintendência"/>
      <sheetName val="Abertura - Por Secretaria"/>
      <sheetName val="Comparativo 2008 X 2009-Resumo "/>
      <sheetName val="Dotação x Empenhos - Resumo"/>
      <sheetName val="Real+Prev. Superi."/>
      <sheetName val="Conselho-Detalhe"/>
      <sheetName val="Conselho-Resumo"/>
      <sheetName val="Conselho Fiscal-2010(Alex)"/>
      <sheetName val="Real+Projeção(Custos) Resumo"/>
      <sheetName val="Variação 2010 x 2009"/>
      <sheetName val="Real 2009"/>
      <sheetName val="Proj ATR-Notes dia 22-02 Gilm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PARA PREENCHIMENTO"/>
      <sheetName val="SFA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PARA PREENCHIMENTO"/>
      <sheetName val="SND"/>
    </sheetNames>
    <sheetDataSet>
      <sheetData sheetId="0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PARA PREENCHIMENTO"/>
      <sheetName val="SFA"/>
    </sheetNames>
    <sheetDataSet>
      <sheetData sheetId="0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PARA PREENCHIMENTO"/>
      <sheetName val="SND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>
        <row r="5">
          <cell r="C5">
            <v>35551</v>
          </cell>
          <cell r="D5">
            <v>35582</v>
          </cell>
          <cell r="E5">
            <v>35612</v>
          </cell>
          <cell r="F5">
            <v>35643</v>
          </cell>
          <cell r="G5">
            <v>35674</v>
          </cell>
          <cell r="H5">
            <v>35704</v>
          </cell>
          <cell r="I5">
            <v>35735</v>
          </cell>
          <cell r="J5">
            <v>35765</v>
          </cell>
          <cell r="K5">
            <v>35796</v>
          </cell>
          <cell r="L5">
            <v>35827</v>
          </cell>
          <cell r="M5">
            <v>35855</v>
          </cell>
          <cell r="N5">
            <v>35886</v>
          </cell>
          <cell r="O5">
            <v>35916</v>
          </cell>
        </row>
        <row r="6">
          <cell r="C6">
            <v>0</v>
          </cell>
          <cell r="D6">
            <v>17</v>
          </cell>
          <cell r="E6">
            <v>0</v>
          </cell>
          <cell r="F6">
            <v>24</v>
          </cell>
          <cell r="G6">
            <v>47</v>
          </cell>
          <cell r="H6">
            <v>10</v>
          </cell>
          <cell r="I6">
            <v>10</v>
          </cell>
          <cell r="J6">
            <v>0</v>
          </cell>
          <cell r="K6">
            <v>3</v>
          </cell>
          <cell r="L6">
            <v>164</v>
          </cell>
          <cell r="M6">
            <v>385</v>
          </cell>
          <cell r="N6">
            <v>552.1</v>
          </cell>
          <cell r="O6">
            <v>737</v>
          </cell>
        </row>
        <row r="7">
          <cell r="C7">
            <v>127</v>
          </cell>
          <cell r="D7">
            <v>121</v>
          </cell>
          <cell r="E7">
            <v>158</v>
          </cell>
          <cell r="F7">
            <v>2561</v>
          </cell>
          <cell r="G7">
            <v>1998</v>
          </cell>
          <cell r="H7">
            <v>968</v>
          </cell>
          <cell r="I7">
            <v>414</v>
          </cell>
          <cell r="J7">
            <v>428</v>
          </cell>
          <cell r="K7">
            <v>469</v>
          </cell>
          <cell r="L7">
            <v>796</v>
          </cell>
          <cell r="M7">
            <v>1165</v>
          </cell>
          <cell r="N7">
            <v>686</v>
          </cell>
          <cell r="O7">
            <v>642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</v>
          </cell>
          <cell r="I8">
            <v>4</v>
          </cell>
          <cell r="J8">
            <v>4</v>
          </cell>
          <cell r="K8">
            <v>1</v>
          </cell>
          <cell r="L8">
            <v>10</v>
          </cell>
          <cell r="M8">
            <v>6</v>
          </cell>
          <cell r="N8">
            <v>8</v>
          </cell>
          <cell r="O8">
            <v>19</v>
          </cell>
        </row>
        <row r="9">
          <cell r="C9">
            <v>0</v>
          </cell>
          <cell r="D9">
            <v>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26</v>
          </cell>
          <cell r="J9">
            <v>1</v>
          </cell>
          <cell r="K9">
            <v>0</v>
          </cell>
          <cell r="L9">
            <v>241</v>
          </cell>
          <cell r="M9">
            <v>353</v>
          </cell>
          <cell r="N9">
            <v>185</v>
          </cell>
          <cell r="O9">
            <v>440</v>
          </cell>
        </row>
        <row r="10">
          <cell r="C10">
            <v>1358</v>
          </cell>
          <cell r="D10">
            <v>1392</v>
          </cell>
          <cell r="E10">
            <v>1432</v>
          </cell>
          <cell r="F10">
            <v>1469</v>
          </cell>
          <cell r="G10">
            <v>1423</v>
          </cell>
          <cell r="H10">
            <v>1936</v>
          </cell>
          <cell r="I10">
            <v>3913</v>
          </cell>
          <cell r="J10">
            <v>1483</v>
          </cell>
          <cell r="K10">
            <v>1520</v>
          </cell>
          <cell r="L10">
            <v>1573</v>
          </cell>
          <cell r="M10">
            <v>1615</v>
          </cell>
          <cell r="N10">
            <v>1643</v>
          </cell>
          <cell r="O10">
            <v>1673</v>
          </cell>
        </row>
        <row r="11">
          <cell r="C11">
            <v>921</v>
          </cell>
          <cell r="D11">
            <v>932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PARA PREENCHIMENTO"/>
      <sheetName val="SSA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4:L3829"/>
  <sheetViews>
    <sheetView showGridLines="0" view="pageBreakPreview" zoomScale="80" zoomScaleNormal="90" zoomScaleSheetLayoutView="80" workbookViewId="0">
      <selection activeCell="F13" sqref="F13"/>
    </sheetView>
  </sheetViews>
  <sheetFormatPr defaultColWidth="9.28515625" defaultRowHeight="12.75"/>
  <cols>
    <col min="1" max="1" width="157.5703125" style="2" customWidth="1"/>
    <col min="2" max="11" width="9.28515625" style="2"/>
    <col min="12" max="18" width="0" style="2" hidden="1" customWidth="1"/>
    <col min="19" max="16384" width="9.28515625" style="2"/>
  </cols>
  <sheetData>
    <row r="4" spans="1:12" ht="18">
      <c r="A4" s="1" t="s">
        <v>0</v>
      </c>
    </row>
    <row r="5" spans="1:12">
      <c r="A5" s="3"/>
    </row>
    <row r="6" spans="1:12" ht="27">
      <c r="A6" s="324"/>
      <c r="B6" s="315"/>
      <c r="C6" s="315"/>
      <c r="D6" s="315"/>
      <c r="E6" s="315"/>
      <c r="F6" s="315"/>
      <c r="G6" s="315"/>
      <c r="H6" s="315"/>
      <c r="I6" s="315"/>
      <c r="J6" s="315"/>
      <c r="K6" s="315"/>
      <c r="L6" s="315"/>
    </row>
    <row r="7" spans="1:12">
      <c r="A7" s="325"/>
      <c r="B7" s="315"/>
      <c r="C7" s="315"/>
      <c r="D7" s="315"/>
      <c r="E7" s="315"/>
      <c r="F7" s="315"/>
      <c r="G7" s="315"/>
      <c r="H7" s="315"/>
      <c r="I7" s="315"/>
      <c r="J7" s="315"/>
      <c r="K7" s="315"/>
      <c r="L7" s="315"/>
    </row>
    <row r="8" spans="1:12" ht="27">
      <c r="A8" s="326"/>
      <c r="B8" s="315"/>
      <c r="C8" s="315"/>
      <c r="D8" s="315"/>
      <c r="E8" s="315"/>
      <c r="F8" s="315"/>
      <c r="G8" s="315"/>
      <c r="H8" s="315"/>
      <c r="I8" s="315"/>
      <c r="J8" s="315"/>
      <c r="K8" s="315"/>
      <c r="L8" s="315"/>
    </row>
    <row r="9" spans="1:12">
      <c r="A9" s="315"/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</row>
    <row r="10" spans="1:12">
      <c r="A10" s="315"/>
      <c r="B10" s="315"/>
      <c r="C10" s="315"/>
      <c r="D10" s="315"/>
      <c r="E10" s="315"/>
      <c r="F10" s="315"/>
      <c r="G10" s="315"/>
      <c r="H10" s="315"/>
      <c r="I10" s="315"/>
      <c r="J10" s="315"/>
      <c r="K10" s="315"/>
      <c r="L10" s="315"/>
    </row>
    <row r="11" spans="1:12">
      <c r="A11" s="315"/>
      <c r="B11" s="315"/>
      <c r="C11" s="315"/>
      <c r="D11" s="315"/>
      <c r="E11" s="315"/>
      <c r="F11" s="315"/>
      <c r="G11" s="315"/>
      <c r="H11" s="315"/>
      <c r="I11" s="315"/>
      <c r="J11" s="315"/>
      <c r="K11" s="315"/>
      <c r="L11" s="315"/>
    </row>
    <row r="12" spans="1:12">
      <c r="A12" s="315"/>
      <c r="B12" s="315"/>
      <c r="C12" s="315"/>
      <c r="D12" s="315"/>
      <c r="E12" s="315"/>
      <c r="F12" s="315"/>
      <c r="G12" s="315"/>
      <c r="H12" s="315"/>
      <c r="I12" s="315"/>
      <c r="J12" s="315"/>
      <c r="K12" s="315"/>
      <c r="L12" s="315"/>
    </row>
    <row r="13" spans="1:12" ht="45">
      <c r="A13" s="327" t="s">
        <v>1</v>
      </c>
      <c r="B13" s="315"/>
      <c r="C13" s="315"/>
      <c r="D13" s="315"/>
      <c r="E13" s="315"/>
      <c r="F13" s="315"/>
      <c r="G13" s="315"/>
      <c r="H13" s="315"/>
      <c r="I13" s="315"/>
      <c r="J13" s="315"/>
      <c r="K13" s="315"/>
      <c r="L13" s="315"/>
    </row>
    <row r="14" spans="1:12">
      <c r="A14" s="315"/>
      <c r="B14" s="315"/>
      <c r="C14" s="315"/>
      <c r="D14" s="315"/>
      <c r="E14" s="315"/>
      <c r="F14" s="315"/>
      <c r="G14" s="315"/>
      <c r="H14" s="315"/>
      <c r="I14" s="315"/>
      <c r="J14" s="315"/>
      <c r="K14" s="315"/>
      <c r="L14" s="315"/>
    </row>
    <row r="15" spans="1:12" ht="30">
      <c r="A15" s="328" t="s">
        <v>2</v>
      </c>
      <c r="B15" s="315"/>
      <c r="C15" s="315"/>
      <c r="D15" s="315"/>
      <c r="E15" s="315"/>
      <c r="F15" s="315"/>
      <c r="G15" s="315"/>
      <c r="H15" s="315"/>
      <c r="I15" s="315"/>
      <c r="J15" s="315"/>
      <c r="K15" s="315"/>
      <c r="L15" s="315"/>
    </row>
    <row r="16" spans="1:1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</row>
    <row r="17" spans="1:12" ht="26.25">
      <c r="A17" s="329" t="s">
        <v>2765</v>
      </c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</row>
    <row r="18" spans="1:1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</row>
    <row r="19" spans="1:1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</row>
    <row r="20" spans="1:1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</row>
    <row r="21" spans="1:1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</row>
    <row r="22" spans="1:12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</row>
    <row r="23" spans="1:12">
      <c r="A23" s="315"/>
      <c r="B23" s="315"/>
      <c r="C23" s="315"/>
      <c r="D23" s="315"/>
      <c r="E23" s="315"/>
      <c r="F23" s="315"/>
      <c r="G23" s="315"/>
      <c r="H23" s="315"/>
      <c r="I23" s="315"/>
      <c r="J23" s="315"/>
      <c r="K23" s="315"/>
      <c r="L23" s="315"/>
    </row>
    <row r="24" spans="1:12">
      <c r="A24" s="315"/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</row>
    <row r="25" spans="1:12">
      <c r="A25" s="315"/>
      <c r="B25" s="315"/>
      <c r="C25" s="315"/>
      <c r="D25" s="315"/>
      <c r="E25" s="315"/>
      <c r="F25" s="315"/>
      <c r="G25" s="315"/>
      <c r="H25" s="315"/>
      <c r="I25" s="315"/>
      <c r="J25" s="315"/>
      <c r="K25" s="315"/>
      <c r="L25" s="315"/>
    </row>
    <row r="26" spans="1:12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</row>
    <row r="27" spans="1:12">
      <c r="A27" s="315"/>
      <c r="B27" s="315"/>
      <c r="C27" s="315"/>
      <c r="D27" s="315"/>
      <c r="E27" s="315"/>
      <c r="F27" s="315"/>
      <c r="G27" s="315"/>
      <c r="H27" s="315"/>
      <c r="I27" s="315"/>
      <c r="J27" s="315"/>
      <c r="K27" s="315"/>
      <c r="L27" s="315"/>
    </row>
    <row r="28" spans="1:12">
      <c r="A28" s="315"/>
      <c r="B28" s="315"/>
      <c r="C28" s="315"/>
      <c r="D28" s="315"/>
      <c r="E28" s="315"/>
      <c r="F28" s="315"/>
      <c r="G28" s="315"/>
      <c r="H28" s="315"/>
      <c r="I28" s="315"/>
      <c r="J28" s="315"/>
      <c r="K28" s="315"/>
      <c r="L28" s="315"/>
    </row>
    <row r="29" spans="1:12">
      <c r="A29" s="315"/>
      <c r="B29" s="315"/>
      <c r="C29" s="315"/>
      <c r="D29" s="315"/>
      <c r="E29" s="315"/>
      <c r="F29" s="315"/>
      <c r="G29" s="315"/>
      <c r="H29" s="315"/>
      <c r="I29" s="315"/>
      <c r="J29" s="315"/>
      <c r="K29" s="315"/>
      <c r="L29" s="315"/>
    </row>
    <row r="30" spans="1:12" ht="62.25" customHeight="1">
      <c r="A30" s="330" t="s">
        <v>7919</v>
      </c>
      <c r="B30" s="315"/>
      <c r="C30" s="315"/>
      <c r="D30" s="315"/>
      <c r="E30" s="315"/>
      <c r="F30" s="315"/>
      <c r="G30" s="315"/>
      <c r="H30" s="315"/>
      <c r="I30" s="315"/>
      <c r="J30" s="315"/>
      <c r="K30" s="315"/>
      <c r="L30" s="315"/>
    </row>
    <row r="31" spans="1:12">
      <c r="A31" s="315"/>
      <c r="B31" s="315"/>
      <c r="C31" s="315"/>
      <c r="D31" s="315"/>
      <c r="E31" s="315"/>
      <c r="F31" s="315"/>
      <c r="G31" s="315"/>
      <c r="H31" s="315"/>
      <c r="I31" s="315"/>
      <c r="J31" s="315"/>
      <c r="K31" s="315"/>
      <c r="L31" s="315"/>
    </row>
    <row r="32" spans="1:12">
      <c r="A32" s="315"/>
      <c r="B32" s="315"/>
      <c r="C32" s="315"/>
      <c r="D32" s="315"/>
      <c r="E32" s="315"/>
      <c r="F32" s="315"/>
      <c r="G32" s="315"/>
      <c r="H32" s="315"/>
      <c r="I32" s="315"/>
      <c r="J32" s="315"/>
      <c r="K32" s="315"/>
      <c r="L32" s="315"/>
    </row>
    <row r="33" spans="1:12">
      <c r="A33" s="315"/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</row>
    <row r="34" spans="1:12">
      <c r="A34" s="315"/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</row>
    <row r="35" spans="1:12">
      <c r="A35" s="315"/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315"/>
    </row>
    <row r="36" spans="1:12">
      <c r="A36" s="315"/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</row>
    <row r="37" spans="1:12">
      <c r="A37" s="315"/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</row>
    <row r="38" spans="1:12">
      <c r="A38" s="315"/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</row>
    <row r="39" spans="1:12">
      <c r="A39" s="315"/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</row>
    <row r="40" spans="1:12">
      <c r="A40" s="315"/>
      <c r="B40" s="315"/>
      <c r="C40" s="315"/>
      <c r="D40" s="315"/>
      <c r="E40" s="315"/>
      <c r="F40" s="315"/>
      <c r="G40" s="315"/>
      <c r="H40" s="315"/>
      <c r="I40" s="315"/>
      <c r="J40" s="315"/>
      <c r="K40" s="315"/>
      <c r="L40" s="315"/>
    </row>
    <row r="41" spans="1:12">
      <c r="A41" s="315"/>
      <c r="B41" s="315"/>
      <c r="C41" s="315"/>
      <c r="D41" s="315"/>
      <c r="E41" s="315"/>
      <c r="F41" s="315"/>
      <c r="G41" s="315"/>
      <c r="H41" s="315"/>
      <c r="I41" s="315"/>
      <c r="J41" s="315"/>
      <c r="K41" s="315"/>
      <c r="L41" s="315"/>
    </row>
    <row r="42" spans="1:12">
      <c r="A42" s="315"/>
      <c r="B42" s="315"/>
      <c r="C42" s="315"/>
      <c r="D42" s="315"/>
      <c r="E42" s="315"/>
      <c r="F42" s="315"/>
      <c r="G42" s="315"/>
      <c r="H42" s="315"/>
      <c r="I42" s="315"/>
      <c r="J42" s="315"/>
      <c r="K42" s="315"/>
      <c r="L42" s="315"/>
    </row>
    <row r="43" spans="1:12">
      <c r="A43" s="315"/>
      <c r="B43" s="315"/>
      <c r="C43" s="315"/>
      <c r="D43" s="315"/>
      <c r="E43" s="315"/>
      <c r="F43" s="315"/>
      <c r="G43" s="315"/>
      <c r="H43" s="315"/>
      <c r="I43" s="315"/>
      <c r="J43" s="315"/>
      <c r="K43" s="315"/>
      <c r="L43" s="315"/>
    </row>
    <row r="44" spans="1:12">
      <c r="A44" s="315"/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</row>
    <row r="45" spans="1:12">
      <c r="A45" s="315"/>
      <c r="B45" s="315"/>
      <c r="C45" s="315"/>
      <c r="D45" s="315"/>
      <c r="E45" s="315"/>
      <c r="F45" s="315"/>
      <c r="G45" s="315"/>
      <c r="H45" s="315"/>
      <c r="I45" s="315"/>
      <c r="J45" s="315"/>
      <c r="K45" s="315"/>
      <c r="L45" s="315"/>
    </row>
    <row r="46" spans="1:12">
      <c r="A46" s="315"/>
      <c r="B46" s="315"/>
      <c r="C46" s="315"/>
      <c r="D46" s="315"/>
      <c r="E46" s="315"/>
      <c r="F46" s="315"/>
      <c r="G46" s="315"/>
      <c r="H46" s="315"/>
      <c r="I46" s="315"/>
      <c r="J46" s="315"/>
      <c r="K46" s="315"/>
      <c r="L46" s="315"/>
    </row>
    <row r="47" spans="1:12">
      <c r="A47" s="315"/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</row>
    <row r="48" spans="1:12">
      <c r="A48" s="315"/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</row>
    <row r="49" spans="1:12">
      <c r="A49" s="315"/>
      <c r="B49" s="315"/>
      <c r="C49" s="315"/>
      <c r="D49" s="315"/>
      <c r="E49" s="315"/>
      <c r="F49" s="315"/>
      <c r="G49" s="315"/>
      <c r="H49" s="315"/>
      <c r="I49" s="315"/>
      <c r="J49" s="315"/>
      <c r="K49" s="315"/>
      <c r="L49" s="315"/>
    </row>
    <row r="50" spans="1:12">
      <c r="A50" s="315"/>
      <c r="B50" s="315"/>
      <c r="C50" s="315"/>
      <c r="D50" s="315"/>
      <c r="E50" s="315"/>
      <c r="F50" s="315"/>
      <c r="G50" s="315"/>
      <c r="H50" s="315"/>
      <c r="I50" s="315"/>
      <c r="J50" s="315"/>
      <c r="K50" s="315"/>
      <c r="L50" s="315"/>
    </row>
    <row r="51" spans="1:12">
      <c r="A51" s="315"/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315"/>
    </row>
    <row r="52" spans="1:12">
      <c r="A52" s="315"/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315"/>
    </row>
    <row r="53" spans="1:12">
      <c r="A53" s="315"/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</row>
    <row r="54" spans="1:12">
      <c r="A54" s="315"/>
      <c r="B54" s="315"/>
      <c r="C54" s="315"/>
      <c r="D54" s="315"/>
      <c r="E54" s="315"/>
      <c r="F54" s="315"/>
      <c r="G54" s="315"/>
      <c r="H54" s="315"/>
      <c r="I54" s="315"/>
      <c r="J54" s="315"/>
      <c r="K54" s="315"/>
      <c r="L54" s="315"/>
    </row>
    <row r="55" spans="1:12">
      <c r="A55" s="315"/>
      <c r="B55" s="315"/>
      <c r="C55" s="315"/>
      <c r="D55" s="315"/>
      <c r="E55" s="315"/>
      <c r="F55" s="315"/>
      <c r="G55" s="315"/>
      <c r="H55" s="315"/>
      <c r="I55" s="315"/>
      <c r="J55" s="315"/>
      <c r="K55" s="315"/>
      <c r="L55" s="315"/>
    </row>
    <row r="56" spans="1:12">
      <c r="A56" s="315"/>
      <c r="B56" s="315"/>
      <c r="C56" s="315"/>
      <c r="D56" s="315"/>
      <c r="E56" s="315"/>
      <c r="F56" s="315"/>
      <c r="G56" s="315"/>
      <c r="H56" s="315"/>
      <c r="I56" s="315"/>
      <c r="J56" s="315"/>
      <c r="K56" s="315"/>
      <c r="L56" s="315"/>
    </row>
    <row r="57" spans="1:12">
      <c r="A57" s="315"/>
      <c r="B57" s="315"/>
      <c r="C57" s="315"/>
      <c r="D57" s="315"/>
      <c r="E57" s="315"/>
      <c r="F57" s="315"/>
      <c r="G57" s="315"/>
      <c r="H57" s="315"/>
      <c r="I57" s="315"/>
      <c r="J57" s="315"/>
      <c r="K57" s="315"/>
      <c r="L57" s="315"/>
    </row>
    <row r="58" spans="1:12">
      <c r="A58" s="315"/>
      <c r="B58" s="315"/>
      <c r="C58" s="315"/>
      <c r="D58" s="315"/>
      <c r="E58" s="315"/>
      <c r="F58" s="315"/>
      <c r="G58" s="315"/>
      <c r="H58" s="315"/>
      <c r="I58" s="315"/>
      <c r="J58" s="315"/>
      <c r="K58" s="315"/>
      <c r="L58" s="315"/>
    </row>
    <row r="59" spans="1:12">
      <c r="A59" s="315"/>
      <c r="B59" s="315"/>
      <c r="C59" s="315"/>
      <c r="D59" s="315"/>
      <c r="E59" s="315"/>
      <c r="F59" s="315"/>
      <c r="G59" s="315"/>
      <c r="H59" s="315"/>
      <c r="I59" s="315"/>
      <c r="J59" s="315"/>
      <c r="K59" s="315"/>
      <c r="L59" s="315"/>
    </row>
    <row r="60" spans="1:12">
      <c r="A60" s="315"/>
      <c r="B60" s="315"/>
      <c r="C60" s="315"/>
      <c r="D60" s="315"/>
      <c r="E60" s="315"/>
      <c r="F60" s="315"/>
      <c r="G60" s="315"/>
      <c r="H60" s="315"/>
      <c r="I60" s="315"/>
      <c r="J60" s="315"/>
      <c r="K60" s="315"/>
      <c r="L60" s="315"/>
    </row>
    <row r="61" spans="1:12">
      <c r="A61" s="315"/>
      <c r="B61" s="315"/>
      <c r="C61" s="315"/>
      <c r="D61" s="315"/>
      <c r="E61" s="315"/>
      <c r="F61" s="315"/>
      <c r="G61" s="315"/>
      <c r="H61" s="315"/>
      <c r="I61" s="315"/>
      <c r="J61" s="315"/>
      <c r="K61" s="315"/>
      <c r="L61" s="315"/>
    </row>
    <row r="62" spans="1:12">
      <c r="A62" s="315"/>
      <c r="B62" s="315"/>
      <c r="C62" s="315"/>
      <c r="D62" s="315"/>
      <c r="E62" s="315"/>
      <c r="F62" s="315"/>
      <c r="G62" s="315"/>
      <c r="H62" s="315"/>
      <c r="I62" s="315"/>
      <c r="J62" s="315"/>
      <c r="K62" s="315"/>
      <c r="L62" s="315"/>
    </row>
    <row r="63" spans="1:12">
      <c r="A63" s="315"/>
      <c r="B63" s="315"/>
      <c r="C63" s="315"/>
      <c r="D63" s="315"/>
      <c r="E63" s="315"/>
      <c r="F63" s="315"/>
      <c r="G63" s="315"/>
      <c r="H63" s="315"/>
      <c r="I63" s="315"/>
      <c r="J63" s="315"/>
      <c r="K63" s="315"/>
      <c r="L63" s="315"/>
    </row>
    <row r="64" spans="1:12">
      <c r="A64" s="315"/>
      <c r="B64" s="315"/>
      <c r="C64" s="315"/>
      <c r="D64" s="315"/>
      <c r="E64" s="315"/>
      <c r="F64" s="315"/>
      <c r="G64" s="315"/>
      <c r="H64" s="315"/>
      <c r="I64" s="315"/>
      <c r="J64" s="315"/>
      <c r="K64" s="315"/>
      <c r="L64" s="315"/>
    </row>
    <row r="65" spans="1:12">
      <c r="A65" s="315"/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</row>
    <row r="66" spans="1:12">
      <c r="A66" s="315"/>
      <c r="B66" s="315"/>
      <c r="C66" s="315"/>
      <c r="D66" s="315"/>
      <c r="E66" s="315"/>
      <c r="F66" s="315"/>
      <c r="G66" s="331"/>
      <c r="H66" s="332">
        <v>42248</v>
      </c>
      <c r="I66" s="315"/>
      <c r="J66" s="315"/>
      <c r="K66" s="315"/>
      <c r="L66" s="315"/>
    </row>
    <row r="67" spans="1:12">
      <c r="A67" s="315"/>
      <c r="B67" s="315"/>
      <c r="C67" s="315"/>
      <c r="D67" s="315"/>
      <c r="E67" s="315"/>
      <c r="F67" s="315"/>
      <c r="G67" s="315"/>
      <c r="H67" s="315"/>
      <c r="I67" s="315"/>
      <c r="J67" s="315"/>
      <c r="K67" s="315"/>
      <c r="L67" s="315"/>
    </row>
    <row r="68" spans="1:12">
      <c r="A68" s="315"/>
      <c r="B68" s="315"/>
      <c r="C68" s="315"/>
      <c r="D68" s="315"/>
      <c r="E68" s="315"/>
      <c r="F68" s="315"/>
      <c r="G68" s="315"/>
      <c r="H68" s="315"/>
      <c r="I68" s="315"/>
      <c r="J68" s="315"/>
      <c r="K68" s="315"/>
      <c r="L68" s="315"/>
    </row>
    <row r="69" spans="1:12">
      <c r="A69" s="315"/>
      <c r="B69" s="315"/>
      <c r="C69" s="315"/>
      <c r="D69" s="315"/>
      <c r="E69" s="315"/>
      <c r="F69" s="315"/>
      <c r="G69" s="315"/>
      <c r="H69" s="315"/>
      <c r="I69" s="315"/>
      <c r="J69" s="315"/>
      <c r="K69" s="315"/>
      <c r="L69" s="315"/>
    </row>
    <row r="70" spans="1:12">
      <c r="A70" s="315"/>
      <c r="B70" s="315"/>
      <c r="C70" s="315"/>
      <c r="D70" s="315"/>
      <c r="E70" s="315"/>
      <c r="F70" s="315"/>
      <c r="G70" s="315"/>
      <c r="H70" s="315"/>
      <c r="I70" s="315"/>
      <c r="J70" s="315"/>
      <c r="K70" s="315"/>
      <c r="L70" s="315"/>
    </row>
    <row r="71" spans="1:12">
      <c r="A71" s="315"/>
      <c r="B71" s="315"/>
      <c r="C71" s="315"/>
      <c r="D71" s="315"/>
      <c r="E71" s="315"/>
      <c r="F71" s="315"/>
      <c r="G71" s="315"/>
      <c r="H71" s="315"/>
      <c r="I71" s="315"/>
      <c r="J71" s="315"/>
      <c r="K71" s="315"/>
      <c r="L71" s="315"/>
    </row>
    <row r="72" spans="1:12">
      <c r="A72" s="315"/>
      <c r="B72" s="315"/>
      <c r="C72" s="315"/>
      <c r="D72" s="315"/>
      <c r="E72" s="315"/>
      <c r="F72" s="315"/>
      <c r="G72" s="315"/>
      <c r="H72" s="315"/>
      <c r="I72" s="315"/>
      <c r="J72" s="315"/>
      <c r="K72" s="315"/>
      <c r="L72" s="315"/>
    </row>
    <row r="73" spans="1:12">
      <c r="A73" s="315"/>
      <c r="B73" s="315"/>
      <c r="C73" s="315"/>
      <c r="D73" s="315"/>
      <c r="E73" s="315"/>
      <c r="F73" s="315"/>
      <c r="G73" s="315"/>
      <c r="H73" s="315"/>
      <c r="I73" s="315"/>
      <c r="J73" s="315"/>
      <c r="K73" s="315"/>
      <c r="L73" s="315"/>
    </row>
    <row r="74" spans="1:12">
      <c r="A74" s="315"/>
      <c r="B74" s="315"/>
      <c r="C74" s="315"/>
      <c r="D74" s="315"/>
      <c r="E74" s="315"/>
      <c r="F74" s="315"/>
      <c r="G74" s="315"/>
      <c r="H74" s="315"/>
      <c r="I74" s="315"/>
      <c r="J74" s="315"/>
      <c r="K74" s="315"/>
      <c r="L74" s="315"/>
    </row>
    <row r="75" spans="1:12">
      <c r="A75" s="315"/>
      <c r="B75" s="315"/>
      <c r="C75" s="315"/>
      <c r="D75" s="315"/>
      <c r="E75" s="315"/>
      <c r="F75" s="315"/>
      <c r="G75" s="315"/>
      <c r="H75" s="315"/>
      <c r="I75" s="315"/>
      <c r="J75" s="315"/>
      <c r="K75" s="315"/>
      <c r="L75" s="315"/>
    </row>
    <row r="76" spans="1:12">
      <c r="A76" s="315"/>
      <c r="B76" s="315"/>
      <c r="C76" s="315"/>
      <c r="D76" s="315"/>
      <c r="E76" s="315"/>
      <c r="F76" s="315"/>
      <c r="G76" s="315"/>
      <c r="H76" s="315"/>
      <c r="I76" s="315"/>
      <c r="J76" s="315"/>
      <c r="K76" s="315"/>
      <c r="L76" s="315"/>
    </row>
    <row r="77" spans="1:12">
      <c r="A77" s="315"/>
      <c r="B77" s="315"/>
      <c r="C77" s="315"/>
      <c r="D77" s="315"/>
      <c r="E77" s="315"/>
      <c r="F77" s="315"/>
      <c r="G77" s="315"/>
      <c r="H77" s="315"/>
      <c r="I77" s="315"/>
      <c r="J77" s="315"/>
      <c r="K77" s="315"/>
      <c r="L77" s="315"/>
    </row>
    <row r="78" spans="1:12">
      <c r="A78" s="315"/>
      <c r="B78" s="315"/>
      <c r="C78" s="315"/>
      <c r="D78" s="315"/>
      <c r="E78" s="315"/>
      <c r="F78" s="315"/>
      <c r="G78" s="315"/>
      <c r="H78" s="315"/>
      <c r="I78" s="315"/>
      <c r="J78" s="315"/>
      <c r="K78" s="315"/>
      <c r="L78" s="315"/>
    </row>
    <row r="79" spans="1:12">
      <c r="A79" s="315"/>
      <c r="B79" s="315"/>
      <c r="C79" s="315"/>
      <c r="D79" s="315"/>
      <c r="E79" s="315"/>
      <c r="F79" s="315"/>
      <c r="G79" s="315"/>
      <c r="H79" s="315"/>
      <c r="I79" s="315"/>
      <c r="J79" s="315"/>
      <c r="K79" s="315"/>
      <c r="L79" s="315"/>
    </row>
    <row r="80" spans="1:12">
      <c r="A80" s="315"/>
      <c r="B80" s="315"/>
      <c r="C80" s="315"/>
      <c r="D80" s="315"/>
      <c r="E80" s="315"/>
      <c r="F80" s="315"/>
      <c r="G80" s="315"/>
      <c r="H80" s="315"/>
      <c r="I80" s="315"/>
      <c r="J80" s="315"/>
      <c r="K80" s="315"/>
      <c r="L80" s="315"/>
    </row>
    <row r="81" spans="1:12">
      <c r="A81" s="315"/>
      <c r="B81" s="315"/>
      <c r="C81" s="315"/>
      <c r="D81" s="315"/>
      <c r="E81" s="315"/>
      <c r="F81" s="315"/>
      <c r="G81" s="315"/>
      <c r="H81" s="315"/>
      <c r="I81" s="315"/>
      <c r="J81" s="315"/>
      <c r="K81" s="315"/>
      <c r="L81" s="315"/>
    </row>
    <row r="82" spans="1:12">
      <c r="A82" s="315"/>
      <c r="B82" s="315"/>
      <c r="C82" s="315"/>
      <c r="D82" s="315"/>
      <c r="E82" s="315"/>
      <c r="F82" s="315"/>
      <c r="G82" s="315"/>
      <c r="H82" s="315"/>
      <c r="I82" s="315"/>
      <c r="J82" s="315"/>
      <c r="K82" s="315"/>
      <c r="L82" s="315"/>
    </row>
    <row r="83" spans="1:12">
      <c r="A83" s="315"/>
      <c r="B83" s="315"/>
      <c r="C83" s="315"/>
      <c r="D83" s="315"/>
      <c r="E83" s="315"/>
      <c r="F83" s="315"/>
      <c r="G83" s="315"/>
      <c r="H83" s="315"/>
      <c r="I83" s="315"/>
      <c r="J83" s="315"/>
      <c r="K83" s="315"/>
      <c r="L83" s="315"/>
    </row>
    <row r="84" spans="1:12">
      <c r="A84" s="315"/>
      <c r="B84" s="315"/>
      <c r="C84" s="315"/>
      <c r="D84" s="315"/>
      <c r="E84" s="315"/>
      <c r="F84" s="315"/>
      <c r="G84" s="315"/>
      <c r="H84" s="315"/>
      <c r="I84" s="315"/>
      <c r="J84" s="315"/>
      <c r="K84" s="315"/>
      <c r="L84" s="315"/>
    </row>
    <row r="85" spans="1:12">
      <c r="A85" s="315"/>
      <c r="B85" s="315"/>
      <c r="C85" s="315"/>
      <c r="D85" s="315"/>
      <c r="E85" s="315"/>
      <c r="F85" s="315"/>
      <c r="G85" s="315"/>
      <c r="H85" s="315"/>
      <c r="I85" s="315"/>
      <c r="J85" s="315"/>
      <c r="K85" s="315"/>
      <c r="L85" s="315"/>
    </row>
    <row r="86" spans="1:12">
      <c r="A86" s="315"/>
      <c r="B86" s="315"/>
      <c r="C86" s="315"/>
      <c r="D86" s="315"/>
      <c r="E86" s="315"/>
      <c r="F86" s="315"/>
      <c r="G86" s="315"/>
      <c r="H86" s="315"/>
      <c r="I86" s="315"/>
      <c r="J86" s="315"/>
      <c r="K86" s="315"/>
      <c r="L86" s="315"/>
    </row>
    <row r="87" spans="1:12">
      <c r="A87" s="315"/>
      <c r="B87" s="315"/>
      <c r="C87" s="315"/>
      <c r="D87" s="315"/>
      <c r="E87" s="315"/>
      <c r="F87" s="315"/>
      <c r="G87" s="315"/>
      <c r="H87" s="315"/>
      <c r="I87" s="315"/>
      <c r="J87" s="315"/>
      <c r="K87" s="315"/>
      <c r="L87" s="315"/>
    </row>
    <row r="88" spans="1:12">
      <c r="A88" s="315"/>
      <c r="B88" s="315"/>
      <c r="C88" s="315"/>
      <c r="D88" s="315"/>
      <c r="E88" s="315"/>
      <c r="F88" s="315"/>
      <c r="G88" s="315"/>
      <c r="H88" s="315"/>
      <c r="I88" s="315"/>
      <c r="J88" s="315"/>
      <c r="K88" s="315"/>
      <c r="L88" s="315"/>
    </row>
    <row r="89" spans="1:12">
      <c r="A89" s="315"/>
      <c r="B89" s="315"/>
      <c r="C89" s="315"/>
      <c r="D89" s="315"/>
      <c r="E89" s="315"/>
      <c r="F89" s="315"/>
      <c r="G89" s="315"/>
      <c r="H89" s="315"/>
      <c r="I89" s="315"/>
      <c r="J89" s="315"/>
      <c r="K89" s="315"/>
      <c r="L89" s="315"/>
    </row>
    <row r="90" spans="1:12">
      <c r="A90" s="315"/>
      <c r="B90" s="315"/>
      <c r="C90" s="315"/>
      <c r="D90" s="315"/>
      <c r="E90" s="315"/>
      <c r="F90" s="315"/>
      <c r="G90" s="315"/>
      <c r="H90" s="315"/>
      <c r="I90" s="315"/>
      <c r="J90" s="315"/>
      <c r="K90" s="315"/>
      <c r="L90" s="315"/>
    </row>
    <row r="91" spans="1:12">
      <c r="A91" s="315"/>
      <c r="B91" s="315"/>
      <c r="C91" s="315"/>
      <c r="D91" s="315"/>
      <c r="E91" s="315"/>
      <c r="F91" s="315"/>
      <c r="G91" s="315"/>
      <c r="H91" s="315"/>
      <c r="I91" s="315"/>
      <c r="J91" s="315"/>
      <c r="K91" s="315"/>
      <c r="L91" s="315"/>
    </row>
    <row r="92" spans="1:12">
      <c r="A92" s="315"/>
      <c r="B92" s="315"/>
      <c r="C92" s="315"/>
      <c r="D92" s="315"/>
      <c r="E92" s="315"/>
      <c r="F92" s="315"/>
      <c r="G92" s="315"/>
      <c r="H92" s="315"/>
      <c r="I92" s="315"/>
      <c r="J92" s="315"/>
      <c r="K92" s="315"/>
      <c r="L92" s="315"/>
    </row>
    <row r="93" spans="1:12">
      <c r="A93" s="315"/>
      <c r="B93" s="315"/>
      <c r="C93" s="315"/>
      <c r="D93" s="315"/>
      <c r="E93" s="315"/>
      <c r="F93" s="315"/>
      <c r="G93" s="315"/>
      <c r="H93" s="315"/>
      <c r="I93" s="315"/>
      <c r="J93" s="315"/>
      <c r="K93" s="315"/>
      <c r="L93" s="315"/>
    </row>
    <row r="94" spans="1:12">
      <c r="A94" s="315"/>
      <c r="B94" s="315"/>
      <c r="C94" s="315"/>
      <c r="D94" s="315"/>
      <c r="E94" s="315"/>
      <c r="F94" s="315"/>
      <c r="G94" s="315"/>
      <c r="H94" s="315"/>
      <c r="I94" s="315"/>
      <c r="J94" s="315"/>
      <c r="K94" s="315"/>
      <c r="L94" s="315"/>
    </row>
    <row r="95" spans="1:12">
      <c r="A95" s="315"/>
      <c r="B95" s="315"/>
      <c r="C95" s="315"/>
      <c r="D95" s="315"/>
      <c r="E95" s="315"/>
      <c r="F95" s="315"/>
      <c r="G95" s="315"/>
      <c r="H95" s="315"/>
      <c r="I95" s="315"/>
      <c r="J95" s="315"/>
      <c r="K95" s="315"/>
      <c r="L95" s="315"/>
    </row>
    <row r="96" spans="1:12">
      <c r="A96" s="315"/>
      <c r="B96" s="315"/>
      <c r="C96" s="315"/>
      <c r="D96" s="315"/>
      <c r="E96" s="315"/>
      <c r="F96" s="315"/>
      <c r="G96" s="315"/>
      <c r="H96" s="315"/>
      <c r="I96" s="315"/>
      <c r="J96" s="315"/>
      <c r="K96" s="315"/>
      <c r="L96" s="315"/>
    </row>
    <row r="97" spans="1:12">
      <c r="A97" s="315"/>
      <c r="B97" s="315"/>
      <c r="C97" s="315"/>
      <c r="D97" s="315"/>
      <c r="E97" s="315"/>
      <c r="F97" s="315"/>
      <c r="G97" s="315"/>
      <c r="H97" s="315"/>
      <c r="I97" s="315"/>
      <c r="J97" s="315"/>
      <c r="K97" s="315"/>
      <c r="L97" s="315"/>
    </row>
    <row r="98" spans="1:12">
      <c r="A98" s="315"/>
      <c r="B98" s="315"/>
      <c r="C98" s="315"/>
      <c r="D98" s="315"/>
      <c r="E98" s="315"/>
      <c r="F98" s="315"/>
      <c r="G98" s="315"/>
      <c r="H98" s="315"/>
      <c r="I98" s="315"/>
      <c r="J98" s="315"/>
      <c r="K98" s="315"/>
      <c r="L98" s="315"/>
    </row>
    <row r="99" spans="1:12">
      <c r="A99" s="315"/>
      <c r="B99" s="315"/>
      <c r="C99" s="315"/>
      <c r="D99" s="315"/>
      <c r="E99" s="315"/>
      <c r="F99" s="315"/>
      <c r="G99" s="315"/>
      <c r="H99" s="315"/>
      <c r="I99" s="315"/>
      <c r="J99" s="315"/>
      <c r="K99" s="315"/>
      <c r="L99" s="315"/>
    </row>
    <row r="100" spans="1:12">
      <c r="A100" s="315"/>
      <c r="B100" s="315"/>
      <c r="C100" s="315"/>
      <c r="D100" s="315"/>
      <c r="E100" s="315"/>
      <c r="F100" s="315"/>
      <c r="G100" s="315"/>
      <c r="H100" s="315"/>
      <c r="I100" s="315"/>
      <c r="J100" s="315"/>
      <c r="K100" s="315"/>
      <c r="L100" s="315"/>
    </row>
    <row r="101" spans="1:12">
      <c r="A101" s="315"/>
      <c r="B101" s="315"/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</row>
    <row r="102" spans="1:12">
      <c r="A102" s="315"/>
      <c r="B102" s="315"/>
      <c r="C102" s="315"/>
      <c r="D102" s="315"/>
      <c r="E102" s="315"/>
      <c r="F102" s="315"/>
      <c r="G102" s="315"/>
      <c r="H102" s="315"/>
      <c r="I102" s="315"/>
      <c r="J102" s="315"/>
      <c r="K102" s="315"/>
      <c r="L102" s="315"/>
    </row>
    <row r="103" spans="1:12">
      <c r="A103" s="315"/>
      <c r="B103" s="315"/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</row>
    <row r="104" spans="1:12">
      <c r="A104" s="315"/>
      <c r="B104" s="315"/>
      <c r="C104" s="315"/>
      <c r="D104" s="315"/>
      <c r="E104" s="315"/>
      <c r="F104" s="315"/>
      <c r="G104" s="315"/>
      <c r="H104" s="315"/>
      <c r="I104" s="315"/>
      <c r="J104" s="315"/>
      <c r="K104" s="315"/>
      <c r="L104" s="315"/>
    </row>
    <row r="105" spans="1:12">
      <c r="A105" s="315"/>
      <c r="B105" s="315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</row>
    <row r="106" spans="1:12">
      <c r="A106" s="315"/>
      <c r="B106" s="315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</row>
    <row r="107" spans="1:12">
      <c r="A107" s="315"/>
      <c r="B107" s="315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</row>
    <row r="108" spans="1:12">
      <c r="A108" s="315"/>
      <c r="B108" s="315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</row>
    <row r="109" spans="1:12">
      <c r="A109" s="315"/>
      <c r="B109" s="315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</row>
    <row r="110" spans="1:12">
      <c r="A110" s="315"/>
      <c r="B110" s="315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</row>
    <row r="111" spans="1:12">
      <c r="A111" s="315"/>
      <c r="B111" s="315"/>
      <c r="C111" s="315"/>
      <c r="D111" s="315"/>
      <c r="E111" s="315"/>
      <c r="F111" s="315"/>
      <c r="G111" s="315"/>
      <c r="H111" s="315"/>
      <c r="I111" s="315"/>
      <c r="J111" s="315"/>
      <c r="K111" s="315"/>
      <c r="L111" s="315"/>
    </row>
    <row r="112" spans="1:12">
      <c r="A112" s="315"/>
      <c r="B112" s="315"/>
      <c r="C112" s="315"/>
      <c r="D112" s="315"/>
      <c r="E112" s="315"/>
      <c r="F112" s="315"/>
      <c r="G112" s="315"/>
      <c r="H112" s="315"/>
      <c r="I112" s="315"/>
      <c r="J112" s="315"/>
      <c r="K112" s="315"/>
      <c r="L112" s="315"/>
    </row>
    <row r="113" spans="1:12">
      <c r="A113" s="315"/>
      <c r="B113" s="315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</row>
    <row r="114" spans="1:12">
      <c r="A114" s="315"/>
      <c r="B114" s="315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</row>
    <row r="115" spans="1:12">
      <c r="A115" s="315"/>
      <c r="B115" s="315"/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</row>
    <row r="116" spans="1:12">
      <c r="A116" s="315"/>
      <c r="B116" s="315"/>
      <c r="C116" s="315"/>
      <c r="D116" s="315"/>
      <c r="E116" s="315"/>
      <c r="F116" s="315"/>
      <c r="G116" s="315"/>
      <c r="H116" s="315"/>
      <c r="I116" s="315"/>
      <c r="J116" s="315"/>
      <c r="K116" s="315"/>
      <c r="L116" s="315"/>
    </row>
    <row r="117" spans="1:12">
      <c r="A117" s="315"/>
      <c r="B117" s="315"/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</row>
    <row r="118" spans="1:12">
      <c r="A118" s="315"/>
      <c r="B118" s="315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</row>
    <row r="119" spans="1:12">
      <c r="A119" s="315"/>
      <c r="B119" s="315"/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</row>
    <row r="120" spans="1:12">
      <c r="A120" s="315"/>
      <c r="B120" s="315"/>
      <c r="C120" s="315"/>
      <c r="D120" s="315"/>
      <c r="E120" s="315"/>
      <c r="F120" s="315"/>
      <c r="G120" s="315"/>
      <c r="H120" s="315"/>
      <c r="I120" s="315"/>
      <c r="J120" s="315"/>
      <c r="K120" s="315"/>
      <c r="L120" s="315"/>
    </row>
    <row r="121" spans="1:12">
      <c r="A121" s="315"/>
      <c r="B121" s="315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</row>
    <row r="122" spans="1:12">
      <c r="A122" s="315"/>
      <c r="B122" s="315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</row>
    <row r="123" spans="1:12">
      <c r="A123" s="315"/>
      <c r="B123" s="315"/>
      <c r="C123" s="315"/>
      <c r="D123" s="315"/>
      <c r="E123" s="315"/>
      <c r="F123" s="315"/>
      <c r="G123" s="315"/>
      <c r="H123" s="315"/>
      <c r="I123" s="315"/>
      <c r="J123" s="315"/>
      <c r="K123" s="315"/>
      <c r="L123" s="315"/>
    </row>
    <row r="124" spans="1:12">
      <c r="A124" s="315"/>
      <c r="B124" s="315"/>
      <c r="C124" s="315"/>
      <c r="D124" s="315"/>
      <c r="E124" s="315"/>
      <c r="F124" s="315"/>
      <c r="G124" s="315"/>
      <c r="H124" s="315"/>
      <c r="I124" s="315"/>
      <c r="J124" s="315"/>
      <c r="K124" s="315"/>
      <c r="L124" s="315"/>
    </row>
    <row r="125" spans="1:12">
      <c r="A125" s="315"/>
      <c r="B125" s="315"/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</row>
    <row r="126" spans="1:12">
      <c r="A126" s="315"/>
      <c r="B126" s="315"/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</row>
    <row r="127" spans="1:12">
      <c r="A127" s="315"/>
      <c r="B127" s="315"/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</row>
    <row r="128" spans="1:12">
      <c r="A128" s="315"/>
      <c r="B128" s="315"/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</row>
    <row r="129" spans="1:12">
      <c r="A129" s="315"/>
      <c r="B129" s="315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</row>
    <row r="130" spans="1:12">
      <c r="A130" s="315"/>
      <c r="B130" s="315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</row>
    <row r="131" spans="1:12">
      <c r="A131" s="315"/>
      <c r="B131" s="315"/>
      <c r="C131" s="315"/>
      <c r="D131" s="315"/>
      <c r="E131" s="315"/>
      <c r="F131" s="315"/>
      <c r="G131" s="315"/>
      <c r="H131" s="315"/>
      <c r="I131" s="315"/>
      <c r="J131" s="315"/>
      <c r="K131" s="315"/>
      <c r="L131" s="315"/>
    </row>
    <row r="132" spans="1:12">
      <c r="A132" s="315"/>
      <c r="B132" s="315"/>
      <c r="C132" s="315"/>
      <c r="D132" s="315"/>
      <c r="E132" s="315"/>
      <c r="F132" s="315"/>
      <c r="G132" s="315"/>
      <c r="H132" s="315"/>
      <c r="I132" s="315"/>
      <c r="J132" s="315"/>
      <c r="K132" s="315"/>
      <c r="L132" s="315"/>
    </row>
    <row r="133" spans="1:12">
      <c r="A133" s="315"/>
      <c r="B133" s="315"/>
      <c r="C133" s="315"/>
      <c r="D133" s="315"/>
      <c r="E133" s="315"/>
      <c r="F133" s="315"/>
      <c r="G133" s="315"/>
      <c r="H133" s="315"/>
      <c r="I133" s="315"/>
      <c r="J133" s="315"/>
      <c r="K133" s="315"/>
      <c r="L133" s="315"/>
    </row>
    <row r="134" spans="1:12">
      <c r="A134" s="315"/>
      <c r="B134" s="315"/>
      <c r="C134" s="315"/>
      <c r="D134" s="315"/>
      <c r="E134" s="315"/>
      <c r="F134" s="315"/>
      <c r="G134" s="315"/>
      <c r="H134" s="315"/>
      <c r="I134" s="315"/>
      <c r="J134" s="315"/>
      <c r="K134" s="315"/>
      <c r="L134" s="315"/>
    </row>
    <row r="135" spans="1:12">
      <c r="A135" s="315"/>
      <c r="B135" s="315"/>
      <c r="C135" s="315"/>
      <c r="D135" s="315"/>
      <c r="E135" s="315"/>
      <c r="F135" s="315"/>
      <c r="G135" s="315"/>
      <c r="H135" s="315"/>
      <c r="I135" s="315"/>
      <c r="J135" s="315"/>
      <c r="K135" s="315"/>
      <c r="L135" s="315"/>
    </row>
    <row r="136" spans="1:12">
      <c r="A136" s="315"/>
      <c r="B136" s="315"/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</row>
    <row r="137" spans="1:12">
      <c r="A137" s="315"/>
      <c r="B137" s="315"/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</row>
    <row r="138" spans="1:12">
      <c r="A138" s="315"/>
      <c r="B138" s="315"/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</row>
    <row r="139" spans="1:12">
      <c r="A139" s="315"/>
      <c r="B139" s="315"/>
      <c r="C139" s="315"/>
      <c r="D139" s="315"/>
      <c r="E139" s="315"/>
      <c r="F139" s="315"/>
      <c r="G139" s="315"/>
      <c r="H139" s="315"/>
      <c r="I139" s="315"/>
      <c r="J139" s="315"/>
      <c r="K139" s="315"/>
      <c r="L139" s="315"/>
    </row>
    <row r="140" spans="1:12">
      <c r="A140" s="315"/>
      <c r="B140" s="315"/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</row>
    <row r="141" spans="1:12">
      <c r="A141" s="315"/>
      <c r="B141" s="315"/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</row>
    <row r="142" spans="1:12">
      <c r="A142" s="315"/>
      <c r="B142" s="315"/>
      <c r="C142" s="315"/>
      <c r="D142" s="315"/>
      <c r="E142" s="315"/>
      <c r="F142" s="315"/>
      <c r="G142" s="315"/>
      <c r="H142" s="315"/>
      <c r="I142" s="315"/>
      <c r="J142" s="315"/>
      <c r="K142" s="315"/>
      <c r="L142" s="315"/>
    </row>
    <row r="143" spans="1:12">
      <c r="A143" s="315"/>
      <c r="B143" s="315"/>
      <c r="C143" s="315"/>
      <c r="D143" s="315"/>
      <c r="E143" s="315"/>
      <c r="F143" s="315"/>
      <c r="G143" s="315"/>
      <c r="H143" s="315"/>
      <c r="I143" s="315"/>
      <c r="J143" s="315"/>
      <c r="K143" s="315"/>
      <c r="L143" s="315"/>
    </row>
    <row r="144" spans="1:12">
      <c r="A144" s="315"/>
      <c r="B144" s="315"/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</row>
    <row r="145" spans="1:12">
      <c r="A145" s="315"/>
      <c r="B145" s="315"/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</row>
    <row r="146" spans="1:12">
      <c r="A146" s="315"/>
      <c r="B146" s="315"/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</row>
    <row r="147" spans="1:12">
      <c r="A147" s="315"/>
      <c r="B147" s="315"/>
      <c r="C147" s="315"/>
      <c r="D147" s="315"/>
      <c r="E147" s="315"/>
      <c r="F147" s="315"/>
      <c r="G147" s="315"/>
      <c r="H147" s="315"/>
      <c r="I147" s="315"/>
      <c r="J147" s="315"/>
      <c r="K147" s="315"/>
      <c r="L147" s="315"/>
    </row>
    <row r="148" spans="1:12">
      <c r="A148" s="315"/>
      <c r="B148" s="315"/>
      <c r="C148" s="315"/>
      <c r="D148" s="315"/>
      <c r="E148" s="315"/>
      <c r="F148" s="315"/>
      <c r="G148" s="315"/>
      <c r="H148" s="315"/>
      <c r="I148" s="315"/>
      <c r="J148" s="315"/>
      <c r="K148" s="315"/>
      <c r="L148" s="315"/>
    </row>
    <row r="149" spans="1:12">
      <c r="A149" s="315"/>
      <c r="B149" s="315"/>
      <c r="C149" s="315"/>
      <c r="D149" s="315"/>
      <c r="E149" s="315"/>
      <c r="F149" s="315"/>
      <c r="G149" s="315"/>
      <c r="H149" s="315"/>
      <c r="I149" s="315"/>
      <c r="J149" s="315"/>
      <c r="K149" s="315"/>
      <c r="L149" s="315"/>
    </row>
    <row r="150" spans="1:12">
      <c r="A150" s="315"/>
      <c r="B150" s="315"/>
      <c r="C150" s="315"/>
      <c r="D150" s="315"/>
      <c r="E150" s="315"/>
      <c r="F150" s="315"/>
      <c r="G150" s="315"/>
      <c r="H150" s="315"/>
      <c r="I150" s="315"/>
      <c r="J150" s="315"/>
      <c r="K150" s="315"/>
      <c r="L150" s="315"/>
    </row>
    <row r="151" spans="1:12">
      <c r="A151" s="315"/>
      <c r="B151" s="315"/>
      <c r="C151" s="315"/>
      <c r="D151" s="315"/>
      <c r="E151" s="315"/>
      <c r="F151" s="315"/>
      <c r="G151" s="315"/>
      <c r="H151" s="315"/>
      <c r="I151" s="315"/>
      <c r="J151" s="315"/>
      <c r="K151" s="315"/>
      <c r="L151" s="315"/>
    </row>
    <row r="152" spans="1:12">
      <c r="A152" s="315"/>
      <c r="B152" s="315"/>
      <c r="C152" s="315"/>
      <c r="D152" s="315"/>
      <c r="E152" s="315"/>
      <c r="F152" s="315"/>
      <c r="G152" s="315"/>
      <c r="H152" s="315"/>
      <c r="I152" s="315"/>
      <c r="J152" s="315"/>
      <c r="K152" s="315"/>
      <c r="L152" s="315"/>
    </row>
    <row r="153" spans="1:12">
      <c r="A153" s="315"/>
      <c r="B153" s="315"/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</row>
    <row r="154" spans="1:12">
      <c r="A154" s="315"/>
      <c r="B154" s="315"/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</row>
    <row r="155" spans="1:12">
      <c r="A155" s="315"/>
      <c r="B155" s="315"/>
      <c r="C155" s="315"/>
      <c r="D155" s="315"/>
      <c r="E155" s="315"/>
      <c r="F155" s="315"/>
      <c r="G155" s="315"/>
      <c r="H155" s="315"/>
      <c r="I155" s="315"/>
      <c r="J155" s="315"/>
      <c r="K155" s="315"/>
      <c r="L155" s="315"/>
    </row>
    <row r="156" spans="1:12">
      <c r="A156" s="315"/>
      <c r="B156" s="315"/>
      <c r="C156" s="315"/>
      <c r="D156" s="315"/>
      <c r="E156" s="315"/>
      <c r="F156" s="315"/>
      <c r="G156" s="315"/>
      <c r="H156" s="315"/>
      <c r="I156" s="315"/>
      <c r="J156" s="315"/>
      <c r="K156" s="315"/>
      <c r="L156" s="315"/>
    </row>
    <row r="157" spans="1:12">
      <c r="A157" s="315"/>
      <c r="B157" s="315"/>
      <c r="C157" s="315"/>
      <c r="D157" s="315"/>
      <c r="E157" s="315"/>
      <c r="F157" s="315"/>
      <c r="G157" s="315"/>
      <c r="H157" s="315"/>
      <c r="I157" s="315"/>
      <c r="J157" s="315"/>
      <c r="K157" s="315"/>
      <c r="L157" s="315"/>
    </row>
    <row r="158" spans="1:12">
      <c r="A158" s="315"/>
      <c r="B158" s="315"/>
      <c r="C158" s="315"/>
      <c r="D158" s="315"/>
      <c r="E158" s="315"/>
      <c r="F158" s="315"/>
      <c r="G158" s="315"/>
      <c r="H158" s="315"/>
      <c r="I158" s="315"/>
      <c r="J158" s="315"/>
      <c r="K158" s="315"/>
      <c r="L158" s="315"/>
    </row>
    <row r="159" spans="1:12">
      <c r="A159" s="315"/>
      <c r="B159" s="315"/>
      <c r="C159" s="315"/>
      <c r="D159" s="315"/>
      <c r="E159" s="315"/>
      <c r="F159" s="315"/>
      <c r="G159" s="315"/>
      <c r="H159" s="315"/>
      <c r="I159" s="315"/>
      <c r="J159" s="315"/>
      <c r="K159" s="315"/>
      <c r="L159" s="315"/>
    </row>
    <row r="160" spans="1:12">
      <c r="A160" s="315"/>
      <c r="B160" s="315"/>
      <c r="C160" s="315"/>
      <c r="D160" s="315"/>
      <c r="E160" s="315"/>
      <c r="F160" s="315"/>
      <c r="G160" s="315"/>
      <c r="H160" s="315"/>
      <c r="I160" s="315"/>
      <c r="J160" s="315"/>
      <c r="K160" s="315"/>
      <c r="L160" s="315"/>
    </row>
    <row r="161" spans="1:12">
      <c r="A161" s="315"/>
      <c r="B161" s="315"/>
      <c r="C161" s="315"/>
      <c r="D161" s="315"/>
      <c r="E161" s="315"/>
      <c r="F161" s="315"/>
      <c r="G161" s="315"/>
      <c r="H161" s="315"/>
      <c r="I161" s="315"/>
      <c r="J161" s="315"/>
      <c r="K161" s="315"/>
      <c r="L161" s="315"/>
    </row>
    <row r="162" spans="1:12">
      <c r="A162" s="315"/>
      <c r="B162" s="315"/>
      <c r="C162" s="315"/>
      <c r="D162" s="315"/>
      <c r="E162" s="315"/>
      <c r="F162" s="315"/>
      <c r="G162" s="315"/>
      <c r="H162" s="315"/>
      <c r="I162" s="315"/>
      <c r="J162" s="315"/>
      <c r="K162" s="315"/>
      <c r="L162" s="315"/>
    </row>
    <row r="163" spans="1:12">
      <c r="A163" s="315"/>
      <c r="B163" s="315"/>
      <c r="C163" s="315"/>
      <c r="D163" s="315"/>
      <c r="E163" s="315"/>
      <c r="F163" s="315"/>
      <c r="G163" s="315"/>
      <c r="H163" s="315"/>
      <c r="I163" s="315"/>
      <c r="J163" s="315"/>
      <c r="K163" s="315"/>
      <c r="L163" s="315"/>
    </row>
    <row r="164" spans="1:12">
      <c r="A164" s="315"/>
      <c r="B164" s="315"/>
      <c r="C164" s="315"/>
      <c r="D164" s="315"/>
      <c r="E164" s="315"/>
      <c r="F164" s="315"/>
      <c r="G164" s="315"/>
      <c r="H164" s="315"/>
      <c r="I164" s="315"/>
      <c r="J164" s="315"/>
      <c r="K164" s="315"/>
      <c r="L164" s="315"/>
    </row>
    <row r="165" spans="1:12">
      <c r="A165" s="315"/>
      <c r="B165" s="315"/>
      <c r="C165" s="315"/>
      <c r="D165" s="315"/>
      <c r="E165" s="315"/>
      <c r="F165" s="315"/>
      <c r="G165" s="315"/>
      <c r="H165" s="315"/>
      <c r="I165" s="315"/>
      <c r="J165" s="315"/>
      <c r="K165" s="315"/>
      <c r="L165" s="315"/>
    </row>
    <row r="166" spans="1:12">
      <c r="A166" s="315"/>
      <c r="B166" s="315"/>
      <c r="C166" s="315"/>
      <c r="D166" s="315"/>
      <c r="E166" s="315"/>
      <c r="F166" s="315"/>
      <c r="G166" s="315"/>
      <c r="H166" s="315"/>
      <c r="I166" s="315"/>
      <c r="J166" s="315"/>
      <c r="K166" s="315"/>
      <c r="L166" s="315"/>
    </row>
    <row r="167" spans="1:12">
      <c r="A167" s="315"/>
      <c r="B167" s="315"/>
      <c r="C167" s="315"/>
      <c r="D167" s="315"/>
      <c r="E167" s="315"/>
      <c r="F167" s="315"/>
      <c r="G167" s="315"/>
      <c r="H167" s="315"/>
      <c r="I167" s="315"/>
      <c r="J167" s="315"/>
      <c r="K167" s="315"/>
      <c r="L167" s="315"/>
    </row>
    <row r="168" spans="1:12">
      <c r="A168" s="315"/>
      <c r="B168" s="315"/>
      <c r="C168" s="315"/>
      <c r="D168" s="315"/>
      <c r="E168" s="315"/>
      <c r="F168" s="315"/>
      <c r="G168" s="315"/>
      <c r="H168" s="315"/>
      <c r="I168" s="315"/>
      <c r="J168" s="315"/>
      <c r="K168" s="315"/>
      <c r="L168" s="315"/>
    </row>
    <row r="169" spans="1:12">
      <c r="A169" s="315"/>
      <c r="B169" s="315"/>
      <c r="C169" s="315"/>
      <c r="D169" s="315"/>
      <c r="E169" s="315"/>
      <c r="F169" s="315"/>
      <c r="G169" s="315"/>
      <c r="H169" s="315"/>
      <c r="I169" s="315"/>
      <c r="J169" s="315"/>
      <c r="K169" s="315"/>
      <c r="L169" s="315"/>
    </row>
    <row r="170" spans="1:12">
      <c r="A170" s="315"/>
      <c r="B170" s="315"/>
      <c r="C170" s="315"/>
      <c r="D170" s="315"/>
      <c r="E170" s="315"/>
      <c r="F170" s="315"/>
      <c r="G170" s="315"/>
      <c r="H170" s="315"/>
      <c r="I170" s="315"/>
      <c r="J170" s="315"/>
      <c r="K170" s="315"/>
      <c r="L170" s="315"/>
    </row>
    <row r="171" spans="1:12">
      <c r="A171" s="315"/>
      <c r="B171" s="315"/>
      <c r="C171" s="315"/>
      <c r="D171" s="315"/>
      <c r="E171" s="315"/>
      <c r="F171" s="315"/>
      <c r="G171" s="315"/>
      <c r="H171" s="315"/>
      <c r="I171" s="315"/>
      <c r="J171" s="315"/>
      <c r="K171" s="315"/>
      <c r="L171" s="315"/>
    </row>
    <row r="172" spans="1:12">
      <c r="A172" s="315"/>
      <c r="B172" s="315"/>
      <c r="C172" s="315"/>
      <c r="D172" s="315"/>
      <c r="E172" s="315"/>
      <c r="F172" s="315"/>
      <c r="G172" s="315"/>
      <c r="H172" s="315"/>
      <c r="I172" s="315"/>
      <c r="J172" s="315"/>
      <c r="K172" s="315"/>
      <c r="L172" s="315"/>
    </row>
    <row r="173" spans="1:12">
      <c r="A173" s="315"/>
      <c r="B173" s="315"/>
      <c r="C173" s="315"/>
      <c r="D173" s="315"/>
      <c r="E173" s="315"/>
      <c r="F173" s="315"/>
      <c r="G173" s="315"/>
      <c r="H173" s="315"/>
      <c r="I173" s="315"/>
      <c r="J173" s="315"/>
      <c r="K173" s="315"/>
      <c r="L173" s="315"/>
    </row>
    <row r="174" spans="1:12">
      <c r="A174" s="315"/>
      <c r="B174" s="315"/>
      <c r="C174" s="315"/>
      <c r="D174" s="315"/>
      <c r="E174" s="315"/>
      <c r="F174" s="315"/>
      <c r="G174" s="315"/>
      <c r="H174" s="315"/>
      <c r="I174" s="315"/>
      <c r="J174" s="315"/>
      <c r="K174" s="315"/>
      <c r="L174" s="315"/>
    </row>
    <row r="175" spans="1:12">
      <c r="A175" s="315"/>
      <c r="B175" s="315"/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</row>
    <row r="176" spans="1:12">
      <c r="A176" s="315"/>
      <c r="B176" s="315"/>
      <c r="C176" s="315"/>
      <c r="D176" s="315"/>
      <c r="E176" s="315"/>
      <c r="F176" s="315"/>
      <c r="G176" s="315"/>
      <c r="H176" s="315"/>
      <c r="I176" s="315"/>
      <c r="J176" s="315"/>
      <c r="K176" s="315"/>
      <c r="L176" s="315"/>
    </row>
    <row r="177" spans="1:12">
      <c r="A177" s="315"/>
      <c r="B177" s="315"/>
      <c r="C177" s="315"/>
      <c r="D177" s="315"/>
      <c r="E177" s="315"/>
      <c r="F177" s="315"/>
      <c r="G177" s="315"/>
      <c r="H177" s="315"/>
      <c r="I177" s="315"/>
      <c r="J177" s="315"/>
      <c r="K177" s="315"/>
      <c r="L177" s="315"/>
    </row>
    <row r="178" spans="1:12">
      <c r="A178" s="315"/>
      <c r="B178" s="315"/>
      <c r="C178" s="315"/>
      <c r="D178" s="315"/>
      <c r="E178" s="315"/>
      <c r="F178" s="315"/>
      <c r="G178" s="315"/>
      <c r="H178" s="315"/>
      <c r="I178" s="315"/>
      <c r="J178" s="315"/>
      <c r="K178" s="315"/>
      <c r="L178" s="315"/>
    </row>
    <row r="179" spans="1:12">
      <c r="A179" s="315"/>
      <c r="B179" s="315"/>
      <c r="C179" s="315"/>
      <c r="D179" s="315"/>
      <c r="E179" s="315"/>
      <c r="F179" s="315"/>
      <c r="G179" s="315"/>
      <c r="H179" s="315"/>
      <c r="I179" s="315"/>
      <c r="J179" s="315"/>
      <c r="K179" s="315"/>
      <c r="L179" s="315"/>
    </row>
    <row r="180" spans="1:12">
      <c r="A180" s="315"/>
      <c r="B180" s="315"/>
      <c r="C180" s="315"/>
      <c r="D180" s="315"/>
      <c r="E180" s="315"/>
      <c r="F180" s="315"/>
      <c r="G180" s="315"/>
      <c r="H180" s="315"/>
      <c r="I180" s="315"/>
      <c r="J180" s="315"/>
      <c r="K180" s="315"/>
      <c r="L180" s="315"/>
    </row>
    <row r="181" spans="1:12">
      <c r="A181" s="315"/>
      <c r="B181" s="315"/>
      <c r="C181" s="315"/>
      <c r="D181" s="315"/>
      <c r="E181" s="315"/>
      <c r="F181" s="315"/>
      <c r="G181" s="315"/>
      <c r="H181" s="315"/>
      <c r="I181" s="315"/>
      <c r="J181" s="315"/>
      <c r="K181" s="315"/>
      <c r="L181" s="315"/>
    </row>
    <row r="182" spans="1:12">
      <c r="A182" s="315"/>
      <c r="B182" s="315"/>
      <c r="C182" s="315"/>
      <c r="D182" s="315"/>
      <c r="E182" s="315"/>
      <c r="F182" s="315"/>
      <c r="G182" s="315"/>
      <c r="H182" s="315"/>
      <c r="I182" s="315"/>
      <c r="J182" s="315"/>
      <c r="K182" s="315"/>
      <c r="L182" s="315"/>
    </row>
    <row r="183" spans="1:12">
      <c r="A183" s="315"/>
      <c r="B183" s="315"/>
      <c r="C183" s="315"/>
      <c r="D183" s="315"/>
      <c r="E183" s="315"/>
      <c r="F183" s="315"/>
      <c r="G183" s="315"/>
      <c r="H183" s="315"/>
      <c r="I183" s="315"/>
      <c r="J183" s="315"/>
      <c r="K183" s="315"/>
      <c r="L183" s="315"/>
    </row>
    <row r="184" spans="1:12">
      <c r="A184" s="315"/>
      <c r="B184" s="315"/>
      <c r="C184" s="315"/>
      <c r="D184" s="315"/>
      <c r="E184" s="315"/>
      <c r="F184" s="315"/>
      <c r="G184" s="315"/>
      <c r="H184" s="315"/>
      <c r="I184" s="315"/>
      <c r="J184" s="315"/>
      <c r="K184" s="315"/>
      <c r="L184" s="315"/>
    </row>
    <row r="185" spans="1:12">
      <c r="A185" s="315"/>
      <c r="B185" s="315"/>
      <c r="C185" s="315"/>
      <c r="D185" s="315"/>
      <c r="E185" s="315"/>
      <c r="F185" s="315"/>
      <c r="G185" s="315"/>
      <c r="H185" s="315"/>
      <c r="I185" s="315"/>
      <c r="J185" s="315"/>
      <c r="K185" s="315"/>
      <c r="L185" s="315"/>
    </row>
    <row r="186" spans="1:12">
      <c r="A186" s="315"/>
      <c r="B186" s="315"/>
      <c r="C186" s="315"/>
      <c r="D186" s="315"/>
      <c r="E186" s="315"/>
      <c r="F186" s="315"/>
      <c r="G186" s="315"/>
      <c r="H186" s="315"/>
      <c r="I186" s="315"/>
      <c r="J186" s="315"/>
      <c r="K186" s="315"/>
      <c r="L186" s="315"/>
    </row>
    <row r="187" spans="1:12">
      <c r="A187" s="315"/>
      <c r="B187" s="315"/>
      <c r="C187" s="315"/>
      <c r="D187" s="315"/>
      <c r="E187" s="315"/>
      <c r="F187" s="315"/>
      <c r="G187" s="315"/>
      <c r="H187" s="315"/>
      <c r="I187" s="315"/>
      <c r="J187" s="315"/>
      <c r="K187" s="315"/>
      <c r="L187" s="315"/>
    </row>
    <row r="188" spans="1:12">
      <c r="A188" s="315"/>
      <c r="B188" s="315"/>
      <c r="C188" s="315"/>
      <c r="D188" s="315"/>
      <c r="E188" s="315"/>
      <c r="F188" s="315"/>
      <c r="G188" s="315"/>
      <c r="H188" s="315"/>
      <c r="I188" s="315"/>
      <c r="J188" s="315"/>
      <c r="K188" s="315"/>
      <c r="L188" s="315"/>
    </row>
    <row r="189" spans="1:12">
      <c r="A189" s="315"/>
      <c r="B189" s="315"/>
      <c r="C189" s="315"/>
      <c r="D189" s="315"/>
      <c r="E189" s="315"/>
      <c r="F189" s="315"/>
      <c r="G189" s="315"/>
      <c r="H189" s="315"/>
      <c r="I189" s="315"/>
      <c r="J189" s="315"/>
      <c r="K189" s="315"/>
      <c r="L189" s="315"/>
    </row>
    <row r="190" spans="1:12">
      <c r="A190" s="315"/>
      <c r="B190" s="315"/>
      <c r="C190" s="315"/>
      <c r="D190" s="315"/>
      <c r="E190" s="315"/>
      <c r="F190" s="315"/>
      <c r="G190" s="315"/>
      <c r="H190" s="315"/>
      <c r="I190" s="315"/>
      <c r="J190" s="315"/>
      <c r="K190" s="315"/>
      <c r="L190" s="315"/>
    </row>
    <row r="191" spans="1:12">
      <c r="A191" s="315"/>
      <c r="B191" s="315"/>
      <c r="C191" s="315"/>
      <c r="D191" s="315"/>
      <c r="E191" s="315"/>
      <c r="F191" s="315"/>
      <c r="G191" s="315"/>
      <c r="H191" s="315"/>
      <c r="I191" s="315"/>
      <c r="J191" s="315"/>
      <c r="K191" s="315"/>
      <c r="L191" s="315"/>
    </row>
    <row r="192" spans="1:12">
      <c r="A192" s="315"/>
      <c r="B192" s="315"/>
      <c r="C192" s="315"/>
      <c r="D192" s="315"/>
      <c r="E192" s="315"/>
      <c r="F192" s="315"/>
      <c r="G192" s="315"/>
      <c r="H192" s="315"/>
      <c r="I192" s="315"/>
      <c r="J192" s="315"/>
      <c r="K192" s="315"/>
      <c r="L192" s="315"/>
    </row>
    <row r="193" spans="1:12">
      <c r="A193" s="315"/>
      <c r="B193" s="315"/>
      <c r="C193" s="315"/>
      <c r="D193" s="315"/>
      <c r="E193" s="315"/>
      <c r="F193" s="315"/>
      <c r="G193" s="315"/>
      <c r="H193" s="315"/>
      <c r="I193" s="315"/>
      <c r="J193" s="315"/>
      <c r="K193" s="315"/>
      <c r="L193" s="315"/>
    </row>
    <row r="194" spans="1:12">
      <c r="A194" s="315"/>
      <c r="B194" s="315"/>
      <c r="C194" s="315"/>
      <c r="D194" s="315"/>
      <c r="E194" s="315"/>
      <c r="F194" s="315"/>
      <c r="G194" s="315"/>
      <c r="H194" s="315"/>
      <c r="I194" s="315"/>
      <c r="J194" s="315"/>
      <c r="K194" s="315"/>
      <c r="L194" s="315"/>
    </row>
    <row r="195" spans="1:12">
      <c r="A195" s="315"/>
      <c r="B195" s="315"/>
      <c r="C195" s="315"/>
      <c r="D195" s="315"/>
      <c r="E195" s="315"/>
      <c r="F195" s="315"/>
      <c r="G195" s="315"/>
      <c r="H195" s="315"/>
      <c r="I195" s="315"/>
      <c r="J195" s="315"/>
      <c r="K195" s="315"/>
      <c r="L195" s="315"/>
    </row>
    <row r="196" spans="1:12">
      <c r="A196" s="315"/>
      <c r="B196" s="315"/>
      <c r="C196" s="315"/>
      <c r="D196" s="315"/>
      <c r="E196" s="315"/>
      <c r="F196" s="315"/>
      <c r="G196" s="315"/>
      <c r="H196" s="315"/>
      <c r="I196" s="315"/>
      <c r="J196" s="315"/>
      <c r="K196" s="315"/>
      <c r="L196" s="315"/>
    </row>
    <row r="197" spans="1:12">
      <c r="A197" s="315"/>
      <c r="B197" s="315"/>
      <c r="C197" s="315"/>
      <c r="D197" s="315"/>
      <c r="E197" s="315"/>
      <c r="F197" s="315"/>
      <c r="G197" s="315"/>
      <c r="H197" s="315"/>
      <c r="I197" s="315"/>
      <c r="J197" s="315"/>
      <c r="K197" s="315"/>
      <c r="L197" s="315"/>
    </row>
    <row r="198" spans="1:12">
      <c r="A198" s="315"/>
      <c r="B198" s="315"/>
      <c r="C198" s="315"/>
      <c r="D198" s="315"/>
      <c r="E198" s="315"/>
      <c r="F198" s="315"/>
      <c r="G198" s="315"/>
      <c r="H198" s="315"/>
      <c r="I198" s="315"/>
      <c r="J198" s="315"/>
      <c r="K198" s="315"/>
      <c r="L198" s="315"/>
    </row>
    <row r="199" spans="1:12">
      <c r="A199" s="315"/>
      <c r="B199" s="315"/>
      <c r="C199" s="315"/>
      <c r="D199" s="315"/>
      <c r="E199" s="315"/>
      <c r="F199" s="315"/>
      <c r="G199" s="315"/>
      <c r="H199" s="315"/>
      <c r="I199" s="315"/>
      <c r="J199" s="315"/>
      <c r="K199" s="315"/>
      <c r="L199" s="315"/>
    </row>
    <row r="200" spans="1:12">
      <c r="A200" s="315"/>
      <c r="B200" s="315"/>
      <c r="C200" s="315"/>
      <c r="D200" s="315"/>
      <c r="E200" s="315"/>
      <c r="F200" s="315"/>
      <c r="G200" s="315"/>
      <c r="H200" s="315"/>
      <c r="I200" s="315"/>
      <c r="J200" s="315"/>
      <c r="K200" s="315"/>
      <c r="L200" s="315"/>
    </row>
    <row r="201" spans="1:12">
      <c r="A201" s="315"/>
      <c r="B201" s="315"/>
      <c r="C201" s="315"/>
      <c r="D201" s="315"/>
      <c r="E201" s="315"/>
      <c r="F201" s="315"/>
      <c r="G201" s="315"/>
      <c r="H201" s="315"/>
      <c r="I201" s="315"/>
      <c r="J201" s="315"/>
      <c r="K201" s="315"/>
      <c r="L201" s="315"/>
    </row>
    <row r="202" spans="1:12">
      <c r="A202" s="315"/>
      <c r="B202" s="315"/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</row>
    <row r="203" spans="1:12">
      <c r="A203" s="315"/>
      <c r="B203" s="315"/>
      <c r="C203" s="315"/>
      <c r="D203" s="315"/>
      <c r="E203" s="315"/>
      <c r="F203" s="315"/>
      <c r="G203" s="315"/>
      <c r="H203" s="315"/>
      <c r="I203" s="315"/>
      <c r="J203" s="315"/>
      <c r="K203" s="315"/>
      <c r="L203" s="315"/>
    </row>
    <row r="204" spans="1:12">
      <c r="A204" s="315"/>
      <c r="B204" s="315"/>
      <c r="C204" s="315"/>
      <c r="D204" s="315"/>
      <c r="E204" s="315"/>
      <c r="F204" s="315"/>
      <c r="G204" s="315"/>
      <c r="H204" s="315"/>
      <c r="I204" s="315"/>
      <c r="J204" s="315"/>
      <c r="K204" s="315"/>
      <c r="L204" s="315"/>
    </row>
    <row r="205" spans="1:12">
      <c r="A205" s="315"/>
      <c r="B205" s="315"/>
      <c r="C205" s="315"/>
      <c r="D205" s="315"/>
      <c r="E205" s="315"/>
      <c r="F205" s="315"/>
      <c r="G205" s="315"/>
      <c r="H205" s="315"/>
      <c r="I205" s="315"/>
      <c r="J205" s="315"/>
      <c r="K205" s="315"/>
      <c r="L205" s="315"/>
    </row>
    <row r="206" spans="1:12">
      <c r="A206" s="315"/>
      <c r="B206" s="315"/>
      <c r="C206" s="315"/>
      <c r="D206" s="315"/>
      <c r="E206" s="315"/>
      <c r="F206" s="315"/>
      <c r="G206" s="315"/>
      <c r="H206" s="315"/>
      <c r="I206" s="315"/>
      <c r="J206" s="315"/>
      <c r="K206" s="315"/>
      <c r="L206" s="315"/>
    </row>
    <row r="207" spans="1:12">
      <c r="A207" s="315"/>
      <c r="B207" s="315"/>
      <c r="C207" s="315"/>
      <c r="D207" s="315"/>
      <c r="E207" s="315"/>
      <c r="F207" s="315"/>
      <c r="G207" s="315"/>
      <c r="H207" s="315"/>
      <c r="I207" s="315"/>
      <c r="J207" s="315"/>
      <c r="K207" s="315"/>
      <c r="L207" s="315"/>
    </row>
    <row r="208" spans="1:12">
      <c r="A208" s="315"/>
      <c r="B208" s="315"/>
      <c r="C208" s="315"/>
      <c r="D208" s="315"/>
      <c r="E208" s="315"/>
      <c r="F208" s="315"/>
      <c r="G208" s="315"/>
      <c r="H208" s="315"/>
      <c r="I208" s="315"/>
      <c r="J208" s="315"/>
      <c r="K208" s="315"/>
      <c r="L208" s="315"/>
    </row>
    <row r="209" spans="1:12">
      <c r="A209" s="315"/>
      <c r="B209" s="315"/>
      <c r="C209" s="315"/>
      <c r="D209" s="315"/>
      <c r="E209" s="315"/>
      <c r="F209" s="315"/>
      <c r="G209" s="315"/>
      <c r="H209" s="315"/>
      <c r="I209" s="315"/>
      <c r="J209" s="315"/>
      <c r="K209" s="315"/>
      <c r="L209" s="315"/>
    </row>
    <row r="210" spans="1:12">
      <c r="A210" s="315"/>
      <c r="B210" s="315"/>
      <c r="C210" s="315"/>
      <c r="D210" s="315"/>
      <c r="E210" s="315"/>
      <c r="F210" s="315"/>
      <c r="G210" s="315"/>
      <c r="H210" s="315"/>
      <c r="I210" s="315"/>
      <c r="J210" s="315"/>
      <c r="K210" s="315"/>
      <c r="L210" s="315"/>
    </row>
    <row r="211" spans="1:12">
      <c r="A211" s="315"/>
      <c r="B211" s="315"/>
      <c r="C211" s="315"/>
      <c r="D211" s="315"/>
      <c r="E211" s="315"/>
      <c r="F211" s="315"/>
      <c r="G211" s="315"/>
      <c r="H211" s="315"/>
      <c r="I211" s="315"/>
      <c r="J211" s="315"/>
      <c r="K211" s="315"/>
      <c r="L211" s="315"/>
    </row>
    <row r="212" spans="1:12">
      <c r="A212" s="315"/>
      <c r="B212" s="315"/>
      <c r="C212" s="315"/>
      <c r="D212" s="315"/>
      <c r="E212" s="315"/>
      <c r="F212" s="315"/>
      <c r="G212" s="315"/>
      <c r="H212" s="315"/>
      <c r="I212" s="315"/>
      <c r="J212" s="315"/>
      <c r="K212" s="315"/>
      <c r="L212" s="315"/>
    </row>
    <row r="213" spans="1:12">
      <c r="A213" s="315"/>
      <c r="B213" s="315"/>
      <c r="C213" s="315"/>
      <c r="D213" s="315"/>
      <c r="E213" s="315"/>
      <c r="F213" s="315"/>
      <c r="G213" s="315"/>
      <c r="H213" s="315"/>
      <c r="I213" s="315"/>
      <c r="J213" s="315"/>
      <c r="K213" s="315"/>
      <c r="L213" s="315"/>
    </row>
    <row r="214" spans="1:12">
      <c r="A214" s="315"/>
      <c r="B214" s="315"/>
      <c r="C214" s="315"/>
      <c r="D214" s="315"/>
      <c r="E214" s="315"/>
      <c r="F214" s="315"/>
      <c r="G214" s="315"/>
      <c r="H214" s="315"/>
      <c r="I214" s="315"/>
      <c r="J214" s="315"/>
      <c r="K214" s="315"/>
      <c r="L214" s="315"/>
    </row>
    <row r="215" spans="1:12">
      <c r="A215" s="315"/>
      <c r="B215" s="315"/>
      <c r="C215" s="315"/>
      <c r="D215" s="315"/>
      <c r="E215" s="315"/>
      <c r="F215" s="315"/>
      <c r="G215" s="315"/>
      <c r="H215" s="315"/>
      <c r="I215" s="315"/>
      <c r="J215" s="315"/>
      <c r="K215" s="315"/>
      <c r="L215" s="315"/>
    </row>
    <row r="216" spans="1:12">
      <c r="A216" s="315"/>
      <c r="B216" s="315"/>
      <c r="C216" s="315"/>
      <c r="D216" s="315"/>
      <c r="E216" s="315"/>
      <c r="F216" s="315"/>
      <c r="G216" s="315"/>
      <c r="H216" s="315"/>
      <c r="I216" s="315"/>
      <c r="J216" s="315"/>
      <c r="K216" s="315"/>
      <c r="L216" s="315"/>
    </row>
    <row r="217" spans="1:12">
      <c r="A217" s="315"/>
      <c r="B217" s="315"/>
      <c r="C217" s="315"/>
      <c r="D217" s="315"/>
      <c r="E217" s="315"/>
      <c r="F217" s="315"/>
      <c r="G217" s="315"/>
      <c r="H217" s="315"/>
      <c r="I217" s="315"/>
      <c r="J217" s="315"/>
      <c r="K217" s="315"/>
      <c r="L217" s="315"/>
    </row>
    <row r="218" spans="1:12">
      <c r="A218" s="315"/>
      <c r="B218" s="315"/>
      <c r="C218" s="315"/>
      <c r="D218" s="315"/>
      <c r="E218" s="315"/>
      <c r="F218" s="315"/>
      <c r="G218" s="315"/>
      <c r="H218" s="315"/>
      <c r="I218" s="315"/>
      <c r="J218" s="315"/>
      <c r="K218" s="315"/>
      <c r="L218" s="315"/>
    </row>
    <row r="219" spans="1:12">
      <c r="A219" s="315"/>
      <c r="B219" s="315"/>
      <c r="C219" s="315"/>
      <c r="D219" s="315"/>
      <c r="E219" s="315"/>
      <c r="F219" s="315"/>
      <c r="G219" s="315"/>
      <c r="H219" s="315"/>
      <c r="I219" s="315"/>
      <c r="J219" s="315"/>
      <c r="K219" s="315"/>
      <c r="L219" s="315"/>
    </row>
    <row r="220" spans="1:12">
      <c r="A220" s="315"/>
      <c r="B220" s="315"/>
      <c r="C220" s="315"/>
      <c r="D220" s="315"/>
      <c r="E220" s="315"/>
      <c r="F220" s="315"/>
      <c r="G220" s="315"/>
      <c r="H220" s="315"/>
      <c r="I220" s="315"/>
      <c r="J220" s="315"/>
      <c r="K220" s="315"/>
      <c r="L220" s="315"/>
    </row>
    <row r="221" spans="1:12">
      <c r="A221" s="315"/>
      <c r="B221" s="315"/>
      <c r="C221" s="315"/>
      <c r="D221" s="315"/>
      <c r="E221" s="315"/>
      <c r="F221" s="315"/>
      <c r="G221" s="315"/>
      <c r="H221" s="315"/>
      <c r="I221" s="315"/>
      <c r="J221" s="315"/>
      <c r="K221" s="315"/>
      <c r="L221" s="315"/>
    </row>
    <row r="222" spans="1:12">
      <c r="A222" s="315"/>
      <c r="B222" s="315"/>
      <c r="C222" s="315"/>
      <c r="D222" s="315"/>
      <c r="E222" s="315"/>
      <c r="F222" s="315"/>
      <c r="G222" s="315"/>
      <c r="H222" s="315"/>
      <c r="I222" s="315"/>
      <c r="J222" s="315"/>
      <c r="K222" s="315"/>
      <c r="L222" s="315"/>
    </row>
    <row r="223" spans="1:12">
      <c r="A223" s="315"/>
      <c r="B223" s="315"/>
      <c r="C223" s="315"/>
      <c r="D223" s="315"/>
      <c r="E223" s="315"/>
      <c r="F223" s="315"/>
      <c r="G223" s="315"/>
      <c r="H223" s="315"/>
      <c r="I223" s="315"/>
      <c r="J223" s="315"/>
      <c r="K223" s="315"/>
      <c r="L223" s="315"/>
    </row>
    <row r="224" spans="1:12">
      <c r="A224" s="315"/>
      <c r="B224" s="315"/>
      <c r="C224" s="315"/>
      <c r="D224" s="315"/>
      <c r="E224" s="315"/>
      <c r="F224" s="315"/>
      <c r="G224" s="315"/>
      <c r="H224" s="315"/>
      <c r="I224" s="315"/>
      <c r="J224" s="315"/>
      <c r="K224" s="315"/>
      <c r="L224" s="315"/>
    </row>
    <row r="225" spans="1:12">
      <c r="A225" s="315"/>
      <c r="B225" s="315"/>
      <c r="C225" s="315"/>
      <c r="D225" s="315"/>
      <c r="E225" s="315"/>
      <c r="F225" s="315"/>
      <c r="G225" s="315"/>
      <c r="H225" s="315"/>
      <c r="I225" s="315"/>
      <c r="J225" s="315"/>
      <c r="K225" s="315"/>
      <c r="L225" s="315"/>
    </row>
    <row r="226" spans="1:12">
      <c r="A226" s="315"/>
      <c r="B226" s="315"/>
      <c r="C226" s="315"/>
      <c r="D226" s="315"/>
      <c r="E226" s="315"/>
      <c r="F226" s="315"/>
      <c r="G226" s="315"/>
      <c r="H226" s="315"/>
      <c r="I226" s="315"/>
      <c r="J226" s="315"/>
      <c r="K226" s="315"/>
      <c r="L226" s="315"/>
    </row>
    <row r="227" spans="1:12">
      <c r="A227" s="315"/>
      <c r="B227" s="315"/>
      <c r="C227" s="315"/>
      <c r="D227" s="315"/>
      <c r="E227" s="315"/>
      <c r="F227" s="315"/>
      <c r="G227" s="315"/>
      <c r="H227" s="315"/>
      <c r="I227" s="315"/>
      <c r="J227" s="315"/>
      <c r="K227" s="315"/>
      <c r="L227" s="315"/>
    </row>
    <row r="228" spans="1:12">
      <c r="A228" s="315"/>
      <c r="B228" s="315"/>
      <c r="C228" s="315"/>
      <c r="D228" s="315"/>
      <c r="E228" s="315"/>
      <c r="F228" s="315"/>
      <c r="G228" s="315"/>
      <c r="H228" s="315"/>
      <c r="I228" s="315"/>
      <c r="J228" s="315"/>
      <c r="K228" s="315"/>
      <c r="L228" s="315"/>
    </row>
    <row r="229" spans="1:12">
      <c r="A229" s="315"/>
      <c r="B229" s="315"/>
      <c r="C229" s="315"/>
      <c r="D229" s="315"/>
      <c r="E229" s="315"/>
      <c r="F229" s="315"/>
      <c r="G229" s="315"/>
      <c r="H229" s="315"/>
      <c r="I229" s="315"/>
      <c r="J229" s="315"/>
      <c r="K229" s="315"/>
      <c r="L229" s="315"/>
    </row>
    <row r="230" spans="1:12">
      <c r="A230" s="315"/>
      <c r="B230" s="315"/>
      <c r="C230" s="315"/>
      <c r="D230" s="315"/>
      <c r="E230" s="315"/>
      <c r="F230" s="315"/>
      <c r="G230" s="315"/>
      <c r="H230" s="315"/>
      <c r="I230" s="315"/>
      <c r="J230" s="315"/>
      <c r="K230" s="315"/>
      <c r="L230" s="315"/>
    </row>
    <row r="231" spans="1:12">
      <c r="A231" s="315"/>
      <c r="B231" s="315"/>
      <c r="C231" s="315"/>
      <c r="D231" s="315"/>
      <c r="E231" s="315"/>
      <c r="F231" s="315"/>
      <c r="G231" s="315"/>
      <c r="H231" s="315"/>
      <c r="I231" s="315"/>
      <c r="J231" s="315"/>
      <c r="K231" s="315"/>
      <c r="L231" s="315"/>
    </row>
    <row r="232" spans="1:12">
      <c r="A232" s="315"/>
      <c r="B232" s="315"/>
      <c r="C232" s="315"/>
      <c r="D232" s="315"/>
      <c r="E232" s="315"/>
      <c r="F232" s="315"/>
      <c r="G232" s="315"/>
      <c r="H232" s="315"/>
      <c r="I232" s="315"/>
      <c r="J232" s="315"/>
      <c r="K232" s="315"/>
      <c r="L232" s="315"/>
    </row>
    <row r="233" spans="1:12">
      <c r="A233" s="315"/>
      <c r="B233" s="315"/>
      <c r="C233" s="315"/>
      <c r="D233" s="315"/>
      <c r="E233" s="315"/>
      <c r="F233" s="315"/>
      <c r="G233" s="315"/>
      <c r="H233" s="315"/>
      <c r="I233" s="315"/>
      <c r="J233" s="315"/>
      <c r="K233" s="315"/>
      <c r="L233" s="315"/>
    </row>
    <row r="234" spans="1:12">
      <c r="A234" s="315"/>
      <c r="B234" s="315"/>
      <c r="C234" s="315"/>
      <c r="D234" s="315"/>
      <c r="E234" s="315"/>
      <c r="F234" s="315"/>
      <c r="G234" s="315"/>
      <c r="H234" s="315"/>
      <c r="I234" s="315"/>
      <c r="J234" s="315"/>
      <c r="K234" s="315"/>
      <c r="L234" s="315"/>
    </row>
    <row r="235" spans="1:12">
      <c r="A235" s="315"/>
      <c r="B235" s="315"/>
      <c r="C235" s="315"/>
      <c r="D235" s="315"/>
      <c r="E235" s="315"/>
      <c r="F235" s="315"/>
      <c r="G235" s="315"/>
      <c r="H235" s="315"/>
      <c r="I235" s="315"/>
      <c r="J235" s="315"/>
      <c r="K235" s="315"/>
      <c r="L235" s="315"/>
    </row>
    <row r="236" spans="1:12">
      <c r="A236" s="315"/>
      <c r="B236" s="315"/>
      <c r="C236" s="315"/>
      <c r="D236" s="315"/>
      <c r="E236" s="315"/>
      <c r="F236" s="315"/>
      <c r="G236" s="315"/>
      <c r="H236" s="315"/>
      <c r="I236" s="315"/>
      <c r="J236" s="315"/>
      <c r="K236" s="315"/>
      <c r="L236" s="315"/>
    </row>
    <row r="237" spans="1:12">
      <c r="A237" s="315"/>
      <c r="B237" s="315"/>
      <c r="C237" s="315"/>
      <c r="D237" s="315"/>
      <c r="E237" s="315"/>
      <c r="F237" s="315"/>
      <c r="G237" s="315"/>
      <c r="H237" s="315"/>
      <c r="I237" s="315"/>
      <c r="J237" s="315"/>
      <c r="K237" s="315"/>
      <c r="L237" s="315"/>
    </row>
    <row r="238" spans="1:12">
      <c r="A238" s="315"/>
      <c r="B238" s="315"/>
      <c r="C238" s="315"/>
      <c r="D238" s="315"/>
      <c r="E238" s="315"/>
      <c r="F238" s="315"/>
      <c r="G238" s="315"/>
      <c r="H238" s="315"/>
      <c r="I238" s="315"/>
      <c r="J238" s="315"/>
      <c r="K238" s="315"/>
      <c r="L238" s="315"/>
    </row>
    <row r="239" spans="1:12">
      <c r="A239" s="315"/>
      <c r="B239" s="315"/>
      <c r="C239" s="315"/>
      <c r="D239" s="315"/>
      <c r="E239" s="315"/>
      <c r="F239" s="315"/>
      <c r="G239" s="315"/>
      <c r="H239" s="315"/>
      <c r="I239" s="315"/>
      <c r="J239" s="315"/>
      <c r="K239" s="315"/>
      <c r="L239" s="315"/>
    </row>
    <row r="240" spans="1:12">
      <c r="A240" s="315"/>
      <c r="B240" s="315"/>
      <c r="C240" s="315"/>
      <c r="D240" s="315"/>
      <c r="E240" s="315"/>
      <c r="F240" s="315"/>
      <c r="G240" s="315"/>
      <c r="H240" s="315"/>
      <c r="I240" s="315"/>
      <c r="J240" s="315"/>
      <c r="K240" s="315"/>
      <c r="L240" s="315"/>
    </row>
    <row r="241" spans="1:12">
      <c r="A241" s="315"/>
      <c r="B241" s="315"/>
      <c r="C241" s="315"/>
      <c r="D241" s="315"/>
      <c r="E241" s="315"/>
      <c r="F241" s="315"/>
      <c r="G241" s="315"/>
      <c r="H241" s="315"/>
      <c r="I241" s="315"/>
      <c r="J241" s="315"/>
      <c r="K241" s="315"/>
      <c r="L241" s="315"/>
    </row>
    <row r="242" spans="1:12">
      <c r="A242" s="315"/>
      <c r="B242" s="315"/>
      <c r="C242" s="315"/>
      <c r="D242" s="315"/>
      <c r="E242" s="315"/>
      <c r="F242" s="315"/>
      <c r="G242" s="315"/>
      <c r="H242" s="315"/>
      <c r="I242" s="315"/>
      <c r="J242" s="315"/>
      <c r="K242" s="315"/>
      <c r="L242" s="315"/>
    </row>
    <row r="243" spans="1:12">
      <c r="A243" s="315"/>
      <c r="B243" s="315"/>
      <c r="C243" s="315"/>
      <c r="D243" s="315"/>
      <c r="E243" s="315"/>
      <c r="F243" s="315"/>
      <c r="G243" s="315"/>
      <c r="H243" s="315"/>
      <c r="I243" s="315"/>
      <c r="J243" s="315"/>
      <c r="K243" s="315"/>
      <c r="L243" s="315"/>
    </row>
    <row r="244" spans="1:12">
      <c r="A244" s="315"/>
      <c r="B244" s="315"/>
      <c r="C244" s="315"/>
      <c r="D244" s="315"/>
      <c r="E244" s="315"/>
      <c r="F244" s="315"/>
      <c r="G244" s="315"/>
      <c r="H244" s="315"/>
      <c r="I244" s="315"/>
      <c r="J244" s="315"/>
      <c r="K244" s="315"/>
      <c r="L244" s="315"/>
    </row>
    <row r="245" spans="1:12">
      <c r="A245" s="315"/>
      <c r="B245" s="315"/>
      <c r="C245" s="315"/>
      <c r="D245" s="315"/>
      <c r="E245" s="315"/>
      <c r="F245" s="315"/>
      <c r="G245" s="315"/>
      <c r="H245" s="315"/>
      <c r="I245" s="315"/>
      <c r="J245" s="315"/>
      <c r="K245" s="315"/>
      <c r="L245" s="315"/>
    </row>
    <row r="246" spans="1:12">
      <c r="A246" s="315"/>
      <c r="B246" s="315"/>
      <c r="C246" s="315"/>
      <c r="D246" s="315"/>
      <c r="E246" s="315"/>
      <c r="F246" s="315"/>
      <c r="G246" s="315"/>
      <c r="H246" s="315"/>
      <c r="I246" s="315"/>
      <c r="J246" s="315"/>
      <c r="K246" s="315"/>
      <c r="L246" s="315"/>
    </row>
    <row r="247" spans="1:12">
      <c r="A247" s="315"/>
      <c r="B247" s="315"/>
      <c r="C247" s="315"/>
      <c r="D247" s="315"/>
      <c r="E247" s="315"/>
      <c r="F247" s="315"/>
      <c r="G247" s="315"/>
      <c r="H247" s="315"/>
      <c r="I247" s="315"/>
      <c r="J247" s="315"/>
      <c r="K247" s="315"/>
      <c r="L247" s="315"/>
    </row>
    <row r="248" spans="1:12">
      <c r="A248" s="315"/>
      <c r="B248" s="315"/>
      <c r="C248" s="315"/>
      <c r="D248" s="315"/>
      <c r="E248" s="315"/>
      <c r="F248" s="315"/>
      <c r="G248" s="315"/>
      <c r="H248" s="315"/>
      <c r="I248" s="315"/>
      <c r="J248" s="315"/>
      <c r="K248" s="315"/>
      <c r="L248" s="315"/>
    </row>
    <row r="249" spans="1:12">
      <c r="A249" s="315"/>
      <c r="B249" s="315"/>
      <c r="C249" s="315"/>
      <c r="D249" s="315"/>
      <c r="E249" s="315"/>
      <c r="F249" s="315"/>
      <c r="G249" s="315"/>
      <c r="H249" s="315"/>
      <c r="I249" s="315"/>
      <c r="J249" s="315"/>
      <c r="K249" s="315"/>
      <c r="L249" s="315"/>
    </row>
    <row r="250" spans="1:12">
      <c r="A250" s="315"/>
      <c r="B250" s="315"/>
      <c r="C250" s="315"/>
      <c r="D250" s="315"/>
      <c r="E250" s="315"/>
      <c r="F250" s="315"/>
      <c r="G250" s="315"/>
      <c r="H250" s="315"/>
      <c r="I250" s="315"/>
      <c r="J250" s="315"/>
      <c r="K250" s="315"/>
      <c r="L250" s="315"/>
    </row>
    <row r="251" spans="1:12">
      <c r="A251" s="315"/>
      <c r="B251" s="315"/>
      <c r="C251" s="315"/>
      <c r="D251" s="315"/>
      <c r="E251" s="315"/>
      <c r="F251" s="315"/>
      <c r="G251" s="315"/>
      <c r="H251" s="315"/>
      <c r="I251" s="315"/>
      <c r="J251" s="315"/>
      <c r="K251" s="315"/>
      <c r="L251" s="315"/>
    </row>
    <row r="252" spans="1:12">
      <c r="A252" s="315"/>
      <c r="B252" s="315"/>
      <c r="C252" s="315"/>
      <c r="D252" s="315"/>
      <c r="E252" s="315"/>
      <c r="F252" s="315"/>
      <c r="G252" s="315"/>
      <c r="H252" s="315"/>
      <c r="I252" s="315"/>
      <c r="J252" s="315"/>
      <c r="K252" s="315"/>
      <c r="L252" s="315"/>
    </row>
    <row r="253" spans="1:12">
      <c r="A253" s="315"/>
      <c r="B253" s="315"/>
      <c r="C253" s="315"/>
      <c r="D253" s="315"/>
      <c r="E253" s="315"/>
      <c r="F253" s="315"/>
      <c r="G253" s="315"/>
      <c r="H253" s="315"/>
      <c r="I253" s="315"/>
      <c r="J253" s="315"/>
      <c r="K253" s="315"/>
      <c r="L253" s="315"/>
    </row>
    <row r="254" spans="1:12">
      <c r="A254" s="315"/>
      <c r="B254" s="315"/>
      <c r="C254" s="315"/>
      <c r="D254" s="315"/>
      <c r="E254" s="315"/>
      <c r="F254" s="315"/>
      <c r="G254" s="315"/>
      <c r="H254" s="315"/>
      <c r="I254" s="315"/>
      <c r="J254" s="315"/>
      <c r="K254" s="315"/>
      <c r="L254" s="315"/>
    </row>
    <row r="255" spans="1:12">
      <c r="A255" s="315"/>
      <c r="B255" s="315"/>
      <c r="C255" s="315"/>
      <c r="D255" s="315"/>
      <c r="E255" s="315"/>
      <c r="F255" s="315"/>
      <c r="G255" s="315"/>
      <c r="H255" s="315"/>
      <c r="I255" s="315"/>
      <c r="J255" s="315"/>
      <c r="K255" s="315"/>
      <c r="L255" s="315"/>
    </row>
    <row r="256" spans="1:12">
      <c r="A256" s="315"/>
      <c r="B256" s="315"/>
      <c r="C256" s="315"/>
      <c r="D256" s="315"/>
      <c r="E256" s="315"/>
      <c r="F256" s="315"/>
      <c r="G256" s="315"/>
      <c r="H256" s="315"/>
      <c r="I256" s="315"/>
      <c r="J256" s="315"/>
      <c r="K256" s="315"/>
      <c r="L256" s="315"/>
    </row>
    <row r="257" spans="1:12">
      <c r="A257" s="315"/>
      <c r="B257" s="315"/>
      <c r="C257" s="315"/>
      <c r="D257" s="315"/>
      <c r="E257" s="315"/>
      <c r="F257" s="315"/>
      <c r="G257" s="315"/>
      <c r="H257" s="315"/>
      <c r="I257" s="315"/>
      <c r="J257" s="315"/>
      <c r="K257" s="315"/>
      <c r="L257" s="315"/>
    </row>
    <row r="258" spans="1:12">
      <c r="A258" s="315"/>
      <c r="B258" s="315"/>
      <c r="C258" s="315"/>
      <c r="D258" s="315"/>
      <c r="E258" s="315"/>
      <c r="F258" s="315"/>
      <c r="G258" s="315"/>
      <c r="H258" s="315"/>
      <c r="I258" s="315"/>
      <c r="J258" s="315"/>
      <c r="K258" s="315"/>
      <c r="L258" s="315"/>
    </row>
    <row r="259" spans="1:12">
      <c r="A259" s="315"/>
      <c r="B259" s="315"/>
      <c r="C259" s="315"/>
      <c r="D259" s="315"/>
      <c r="E259" s="315"/>
      <c r="F259" s="315"/>
      <c r="G259" s="315"/>
      <c r="H259" s="315"/>
      <c r="I259" s="315"/>
      <c r="J259" s="315"/>
      <c r="K259" s="315"/>
      <c r="L259" s="315"/>
    </row>
    <row r="260" spans="1:12">
      <c r="A260" s="315"/>
      <c r="B260" s="315"/>
      <c r="C260" s="315"/>
      <c r="D260" s="315"/>
      <c r="E260" s="315"/>
      <c r="F260" s="315"/>
      <c r="G260" s="315"/>
      <c r="H260" s="315"/>
      <c r="I260" s="315"/>
      <c r="J260" s="315"/>
      <c r="K260" s="315"/>
      <c r="L260" s="315"/>
    </row>
    <row r="261" spans="1:12">
      <c r="A261" s="315"/>
      <c r="B261" s="315"/>
      <c r="C261" s="315"/>
      <c r="D261" s="315"/>
      <c r="E261" s="315"/>
      <c r="F261" s="315"/>
      <c r="G261" s="315"/>
      <c r="H261" s="315"/>
      <c r="I261" s="315"/>
      <c r="J261" s="315"/>
      <c r="K261" s="315"/>
      <c r="L261" s="315"/>
    </row>
    <row r="262" spans="1:12">
      <c r="A262" s="315"/>
      <c r="B262" s="315"/>
      <c r="C262" s="315"/>
      <c r="D262" s="315"/>
      <c r="E262" s="315"/>
      <c r="F262" s="315"/>
      <c r="G262" s="315"/>
      <c r="H262" s="315"/>
      <c r="I262" s="315"/>
      <c r="J262" s="315"/>
      <c r="K262" s="315"/>
      <c r="L262" s="315"/>
    </row>
    <row r="263" spans="1:12">
      <c r="A263" s="315"/>
      <c r="B263" s="315"/>
      <c r="C263" s="315"/>
      <c r="D263" s="315"/>
      <c r="E263" s="315"/>
      <c r="F263" s="315"/>
      <c r="G263" s="315"/>
      <c r="H263" s="315"/>
      <c r="I263" s="315"/>
      <c r="J263" s="315"/>
      <c r="K263" s="315"/>
      <c r="L263" s="315"/>
    </row>
    <row r="264" spans="1:12">
      <c r="A264" s="315"/>
      <c r="B264" s="315"/>
      <c r="C264" s="315"/>
      <c r="D264" s="315"/>
      <c r="E264" s="315"/>
      <c r="F264" s="315"/>
      <c r="G264" s="315"/>
      <c r="H264" s="315"/>
      <c r="I264" s="315"/>
      <c r="J264" s="315"/>
      <c r="K264" s="315"/>
      <c r="L264" s="315"/>
    </row>
    <row r="265" spans="1:12">
      <c r="A265" s="315"/>
      <c r="B265" s="315"/>
      <c r="C265" s="315"/>
      <c r="D265" s="315"/>
      <c r="E265" s="315"/>
      <c r="F265" s="315"/>
      <c r="G265" s="315"/>
      <c r="H265" s="315"/>
      <c r="I265" s="315"/>
      <c r="J265" s="315"/>
      <c r="K265" s="315"/>
      <c r="L265" s="315"/>
    </row>
    <row r="266" spans="1:12">
      <c r="A266" s="315"/>
      <c r="B266" s="315"/>
      <c r="C266" s="315"/>
      <c r="D266" s="315"/>
      <c r="E266" s="315"/>
      <c r="F266" s="315"/>
      <c r="G266" s="315"/>
      <c r="H266" s="315"/>
      <c r="I266" s="315"/>
      <c r="J266" s="315"/>
      <c r="K266" s="315"/>
      <c r="L266" s="315"/>
    </row>
    <row r="267" spans="1:12">
      <c r="A267" s="315"/>
      <c r="B267" s="315"/>
      <c r="C267" s="315"/>
      <c r="D267" s="315"/>
      <c r="E267" s="315"/>
      <c r="F267" s="315"/>
      <c r="G267" s="315"/>
      <c r="H267" s="315"/>
      <c r="I267" s="315"/>
      <c r="J267" s="315"/>
      <c r="K267" s="315"/>
      <c r="L267" s="315"/>
    </row>
    <row r="268" spans="1:12">
      <c r="A268" s="315"/>
      <c r="B268" s="315"/>
      <c r="C268" s="315"/>
      <c r="D268" s="315"/>
      <c r="E268" s="315"/>
      <c r="F268" s="315"/>
      <c r="G268" s="315"/>
      <c r="H268" s="315"/>
      <c r="I268" s="315"/>
      <c r="J268" s="315"/>
      <c r="K268" s="315"/>
      <c r="L268" s="315"/>
    </row>
    <row r="269" spans="1:12">
      <c r="A269" s="315"/>
      <c r="B269" s="315"/>
      <c r="C269" s="315"/>
      <c r="D269" s="315"/>
      <c r="E269" s="315"/>
      <c r="F269" s="315"/>
      <c r="G269" s="315"/>
      <c r="H269" s="315"/>
      <c r="I269" s="315"/>
      <c r="J269" s="315"/>
      <c r="K269" s="315"/>
      <c r="L269" s="315"/>
    </row>
    <row r="270" spans="1:12">
      <c r="A270" s="315"/>
      <c r="B270" s="315"/>
      <c r="C270" s="315"/>
      <c r="D270" s="315"/>
      <c r="E270" s="315"/>
      <c r="F270" s="315"/>
      <c r="G270" s="315"/>
      <c r="H270" s="315"/>
      <c r="I270" s="315"/>
      <c r="J270" s="315"/>
      <c r="K270" s="315"/>
      <c r="L270" s="315"/>
    </row>
    <row r="271" spans="1:12">
      <c r="A271" s="315"/>
      <c r="B271" s="315"/>
      <c r="C271" s="315"/>
      <c r="D271" s="315"/>
      <c r="E271" s="315"/>
      <c r="F271" s="315"/>
      <c r="G271" s="315"/>
      <c r="H271" s="315"/>
      <c r="I271" s="315"/>
      <c r="J271" s="315"/>
      <c r="K271" s="315"/>
      <c r="L271" s="315"/>
    </row>
    <row r="272" spans="1:12">
      <c r="A272" s="315"/>
      <c r="B272" s="315"/>
      <c r="C272" s="315"/>
      <c r="D272" s="315"/>
      <c r="E272" s="315"/>
      <c r="F272" s="315"/>
      <c r="G272" s="315"/>
      <c r="H272" s="315"/>
      <c r="I272" s="315"/>
      <c r="J272" s="315"/>
      <c r="K272" s="315"/>
      <c r="L272" s="315"/>
    </row>
    <row r="273" spans="1:12">
      <c r="A273" s="315"/>
      <c r="B273" s="315"/>
      <c r="C273" s="315"/>
      <c r="D273" s="315"/>
      <c r="E273" s="315"/>
      <c r="F273" s="315"/>
      <c r="G273" s="315"/>
      <c r="H273" s="315"/>
      <c r="I273" s="315"/>
      <c r="J273" s="315"/>
      <c r="K273" s="315"/>
      <c r="L273" s="315"/>
    </row>
    <row r="274" spans="1:12">
      <c r="A274" s="315"/>
      <c r="B274" s="315"/>
      <c r="C274" s="315"/>
      <c r="D274" s="315"/>
      <c r="E274" s="315"/>
      <c r="F274" s="315"/>
      <c r="G274" s="315"/>
      <c r="H274" s="315"/>
      <c r="I274" s="315"/>
      <c r="J274" s="315"/>
      <c r="K274" s="315"/>
      <c r="L274" s="315"/>
    </row>
    <row r="275" spans="1:12">
      <c r="A275" s="315"/>
      <c r="B275" s="315"/>
      <c r="C275" s="315"/>
      <c r="D275" s="315"/>
      <c r="E275" s="315"/>
      <c r="F275" s="315"/>
      <c r="G275" s="315"/>
      <c r="H275" s="315"/>
      <c r="I275" s="315"/>
      <c r="J275" s="315"/>
      <c r="K275" s="315"/>
      <c r="L275" s="315"/>
    </row>
    <row r="276" spans="1:12">
      <c r="A276" s="315"/>
      <c r="B276" s="315"/>
      <c r="C276" s="315"/>
      <c r="D276" s="315"/>
      <c r="E276" s="315"/>
      <c r="F276" s="315"/>
      <c r="G276" s="315"/>
      <c r="H276" s="315"/>
      <c r="I276" s="315"/>
      <c r="J276" s="315"/>
      <c r="K276" s="315"/>
      <c r="L276" s="315"/>
    </row>
    <row r="277" spans="1:12">
      <c r="A277" s="315"/>
      <c r="B277" s="315"/>
      <c r="C277" s="315"/>
      <c r="D277" s="315"/>
      <c r="E277" s="315"/>
      <c r="F277" s="315"/>
      <c r="G277" s="315"/>
      <c r="H277" s="315"/>
      <c r="I277" s="315"/>
      <c r="J277" s="315"/>
      <c r="K277" s="315"/>
      <c r="L277" s="315"/>
    </row>
    <row r="278" spans="1:12">
      <c r="A278" s="315"/>
      <c r="B278" s="315"/>
      <c r="C278" s="315"/>
      <c r="D278" s="315"/>
      <c r="E278" s="315"/>
      <c r="F278" s="315"/>
      <c r="G278" s="315"/>
      <c r="H278" s="315"/>
      <c r="I278" s="315"/>
      <c r="J278" s="315"/>
      <c r="K278" s="315"/>
      <c r="L278" s="315"/>
    </row>
    <row r="279" spans="1:12">
      <c r="A279" s="315"/>
      <c r="B279" s="315"/>
      <c r="C279" s="315"/>
      <c r="D279" s="315"/>
      <c r="E279" s="315"/>
      <c r="F279" s="315"/>
      <c r="G279" s="315"/>
      <c r="H279" s="315"/>
      <c r="I279" s="315"/>
      <c r="J279" s="315"/>
      <c r="K279" s="315"/>
      <c r="L279" s="315"/>
    </row>
    <row r="280" spans="1:12">
      <c r="A280" s="315"/>
      <c r="B280" s="315"/>
      <c r="C280" s="315"/>
      <c r="D280" s="315"/>
      <c r="E280" s="315"/>
      <c r="F280" s="315"/>
      <c r="G280" s="315"/>
      <c r="H280" s="315"/>
      <c r="I280" s="315"/>
      <c r="J280" s="315"/>
      <c r="K280" s="315"/>
      <c r="L280" s="315"/>
    </row>
    <row r="281" spans="1:12">
      <c r="A281" s="315"/>
      <c r="B281" s="315"/>
      <c r="C281" s="315"/>
      <c r="D281" s="315"/>
      <c r="E281" s="315"/>
      <c r="F281" s="315"/>
      <c r="G281" s="315"/>
      <c r="H281" s="315"/>
      <c r="I281" s="315"/>
      <c r="J281" s="315"/>
      <c r="K281" s="315"/>
      <c r="L281" s="315"/>
    </row>
    <row r="282" spans="1:12">
      <c r="A282" s="315"/>
      <c r="B282" s="315"/>
      <c r="C282" s="315"/>
      <c r="D282" s="315"/>
      <c r="E282" s="315"/>
      <c r="F282" s="315"/>
      <c r="G282" s="315"/>
      <c r="H282" s="315"/>
      <c r="I282" s="315"/>
      <c r="J282" s="315"/>
      <c r="K282" s="315"/>
      <c r="L282" s="315"/>
    </row>
    <row r="283" spans="1:12">
      <c r="A283" s="315"/>
      <c r="B283" s="315"/>
      <c r="C283" s="315"/>
      <c r="D283" s="315"/>
      <c r="E283" s="315"/>
      <c r="F283" s="315"/>
      <c r="G283" s="315"/>
      <c r="H283" s="315"/>
      <c r="I283" s="315"/>
      <c r="J283" s="315"/>
      <c r="K283" s="315"/>
      <c r="L283" s="315"/>
    </row>
    <row r="284" spans="1:12">
      <c r="A284" s="315"/>
      <c r="B284" s="315"/>
      <c r="C284" s="315"/>
      <c r="D284" s="315"/>
      <c r="E284" s="315"/>
      <c r="F284" s="315"/>
      <c r="G284" s="315"/>
      <c r="H284" s="315"/>
      <c r="I284" s="315"/>
      <c r="J284" s="315"/>
      <c r="K284" s="315"/>
      <c r="L284" s="315"/>
    </row>
    <row r="285" spans="1:12">
      <c r="A285" s="315"/>
      <c r="B285" s="315"/>
      <c r="C285" s="315"/>
      <c r="D285" s="315"/>
      <c r="E285" s="315"/>
      <c r="F285" s="315"/>
      <c r="G285" s="315"/>
      <c r="H285" s="315"/>
      <c r="I285" s="315"/>
      <c r="J285" s="315"/>
      <c r="K285" s="315"/>
      <c r="L285" s="315"/>
    </row>
    <row r="286" spans="1:12">
      <c r="A286" s="315"/>
      <c r="B286" s="315"/>
      <c r="C286" s="315"/>
      <c r="D286" s="315"/>
      <c r="E286" s="315"/>
      <c r="F286" s="315"/>
      <c r="G286" s="315"/>
      <c r="H286" s="315"/>
      <c r="I286" s="315"/>
      <c r="J286" s="315"/>
      <c r="K286" s="315"/>
      <c r="L286" s="315"/>
    </row>
    <row r="287" spans="1:12">
      <c r="A287" s="315"/>
      <c r="B287" s="315"/>
      <c r="C287" s="315"/>
      <c r="D287" s="315"/>
      <c r="E287" s="315"/>
      <c r="F287" s="315"/>
      <c r="G287" s="315"/>
      <c r="H287" s="315"/>
      <c r="I287" s="315"/>
      <c r="J287" s="315"/>
      <c r="K287" s="315"/>
      <c r="L287" s="315"/>
    </row>
    <row r="288" spans="1:12">
      <c r="A288" s="315"/>
      <c r="B288" s="315"/>
      <c r="C288" s="315"/>
      <c r="D288" s="315"/>
      <c r="E288" s="315"/>
      <c r="F288" s="315"/>
      <c r="G288" s="315"/>
      <c r="H288" s="315"/>
      <c r="I288" s="315"/>
      <c r="J288" s="315"/>
      <c r="K288" s="315"/>
      <c r="L288" s="315"/>
    </row>
    <row r="289" spans="1:12">
      <c r="A289" s="315"/>
      <c r="B289" s="315"/>
      <c r="C289" s="315"/>
      <c r="D289" s="315"/>
      <c r="E289" s="315"/>
      <c r="F289" s="315"/>
      <c r="G289" s="315"/>
      <c r="H289" s="315"/>
      <c r="I289" s="315"/>
      <c r="J289" s="315"/>
      <c r="K289" s="315"/>
      <c r="L289" s="315"/>
    </row>
    <row r="290" spans="1:12">
      <c r="A290" s="315"/>
      <c r="B290" s="315"/>
      <c r="C290" s="315"/>
      <c r="D290" s="315"/>
      <c r="E290" s="315"/>
      <c r="F290" s="315"/>
      <c r="G290" s="315"/>
      <c r="H290" s="315"/>
      <c r="I290" s="315"/>
      <c r="J290" s="315"/>
      <c r="K290" s="315"/>
      <c r="L290" s="315"/>
    </row>
    <row r="291" spans="1:12">
      <c r="A291" s="315"/>
      <c r="B291" s="315"/>
      <c r="C291" s="315"/>
      <c r="D291" s="315"/>
      <c r="E291" s="315"/>
      <c r="F291" s="315"/>
      <c r="G291" s="315"/>
      <c r="H291" s="315"/>
      <c r="I291" s="315"/>
      <c r="J291" s="315"/>
      <c r="K291" s="315"/>
      <c r="L291" s="315"/>
    </row>
    <row r="292" spans="1:12">
      <c r="A292" s="315"/>
      <c r="B292" s="315"/>
      <c r="C292" s="315"/>
      <c r="D292" s="315"/>
      <c r="E292" s="315"/>
      <c r="F292" s="315"/>
      <c r="G292" s="315"/>
      <c r="H292" s="315"/>
      <c r="I292" s="315"/>
      <c r="J292" s="315"/>
      <c r="K292" s="315"/>
      <c r="L292" s="315"/>
    </row>
    <row r="293" spans="1:12">
      <c r="A293" s="315"/>
      <c r="B293" s="315"/>
      <c r="C293" s="315"/>
      <c r="D293" s="315"/>
      <c r="E293" s="315"/>
      <c r="F293" s="315"/>
      <c r="G293" s="315"/>
      <c r="H293" s="315"/>
      <c r="I293" s="315"/>
      <c r="J293" s="315"/>
      <c r="K293" s="315"/>
      <c r="L293" s="315"/>
    </row>
    <row r="294" spans="1:12">
      <c r="A294" s="315"/>
      <c r="B294" s="315"/>
      <c r="C294" s="315"/>
      <c r="D294" s="315"/>
      <c r="E294" s="315"/>
      <c r="F294" s="315"/>
      <c r="G294" s="315"/>
      <c r="H294" s="315"/>
      <c r="I294" s="315"/>
      <c r="J294" s="315"/>
      <c r="K294" s="315"/>
      <c r="L294" s="315"/>
    </row>
    <row r="295" spans="1:12">
      <c r="A295" s="315"/>
      <c r="B295" s="315"/>
      <c r="C295" s="315"/>
      <c r="D295" s="315"/>
      <c r="E295" s="315"/>
      <c r="F295" s="315"/>
      <c r="G295" s="315"/>
      <c r="H295" s="315"/>
      <c r="I295" s="315"/>
      <c r="J295" s="315"/>
      <c r="K295" s="315"/>
      <c r="L295" s="315"/>
    </row>
    <row r="296" spans="1:12">
      <c r="A296" s="315"/>
      <c r="B296" s="315"/>
      <c r="C296" s="315"/>
      <c r="D296" s="315"/>
      <c r="E296" s="315"/>
      <c r="F296" s="315"/>
      <c r="G296" s="315"/>
      <c r="H296" s="315"/>
      <c r="I296" s="315"/>
      <c r="J296" s="315"/>
      <c r="K296" s="315"/>
      <c r="L296" s="315"/>
    </row>
    <row r="297" spans="1:12">
      <c r="A297" s="315"/>
      <c r="B297" s="315"/>
      <c r="C297" s="315"/>
      <c r="D297" s="315"/>
      <c r="E297" s="315"/>
      <c r="F297" s="315"/>
      <c r="G297" s="315"/>
      <c r="H297" s="315"/>
      <c r="I297" s="315"/>
      <c r="J297" s="315"/>
      <c r="K297" s="315"/>
      <c r="L297" s="315"/>
    </row>
    <row r="298" spans="1:12">
      <c r="A298" s="315"/>
      <c r="B298" s="315"/>
      <c r="C298" s="315"/>
      <c r="D298" s="315"/>
      <c r="E298" s="315"/>
      <c r="F298" s="315"/>
      <c r="G298" s="315"/>
      <c r="H298" s="315"/>
      <c r="I298" s="315"/>
      <c r="J298" s="315"/>
      <c r="K298" s="315"/>
      <c r="L298" s="315"/>
    </row>
    <row r="299" spans="1:12">
      <c r="A299" s="315"/>
      <c r="B299" s="315"/>
      <c r="C299" s="315"/>
      <c r="D299" s="315"/>
      <c r="E299" s="315"/>
      <c r="F299" s="315"/>
      <c r="G299" s="315"/>
      <c r="H299" s="315"/>
      <c r="I299" s="315"/>
      <c r="J299" s="315"/>
      <c r="K299" s="315"/>
      <c r="L299" s="315"/>
    </row>
    <row r="300" spans="1:12">
      <c r="A300" s="315"/>
      <c r="B300" s="315"/>
      <c r="C300" s="315"/>
      <c r="D300" s="315"/>
      <c r="E300" s="315"/>
      <c r="F300" s="315"/>
      <c r="G300" s="315"/>
      <c r="H300" s="315"/>
      <c r="I300" s="315"/>
      <c r="J300" s="315"/>
      <c r="K300" s="315"/>
      <c r="L300" s="315"/>
    </row>
    <row r="301" spans="1:12">
      <c r="A301" s="315"/>
      <c r="B301" s="315"/>
      <c r="C301" s="315"/>
      <c r="D301" s="315"/>
      <c r="E301" s="315"/>
      <c r="F301" s="315"/>
      <c r="G301" s="315"/>
      <c r="H301" s="315"/>
      <c r="I301" s="315"/>
      <c r="J301" s="315"/>
      <c r="K301" s="315"/>
      <c r="L301" s="315"/>
    </row>
    <row r="302" spans="1:12">
      <c r="A302" s="315"/>
      <c r="B302" s="315"/>
      <c r="C302" s="315"/>
      <c r="D302" s="315"/>
      <c r="E302" s="315"/>
      <c r="F302" s="315"/>
      <c r="G302" s="315"/>
      <c r="H302" s="315"/>
      <c r="I302" s="315"/>
      <c r="J302" s="315"/>
      <c r="K302" s="315"/>
      <c r="L302" s="315"/>
    </row>
    <row r="303" spans="1:12">
      <c r="A303" s="315"/>
      <c r="B303" s="315"/>
      <c r="C303" s="315"/>
      <c r="D303" s="315"/>
      <c r="E303" s="315"/>
      <c r="F303" s="315"/>
      <c r="G303" s="315"/>
      <c r="H303" s="315"/>
      <c r="I303" s="315"/>
      <c r="J303" s="315"/>
      <c r="K303" s="315"/>
      <c r="L303" s="315"/>
    </row>
    <row r="304" spans="1:12">
      <c r="A304" s="315"/>
      <c r="B304" s="315"/>
      <c r="C304" s="315"/>
      <c r="D304" s="315"/>
      <c r="E304" s="315"/>
      <c r="F304" s="315"/>
      <c r="G304" s="315"/>
      <c r="H304" s="315"/>
      <c r="I304" s="315"/>
      <c r="J304" s="315"/>
      <c r="K304" s="315"/>
      <c r="L304" s="315"/>
    </row>
    <row r="305" spans="1:12">
      <c r="A305" s="315"/>
      <c r="B305" s="315"/>
      <c r="C305" s="315"/>
      <c r="D305" s="315"/>
      <c r="E305" s="315"/>
      <c r="F305" s="315"/>
      <c r="G305" s="315"/>
      <c r="H305" s="315"/>
      <c r="I305" s="315"/>
      <c r="J305" s="315"/>
      <c r="K305" s="315"/>
      <c r="L305" s="315"/>
    </row>
    <row r="306" spans="1:12">
      <c r="A306" s="315"/>
      <c r="B306" s="315"/>
      <c r="C306" s="315"/>
      <c r="D306" s="315"/>
      <c r="E306" s="315"/>
      <c r="F306" s="315"/>
      <c r="G306" s="315"/>
      <c r="H306" s="315"/>
      <c r="I306" s="315"/>
      <c r="J306" s="315"/>
      <c r="K306" s="315"/>
      <c r="L306" s="315"/>
    </row>
    <row r="307" spans="1:12">
      <c r="A307" s="315"/>
      <c r="B307" s="315"/>
      <c r="C307" s="315"/>
      <c r="D307" s="315"/>
      <c r="E307" s="315"/>
      <c r="F307" s="315"/>
      <c r="G307" s="315"/>
      <c r="H307" s="315"/>
      <c r="I307" s="315"/>
      <c r="J307" s="315"/>
      <c r="K307" s="315"/>
      <c r="L307" s="315"/>
    </row>
    <row r="308" spans="1:12">
      <c r="A308" s="315"/>
      <c r="B308" s="315"/>
      <c r="C308" s="315"/>
      <c r="D308" s="315"/>
      <c r="E308" s="315"/>
      <c r="F308" s="315"/>
      <c r="G308" s="315"/>
      <c r="H308" s="315"/>
      <c r="I308" s="315"/>
      <c r="J308" s="315"/>
      <c r="K308" s="315"/>
      <c r="L308" s="315"/>
    </row>
    <row r="309" spans="1:12">
      <c r="A309" s="315"/>
      <c r="B309" s="315"/>
      <c r="C309" s="315"/>
      <c r="D309" s="315"/>
      <c r="E309" s="315"/>
      <c r="F309" s="315"/>
      <c r="G309" s="315"/>
      <c r="H309" s="315"/>
      <c r="I309" s="315"/>
      <c r="J309" s="315"/>
      <c r="K309" s="315"/>
      <c r="L309" s="315"/>
    </row>
    <row r="310" spans="1:12">
      <c r="A310" s="315"/>
      <c r="B310" s="315"/>
      <c r="C310" s="315"/>
      <c r="D310" s="315"/>
      <c r="E310" s="315"/>
      <c r="F310" s="315"/>
      <c r="G310" s="315"/>
      <c r="H310" s="315"/>
      <c r="I310" s="315"/>
      <c r="J310" s="315"/>
      <c r="K310" s="315"/>
      <c r="L310" s="315"/>
    </row>
    <row r="311" spans="1:12">
      <c r="A311" s="315"/>
      <c r="B311" s="315"/>
      <c r="C311" s="315"/>
      <c r="D311" s="315"/>
      <c r="E311" s="315"/>
      <c r="F311" s="315"/>
      <c r="G311" s="315"/>
      <c r="H311" s="315"/>
      <c r="I311" s="315"/>
      <c r="J311" s="315"/>
      <c r="K311" s="315"/>
      <c r="L311" s="315"/>
    </row>
    <row r="312" spans="1:12">
      <c r="A312" s="315"/>
      <c r="B312" s="315"/>
      <c r="C312" s="315"/>
      <c r="D312" s="315"/>
      <c r="E312" s="315"/>
      <c r="F312" s="315"/>
      <c r="G312" s="315"/>
      <c r="H312" s="315"/>
      <c r="I312" s="315"/>
      <c r="J312" s="315"/>
      <c r="K312" s="315"/>
      <c r="L312" s="315"/>
    </row>
    <row r="313" spans="1:12">
      <c r="A313" s="315"/>
      <c r="B313" s="315"/>
      <c r="C313" s="315"/>
      <c r="D313" s="315"/>
      <c r="E313" s="315"/>
      <c r="F313" s="315"/>
      <c r="G313" s="315"/>
      <c r="H313" s="315"/>
      <c r="I313" s="315"/>
      <c r="J313" s="315"/>
      <c r="K313" s="315"/>
      <c r="L313" s="315"/>
    </row>
    <row r="314" spans="1:12">
      <c r="A314" s="315"/>
      <c r="B314" s="315"/>
      <c r="C314" s="315"/>
      <c r="D314" s="315"/>
      <c r="E314" s="315"/>
      <c r="F314" s="315"/>
      <c r="G314" s="315"/>
      <c r="H314" s="315"/>
      <c r="I314" s="315"/>
      <c r="J314" s="315"/>
      <c r="K314" s="315"/>
      <c r="L314" s="315"/>
    </row>
    <row r="315" spans="1:12">
      <c r="A315" s="315"/>
      <c r="B315" s="315"/>
      <c r="C315" s="315"/>
      <c r="D315" s="315"/>
      <c r="E315" s="315"/>
      <c r="F315" s="315"/>
      <c r="G315" s="315"/>
      <c r="H315" s="315"/>
      <c r="I315" s="315"/>
      <c r="J315" s="315"/>
      <c r="K315" s="315"/>
      <c r="L315" s="315"/>
    </row>
    <row r="316" spans="1:12">
      <c r="A316" s="315"/>
      <c r="B316" s="315"/>
      <c r="C316" s="315"/>
      <c r="D316" s="315"/>
      <c r="E316" s="315"/>
      <c r="F316" s="315"/>
      <c r="G316" s="315"/>
      <c r="H316" s="315"/>
      <c r="I316" s="315"/>
      <c r="J316" s="315"/>
      <c r="K316" s="315"/>
      <c r="L316" s="315"/>
    </row>
    <row r="317" spans="1:12">
      <c r="A317" s="315"/>
      <c r="B317" s="315"/>
      <c r="C317" s="315"/>
      <c r="D317" s="315"/>
      <c r="E317" s="315"/>
      <c r="F317" s="315"/>
      <c r="G317" s="315"/>
      <c r="H317" s="315"/>
      <c r="I317" s="315"/>
      <c r="J317" s="315"/>
      <c r="K317" s="315"/>
      <c r="L317" s="315"/>
    </row>
    <row r="318" spans="1:12">
      <c r="A318" s="315"/>
      <c r="B318" s="315"/>
      <c r="C318" s="315"/>
      <c r="D318" s="315"/>
      <c r="E318" s="315"/>
      <c r="F318" s="315"/>
      <c r="G318" s="315"/>
      <c r="H318" s="315"/>
      <c r="I318" s="315"/>
      <c r="J318" s="315"/>
      <c r="K318" s="315"/>
      <c r="L318" s="315"/>
    </row>
    <row r="319" spans="1:12">
      <c r="A319" s="315"/>
      <c r="B319" s="315"/>
      <c r="C319" s="315"/>
      <c r="D319" s="315"/>
      <c r="E319" s="315"/>
      <c r="F319" s="315"/>
      <c r="G319" s="315"/>
      <c r="H319" s="315"/>
      <c r="I319" s="315"/>
      <c r="J319" s="315"/>
      <c r="K319" s="315"/>
      <c r="L319" s="315"/>
    </row>
    <row r="320" spans="1:12">
      <c r="A320" s="315"/>
      <c r="B320" s="315"/>
      <c r="C320" s="315"/>
      <c r="D320" s="315"/>
      <c r="E320" s="315"/>
      <c r="F320" s="315"/>
      <c r="G320" s="315"/>
      <c r="H320" s="315"/>
      <c r="I320" s="315"/>
      <c r="J320" s="315"/>
      <c r="K320" s="315"/>
      <c r="L320" s="315"/>
    </row>
    <row r="321" spans="1:12">
      <c r="A321" s="315"/>
      <c r="B321" s="315"/>
      <c r="C321" s="315"/>
      <c r="D321" s="315"/>
      <c r="E321" s="315"/>
      <c r="F321" s="315"/>
      <c r="G321" s="315"/>
      <c r="H321" s="315"/>
      <c r="I321" s="315"/>
      <c r="J321" s="315"/>
      <c r="K321" s="315"/>
      <c r="L321" s="315"/>
    </row>
    <row r="322" spans="1:12">
      <c r="A322" s="315"/>
      <c r="B322" s="315"/>
      <c r="C322" s="315"/>
      <c r="D322" s="315"/>
      <c r="E322" s="315"/>
      <c r="F322" s="315"/>
      <c r="G322" s="315"/>
      <c r="H322" s="315"/>
      <c r="I322" s="315"/>
      <c r="J322" s="315"/>
      <c r="K322" s="315"/>
      <c r="L322" s="315"/>
    </row>
    <row r="323" spans="1:12">
      <c r="A323" s="315"/>
      <c r="B323" s="315"/>
      <c r="C323" s="315"/>
      <c r="D323" s="315"/>
      <c r="E323" s="315"/>
      <c r="F323" s="315"/>
      <c r="G323" s="315"/>
      <c r="H323" s="315"/>
      <c r="I323" s="315"/>
      <c r="J323" s="315"/>
      <c r="K323" s="315"/>
      <c r="L323" s="315"/>
    </row>
    <row r="324" spans="1:12">
      <c r="A324" s="315"/>
      <c r="B324" s="315"/>
      <c r="C324" s="315"/>
      <c r="D324" s="315"/>
      <c r="E324" s="315"/>
      <c r="F324" s="315"/>
      <c r="G324" s="315"/>
      <c r="H324" s="315"/>
      <c r="I324" s="315"/>
      <c r="J324" s="315"/>
      <c r="K324" s="315"/>
      <c r="L324" s="315"/>
    </row>
    <row r="325" spans="1:12">
      <c r="A325" s="315"/>
      <c r="B325" s="315"/>
      <c r="C325" s="315"/>
      <c r="D325" s="315"/>
      <c r="E325" s="315"/>
      <c r="F325" s="315"/>
      <c r="G325" s="315"/>
      <c r="H325" s="315"/>
      <c r="I325" s="315"/>
      <c r="J325" s="315"/>
      <c r="K325" s="315"/>
      <c r="L325" s="315"/>
    </row>
    <row r="326" spans="1:12">
      <c r="A326" s="315"/>
      <c r="B326" s="315"/>
      <c r="C326" s="315"/>
      <c r="D326" s="315"/>
      <c r="E326" s="315"/>
      <c r="F326" s="315"/>
      <c r="G326" s="315"/>
      <c r="H326" s="315"/>
      <c r="I326" s="315"/>
      <c r="J326" s="315"/>
      <c r="K326" s="315"/>
      <c r="L326" s="315"/>
    </row>
    <row r="327" spans="1:12">
      <c r="A327" s="315"/>
      <c r="B327" s="315"/>
      <c r="C327" s="315"/>
      <c r="D327" s="315"/>
      <c r="E327" s="315"/>
      <c r="F327" s="315"/>
      <c r="G327" s="315"/>
      <c r="H327" s="315"/>
      <c r="I327" s="315"/>
      <c r="J327" s="315"/>
      <c r="K327" s="315"/>
      <c r="L327" s="315"/>
    </row>
    <row r="328" spans="1:12">
      <c r="A328" s="315"/>
      <c r="B328" s="315"/>
      <c r="C328" s="315"/>
      <c r="D328" s="315"/>
      <c r="E328" s="315"/>
      <c r="F328" s="315"/>
      <c r="G328" s="315"/>
      <c r="H328" s="315"/>
      <c r="I328" s="315"/>
      <c r="J328" s="315"/>
      <c r="K328" s="315"/>
      <c r="L328" s="315"/>
    </row>
    <row r="329" spans="1:12">
      <c r="A329" s="315"/>
      <c r="B329" s="315"/>
      <c r="C329" s="315"/>
      <c r="D329" s="315"/>
      <c r="E329" s="315"/>
      <c r="F329" s="315"/>
      <c r="G329" s="315"/>
      <c r="H329" s="315"/>
      <c r="I329" s="315"/>
      <c r="J329" s="315"/>
      <c r="K329" s="315"/>
      <c r="L329" s="315"/>
    </row>
    <row r="330" spans="1:12">
      <c r="A330" s="315"/>
      <c r="B330" s="315"/>
      <c r="C330" s="315"/>
      <c r="D330" s="315"/>
      <c r="E330" s="315"/>
      <c r="F330" s="315"/>
      <c r="G330" s="315"/>
      <c r="H330" s="315"/>
      <c r="I330" s="315"/>
      <c r="J330" s="315"/>
      <c r="K330" s="315"/>
      <c r="L330" s="315"/>
    </row>
    <row r="331" spans="1:12">
      <c r="A331" s="315"/>
      <c r="B331" s="315"/>
      <c r="C331" s="315"/>
      <c r="D331" s="315"/>
      <c r="E331" s="315"/>
      <c r="F331" s="315"/>
      <c r="G331" s="315"/>
      <c r="H331" s="315"/>
      <c r="I331" s="315"/>
      <c r="J331" s="315"/>
      <c r="K331" s="315"/>
      <c r="L331" s="315"/>
    </row>
    <row r="332" spans="1:12">
      <c r="A332" s="315"/>
      <c r="B332" s="315"/>
      <c r="C332" s="315"/>
      <c r="D332" s="315"/>
      <c r="E332" s="315"/>
      <c r="F332" s="315"/>
      <c r="G332" s="315"/>
      <c r="H332" s="315"/>
      <c r="I332" s="315"/>
      <c r="J332" s="315"/>
      <c r="K332" s="315"/>
      <c r="L332" s="315"/>
    </row>
    <row r="333" spans="1:12">
      <c r="A333" s="315"/>
      <c r="B333" s="315"/>
      <c r="C333" s="315"/>
      <c r="D333" s="315"/>
      <c r="E333" s="315"/>
      <c r="F333" s="315"/>
      <c r="G333" s="315"/>
      <c r="H333" s="315"/>
      <c r="I333" s="315"/>
      <c r="J333" s="315"/>
      <c r="K333" s="315"/>
      <c r="L333" s="315"/>
    </row>
    <row r="334" spans="1:12">
      <c r="A334" s="315"/>
      <c r="B334" s="315"/>
      <c r="C334" s="315"/>
      <c r="D334" s="315"/>
      <c r="E334" s="315"/>
      <c r="F334" s="315"/>
      <c r="G334" s="315"/>
      <c r="H334" s="315"/>
      <c r="I334" s="315"/>
      <c r="J334" s="315"/>
      <c r="K334" s="315"/>
      <c r="L334" s="315"/>
    </row>
    <row r="335" spans="1:12">
      <c r="A335" s="315"/>
      <c r="B335" s="315"/>
      <c r="C335" s="315"/>
      <c r="D335" s="315"/>
      <c r="E335" s="315"/>
      <c r="F335" s="315"/>
      <c r="G335" s="315"/>
      <c r="H335" s="315"/>
      <c r="I335" s="315"/>
      <c r="J335" s="315"/>
      <c r="K335" s="315"/>
      <c r="L335" s="315"/>
    </row>
    <row r="336" spans="1:12">
      <c r="A336" s="315"/>
      <c r="B336" s="315"/>
      <c r="C336" s="315"/>
      <c r="D336" s="315"/>
      <c r="E336" s="315"/>
      <c r="F336" s="315"/>
      <c r="G336" s="315"/>
      <c r="H336" s="315"/>
      <c r="I336" s="315"/>
      <c r="J336" s="315"/>
      <c r="K336" s="315"/>
      <c r="L336" s="315"/>
    </row>
    <row r="337" spans="1:12">
      <c r="A337" s="315"/>
      <c r="B337" s="315"/>
      <c r="C337" s="315"/>
      <c r="D337" s="315"/>
      <c r="E337" s="315"/>
      <c r="F337" s="315"/>
      <c r="G337" s="315"/>
      <c r="H337" s="315"/>
      <c r="I337" s="315"/>
      <c r="J337" s="315"/>
      <c r="K337" s="315"/>
      <c r="L337" s="315"/>
    </row>
    <row r="338" spans="1:12">
      <c r="A338" s="315"/>
      <c r="B338" s="315"/>
      <c r="C338" s="315"/>
      <c r="D338" s="315"/>
      <c r="E338" s="315"/>
      <c r="F338" s="315"/>
      <c r="G338" s="315"/>
      <c r="H338" s="315"/>
      <c r="I338" s="315"/>
      <c r="J338" s="315"/>
      <c r="K338" s="315"/>
      <c r="L338" s="315"/>
    </row>
    <row r="339" spans="1:12">
      <c r="A339" s="315"/>
      <c r="B339" s="315"/>
      <c r="C339" s="315"/>
      <c r="D339" s="315"/>
      <c r="E339" s="315"/>
      <c r="F339" s="315"/>
      <c r="G339" s="315"/>
      <c r="H339" s="315"/>
      <c r="I339" s="315"/>
      <c r="J339" s="315"/>
      <c r="K339" s="315"/>
      <c r="L339" s="315"/>
    </row>
    <row r="340" spans="1:12">
      <c r="A340" s="315"/>
      <c r="B340" s="315"/>
      <c r="C340" s="315"/>
      <c r="D340" s="315"/>
      <c r="E340" s="315"/>
      <c r="F340" s="315"/>
      <c r="G340" s="315"/>
      <c r="H340" s="315"/>
      <c r="I340" s="315"/>
      <c r="J340" s="315"/>
      <c r="K340" s="315"/>
      <c r="L340" s="315"/>
    </row>
    <row r="341" spans="1:12">
      <c r="A341" s="315"/>
      <c r="B341" s="315"/>
      <c r="C341" s="315"/>
      <c r="D341" s="315"/>
      <c r="E341" s="315"/>
      <c r="F341" s="315"/>
      <c r="G341" s="315"/>
      <c r="H341" s="315"/>
      <c r="I341" s="315"/>
      <c r="J341" s="315"/>
      <c r="K341" s="315"/>
      <c r="L341" s="315"/>
    </row>
    <row r="342" spans="1:12">
      <c r="A342" s="315"/>
      <c r="B342" s="315"/>
      <c r="C342" s="315"/>
      <c r="D342" s="315"/>
      <c r="E342" s="315"/>
      <c r="F342" s="315"/>
      <c r="G342" s="315"/>
      <c r="H342" s="315"/>
      <c r="I342" s="315"/>
      <c r="J342" s="315"/>
      <c r="K342" s="315"/>
      <c r="L342" s="315"/>
    </row>
    <row r="343" spans="1:12">
      <c r="A343" s="315"/>
      <c r="B343" s="315"/>
      <c r="C343" s="315"/>
      <c r="D343" s="315"/>
      <c r="E343" s="315"/>
      <c r="F343" s="315"/>
      <c r="G343" s="315"/>
      <c r="H343" s="315"/>
      <c r="I343" s="315"/>
      <c r="J343" s="315"/>
      <c r="K343" s="315"/>
      <c r="L343" s="315"/>
    </row>
    <row r="344" spans="1:12">
      <c r="A344" s="315"/>
      <c r="B344" s="315"/>
      <c r="C344" s="315"/>
      <c r="D344" s="315"/>
      <c r="E344" s="315"/>
      <c r="F344" s="315"/>
      <c r="G344" s="315"/>
      <c r="H344" s="315"/>
      <c r="I344" s="315"/>
      <c r="J344" s="315"/>
      <c r="K344" s="315"/>
      <c r="L344" s="315"/>
    </row>
    <row r="345" spans="1:12">
      <c r="A345" s="315"/>
      <c r="B345" s="315"/>
      <c r="C345" s="315"/>
      <c r="D345" s="315"/>
      <c r="E345" s="315"/>
      <c r="F345" s="315"/>
      <c r="G345" s="315"/>
      <c r="H345" s="315"/>
      <c r="I345" s="315"/>
      <c r="J345" s="315"/>
      <c r="K345" s="315"/>
      <c r="L345" s="315"/>
    </row>
    <row r="346" spans="1:12">
      <c r="A346" s="315"/>
      <c r="B346" s="315"/>
      <c r="C346" s="315"/>
      <c r="D346" s="315"/>
      <c r="E346" s="315"/>
      <c r="F346" s="315"/>
      <c r="G346" s="315"/>
      <c r="H346" s="315"/>
      <c r="I346" s="315"/>
      <c r="J346" s="315"/>
      <c r="K346" s="315"/>
      <c r="L346" s="315"/>
    </row>
    <row r="347" spans="1:12">
      <c r="A347" s="315"/>
      <c r="B347" s="315"/>
      <c r="C347" s="315"/>
      <c r="D347" s="315"/>
      <c r="E347" s="315"/>
      <c r="F347" s="315"/>
      <c r="G347" s="315"/>
      <c r="H347" s="315"/>
      <c r="I347" s="315"/>
      <c r="J347" s="315"/>
      <c r="K347" s="315"/>
      <c r="L347" s="315"/>
    </row>
    <row r="348" spans="1:12">
      <c r="A348" s="315"/>
      <c r="B348" s="315"/>
      <c r="C348" s="315"/>
      <c r="D348" s="315"/>
      <c r="E348" s="315"/>
      <c r="F348" s="315"/>
      <c r="G348" s="315"/>
      <c r="H348" s="315"/>
      <c r="I348" s="315"/>
      <c r="J348" s="315"/>
      <c r="K348" s="315"/>
      <c r="L348" s="315"/>
    </row>
    <row r="349" spans="1:12">
      <c r="A349" s="315"/>
      <c r="B349" s="315"/>
      <c r="C349" s="315"/>
      <c r="D349" s="315"/>
      <c r="E349" s="315"/>
      <c r="F349" s="315"/>
      <c r="G349" s="315"/>
      <c r="H349" s="315"/>
      <c r="I349" s="315"/>
      <c r="J349" s="315"/>
      <c r="K349" s="315"/>
      <c r="L349" s="315"/>
    </row>
    <row r="350" spans="1:12">
      <c r="A350" s="315"/>
      <c r="B350" s="315"/>
      <c r="C350" s="315"/>
      <c r="D350" s="315"/>
      <c r="E350" s="315"/>
      <c r="F350" s="315"/>
      <c r="G350" s="315"/>
      <c r="H350" s="315"/>
      <c r="I350" s="315"/>
      <c r="J350" s="315"/>
      <c r="K350" s="315"/>
      <c r="L350" s="315"/>
    </row>
    <row r="351" spans="1:12">
      <c r="A351" s="315"/>
      <c r="B351" s="315"/>
      <c r="C351" s="315"/>
      <c r="D351" s="315"/>
      <c r="E351" s="315"/>
      <c r="F351" s="315"/>
      <c r="G351" s="315"/>
      <c r="H351" s="315"/>
      <c r="I351" s="315"/>
      <c r="J351" s="315"/>
      <c r="K351" s="315"/>
      <c r="L351" s="315"/>
    </row>
    <row r="352" spans="1:12">
      <c r="A352" s="315"/>
      <c r="B352" s="315"/>
      <c r="C352" s="315"/>
      <c r="D352" s="315"/>
      <c r="E352" s="315"/>
      <c r="F352" s="315"/>
      <c r="G352" s="315"/>
      <c r="H352" s="315"/>
      <c r="I352" s="315"/>
      <c r="J352" s="315"/>
      <c r="K352" s="315"/>
      <c r="L352" s="315"/>
    </row>
    <row r="353" spans="1:12">
      <c r="A353" s="315"/>
      <c r="B353" s="315"/>
      <c r="C353" s="315"/>
      <c r="D353" s="315"/>
      <c r="E353" s="315"/>
      <c r="F353" s="315"/>
      <c r="G353" s="315"/>
      <c r="H353" s="315"/>
      <c r="I353" s="315"/>
      <c r="J353" s="315"/>
      <c r="K353" s="315"/>
      <c r="L353" s="315"/>
    </row>
    <row r="354" spans="1:12">
      <c r="A354" s="315"/>
      <c r="B354" s="315"/>
      <c r="C354" s="315"/>
      <c r="D354" s="315"/>
      <c r="E354" s="315"/>
      <c r="F354" s="315"/>
      <c r="G354" s="315"/>
      <c r="H354" s="315"/>
      <c r="I354" s="315"/>
      <c r="J354" s="315"/>
      <c r="K354" s="315"/>
      <c r="L354" s="315"/>
    </row>
    <row r="355" spans="1:12">
      <c r="A355" s="315"/>
      <c r="B355" s="315"/>
      <c r="C355" s="315"/>
      <c r="D355" s="315"/>
      <c r="E355" s="315"/>
      <c r="F355" s="315"/>
      <c r="G355" s="315"/>
      <c r="H355" s="315"/>
      <c r="I355" s="315"/>
      <c r="J355" s="315"/>
      <c r="K355" s="315"/>
      <c r="L355" s="315"/>
    </row>
    <row r="356" spans="1:12">
      <c r="A356" s="315"/>
      <c r="B356" s="315"/>
      <c r="C356" s="315"/>
      <c r="D356" s="315"/>
      <c r="E356" s="315"/>
      <c r="F356" s="315"/>
      <c r="G356" s="315"/>
      <c r="H356" s="315"/>
      <c r="I356" s="315"/>
      <c r="J356" s="315"/>
      <c r="K356" s="315"/>
      <c r="L356" s="315"/>
    </row>
    <row r="357" spans="1:12">
      <c r="A357" s="315"/>
      <c r="B357" s="315"/>
      <c r="C357" s="315"/>
      <c r="D357" s="315"/>
      <c r="E357" s="315"/>
      <c r="F357" s="315"/>
      <c r="G357" s="315"/>
      <c r="H357" s="315"/>
      <c r="I357" s="315"/>
      <c r="J357" s="315"/>
      <c r="K357" s="315"/>
      <c r="L357" s="315"/>
    </row>
    <row r="358" spans="1:12">
      <c r="A358" s="315"/>
      <c r="B358" s="315"/>
      <c r="C358" s="315"/>
      <c r="D358" s="315"/>
      <c r="E358" s="315"/>
      <c r="F358" s="315"/>
      <c r="G358" s="315"/>
      <c r="H358" s="315"/>
      <c r="I358" s="315"/>
      <c r="J358" s="315"/>
      <c r="K358" s="315"/>
      <c r="L358" s="315"/>
    </row>
    <row r="359" spans="1:12">
      <c r="A359" s="315"/>
      <c r="B359" s="315"/>
      <c r="C359" s="315"/>
      <c r="D359" s="315"/>
      <c r="E359" s="315"/>
      <c r="F359" s="315"/>
      <c r="G359" s="315"/>
      <c r="H359" s="315"/>
      <c r="I359" s="315"/>
      <c r="J359" s="315"/>
      <c r="K359" s="315"/>
      <c r="L359" s="315"/>
    </row>
    <row r="360" spans="1:12">
      <c r="A360" s="315"/>
      <c r="B360" s="315"/>
      <c r="C360" s="315"/>
      <c r="D360" s="315"/>
      <c r="E360" s="315"/>
      <c r="F360" s="315"/>
      <c r="G360" s="315"/>
      <c r="H360" s="315"/>
      <c r="I360" s="315"/>
      <c r="J360" s="315"/>
      <c r="K360" s="315"/>
      <c r="L360" s="315"/>
    </row>
    <row r="361" spans="1:12">
      <c r="A361" s="315"/>
      <c r="B361" s="315"/>
      <c r="C361" s="315"/>
      <c r="D361" s="315"/>
      <c r="E361" s="315"/>
      <c r="F361" s="315"/>
      <c r="G361" s="315"/>
      <c r="H361" s="315"/>
      <c r="I361" s="315"/>
      <c r="J361" s="315"/>
      <c r="K361" s="315"/>
      <c r="L361" s="315"/>
    </row>
    <row r="362" spans="1:12">
      <c r="A362" s="315"/>
      <c r="B362" s="315"/>
      <c r="C362" s="315"/>
      <c r="D362" s="315"/>
      <c r="E362" s="315"/>
      <c r="F362" s="315"/>
      <c r="G362" s="315"/>
      <c r="H362" s="315"/>
      <c r="I362" s="315"/>
      <c r="J362" s="315"/>
      <c r="K362" s="315"/>
      <c r="L362" s="315"/>
    </row>
    <row r="363" spans="1:12">
      <c r="A363" s="315"/>
      <c r="B363" s="315"/>
      <c r="C363" s="315"/>
      <c r="D363" s="315"/>
      <c r="E363" s="315"/>
      <c r="F363" s="315"/>
      <c r="G363" s="315"/>
      <c r="H363" s="315"/>
      <c r="I363" s="315"/>
      <c r="J363" s="315"/>
      <c r="K363" s="315"/>
      <c r="L363" s="315"/>
    </row>
    <row r="364" spans="1:12">
      <c r="A364" s="315"/>
      <c r="B364" s="315"/>
      <c r="C364" s="315"/>
      <c r="D364" s="315"/>
      <c r="E364" s="315"/>
      <c r="F364" s="315"/>
      <c r="G364" s="315"/>
      <c r="H364" s="315"/>
      <c r="I364" s="315"/>
      <c r="J364" s="315"/>
      <c r="K364" s="315"/>
      <c r="L364" s="315"/>
    </row>
    <row r="365" spans="1:12">
      <c r="A365" s="315"/>
      <c r="B365" s="315"/>
      <c r="C365" s="315"/>
      <c r="D365" s="315"/>
      <c r="E365" s="315"/>
      <c r="F365" s="315"/>
      <c r="G365" s="315"/>
      <c r="H365" s="315"/>
      <c r="I365" s="315"/>
      <c r="J365" s="315"/>
      <c r="K365" s="315"/>
      <c r="L365" s="315"/>
    </row>
    <row r="366" spans="1:12">
      <c r="A366" s="315"/>
      <c r="B366" s="315"/>
      <c r="C366" s="315"/>
      <c r="D366" s="315"/>
      <c r="E366" s="315"/>
      <c r="F366" s="315"/>
      <c r="G366" s="315"/>
      <c r="H366" s="315"/>
      <c r="I366" s="315"/>
      <c r="J366" s="315"/>
      <c r="K366" s="315"/>
      <c r="L366" s="315"/>
    </row>
    <row r="367" spans="1:12">
      <c r="A367" s="315"/>
      <c r="B367" s="315"/>
      <c r="C367" s="315"/>
      <c r="D367" s="315"/>
      <c r="E367" s="315"/>
      <c r="F367" s="315"/>
      <c r="G367" s="315"/>
      <c r="H367" s="315"/>
      <c r="I367" s="315"/>
      <c r="J367" s="315"/>
      <c r="K367" s="315"/>
      <c r="L367" s="315"/>
    </row>
    <row r="368" spans="1:12">
      <c r="A368" s="315"/>
      <c r="B368" s="315"/>
      <c r="C368" s="315"/>
      <c r="D368" s="315"/>
      <c r="E368" s="315"/>
      <c r="F368" s="315"/>
      <c r="G368" s="315"/>
      <c r="H368" s="315"/>
      <c r="I368" s="315"/>
      <c r="J368" s="315"/>
      <c r="K368" s="315"/>
      <c r="L368" s="315"/>
    </row>
    <row r="369" spans="1:12">
      <c r="A369" s="315"/>
      <c r="B369" s="315"/>
      <c r="C369" s="315"/>
      <c r="D369" s="315"/>
      <c r="E369" s="315"/>
      <c r="F369" s="315"/>
      <c r="G369" s="315"/>
      <c r="H369" s="315"/>
      <c r="I369" s="315"/>
      <c r="J369" s="315"/>
      <c r="K369" s="315"/>
      <c r="L369" s="315"/>
    </row>
    <row r="370" spans="1:12">
      <c r="A370" s="315"/>
      <c r="B370" s="315"/>
      <c r="C370" s="315"/>
      <c r="D370" s="315"/>
      <c r="E370" s="315"/>
      <c r="F370" s="315"/>
      <c r="G370" s="315"/>
      <c r="H370" s="315"/>
      <c r="I370" s="315"/>
      <c r="J370" s="315"/>
      <c r="K370" s="315"/>
      <c r="L370" s="315"/>
    </row>
    <row r="371" spans="1:12">
      <c r="A371" s="315"/>
      <c r="B371" s="315"/>
      <c r="C371" s="315"/>
      <c r="D371" s="315"/>
      <c r="E371" s="315"/>
      <c r="F371" s="315"/>
      <c r="G371" s="315"/>
      <c r="H371" s="315"/>
      <c r="I371" s="315"/>
      <c r="J371" s="315"/>
      <c r="K371" s="315"/>
      <c r="L371" s="315"/>
    </row>
    <row r="372" spans="1:12">
      <c r="A372" s="315"/>
      <c r="B372" s="315"/>
      <c r="C372" s="315"/>
      <c r="D372" s="315"/>
      <c r="E372" s="315"/>
      <c r="F372" s="315"/>
      <c r="G372" s="315"/>
      <c r="H372" s="315"/>
      <c r="I372" s="315"/>
      <c r="J372" s="315"/>
      <c r="K372" s="315"/>
      <c r="L372" s="315"/>
    </row>
    <row r="373" spans="1:12">
      <c r="A373" s="315"/>
      <c r="B373" s="315"/>
      <c r="C373" s="315"/>
      <c r="D373" s="315"/>
      <c r="E373" s="315"/>
      <c r="F373" s="315"/>
      <c r="G373" s="315"/>
      <c r="H373" s="315"/>
      <c r="I373" s="315"/>
      <c r="J373" s="315"/>
      <c r="K373" s="315"/>
      <c r="L373" s="315"/>
    </row>
    <row r="374" spans="1:12">
      <c r="A374" s="315"/>
      <c r="B374" s="315"/>
      <c r="C374" s="315"/>
      <c r="D374" s="315"/>
      <c r="E374" s="315"/>
      <c r="F374" s="315"/>
      <c r="G374" s="315"/>
      <c r="H374" s="315"/>
      <c r="I374" s="315"/>
      <c r="J374" s="315"/>
      <c r="K374" s="315"/>
      <c r="L374" s="315"/>
    </row>
    <row r="375" spans="1:12">
      <c r="A375" s="315"/>
      <c r="B375" s="315"/>
      <c r="C375" s="315"/>
      <c r="D375" s="315"/>
      <c r="E375" s="315"/>
      <c r="F375" s="315"/>
      <c r="G375" s="315"/>
      <c r="H375" s="315"/>
      <c r="I375" s="315"/>
      <c r="J375" s="315"/>
      <c r="K375" s="315"/>
      <c r="L375" s="315"/>
    </row>
    <row r="376" spans="1:12">
      <c r="A376" s="315"/>
      <c r="B376" s="315"/>
      <c r="C376" s="315"/>
      <c r="D376" s="315"/>
      <c r="E376" s="315"/>
      <c r="F376" s="315"/>
      <c r="G376" s="315"/>
      <c r="H376" s="315"/>
      <c r="I376" s="315"/>
      <c r="J376" s="315"/>
      <c r="K376" s="315"/>
      <c r="L376" s="315"/>
    </row>
    <row r="377" spans="1:12">
      <c r="A377" s="315"/>
      <c r="B377" s="315"/>
      <c r="C377" s="315"/>
      <c r="D377" s="315"/>
      <c r="E377" s="315"/>
      <c r="F377" s="315"/>
      <c r="G377" s="315"/>
      <c r="H377" s="315"/>
      <c r="I377" s="315"/>
      <c r="J377" s="315"/>
      <c r="K377" s="315"/>
      <c r="L377" s="315"/>
    </row>
    <row r="378" spans="1:12">
      <c r="A378" s="315"/>
      <c r="B378" s="315"/>
      <c r="C378" s="315"/>
      <c r="D378" s="315"/>
      <c r="E378" s="315"/>
      <c r="F378" s="315"/>
      <c r="G378" s="315"/>
      <c r="H378" s="315"/>
      <c r="I378" s="315"/>
      <c r="J378" s="315"/>
      <c r="K378" s="315"/>
      <c r="L378" s="315"/>
    </row>
    <row r="379" spans="1:12">
      <c r="A379" s="315"/>
      <c r="B379" s="315"/>
      <c r="C379" s="315"/>
      <c r="D379" s="315"/>
      <c r="E379" s="315"/>
      <c r="F379" s="315"/>
      <c r="G379" s="315"/>
      <c r="H379" s="315"/>
      <c r="I379" s="315"/>
      <c r="J379" s="315"/>
      <c r="K379" s="315"/>
      <c r="L379" s="315"/>
    </row>
    <row r="380" spans="1:12">
      <c r="A380" s="315"/>
      <c r="B380" s="315"/>
      <c r="C380" s="315"/>
      <c r="D380" s="315"/>
      <c r="E380" s="315"/>
      <c r="F380" s="315"/>
      <c r="G380" s="315"/>
      <c r="H380" s="315"/>
      <c r="I380" s="315"/>
      <c r="J380" s="315"/>
      <c r="K380" s="315"/>
      <c r="L380" s="315"/>
    </row>
    <row r="381" spans="1:12">
      <c r="A381" s="315"/>
      <c r="B381" s="315"/>
      <c r="C381" s="315"/>
      <c r="D381" s="315"/>
      <c r="E381" s="315"/>
      <c r="F381" s="315"/>
      <c r="G381" s="315"/>
      <c r="H381" s="315"/>
      <c r="I381" s="315"/>
      <c r="J381" s="315"/>
      <c r="K381" s="315"/>
      <c r="L381" s="315"/>
    </row>
    <row r="382" spans="1:12">
      <c r="A382" s="315"/>
      <c r="B382" s="315"/>
      <c r="C382" s="315"/>
      <c r="D382" s="315"/>
      <c r="E382" s="315"/>
      <c r="F382" s="315"/>
      <c r="G382" s="315"/>
      <c r="H382" s="315"/>
      <c r="I382" s="315"/>
      <c r="J382" s="315"/>
      <c r="K382" s="315"/>
      <c r="L382" s="315"/>
    </row>
    <row r="383" spans="1:12">
      <c r="A383" s="315"/>
      <c r="B383" s="315"/>
      <c r="C383" s="315"/>
      <c r="D383" s="315"/>
      <c r="E383" s="315"/>
      <c r="F383" s="315"/>
      <c r="G383" s="315"/>
      <c r="H383" s="315"/>
      <c r="I383" s="315"/>
      <c r="J383" s="315"/>
      <c r="K383" s="315"/>
      <c r="L383" s="315"/>
    </row>
    <row r="384" spans="1:12">
      <c r="A384" s="315"/>
      <c r="B384" s="315"/>
      <c r="C384" s="315"/>
      <c r="D384" s="315"/>
      <c r="E384" s="315"/>
      <c r="F384" s="315"/>
      <c r="G384" s="315"/>
      <c r="H384" s="315"/>
      <c r="I384" s="315"/>
      <c r="J384" s="315"/>
      <c r="K384" s="315"/>
      <c r="L384" s="315"/>
    </row>
    <row r="385" spans="1:12">
      <c r="A385" s="315"/>
      <c r="B385" s="315"/>
      <c r="C385" s="315"/>
      <c r="D385" s="315"/>
      <c r="E385" s="315"/>
      <c r="F385" s="315"/>
      <c r="G385" s="315"/>
      <c r="H385" s="315"/>
      <c r="I385" s="315"/>
      <c r="J385" s="315"/>
      <c r="K385" s="315"/>
      <c r="L385" s="315"/>
    </row>
    <row r="386" spans="1:12">
      <c r="A386" s="315"/>
      <c r="B386" s="315"/>
      <c r="C386" s="315"/>
      <c r="D386" s="315"/>
      <c r="E386" s="315"/>
      <c r="F386" s="315"/>
      <c r="G386" s="315"/>
      <c r="H386" s="315"/>
      <c r="I386" s="315"/>
      <c r="J386" s="315"/>
      <c r="K386" s="315"/>
      <c r="L386" s="315"/>
    </row>
    <row r="387" spans="1:12">
      <c r="A387" s="315"/>
      <c r="B387" s="315"/>
      <c r="C387" s="315"/>
      <c r="D387" s="315"/>
      <c r="E387" s="315"/>
      <c r="F387" s="315"/>
      <c r="G387" s="315"/>
      <c r="H387" s="315"/>
      <c r="I387" s="315"/>
      <c r="J387" s="315"/>
      <c r="K387" s="315"/>
      <c r="L387" s="315"/>
    </row>
    <row r="388" spans="1:12">
      <c r="A388" s="315"/>
      <c r="B388" s="315"/>
      <c r="C388" s="315"/>
      <c r="D388" s="315"/>
      <c r="E388" s="315"/>
      <c r="F388" s="315"/>
      <c r="G388" s="315"/>
      <c r="H388" s="315"/>
      <c r="I388" s="315"/>
      <c r="J388" s="315"/>
      <c r="K388" s="315"/>
      <c r="L388" s="315"/>
    </row>
    <row r="389" spans="1:12">
      <c r="A389" s="315"/>
      <c r="B389" s="315"/>
      <c r="C389" s="315"/>
      <c r="D389" s="315"/>
      <c r="E389" s="315"/>
      <c r="F389" s="315"/>
      <c r="G389" s="315"/>
      <c r="H389" s="315"/>
      <c r="I389" s="315"/>
      <c r="J389" s="315"/>
      <c r="K389" s="315"/>
      <c r="L389" s="315"/>
    </row>
    <row r="390" spans="1:12">
      <c r="A390" s="315"/>
      <c r="B390" s="315"/>
      <c r="C390" s="315"/>
      <c r="D390" s="315"/>
      <c r="E390" s="315"/>
      <c r="F390" s="315"/>
      <c r="G390" s="315"/>
      <c r="H390" s="315"/>
      <c r="I390" s="315"/>
      <c r="J390" s="315"/>
      <c r="K390" s="315"/>
      <c r="L390" s="315"/>
    </row>
    <row r="391" spans="1:12">
      <c r="A391" s="315"/>
      <c r="B391" s="315"/>
      <c r="C391" s="315"/>
      <c r="D391" s="315"/>
      <c r="E391" s="315"/>
      <c r="F391" s="315"/>
      <c r="G391" s="315"/>
      <c r="H391" s="315"/>
      <c r="I391" s="315"/>
      <c r="J391" s="315"/>
      <c r="K391" s="315"/>
      <c r="L391" s="315"/>
    </row>
    <row r="392" spans="1:12">
      <c r="A392" s="315"/>
      <c r="B392" s="315"/>
      <c r="C392" s="315"/>
      <c r="D392" s="315"/>
      <c r="E392" s="315"/>
      <c r="F392" s="315"/>
      <c r="G392" s="315"/>
      <c r="H392" s="315"/>
      <c r="I392" s="315"/>
      <c r="J392" s="315"/>
      <c r="K392" s="315"/>
      <c r="L392" s="315"/>
    </row>
    <row r="393" spans="1:12">
      <c r="A393" s="315"/>
      <c r="B393" s="315"/>
      <c r="C393" s="315"/>
      <c r="D393" s="315"/>
      <c r="E393" s="315"/>
      <c r="F393" s="315"/>
      <c r="G393" s="315"/>
      <c r="H393" s="315"/>
      <c r="I393" s="315"/>
      <c r="J393" s="315"/>
      <c r="K393" s="315"/>
      <c r="L393" s="315"/>
    </row>
    <row r="394" spans="1:12">
      <c r="A394" s="315"/>
      <c r="B394" s="315"/>
      <c r="C394" s="315"/>
      <c r="D394" s="315"/>
      <c r="E394" s="315"/>
      <c r="F394" s="315"/>
      <c r="G394" s="315"/>
      <c r="H394" s="315"/>
      <c r="I394" s="315"/>
      <c r="J394" s="315"/>
      <c r="K394" s="315"/>
      <c r="L394" s="315"/>
    </row>
    <row r="395" spans="1:12">
      <c r="A395" s="315"/>
      <c r="B395" s="315"/>
      <c r="C395" s="315"/>
      <c r="D395" s="315"/>
      <c r="E395" s="315"/>
      <c r="F395" s="315"/>
      <c r="G395" s="315"/>
      <c r="H395" s="315"/>
      <c r="I395" s="315"/>
      <c r="J395" s="315"/>
      <c r="K395" s="315"/>
      <c r="L395" s="315"/>
    </row>
    <row r="396" spans="1:12">
      <c r="A396" s="315"/>
      <c r="B396" s="315"/>
      <c r="C396" s="315"/>
      <c r="D396" s="315"/>
      <c r="E396" s="315"/>
      <c r="F396" s="315"/>
      <c r="G396" s="315"/>
      <c r="H396" s="315"/>
      <c r="I396" s="315"/>
      <c r="J396" s="315"/>
      <c r="K396" s="315"/>
      <c r="L396" s="315"/>
    </row>
    <row r="397" spans="1:12">
      <c r="A397" s="315"/>
      <c r="B397" s="315"/>
      <c r="C397" s="315"/>
      <c r="D397" s="315"/>
      <c r="E397" s="315"/>
      <c r="F397" s="315"/>
      <c r="G397" s="315"/>
      <c r="H397" s="315"/>
      <c r="I397" s="315"/>
      <c r="J397" s="315"/>
      <c r="K397" s="315"/>
      <c r="L397" s="315"/>
    </row>
    <row r="398" spans="1:12">
      <c r="A398" s="315"/>
      <c r="B398" s="315"/>
      <c r="C398" s="315"/>
      <c r="D398" s="315"/>
      <c r="E398" s="315"/>
      <c r="F398" s="315"/>
      <c r="G398" s="315"/>
      <c r="H398" s="315"/>
      <c r="I398" s="315"/>
      <c r="J398" s="315"/>
      <c r="K398" s="315"/>
      <c r="L398" s="315"/>
    </row>
    <row r="399" spans="1:12">
      <c r="A399" s="315"/>
      <c r="B399" s="315"/>
      <c r="C399" s="315"/>
      <c r="D399" s="315"/>
      <c r="E399" s="315"/>
      <c r="F399" s="315"/>
      <c r="G399" s="315"/>
      <c r="H399" s="315"/>
      <c r="I399" s="315"/>
      <c r="J399" s="315"/>
      <c r="K399" s="315"/>
      <c r="L399" s="315"/>
    </row>
    <row r="400" spans="1:12">
      <c r="A400" s="315"/>
      <c r="B400" s="315"/>
      <c r="C400" s="315"/>
      <c r="D400" s="315"/>
      <c r="E400" s="315"/>
      <c r="F400" s="315"/>
      <c r="G400" s="315"/>
      <c r="H400" s="315"/>
      <c r="I400" s="315"/>
      <c r="J400" s="315"/>
      <c r="K400" s="315"/>
      <c r="L400" s="315"/>
    </row>
    <row r="401" spans="1:12">
      <c r="A401" s="315"/>
      <c r="B401" s="315"/>
      <c r="C401" s="315"/>
      <c r="D401" s="315"/>
      <c r="E401" s="315"/>
      <c r="F401" s="315"/>
      <c r="G401" s="315"/>
      <c r="H401" s="315"/>
      <c r="I401" s="315"/>
      <c r="J401" s="315"/>
      <c r="K401" s="315"/>
      <c r="L401" s="315"/>
    </row>
    <row r="402" spans="1:12">
      <c r="A402" s="315"/>
      <c r="B402" s="315"/>
      <c r="C402" s="315"/>
      <c r="D402" s="315"/>
      <c r="E402" s="315"/>
      <c r="F402" s="315"/>
      <c r="G402" s="315"/>
      <c r="H402" s="315"/>
      <c r="I402" s="315"/>
      <c r="J402" s="315"/>
      <c r="K402" s="315"/>
      <c r="L402" s="315"/>
    </row>
    <row r="403" spans="1:12">
      <c r="A403" s="315"/>
      <c r="B403" s="315"/>
      <c r="C403" s="315"/>
      <c r="D403" s="315"/>
      <c r="E403" s="315"/>
      <c r="F403" s="315"/>
      <c r="G403" s="315"/>
      <c r="H403" s="315"/>
      <c r="I403" s="315"/>
      <c r="J403" s="315"/>
      <c r="K403" s="315"/>
      <c r="L403" s="315"/>
    </row>
    <row r="404" spans="1:12">
      <c r="A404" s="315"/>
      <c r="B404" s="315"/>
      <c r="C404" s="315"/>
      <c r="D404" s="315"/>
      <c r="E404" s="315"/>
      <c r="F404" s="315"/>
      <c r="G404" s="315"/>
      <c r="H404" s="315"/>
      <c r="I404" s="315"/>
      <c r="J404" s="315"/>
      <c r="K404" s="315"/>
      <c r="L404" s="315"/>
    </row>
    <row r="405" spans="1:12">
      <c r="A405" s="315"/>
      <c r="B405" s="315"/>
      <c r="C405" s="315"/>
      <c r="D405" s="315"/>
      <c r="E405" s="315"/>
      <c r="F405" s="315"/>
      <c r="G405" s="315"/>
      <c r="H405" s="315"/>
      <c r="I405" s="315"/>
      <c r="J405" s="315"/>
      <c r="K405" s="315"/>
      <c r="L405" s="315"/>
    </row>
    <row r="406" spans="1:12">
      <c r="A406" s="315"/>
      <c r="B406" s="315"/>
      <c r="C406" s="315"/>
      <c r="D406" s="315"/>
      <c r="E406" s="315"/>
      <c r="F406" s="315"/>
      <c r="G406" s="315"/>
      <c r="H406" s="315"/>
      <c r="I406" s="315"/>
      <c r="J406" s="315"/>
      <c r="K406" s="315"/>
      <c r="L406" s="315"/>
    </row>
    <row r="407" spans="1:12">
      <c r="A407" s="315"/>
      <c r="B407" s="315"/>
      <c r="C407" s="315"/>
      <c r="D407" s="315"/>
      <c r="E407" s="315"/>
      <c r="F407" s="315"/>
      <c r="G407" s="315"/>
      <c r="H407" s="315"/>
      <c r="I407" s="315"/>
      <c r="J407" s="315"/>
      <c r="K407" s="315"/>
      <c r="L407" s="315"/>
    </row>
    <row r="408" spans="1:12">
      <c r="A408" s="315"/>
      <c r="B408" s="315"/>
      <c r="C408" s="315"/>
      <c r="D408" s="315"/>
      <c r="E408" s="315"/>
      <c r="F408" s="315"/>
      <c r="G408" s="315"/>
      <c r="H408" s="315"/>
      <c r="I408" s="315"/>
      <c r="J408" s="315"/>
      <c r="K408" s="315"/>
      <c r="L408" s="315"/>
    </row>
    <row r="409" spans="1:12">
      <c r="A409" s="315"/>
      <c r="B409" s="315"/>
      <c r="C409" s="315"/>
      <c r="D409" s="315"/>
      <c r="E409" s="315"/>
      <c r="F409" s="315"/>
      <c r="G409" s="315"/>
      <c r="H409" s="315"/>
      <c r="I409" s="315"/>
      <c r="J409" s="315"/>
      <c r="K409" s="315"/>
      <c r="L409" s="315"/>
    </row>
    <row r="410" spans="1:12">
      <c r="A410" s="315"/>
      <c r="B410" s="315"/>
      <c r="C410" s="315"/>
      <c r="D410" s="315"/>
      <c r="E410" s="315"/>
      <c r="F410" s="315"/>
      <c r="G410" s="315"/>
      <c r="H410" s="315"/>
      <c r="I410" s="315"/>
      <c r="J410" s="315"/>
      <c r="K410" s="315"/>
      <c r="L410" s="315"/>
    </row>
    <row r="411" spans="1:12">
      <c r="A411" s="315"/>
      <c r="B411" s="315"/>
      <c r="C411" s="315"/>
      <c r="D411" s="315"/>
      <c r="E411" s="315"/>
      <c r="F411" s="315"/>
      <c r="G411" s="315"/>
      <c r="H411" s="315"/>
      <c r="I411" s="315"/>
      <c r="J411" s="315"/>
      <c r="K411" s="315"/>
      <c r="L411" s="315"/>
    </row>
    <row r="412" spans="1:12">
      <c r="A412" s="315"/>
      <c r="B412" s="315"/>
      <c r="C412" s="315"/>
      <c r="D412" s="315"/>
      <c r="E412" s="315"/>
      <c r="F412" s="315"/>
      <c r="G412" s="315"/>
      <c r="H412" s="315"/>
      <c r="I412" s="315"/>
      <c r="J412" s="315"/>
      <c r="K412" s="315"/>
      <c r="L412" s="315"/>
    </row>
    <row r="413" spans="1:12">
      <c r="A413" s="315"/>
      <c r="B413" s="315"/>
      <c r="C413" s="315"/>
      <c r="D413" s="315"/>
      <c r="E413" s="315"/>
      <c r="F413" s="315"/>
      <c r="G413" s="315"/>
      <c r="H413" s="315"/>
      <c r="I413" s="315"/>
      <c r="J413" s="315"/>
      <c r="K413" s="315"/>
      <c r="L413" s="315"/>
    </row>
    <row r="414" spans="1:12">
      <c r="A414" s="315"/>
      <c r="B414" s="315"/>
      <c r="C414" s="315"/>
      <c r="D414" s="315"/>
      <c r="E414" s="315"/>
      <c r="F414" s="315"/>
      <c r="G414" s="315"/>
      <c r="H414" s="315"/>
      <c r="I414" s="315"/>
      <c r="J414" s="315"/>
      <c r="K414" s="315"/>
      <c r="L414" s="315"/>
    </row>
    <row r="415" spans="1:12">
      <c r="A415" s="315"/>
      <c r="B415" s="315"/>
      <c r="C415" s="315"/>
      <c r="D415" s="315"/>
      <c r="E415" s="315"/>
      <c r="F415" s="315"/>
      <c r="G415" s="315"/>
      <c r="H415" s="315"/>
      <c r="I415" s="315"/>
      <c r="J415" s="315"/>
      <c r="K415" s="315"/>
      <c r="L415" s="315"/>
    </row>
    <row r="416" spans="1:12">
      <c r="A416" s="315"/>
      <c r="B416" s="315"/>
      <c r="C416" s="315"/>
      <c r="D416" s="315"/>
      <c r="E416" s="315"/>
      <c r="F416" s="315"/>
      <c r="G416" s="315"/>
      <c r="H416" s="315"/>
      <c r="I416" s="315"/>
      <c r="J416" s="315"/>
      <c r="K416" s="315"/>
      <c r="L416" s="315"/>
    </row>
    <row r="417" spans="1:12">
      <c r="A417" s="315"/>
      <c r="B417" s="315"/>
      <c r="C417" s="315"/>
      <c r="D417" s="315"/>
      <c r="E417" s="315"/>
      <c r="F417" s="315"/>
      <c r="G417" s="315"/>
      <c r="H417" s="315"/>
      <c r="I417" s="315"/>
      <c r="J417" s="315"/>
      <c r="K417" s="315"/>
      <c r="L417" s="315"/>
    </row>
    <row r="418" spans="1:12">
      <c r="A418" s="315"/>
      <c r="B418" s="315"/>
      <c r="C418" s="315"/>
      <c r="D418" s="315"/>
      <c r="E418" s="315"/>
      <c r="F418" s="315"/>
      <c r="G418" s="315"/>
      <c r="H418" s="315"/>
      <c r="I418" s="315"/>
      <c r="J418" s="315"/>
      <c r="K418" s="315"/>
      <c r="L418" s="315"/>
    </row>
    <row r="419" spans="1:12">
      <c r="A419" s="315"/>
      <c r="B419" s="315"/>
      <c r="C419" s="315"/>
      <c r="D419" s="315"/>
      <c r="E419" s="315"/>
      <c r="F419" s="315"/>
      <c r="G419" s="315"/>
      <c r="H419" s="315"/>
      <c r="I419" s="315"/>
      <c r="J419" s="315"/>
      <c r="K419" s="315"/>
      <c r="L419" s="315"/>
    </row>
    <row r="420" spans="1:12">
      <c r="A420" s="315"/>
      <c r="B420" s="315"/>
      <c r="C420" s="315"/>
      <c r="D420" s="315"/>
      <c r="E420" s="315"/>
      <c r="F420" s="315"/>
      <c r="G420" s="315"/>
      <c r="H420" s="315"/>
      <c r="I420" s="315"/>
      <c r="J420" s="315"/>
      <c r="K420" s="315"/>
      <c r="L420" s="315"/>
    </row>
    <row r="421" spans="1:12">
      <c r="A421" s="315"/>
      <c r="B421" s="315"/>
      <c r="C421" s="315"/>
      <c r="D421" s="315"/>
      <c r="E421" s="315"/>
      <c r="F421" s="315"/>
      <c r="G421" s="315"/>
      <c r="H421" s="315"/>
      <c r="I421" s="315"/>
      <c r="J421" s="315"/>
      <c r="K421" s="315"/>
      <c r="L421" s="315"/>
    </row>
    <row r="422" spans="1:12">
      <c r="A422" s="315"/>
      <c r="B422" s="315"/>
      <c r="C422" s="315"/>
      <c r="D422" s="315"/>
      <c r="E422" s="315"/>
      <c r="F422" s="315"/>
      <c r="G422" s="315"/>
      <c r="H422" s="315"/>
      <c r="I422" s="315"/>
      <c r="J422" s="315"/>
      <c r="K422" s="315"/>
      <c r="L422" s="315"/>
    </row>
    <row r="423" spans="1:12">
      <c r="A423" s="315"/>
      <c r="B423" s="315"/>
      <c r="C423" s="315"/>
      <c r="D423" s="315"/>
      <c r="E423" s="315"/>
      <c r="F423" s="315"/>
      <c r="G423" s="315"/>
      <c r="H423" s="315"/>
      <c r="I423" s="315"/>
      <c r="J423" s="315"/>
      <c r="K423" s="315"/>
      <c r="L423" s="315"/>
    </row>
    <row r="424" spans="1:12">
      <c r="A424" s="315"/>
      <c r="B424" s="315"/>
      <c r="C424" s="315"/>
      <c r="D424" s="315"/>
      <c r="E424" s="315"/>
      <c r="F424" s="315"/>
      <c r="G424" s="315"/>
      <c r="H424" s="315"/>
      <c r="I424" s="315"/>
      <c r="J424" s="315"/>
      <c r="K424" s="315"/>
      <c r="L424" s="315"/>
    </row>
    <row r="425" spans="1:12">
      <c r="A425" s="315"/>
      <c r="B425" s="315"/>
      <c r="C425" s="315"/>
      <c r="D425" s="315"/>
      <c r="E425" s="315"/>
      <c r="F425" s="315"/>
      <c r="G425" s="315"/>
      <c r="H425" s="315"/>
      <c r="I425" s="315"/>
      <c r="J425" s="315"/>
      <c r="K425" s="315"/>
      <c r="L425" s="315"/>
    </row>
    <row r="426" spans="1:12">
      <c r="A426" s="315"/>
      <c r="B426" s="315"/>
      <c r="C426" s="315"/>
      <c r="D426" s="315"/>
      <c r="E426" s="315"/>
      <c r="F426" s="315"/>
      <c r="G426" s="315"/>
      <c r="H426" s="315"/>
      <c r="I426" s="315"/>
      <c r="J426" s="315"/>
      <c r="K426" s="315"/>
      <c r="L426" s="315"/>
    </row>
    <row r="427" spans="1:12">
      <c r="A427" s="315"/>
      <c r="B427" s="315"/>
      <c r="C427" s="315"/>
      <c r="D427" s="315"/>
      <c r="E427" s="315"/>
      <c r="F427" s="315"/>
      <c r="G427" s="315"/>
      <c r="H427" s="315"/>
      <c r="I427" s="315"/>
      <c r="J427" s="315"/>
      <c r="K427" s="315"/>
      <c r="L427" s="315"/>
    </row>
    <row r="428" spans="1:12">
      <c r="A428" s="315"/>
      <c r="B428" s="315"/>
      <c r="C428" s="315"/>
      <c r="D428" s="315"/>
      <c r="E428" s="315"/>
      <c r="F428" s="315"/>
      <c r="G428" s="315"/>
      <c r="H428" s="315"/>
      <c r="I428" s="315"/>
      <c r="J428" s="315"/>
      <c r="K428" s="315"/>
      <c r="L428" s="315"/>
    </row>
    <row r="429" spans="1:12">
      <c r="A429" s="315"/>
      <c r="B429" s="315"/>
      <c r="C429" s="315"/>
      <c r="D429" s="315"/>
      <c r="E429" s="315"/>
      <c r="F429" s="315"/>
      <c r="G429" s="315"/>
      <c r="H429" s="315"/>
      <c r="I429" s="315"/>
      <c r="J429" s="315"/>
      <c r="K429" s="315"/>
      <c r="L429" s="315"/>
    </row>
    <row r="430" spans="1:12">
      <c r="A430" s="315"/>
      <c r="B430" s="315"/>
      <c r="C430" s="315"/>
      <c r="D430" s="315"/>
      <c r="E430" s="315"/>
      <c r="F430" s="315"/>
      <c r="G430" s="315"/>
      <c r="H430" s="315"/>
      <c r="I430" s="315"/>
      <c r="J430" s="315"/>
      <c r="K430" s="315"/>
      <c r="L430" s="315"/>
    </row>
    <row r="431" spans="1:12">
      <c r="A431" s="315"/>
      <c r="B431" s="315"/>
      <c r="C431" s="315"/>
      <c r="D431" s="315"/>
      <c r="E431" s="315"/>
      <c r="F431" s="315"/>
      <c r="G431" s="315"/>
      <c r="H431" s="315"/>
      <c r="I431" s="315"/>
      <c r="J431" s="315"/>
      <c r="K431" s="315"/>
      <c r="L431" s="315"/>
    </row>
    <row r="432" spans="1:12">
      <c r="A432" s="315"/>
      <c r="B432" s="315"/>
      <c r="C432" s="315"/>
      <c r="D432" s="315"/>
      <c r="E432" s="315"/>
      <c r="F432" s="315"/>
      <c r="G432" s="315"/>
      <c r="H432" s="315"/>
      <c r="I432" s="315"/>
      <c r="J432" s="315"/>
      <c r="K432" s="315"/>
      <c r="L432" s="315"/>
    </row>
    <row r="433" spans="1:12">
      <c r="A433" s="315"/>
      <c r="B433" s="315"/>
      <c r="C433" s="315"/>
      <c r="D433" s="315"/>
      <c r="E433" s="315"/>
      <c r="F433" s="315"/>
      <c r="G433" s="315"/>
      <c r="H433" s="315"/>
      <c r="I433" s="315"/>
      <c r="J433" s="315"/>
      <c r="K433" s="315"/>
      <c r="L433" s="315"/>
    </row>
    <row r="434" spans="1:12">
      <c r="A434" s="315"/>
      <c r="B434" s="315"/>
      <c r="C434" s="315"/>
      <c r="D434" s="315"/>
      <c r="E434" s="315"/>
      <c r="F434" s="315"/>
      <c r="G434" s="315"/>
      <c r="H434" s="315"/>
      <c r="I434" s="315"/>
      <c r="J434" s="315"/>
      <c r="K434" s="315"/>
      <c r="L434" s="315"/>
    </row>
    <row r="435" spans="1:12">
      <c r="A435" s="315"/>
      <c r="B435" s="315"/>
      <c r="C435" s="315"/>
      <c r="D435" s="315"/>
      <c r="E435" s="315"/>
      <c r="F435" s="315"/>
      <c r="G435" s="315"/>
      <c r="H435" s="315"/>
      <c r="I435" s="315"/>
      <c r="J435" s="315"/>
      <c r="K435" s="315"/>
      <c r="L435" s="315"/>
    </row>
    <row r="436" spans="1:12">
      <c r="A436" s="315"/>
      <c r="B436" s="315"/>
      <c r="C436" s="315"/>
      <c r="D436" s="315"/>
      <c r="E436" s="315"/>
      <c r="F436" s="315"/>
      <c r="G436" s="315"/>
      <c r="H436" s="315"/>
      <c r="I436" s="315"/>
      <c r="J436" s="315"/>
      <c r="K436" s="315"/>
      <c r="L436" s="315"/>
    </row>
    <row r="437" spans="1:12">
      <c r="A437" s="315"/>
      <c r="B437" s="315"/>
      <c r="C437" s="315"/>
      <c r="D437" s="315"/>
      <c r="E437" s="315"/>
      <c r="F437" s="315"/>
      <c r="G437" s="315"/>
      <c r="H437" s="315"/>
      <c r="I437" s="315"/>
      <c r="J437" s="315"/>
      <c r="K437" s="315"/>
      <c r="L437" s="315"/>
    </row>
    <row r="438" spans="1:12">
      <c r="A438" s="315"/>
      <c r="B438" s="315"/>
      <c r="C438" s="315"/>
      <c r="D438" s="315"/>
      <c r="E438" s="315"/>
      <c r="F438" s="315"/>
      <c r="G438" s="315"/>
      <c r="H438" s="315"/>
      <c r="I438" s="315"/>
      <c r="J438" s="315"/>
      <c r="K438" s="315"/>
      <c r="L438" s="315"/>
    </row>
    <row r="439" spans="1:12">
      <c r="A439" s="315"/>
      <c r="B439" s="315"/>
      <c r="C439" s="315"/>
      <c r="D439" s="315"/>
      <c r="E439" s="315"/>
      <c r="F439" s="315"/>
      <c r="G439" s="315"/>
      <c r="H439" s="315"/>
      <c r="I439" s="315"/>
      <c r="J439" s="315"/>
      <c r="K439" s="315"/>
      <c r="L439" s="315"/>
    </row>
    <row r="440" spans="1:12">
      <c r="A440" s="315"/>
      <c r="B440" s="315"/>
      <c r="C440" s="315"/>
      <c r="D440" s="315"/>
      <c r="E440" s="315"/>
      <c r="F440" s="315"/>
      <c r="G440" s="315"/>
      <c r="H440" s="315"/>
      <c r="I440" s="315"/>
      <c r="J440" s="315"/>
      <c r="K440" s="315"/>
      <c r="L440" s="315"/>
    </row>
    <row r="441" spans="1:12">
      <c r="A441" s="315"/>
      <c r="B441" s="315"/>
      <c r="C441" s="315"/>
      <c r="D441" s="315"/>
      <c r="E441" s="315"/>
      <c r="F441" s="315"/>
      <c r="G441" s="315"/>
      <c r="H441" s="315"/>
      <c r="I441" s="315"/>
      <c r="J441" s="315"/>
      <c r="K441" s="315"/>
      <c r="L441" s="315"/>
    </row>
    <row r="442" spans="1:12">
      <c r="A442" s="315"/>
      <c r="B442" s="315"/>
      <c r="C442" s="315"/>
      <c r="D442" s="315"/>
      <c r="E442" s="315"/>
      <c r="F442" s="315"/>
      <c r="G442" s="315"/>
      <c r="H442" s="315"/>
      <c r="I442" s="315"/>
      <c r="J442" s="315"/>
      <c r="K442" s="315"/>
      <c r="L442" s="315"/>
    </row>
    <row r="443" spans="1:12">
      <c r="A443" s="315"/>
      <c r="B443" s="315"/>
      <c r="C443" s="315"/>
      <c r="D443" s="315"/>
      <c r="E443" s="315"/>
      <c r="F443" s="315"/>
      <c r="G443" s="315"/>
      <c r="H443" s="315"/>
      <c r="I443" s="315"/>
      <c r="J443" s="315"/>
      <c r="K443" s="315"/>
      <c r="L443" s="315"/>
    </row>
    <row r="444" spans="1:12">
      <c r="A444" s="315"/>
      <c r="B444" s="315"/>
      <c r="C444" s="315"/>
      <c r="D444" s="315"/>
      <c r="E444" s="315"/>
      <c r="F444" s="315"/>
      <c r="G444" s="315"/>
      <c r="H444" s="315"/>
      <c r="I444" s="315"/>
      <c r="J444" s="315"/>
      <c r="K444" s="315"/>
      <c r="L444" s="315"/>
    </row>
    <row r="445" spans="1:12">
      <c r="A445" s="315"/>
      <c r="B445" s="315"/>
      <c r="C445" s="315"/>
      <c r="D445" s="315"/>
      <c r="E445" s="315"/>
      <c r="F445" s="315"/>
      <c r="G445" s="315"/>
      <c r="H445" s="315"/>
      <c r="I445" s="315"/>
      <c r="J445" s="315"/>
      <c r="K445" s="315"/>
      <c r="L445" s="315"/>
    </row>
    <row r="446" spans="1:12">
      <c r="A446" s="315"/>
      <c r="B446" s="315"/>
      <c r="C446" s="315"/>
      <c r="D446" s="315"/>
      <c r="E446" s="315"/>
      <c r="F446" s="315"/>
      <c r="G446" s="315"/>
      <c r="H446" s="315"/>
      <c r="I446" s="315"/>
      <c r="J446" s="315"/>
      <c r="K446" s="315"/>
      <c r="L446" s="315"/>
    </row>
    <row r="447" spans="1:12">
      <c r="A447" s="315"/>
      <c r="B447" s="315"/>
      <c r="C447" s="315"/>
      <c r="D447" s="315"/>
      <c r="E447" s="315"/>
      <c r="F447" s="315"/>
      <c r="G447" s="315"/>
      <c r="H447" s="315"/>
      <c r="I447" s="315"/>
      <c r="J447" s="315"/>
      <c r="K447" s="315"/>
      <c r="L447" s="315"/>
    </row>
    <row r="448" spans="1:12">
      <c r="A448" s="315"/>
      <c r="B448" s="315"/>
      <c r="C448" s="315"/>
      <c r="D448" s="315"/>
      <c r="E448" s="315"/>
      <c r="F448" s="315"/>
      <c r="G448" s="315"/>
      <c r="H448" s="315"/>
      <c r="I448" s="315"/>
      <c r="J448" s="315"/>
      <c r="K448" s="315"/>
      <c r="L448" s="315"/>
    </row>
    <row r="449" spans="1:12">
      <c r="A449" s="315"/>
      <c r="B449" s="315"/>
      <c r="C449" s="315"/>
      <c r="D449" s="315"/>
      <c r="E449" s="315"/>
      <c r="F449" s="315"/>
      <c r="G449" s="315"/>
      <c r="H449" s="315"/>
      <c r="I449" s="315"/>
      <c r="J449" s="315"/>
      <c r="K449" s="315"/>
      <c r="L449" s="315"/>
    </row>
    <row r="450" spans="1:12">
      <c r="A450" s="315"/>
      <c r="B450" s="315"/>
      <c r="C450" s="315"/>
      <c r="D450" s="315"/>
      <c r="E450" s="315"/>
      <c r="F450" s="315"/>
      <c r="G450" s="315"/>
      <c r="H450" s="315"/>
      <c r="I450" s="315"/>
      <c r="J450" s="315"/>
      <c r="K450" s="315"/>
      <c r="L450" s="315"/>
    </row>
    <row r="451" spans="1:12">
      <c r="A451" s="315"/>
      <c r="B451" s="315"/>
      <c r="C451" s="315"/>
      <c r="D451" s="315"/>
      <c r="E451" s="315"/>
      <c r="F451" s="315"/>
      <c r="G451" s="315"/>
      <c r="H451" s="315"/>
      <c r="I451" s="315"/>
      <c r="J451" s="315"/>
      <c r="K451" s="315"/>
      <c r="L451" s="315"/>
    </row>
    <row r="452" spans="1:12">
      <c r="A452" s="315"/>
      <c r="B452" s="315"/>
      <c r="C452" s="315"/>
      <c r="D452" s="315"/>
      <c r="E452" s="315"/>
      <c r="F452" s="315"/>
      <c r="G452" s="315"/>
      <c r="H452" s="315"/>
      <c r="I452" s="315"/>
      <c r="J452" s="315"/>
      <c r="K452" s="315"/>
      <c r="L452" s="315"/>
    </row>
    <row r="453" spans="1:12">
      <c r="A453" s="315"/>
      <c r="B453" s="315"/>
      <c r="C453" s="315"/>
      <c r="D453" s="315"/>
      <c r="E453" s="315"/>
      <c r="F453" s="315"/>
      <c r="G453" s="315"/>
      <c r="H453" s="315"/>
      <c r="I453" s="315"/>
      <c r="J453" s="315"/>
      <c r="K453" s="315"/>
      <c r="L453" s="315"/>
    </row>
    <row r="454" spans="1:12">
      <c r="A454" s="315"/>
      <c r="B454" s="315"/>
      <c r="C454" s="315"/>
      <c r="D454" s="315"/>
      <c r="E454" s="315"/>
      <c r="F454" s="315"/>
      <c r="G454" s="315"/>
      <c r="H454" s="315"/>
      <c r="I454" s="315"/>
      <c r="J454" s="315"/>
      <c r="K454" s="315"/>
      <c r="L454" s="315"/>
    </row>
    <row r="455" spans="1:12">
      <c r="A455" s="315"/>
      <c r="B455" s="315"/>
      <c r="C455" s="315"/>
      <c r="D455" s="315"/>
      <c r="E455" s="315"/>
      <c r="F455" s="315"/>
      <c r="G455" s="315"/>
      <c r="H455" s="315"/>
      <c r="I455" s="315"/>
      <c r="J455" s="315"/>
      <c r="K455" s="315"/>
      <c r="L455" s="315"/>
    </row>
    <row r="456" spans="1:12">
      <c r="A456" s="315"/>
      <c r="B456" s="315"/>
      <c r="C456" s="315"/>
      <c r="D456" s="315"/>
      <c r="E456" s="315"/>
      <c r="F456" s="315"/>
      <c r="G456" s="315"/>
      <c r="H456" s="315"/>
      <c r="I456" s="315"/>
      <c r="J456" s="315"/>
      <c r="K456" s="315"/>
      <c r="L456" s="315"/>
    </row>
    <row r="457" spans="1:12">
      <c r="A457" s="315"/>
      <c r="B457" s="315"/>
      <c r="C457" s="315"/>
      <c r="D457" s="315"/>
      <c r="E457" s="315"/>
      <c r="F457" s="315"/>
      <c r="G457" s="315"/>
      <c r="H457" s="315"/>
      <c r="I457" s="315"/>
      <c r="J457" s="315"/>
      <c r="K457" s="315"/>
      <c r="L457" s="315"/>
    </row>
    <row r="458" spans="1:12">
      <c r="A458" s="315"/>
      <c r="B458" s="315"/>
      <c r="C458" s="315"/>
      <c r="D458" s="315"/>
      <c r="E458" s="315"/>
      <c r="F458" s="315"/>
      <c r="G458" s="315"/>
      <c r="H458" s="315"/>
      <c r="I458" s="315"/>
      <c r="J458" s="315"/>
      <c r="K458" s="315"/>
      <c r="L458" s="315"/>
    </row>
    <row r="459" spans="1:12">
      <c r="A459" s="315"/>
      <c r="B459" s="315"/>
      <c r="C459" s="315"/>
      <c r="D459" s="315"/>
      <c r="E459" s="315"/>
      <c r="F459" s="315"/>
      <c r="G459" s="315"/>
      <c r="H459" s="315"/>
      <c r="I459" s="315"/>
      <c r="J459" s="315"/>
      <c r="K459" s="315"/>
      <c r="L459" s="315"/>
    </row>
    <row r="460" spans="1:12">
      <c r="A460" s="315"/>
      <c r="B460" s="315"/>
      <c r="C460" s="315"/>
      <c r="D460" s="315"/>
      <c r="E460" s="315"/>
      <c r="F460" s="315"/>
      <c r="G460" s="315"/>
      <c r="H460" s="315"/>
      <c r="I460" s="315"/>
      <c r="J460" s="315"/>
      <c r="K460" s="315"/>
      <c r="L460" s="315"/>
    </row>
    <row r="461" spans="1:12">
      <c r="A461" s="315"/>
      <c r="B461" s="315"/>
      <c r="C461" s="315"/>
      <c r="D461" s="315"/>
      <c r="E461" s="315"/>
      <c r="F461" s="315"/>
      <c r="G461" s="315"/>
      <c r="H461" s="315"/>
      <c r="I461" s="315"/>
      <c r="J461" s="315"/>
      <c r="K461" s="315"/>
      <c r="L461" s="315"/>
    </row>
    <row r="462" spans="1:12">
      <c r="A462" s="315"/>
      <c r="B462" s="315"/>
      <c r="C462" s="315"/>
      <c r="D462" s="315"/>
      <c r="E462" s="315"/>
      <c r="F462" s="315"/>
      <c r="G462" s="315"/>
      <c r="H462" s="315"/>
      <c r="I462" s="315"/>
      <c r="J462" s="315"/>
      <c r="K462" s="315"/>
      <c r="L462" s="315"/>
    </row>
    <row r="463" spans="1:12">
      <c r="A463" s="315"/>
      <c r="B463" s="315"/>
      <c r="C463" s="315"/>
      <c r="D463" s="315"/>
      <c r="E463" s="315"/>
      <c r="F463" s="315"/>
      <c r="G463" s="315"/>
      <c r="H463" s="315"/>
      <c r="I463" s="315"/>
      <c r="J463" s="315"/>
      <c r="K463" s="315"/>
      <c r="L463" s="315"/>
    </row>
    <row r="464" spans="1:12">
      <c r="A464" s="315"/>
      <c r="B464" s="315"/>
      <c r="C464" s="315"/>
      <c r="D464" s="315"/>
      <c r="E464" s="315"/>
      <c r="F464" s="315"/>
      <c r="G464" s="315"/>
      <c r="H464" s="315"/>
      <c r="I464" s="315"/>
      <c r="J464" s="315"/>
      <c r="K464" s="315"/>
      <c r="L464" s="315"/>
    </row>
    <row r="465" spans="1:12">
      <c r="A465" s="315"/>
      <c r="B465" s="315"/>
      <c r="C465" s="315"/>
      <c r="D465" s="315"/>
      <c r="E465" s="315"/>
      <c r="F465" s="315"/>
      <c r="G465" s="315"/>
      <c r="H465" s="315"/>
      <c r="I465" s="315"/>
      <c r="J465" s="315"/>
      <c r="K465" s="315"/>
      <c r="L465" s="315"/>
    </row>
    <row r="466" spans="1:12">
      <c r="A466" s="315"/>
      <c r="B466" s="315"/>
      <c r="C466" s="315"/>
      <c r="D466" s="315"/>
      <c r="E466" s="315"/>
      <c r="F466" s="315"/>
      <c r="G466" s="315"/>
      <c r="H466" s="315"/>
      <c r="I466" s="315"/>
      <c r="J466" s="315"/>
      <c r="K466" s="315"/>
      <c r="L466" s="315"/>
    </row>
    <row r="467" spans="1:12">
      <c r="A467" s="315"/>
      <c r="B467" s="315"/>
      <c r="C467" s="315"/>
      <c r="D467" s="315"/>
      <c r="E467" s="315"/>
      <c r="F467" s="315"/>
      <c r="G467" s="315"/>
      <c r="H467" s="315"/>
      <c r="I467" s="315"/>
      <c r="J467" s="315"/>
      <c r="K467" s="315"/>
      <c r="L467" s="315"/>
    </row>
    <row r="468" spans="1:12">
      <c r="A468" s="315"/>
      <c r="B468" s="315"/>
      <c r="C468" s="315"/>
      <c r="D468" s="315"/>
      <c r="E468" s="315"/>
      <c r="F468" s="315"/>
      <c r="G468" s="315"/>
      <c r="H468" s="315"/>
      <c r="I468" s="315"/>
      <c r="J468" s="315"/>
      <c r="K468" s="315"/>
      <c r="L468" s="315"/>
    </row>
    <row r="469" spans="1:12">
      <c r="A469" s="315"/>
      <c r="B469" s="315"/>
      <c r="C469" s="315"/>
      <c r="D469" s="315"/>
      <c r="E469" s="315"/>
      <c r="F469" s="315"/>
      <c r="G469" s="315"/>
      <c r="H469" s="315"/>
      <c r="I469" s="315"/>
      <c r="J469" s="315"/>
      <c r="K469" s="315"/>
      <c r="L469" s="315"/>
    </row>
    <row r="470" spans="1:12">
      <c r="A470" s="315"/>
      <c r="B470" s="315"/>
      <c r="C470" s="315"/>
      <c r="D470" s="315"/>
      <c r="E470" s="315"/>
      <c r="F470" s="315"/>
      <c r="G470" s="315"/>
      <c r="H470" s="315"/>
      <c r="I470" s="315"/>
      <c r="J470" s="315"/>
      <c r="K470" s="315"/>
      <c r="L470" s="315"/>
    </row>
    <row r="471" spans="1:12">
      <c r="A471" s="315"/>
      <c r="B471" s="315"/>
      <c r="C471" s="315"/>
      <c r="D471" s="315"/>
      <c r="E471" s="315"/>
      <c r="F471" s="315"/>
      <c r="G471" s="315"/>
      <c r="H471" s="315"/>
      <c r="I471" s="315"/>
      <c r="J471" s="315"/>
      <c r="K471" s="315"/>
      <c r="L471" s="315"/>
    </row>
    <row r="472" spans="1:12">
      <c r="A472" s="315"/>
      <c r="B472" s="315"/>
      <c r="C472" s="315"/>
      <c r="D472" s="315"/>
      <c r="E472" s="315"/>
      <c r="F472" s="315"/>
      <c r="G472" s="315"/>
      <c r="H472" s="315"/>
      <c r="I472" s="315"/>
      <c r="J472" s="315"/>
      <c r="K472" s="315"/>
      <c r="L472" s="315"/>
    </row>
    <row r="473" spans="1:12">
      <c r="A473" s="315"/>
      <c r="B473" s="315"/>
      <c r="C473" s="315"/>
      <c r="D473" s="315"/>
      <c r="E473" s="315"/>
      <c r="F473" s="315"/>
      <c r="G473" s="315"/>
      <c r="H473" s="315"/>
      <c r="I473" s="315"/>
      <c r="J473" s="315"/>
      <c r="K473" s="315"/>
      <c r="L473" s="315"/>
    </row>
    <row r="474" spans="1:12">
      <c r="A474" s="315"/>
      <c r="B474" s="315"/>
      <c r="C474" s="315"/>
      <c r="D474" s="315"/>
      <c r="E474" s="315"/>
      <c r="F474" s="315"/>
      <c r="G474" s="315"/>
      <c r="H474" s="315"/>
      <c r="I474" s="315"/>
      <c r="J474" s="315"/>
      <c r="K474" s="315"/>
      <c r="L474" s="315"/>
    </row>
    <row r="475" spans="1:12">
      <c r="A475" s="315"/>
      <c r="B475" s="315"/>
      <c r="C475" s="315"/>
      <c r="D475" s="315"/>
      <c r="E475" s="315"/>
      <c r="F475" s="315"/>
      <c r="G475" s="315"/>
      <c r="H475" s="315"/>
      <c r="I475" s="315"/>
      <c r="J475" s="315"/>
      <c r="K475" s="315"/>
      <c r="L475" s="315"/>
    </row>
    <row r="476" spans="1:12">
      <c r="A476" s="315"/>
      <c r="B476" s="315"/>
      <c r="C476" s="315"/>
      <c r="D476" s="315"/>
      <c r="E476" s="315"/>
      <c r="F476" s="315"/>
      <c r="G476" s="315"/>
      <c r="H476" s="315"/>
      <c r="I476" s="315"/>
      <c r="J476" s="315"/>
      <c r="K476" s="315"/>
      <c r="L476" s="315"/>
    </row>
    <row r="477" spans="1:12">
      <c r="A477" s="315"/>
      <c r="B477" s="315"/>
      <c r="C477" s="315"/>
      <c r="D477" s="315"/>
      <c r="E477" s="315"/>
      <c r="F477" s="315"/>
      <c r="G477" s="315"/>
      <c r="H477" s="315"/>
      <c r="I477" s="315"/>
      <c r="J477" s="315"/>
      <c r="K477" s="315"/>
      <c r="L477" s="315"/>
    </row>
    <row r="478" spans="1:12">
      <c r="A478" s="315"/>
      <c r="B478" s="315"/>
      <c r="C478" s="315"/>
      <c r="D478" s="315"/>
      <c r="E478" s="315"/>
      <c r="F478" s="315"/>
      <c r="G478" s="315"/>
      <c r="H478" s="315"/>
      <c r="I478" s="315"/>
      <c r="J478" s="315"/>
      <c r="K478" s="315"/>
      <c r="L478" s="315"/>
    </row>
    <row r="479" spans="1:12">
      <c r="A479" s="315"/>
      <c r="B479" s="315"/>
      <c r="C479" s="315"/>
      <c r="D479" s="315"/>
      <c r="E479" s="315"/>
      <c r="F479" s="315"/>
      <c r="G479" s="315"/>
      <c r="H479" s="315"/>
      <c r="I479" s="315"/>
      <c r="J479" s="315"/>
      <c r="K479" s="315"/>
      <c r="L479" s="315"/>
    </row>
    <row r="480" spans="1:12">
      <c r="A480" s="315"/>
      <c r="B480" s="315"/>
      <c r="C480" s="315"/>
      <c r="D480" s="315"/>
      <c r="E480" s="315"/>
      <c r="F480" s="315"/>
      <c r="G480" s="315"/>
      <c r="H480" s="315"/>
      <c r="I480" s="315"/>
      <c r="J480" s="315"/>
      <c r="K480" s="315"/>
      <c r="L480" s="315"/>
    </row>
    <row r="481" spans="1:12">
      <c r="A481" s="315"/>
      <c r="B481" s="315"/>
      <c r="C481" s="315"/>
      <c r="D481" s="315"/>
      <c r="E481" s="315"/>
      <c r="F481" s="315"/>
      <c r="G481" s="315"/>
      <c r="H481" s="315"/>
      <c r="I481" s="315"/>
      <c r="J481" s="315"/>
      <c r="K481" s="315"/>
      <c r="L481" s="315"/>
    </row>
    <row r="482" spans="1:12">
      <c r="A482" s="315"/>
      <c r="B482" s="315"/>
      <c r="C482" s="315"/>
      <c r="D482" s="315"/>
      <c r="E482" s="315"/>
      <c r="F482" s="315"/>
      <c r="G482" s="315"/>
      <c r="H482" s="315"/>
      <c r="I482" s="315"/>
      <c r="J482" s="315"/>
      <c r="K482" s="315"/>
      <c r="L482" s="315"/>
    </row>
    <row r="483" spans="1:12">
      <c r="A483" s="315"/>
      <c r="B483" s="315"/>
      <c r="C483" s="315"/>
      <c r="D483" s="315"/>
      <c r="E483" s="315"/>
      <c r="F483" s="315"/>
      <c r="G483" s="315"/>
      <c r="H483" s="315"/>
      <c r="I483" s="315"/>
      <c r="J483" s="315"/>
      <c r="K483" s="315"/>
      <c r="L483" s="315"/>
    </row>
    <row r="484" spans="1:12">
      <c r="A484" s="315"/>
      <c r="B484" s="315"/>
      <c r="C484" s="315"/>
      <c r="D484" s="315"/>
      <c r="E484" s="315"/>
      <c r="F484" s="315"/>
      <c r="G484" s="315"/>
      <c r="H484" s="315"/>
      <c r="I484" s="315"/>
      <c r="J484" s="315"/>
      <c r="K484" s="315"/>
      <c r="L484" s="315"/>
    </row>
    <row r="485" spans="1:12">
      <c r="A485" s="315"/>
      <c r="B485" s="315"/>
      <c r="C485" s="315"/>
      <c r="D485" s="315"/>
      <c r="E485" s="315"/>
      <c r="F485" s="315"/>
      <c r="G485" s="315"/>
      <c r="H485" s="315"/>
      <c r="I485" s="315"/>
      <c r="J485" s="315"/>
      <c r="K485" s="315"/>
      <c r="L485" s="315"/>
    </row>
    <row r="486" spans="1:12">
      <c r="A486" s="315"/>
      <c r="B486" s="315"/>
      <c r="C486" s="315"/>
      <c r="D486" s="315"/>
      <c r="E486" s="315"/>
      <c r="F486" s="315"/>
      <c r="G486" s="315"/>
      <c r="H486" s="315"/>
      <c r="I486" s="315"/>
      <c r="J486" s="315"/>
      <c r="K486" s="315"/>
      <c r="L486" s="315"/>
    </row>
    <row r="487" spans="1:12">
      <c r="A487" s="315"/>
      <c r="B487" s="315"/>
      <c r="C487" s="315"/>
      <c r="D487" s="315"/>
      <c r="E487" s="315"/>
      <c r="F487" s="315"/>
      <c r="G487" s="315"/>
      <c r="H487" s="315"/>
      <c r="I487" s="315"/>
      <c r="J487" s="315"/>
      <c r="K487" s="315"/>
      <c r="L487" s="315"/>
    </row>
    <row r="488" spans="1:12">
      <c r="A488" s="315"/>
      <c r="B488" s="315"/>
      <c r="C488" s="315"/>
      <c r="D488" s="315"/>
      <c r="E488" s="315"/>
      <c r="F488" s="315"/>
      <c r="G488" s="315"/>
      <c r="H488" s="315"/>
      <c r="I488" s="315"/>
      <c r="J488" s="315"/>
      <c r="K488" s="315"/>
      <c r="L488" s="315"/>
    </row>
    <row r="489" spans="1:12">
      <c r="A489" s="315"/>
      <c r="B489" s="315"/>
      <c r="C489" s="315"/>
      <c r="D489" s="315"/>
      <c r="E489" s="315"/>
      <c r="F489" s="315"/>
      <c r="G489" s="315"/>
      <c r="H489" s="315"/>
      <c r="I489" s="315"/>
      <c r="J489" s="315"/>
      <c r="K489" s="315"/>
      <c r="L489" s="315"/>
    </row>
    <row r="490" spans="1:12">
      <c r="A490" s="315"/>
      <c r="B490" s="315"/>
      <c r="C490" s="315"/>
      <c r="D490" s="315"/>
      <c r="E490" s="315"/>
      <c r="F490" s="315"/>
      <c r="G490" s="315"/>
      <c r="H490" s="315"/>
      <c r="I490" s="315"/>
      <c r="J490" s="315"/>
      <c r="K490" s="315"/>
      <c r="L490" s="315"/>
    </row>
    <row r="491" spans="1:12">
      <c r="A491" s="315"/>
      <c r="B491" s="315"/>
      <c r="C491" s="315"/>
      <c r="D491" s="315"/>
      <c r="E491" s="315"/>
      <c r="F491" s="315"/>
      <c r="G491" s="315"/>
      <c r="H491" s="315"/>
      <c r="I491" s="315"/>
      <c r="J491" s="315"/>
      <c r="K491" s="315"/>
      <c r="L491" s="315"/>
    </row>
    <row r="492" spans="1:12">
      <c r="A492" s="315"/>
      <c r="B492" s="315"/>
      <c r="C492" s="315"/>
      <c r="D492" s="315"/>
      <c r="E492" s="315"/>
      <c r="F492" s="315"/>
      <c r="G492" s="315"/>
      <c r="H492" s="315"/>
      <c r="I492" s="315"/>
      <c r="J492" s="315"/>
      <c r="K492" s="315"/>
      <c r="L492" s="315"/>
    </row>
    <row r="493" spans="1:12">
      <c r="A493" s="315"/>
      <c r="B493" s="315"/>
      <c r="C493" s="315"/>
      <c r="D493" s="315"/>
      <c r="E493" s="315"/>
      <c r="F493" s="315"/>
      <c r="G493" s="315"/>
      <c r="H493" s="315"/>
      <c r="I493" s="315"/>
      <c r="J493" s="315"/>
      <c r="K493" s="315"/>
      <c r="L493" s="315"/>
    </row>
    <row r="494" spans="1:12">
      <c r="A494" s="315"/>
      <c r="B494" s="315"/>
      <c r="C494" s="315"/>
      <c r="D494" s="315"/>
      <c r="E494" s="315"/>
      <c r="F494" s="315"/>
      <c r="G494" s="315"/>
      <c r="H494" s="315"/>
      <c r="I494" s="315"/>
      <c r="J494" s="315"/>
      <c r="K494" s="315"/>
      <c r="L494" s="315"/>
    </row>
    <row r="495" spans="1:12">
      <c r="A495" s="315"/>
      <c r="B495" s="315"/>
      <c r="C495" s="315"/>
      <c r="D495" s="315"/>
      <c r="E495" s="315"/>
      <c r="F495" s="315"/>
      <c r="G495" s="315"/>
      <c r="H495" s="315"/>
      <c r="I495" s="315"/>
      <c r="J495" s="315"/>
      <c r="K495" s="315"/>
      <c r="L495" s="315"/>
    </row>
    <row r="496" spans="1:12">
      <c r="A496" s="315"/>
      <c r="B496" s="315"/>
      <c r="C496" s="315"/>
      <c r="D496" s="315"/>
      <c r="E496" s="315"/>
      <c r="F496" s="315"/>
      <c r="G496" s="315"/>
      <c r="H496" s="315"/>
      <c r="I496" s="315"/>
      <c r="J496" s="315"/>
      <c r="K496" s="315"/>
      <c r="L496" s="315"/>
    </row>
    <row r="497" spans="1:12">
      <c r="A497" s="315"/>
      <c r="B497" s="315"/>
      <c r="C497" s="315"/>
      <c r="D497" s="315"/>
      <c r="E497" s="315"/>
      <c r="F497" s="315"/>
      <c r="G497" s="315"/>
      <c r="H497" s="315"/>
      <c r="I497" s="315"/>
      <c r="J497" s="315"/>
      <c r="K497" s="315"/>
      <c r="L497" s="315"/>
    </row>
    <row r="498" spans="1:12">
      <c r="A498" s="315"/>
      <c r="B498" s="315"/>
      <c r="C498" s="315"/>
      <c r="D498" s="315"/>
      <c r="E498" s="315"/>
      <c r="F498" s="315"/>
      <c r="G498" s="315"/>
      <c r="H498" s="315"/>
      <c r="I498" s="315"/>
      <c r="J498" s="315"/>
      <c r="K498" s="315"/>
      <c r="L498" s="315"/>
    </row>
    <row r="499" spans="1:12">
      <c r="A499" s="315"/>
      <c r="B499" s="315"/>
      <c r="C499" s="315"/>
      <c r="D499" s="315"/>
      <c r="E499" s="315"/>
      <c r="F499" s="315"/>
      <c r="G499" s="315"/>
      <c r="H499" s="315"/>
      <c r="I499" s="315"/>
      <c r="J499" s="315"/>
      <c r="K499" s="315"/>
      <c r="L499" s="315"/>
    </row>
    <row r="500" spans="1:12">
      <c r="A500" s="315"/>
      <c r="B500" s="315"/>
      <c r="C500" s="315"/>
      <c r="D500" s="315"/>
      <c r="E500" s="315"/>
      <c r="F500" s="315"/>
      <c r="G500" s="315"/>
      <c r="H500" s="315"/>
      <c r="I500" s="315"/>
      <c r="J500" s="315"/>
      <c r="K500" s="315"/>
      <c r="L500" s="315"/>
    </row>
    <row r="501" spans="1:12">
      <c r="A501" s="315"/>
      <c r="B501" s="315"/>
      <c r="C501" s="315"/>
      <c r="D501" s="315"/>
      <c r="E501" s="315"/>
      <c r="F501" s="315"/>
      <c r="G501" s="315"/>
      <c r="H501" s="315"/>
      <c r="I501" s="315"/>
      <c r="J501" s="315"/>
      <c r="K501" s="315"/>
      <c r="L501" s="315"/>
    </row>
    <row r="502" spans="1:12">
      <c r="A502" s="315"/>
      <c r="B502" s="315"/>
      <c r="C502" s="315"/>
      <c r="D502" s="315"/>
      <c r="E502" s="315"/>
      <c r="F502" s="315"/>
      <c r="G502" s="315"/>
      <c r="H502" s="315"/>
      <c r="I502" s="315"/>
      <c r="J502" s="315"/>
      <c r="K502" s="315"/>
      <c r="L502" s="315"/>
    </row>
    <row r="503" spans="1:12">
      <c r="A503" s="315"/>
      <c r="B503" s="315"/>
      <c r="C503" s="315"/>
      <c r="D503" s="315"/>
      <c r="E503" s="315"/>
      <c r="F503" s="315"/>
      <c r="G503" s="315"/>
      <c r="H503" s="315"/>
      <c r="I503" s="315"/>
      <c r="J503" s="315"/>
      <c r="K503" s="315"/>
      <c r="L503" s="315"/>
    </row>
    <row r="504" spans="1:12">
      <c r="A504" s="315"/>
      <c r="B504" s="315"/>
      <c r="C504" s="315"/>
      <c r="D504" s="315"/>
      <c r="E504" s="315"/>
      <c r="F504" s="315"/>
      <c r="G504" s="315"/>
      <c r="H504" s="315"/>
      <c r="I504" s="315"/>
      <c r="J504" s="315"/>
      <c r="K504" s="315"/>
      <c r="L504" s="315"/>
    </row>
    <row r="505" spans="1:12">
      <c r="A505" s="315"/>
      <c r="B505" s="315"/>
      <c r="C505" s="315"/>
      <c r="D505" s="315"/>
      <c r="E505" s="315"/>
      <c r="F505" s="315"/>
      <c r="G505" s="315"/>
      <c r="H505" s="315"/>
      <c r="I505" s="315"/>
      <c r="J505" s="315"/>
      <c r="K505" s="315"/>
      <c r="L505" s="315"/>
    </row>
    <row r="506" spans="1:12">
      <c r="A506" s="315"/>
      <c r="B506" s="315"/>
      <c r="C506" s="315"/>
      <c r="D506" s="315"/>
      <c r="E506" s="315"/>
      <c r="F506" s="315"/>
      <c r="G506" s="315"/>
      <c r="H506" s="315"/>
      <c r="I506" s="315"/>
      <c r="J506" s="315"/>
      <c r="K506" s="315"/>
      <c r="L506" s="315"/>
    </row>
    <row r="507" spans="1:12">
      <c r="A507" s="315"/>
      <c r="B507" s="315"/>
      <c r="C507" s="315"/>
      <c r="D507" s="315"/>
      <c r="E507" s="315"/>
      <c r="F507" s="315"/>
      <c r="G507" s="315"/>
      <c r="H507" s="315"/>
      <c r="I507" s="315"/>
      <c r="J507" s="315"/>
      <c r="K507" s="315"/>
      <c r="L507" s="315"/>
    </row>
    <row r="508" spans="1:12">
      <c r="A508" s="315"/>
      <c r="B508" s="315"/>
      <c r="C508" s="315"/>
      <c r="D508" s="315"/>
      <c r="E508" s="315"/>
      <c r="F508" s="315"/>
      <c r="G508" s="315"/>
      <c r="H508" s="315"/>
      <c r="I508" s="315"/>
      <c r="J508" s="315"/>
      <c r="K508" s="315"/>
      <c r="L508" s="315"/>
    </row>
    <row r="509" spans="1:12">
      <c r="A509" s="315"/>
      <c r="B509" s="315"/>
      <c r="C509" s="315"/>
      <c r="D509" s="315"/>
      <c r="E509" s="315"/>
      <c r="F509" s="315"/>
      <c r="G509" s="315"/>
      <c r="H509" s="315"/>
      <c r="I509" s="315"/>
      <c r="J509" s="315"/>
      <c r="K509" s="315"/>
      <c r="L509" s="315"/>
    </row>
    <row r="510" spans="1:12">
      <c r="A510" s="315"/>
      <c r="B510" s="315"/>
      <c r="C510" s="315"/>
      <c r="D510" s="315"/>
      <c r="E510" s="315"/>
      <c r="F510" s="315"/>
      <c r="G510" s="315"/>
      <c r="H510" s="315"/>
      <c r="I510" s="315"/>
      <c r="J510" s="315"/>
      <c r="K510" s="315"/>
      <c r="L510" s="315"/>
    </row>
    <row r="511" spans="1:12">
      <c r="A511" s="315"/>
      <c r="B511" s="315"/>
      <c r="C511" s="315"/>
      <c r="D511" s="315"/>
      <c r="E511" s="315"/>
      <c r="F511" s="315"/>
      <c r="G511" s="315"/>
      <c r="H511" s="315"/>
      <c r="I511" s="315"/>
      <c r="J511" s="315"/>
      <c r="K511" s="315"/>
      <c r="L511" s="315"/>
    </row>
    <row r="512" spans="1:12">
      <c r="A512" s="315"/>
      <c r="B512" s="315"/>
      <c r="C512" s="315"/>
      <c r="D512" s="315"/>
      <c r="E512" s="315"/>
      <c r="F512" s="315"/>
      <c r="G512" s="315"/>
      <c r="H512" s="315"/>
      <c r="I512" s="315"/>
      <c r="J512" s="315"/>
      <c r="K512" s="315"/>
      <c r="L512" s="315"/>
    </row>
    <row r="513" spans="1:12">
      <c r="A513" s="315"/>
      <c r="B513" s="315"/>
      <c r="C513" s="315"/>
      <c r="D513" s="315"/>
      <c r="E513" s="315"/>
      <c r="F513" s="315"/>
      <c r="G513" s="315"/>
      <c r="H513" s="315"/>
      <c r="I513" s="315"/>
      <c r="J513" s="315"/>
      <c r="K513" s="315"/>
      <c r="L513" s="315"/>
    </row>
    <row r="514" spans="1:12">
      <c r="A514" s="315"/>
      <c r="B514" s="315"/>
      <c r="C514" s="315"/>
      <c r="D514" s="315"/>
      <c r="E514" s="315"/>
      <c r="F514" s="315"/>
      <c r="G514" s="315"/>
      <c r="H514" s="315"/>
      <c r="I514" s="315"/>
      <c r="J514" s="315"/>
      <c r="K514" s="315"/>
      <c r="L514" s="315"/>
    </row>
    <row r="515" spans="1:12">
      <c r="A515" s="315"/>
      <c r="B515" s="315"/>
      <c r="C515" s="315"/>
      <c r="D515" s="315"/>
      <c r="E515" s="315"/>
      <c r="F515" s="315"/>
      <c r="G515" s="315"/>
      <c r="H515" s="315"/>
      <c r="I515" s="315"/>
      <c r="J515" s="315"/>
      <c r="K515" s="315"/>
      <c r="L515" s="315"/>
    </row>
    <row r="516" spans="1:12">
      <c r="A516" s="315"/>
      <c r="B516" s="315"/>
      <c r="C516" s="315"/>
      <c r="D516" s="315"/>
      <c r="E516" s="315"/>
      <c r="F516" s="315"/>
      <c r="G516" s="315"/>
      <c r="H516" s="315"/>
      <c r="I516" s="315"/>
      <c r="J516" s="315"/>
      <c r="K516" s="315"/>
      <c r="L516" s="315"/>
    </row>
    <row r="517" spans="1:12">
      <c r="A517" s="315"/>
      <c r="B517" s="315"/>
      <c r="C517" s="315"/>
      <c r="D517" s="315"/>
      <c r="E517" s="315"/>
      <c r="F517" s="315"/>
      <c r="G517" s="315"/>
      <c r="H517" s="315"/>
      <c r="I517" s="315"/>
      <c r="J517" s="315"/>
      <c r="K517" s="315"/>
      <c r="L517" s="315"/>
    </row>
    <row r="518" spans="1:12">
      <c r="A518" s="315"/>
      <c r="B518" s="315"/>
      <c r="C518" s="315"/>
      <c r="D518" s="315"/>
      <c r="E518" s="315"/>
      <c r="F518" s="315"/>
      <c r="G518" s="315"/>
      <c r="H518" s="315"/>
      <c r="I518" s="315"/>
      <c r="J518" s="315"/>
      <c r="K518" s="315"/>
      <c r="L518" s="315"/>
    </row>
    <row r="519" spans="1:12">
      <c r="A519" s="315"/>
      <c r="B519" s="315"/>
      <c r="C519" s="315"/>
      <c r="D519" s="315"/>
      <c r="E519" s="315"/>
      <c r="F519" s="315"/>
      <c r="G519" s="315"/>
      <c r="H519" s="315"/>
      <c r="I519" s="315"/>
      <c r="J519" s="315"/>
      <c r="K519" s="315"/>
      <c r="L519" s="315"/>
    </row>
    <row r="520" spans="1:12">
      <c r="A520" s="315"/>
      <c r="B520" s="315"/>
      <c r="C520" s="315"/>
      <c r="D520" s="315"/>
      <c r="E520" s="315"/>
      <c r="F520" s="315"/>
      <c r="G520" s="315"/>
      <c r="H520" s="315"/>
      <c r="I520" s="315"/>
      <c r="J520" s="315"/>
      <c r="K520" s="315"/>
      <c r="L520" s="315"/>
    </row>
    <row r="521" spans="1:12">
      <c r="A521" s="315"/>
      <c r="B521" s="315"/>
      <c r="C521" s="315"/>
      <c r="D521" s="315"/>
      <c r="E521" s="315"/>
      <c r="F521" s="315"/>
      <c r="G521" s="315"/>
      <c r="H521" s="315"/>
      <c r="I521" s="315"/>
      <c r="J521" s="315"/>
      <c r="K521" s="315"/>
      <c r="L521" s="315"/>
    </row>
    <row r="522" spans="1:12">
      <c r="A522" s="315"/>
      <c r="B522" s="315"/>
      <c r="C522" s="315"/>
      <c r="D522" s="315"/>
      <c r="E522" s="315"/>
      <c r="F522" s="315"/>
      <c r="G522" s="315"/>
      <c r="H522" s="315"/>
      <c r="I522" s="315"/>
      <c r="J522" s="315"/>
      <c r="K522" s="315"/>
      <c r="L522" s="315"/>
    </row>
    <row r="523" spans="1:12">
      <c r="A523" s="315"/>
      <c r="B523" s="315"/>
      <c r="C523" s="315"/>
      <c r="D523" s="315"/>
      <c r="E523" s="315"/>
      <c r="F523" s="315"/>
      <c r="G523" s="315"/>
      <c r="H523" s="315"/>
      <c r="I523" s="315"/>
      <c r="J523" s="315"/>
      <c r="K523" s="315"/>
      <c r="L523" s="315"/>
    </row>
    <row r="524" spans="1:12">
      <c r="A524" s="315"/>
      <c r="B524" s="315"/>
      <c r="C524" s="315"/>
      <c r="D524" s="315"/>
      <c r="E524" s="315"/>
      <c r="F524" s="315"/>
      <c r="G524" s="315"/>
      <c r="H524" s="315"/>
      <c r="I524" s="315"/>
      <c r="J524" s="315"/>
      <c r="K524" s="315"/>
      <c r="L524" s="315"/>
    </row>
    <row r="525" spans="1:12">
      <c r="A525" s="315"/>
      <c r="B525" s="315"/>
      <c r="C525" s="315"/>
      <c r="D525" s="315"/>
      <c r="E525" s="315"/>
      <c r="F525" s="315"/>
      <c r="G525" s="315"/>
      <c r="H525" s="315"/>
      <c r="I525" s="315"/>
      <c r="J525" s="315"/>
      <c r="K525" s="315"/>
      <c r="L525" s="315"/>
    </row>
    <row r="526" spans="1:12">
      <c r="A526" s="315"/>
      <c r="B526" s="315"/>
      <c r="C526" s="315"/>
      <c r="D526" s="315"/>
      <c r="E526" s="315"/>
      <c r="F526" s="315"/>
      <c r="G526" s="315"/>
      <c r="H526" s="315"/>
      <c r="I526" s="315"/>
      <c r="J526" s="315"/>
      <c r="K526" s="315"/>
      <c r="L526" s="315"/>
    </row>
    <row r="527" spans="1:12">
      <c r="A527" s="315"/>
      <c r="B527" s="315"/>
      <c r="C527" s="315"/>
      <c r="D527" s="315"/>
      <c r="E527" s="315"/>
      <c r="F527" s="315"/>
      <c r="G527" s="315"/>
      <c r="H527" s="315"/>
      <c r="I527" s="315"/>
      <c r="J527" s="315"/>
      <c r="K527" s="315"/>
      <c r="L527" s="315"/>
    </row>
    <row r="528" spans="1:12">
      <c r="A528" s="315"/>
      <c r="B528" s="315"/>
      <c r="C528" s="315"/>
      <c r="D528" s="315"/>
      <c r="E528" s="315"/>
      <c r="F528" s="315"/>
      <c r="G528" s="315"/>
      <c r="H528" s="315"/>
      <c r="I528" s="315"/>
      <c r="J528" s="315"/>
      <c r="K528" s="315"/>
      <c r="L528" s="315"/>
    </row>
    <row r="529" spans="1:12">
      <c r="A529" s="315"/>
      <c r="B529" s="315"/>
      <c r="C529" s="315"/>
      <c r="D529" s="315"/>
      <c r="E529" s="315"/>
      <c r="F529" s="315"/>
      <c r="G529" s="315"/>
      <c r="H529" s="315"/>
      <c r="I529" s="315"/>
      <c r="J529" s="315"/>
      <c r="K529" s="315"/>
      <c r="L529" s="315"/>
    </row>
    <row r="530" spans="1:12">
      <c r="A530" s="315"/>
      <c r="B530" s="315"/>
      <c r="C530" s="315"/>
      <c r="D530" s="315"/>
      <c r="E530" s="315"/>
      <c r="F530" s="315"/>
      <c r="G530" s="315"/>
      <c r="H530" s="315"/>
      <c r="I530" s="315"/>
      <c r="J530" s="315"/>
      <c r="K530" s="315"/>
      <c r="L530" s="315"/>
    </row>
    <row r="531" spans="1:12">
      <c r="A531" s="315"/>
      <c r="B531" s="315"/>
      <c r="C531" s="315"/>
      <c r="D531" s="315"/>
      <c r="E531" s="315"/>
      <c r="F531" s="315"/>
      <c r="G531" s="315"/>
      <c r="H531" s="315"/>
      <c r="I531" s="315"/>
      <c r="J531" s="315"/>
      <c r="K531" s="315"/>
      <c r="L531" s="315"/>
    </row>
    <row r="532" spans="1:12">
      <c r="A532" s="315"/>
      <c r="B532" s="315"/>
      <c r="C532" s="315"/>
      <c r="D532" s="315"/>
      <c r="E532" s="315"/>
      <c r="F532" s="315"/>
      <c r="G532" s="315"/>
      <c r="H532" s="315"/>
      <c r="I532" s="315"/>
      <c r="J532" s="315"/>
      <c r="K532" s="315"/>
      <c r="L532" s="315"/>
    </row>
    <row r="533" spans="1:12">
      <c r="A533" s="315"/>
      <c r="B533" s="315"/>
      <c r="C533" s="315"/>
      <c r="D533" s="315"/>
      <c r="E533" s="315"/>
      <c r="F533" s="315"/>
      <c r="G533" s="315"/>
      <c r="H533" s="315"/>
      <c r="I533" s="315"/>
      <c r="J533" s="315"/>
      <c r="K533" s="315"/>
      <c r="L533" s="315"/>
    </row>
    <row r="534" spans="1:12">
      <c r="A534" s="315"/>
      <c r="B534" s="315"/>
      <c r="C534" s="315"/>
      <c r="D534" s="315"/>
      <c r="E534" s="315"/>
      <c r="F534" s="315"/>
      <c r="G534" s="315"/>
      <c r="H534" s="315"/>
      <c r="I534" s="315"/>
      <c r="J534" s="315"/>
      <c r="K534" s="315"/>
      <c r="L534" s="315"/>
    </row>
    <row r="535" spans="1:12">
      <c r="A535" s="315"/>
      <c r="B535" s="315"/>
      <c r="C535" s="315"/>
      <c r="D535" s="315"/>
      <c r="E535" s="315"/>
      <c r="F535" s="315"/>
      <c r="G535" s="315"/>
      <c r="H535" s="315"/>
      <c r="I535" s="315"/>
      <c r="J535" s="315"/>
      <c r="K535" s="315"/>
      <c r="L535" s="315"/>
    </row>
    <row r="536" spans="1:12">
      <c r="A536" s="315"/>
      <c r="B536" s="315"/>
      <c r="C536" s="315"/>
      <c r="D536" s="315"/>
      <c r="E536" s="315"/>
      <c r="F536" s="315"/>
      <c r="G536" s="315"/>
      <c r="H536" s="315"/>
      <c r="I536" s="315"/>
      <c r="J536" s="315"/>
      <c r="K536" s="315"/>
      <c r="L536" s="315"/>
    </row>
    <row r="537" spans="1:12">
      <c r="A537" s="315"/>
      <c r="B537" s="315"/>
      <c r="C537" s="315"/>
      <c r="D537" s="315"/>
      <c r="E537" s="315"/>
      <c r="F537" s="315"/>
      <c r="G537" s="315"/>
      <c r="H537" s="315"/>
      <c r="I537" s="315"/>
      <c r="J537" s="315"/>
      <c r="K537" s="315"/>
      <c r="L537" s="315"/>
    </row>
    <row r="538" spans="1:12">
      <c r="A538" s="315"/>
      <c r="B538" s="315"/>
      <c r="C538" s="315"/>
      <c r="D538" s="315"/>
      <c r="E538" s="315"/>
      <c r="F538" s="315"/>
      <c r="G538" s="315"/>
      <c r="H538" s="315"/>
      <c r="I538" s="315"/>
      <c r="J538" s="315"/>
      <c r="K538" s="315"/>
      <c r="L538" s="315"/>
    </row>
    <row r="539" spans="1:12">
      <c r="A539" s="315"/>
      <c r="B539" s="315"/>
      <c r="C539" s="315"/>
      <c r="D539" s="315"/>
      <c r="E539" s="315"/>
      <c r="F539" s="315"/>
      <c r="G539" s="315"/>
      <c r="H539" s="315"/>
      <c r="I539" s="315"/>
      <c r="J539" s="315"/>
      <c r="K539" s="315"/>
      <c r="L539" s="315"/>
    </row>
    <row r="540" spans="1:12">
      <c r="A540" s="315"/>
      <c r="B540" s="315"/>
      <c r="C540" s="315"/>
      <c r="D540" s="315"/>
      <c r="E540" s="315"/>
      <c r="F540" s="315"/>
      <c r="G540" s="315"/>
      <c r="H540" s="315"/>
      <c r="I540" s="315"/>
      <c r="J540" s="315"/>
      <c r="K540" s="315"/>
      <c r="L540" s="315"/>
    </row>
    <row r="541" spans="1:12">
      <c r="A541" s="315"/>
      <c r="B541" s="315"/>
      <c r="C541" s="315"/>
      <c r="D541" s="315"/>
      <c r="E541" s="315"/>
      <c r="F541" s="315"/>
      <c r="G541" s="315"/>
      <c r="H541" s="315"/>
      <c r="I541" s="315"/>
      <c r="J541" s="315"/>
      <c r="K541" s="315"/>
      <c r="L541" s="315"/>
    </row>
    <row r="542" spans="1:12">
      <c r="A542" s="315"/>
      <c r="B542" s="315"/>
      <c r="C542" s="315"/>
      <c r="D542" s="315"/>
      <c r="E542" s="315"/>
      <c r="F542" s="315"/>
      <c r="G542" s="315"/>
      <c r="H542" s="315"/>
      <c r="I542" s="315"/>
      <c r="J542" s="315"/>
      <c r="K542" s="315"/>
      <c r="L542" s="315"/>
    </row>
    <row r="543" spans="1:12">
      <c r="A543" s="315"/>
      <c r="B543" s="315"/>
      <c r="C543" s="315"/>
      <c r="D543" s="315"/>
      <c r="E543" s="315"/>
      <c r="F543" s="315"/>
      <c r="G543" s="315"/>
      <c r="H543" s="315"/>
      <c r="I543" s="315"/>
      <c r="J543" s="315"/>
      <c r="K543" s="315"/>
      <c r="L543" s="315"/>
    </row>
    <row r="544" spans="1:12">
      <c r="A544" s="315"/>
      <c r="B544" s="315"/>
      <c r="C544" s="315"/>
      <c r="D544" s="315"/>
      <c r="E544" s="315"/>
      <c r="F544" s="315"/>
      <c r="G544" s="315"/>
      <c r="H544" s="315"/>
      <c r="I544" s="315"/>
      <c r="J544" s="315"/>
      <c r="K544" s="315"/>
      <c r="L544" s="315"/>
    </row>
    <row r="545" spans="1:12">
      <c r="A545" s="315"/>
      <c r="B545" s="315"/>
      <c r="C545" s="315"/>
      <c r="D545" s="315"/>
      <c r="E545" s="315"/>
      <c r="F545" s="315"/>
      <c r="G545" s="315"/>
      <c r="H545" s="315"/>
      <c r="I545" s="315"/>
      <c r="J545" s="315"/>
      <c r="K545" s="315"/>
      <c r="L545" s="315"/>
    </row>
    <row r="546" spans="1:12">
      <c r="A546" s="315"/>
      <c r="B546" s="315"/>
      <c r="C546" s="315"/>
      <c r="D546" s="315"/>
      <c r="E546" s="315"/>
      <c r="F546" s="315"/>
      <c r="G546" s="315"/>
      <c r="H546" s="315"/>
      <c r="I546" s="315"/>
      <c r="J546" s="315"/>
      <c r="K546" s="315"/>
      <c r="L546" s="315"/>
    </row>
    <row r="547" spans="1:12">
      <c r="A547" s="315"/>
      <c r="B547" s="315"/>
      <c r="C547" s="315"/>
      <c r="D547" s="315"/>
      <c r="E547" s="315"/>
      <c r="F547" s="315"/>
      <c r="G547" s="315"/>
      <c r="H547" s="315"/>
      <c r="I547" s="315"/>
      <c r="J547" s="315"/>
      <c r="K547" s="315"/>
      <c r="L547" s="315"/>
    </row>
    <row r="548" spans="1:12">
      <c r="A548" s="315"/>
      <c r="B548" s="315"/>
      <c r="C548" s="315"/>
      <c r="D548" s="315"/>
      <c r="E548" s="315"/>
      <c r="F548" s="315"/>
      <c r="G548" s="315"/>
      <c r="H548" s="315"/>
      <c r="I548" s="315"/>
      <c r="J548" s="315"/>
      <c r="K548" s="315"/>
      <c r="L548" s="315"/>
    </row>
    <row r="549" spans="1:12">
      <c r="A549" s="315"/>
      <c r="B549" s="315"/>
      <c r="C549" s="315"/>
      <c r="D549" s="315"/>
      <c r="E549" s="315"/>
      <c r="F549" s="315"/>
      <c r="G549" s="315"/>
      <c r="H549" s="315"/>
      <c r="I549" s="315"/>
      <c r="J549" s="315"/>
      <c r="K549" s="315"/>
      <c r="L549" s="315"/>
    </row>
    <row r="550" spans="1:12">
      <c r="A550" s="315"/>
      <c r="B550" s="315"/>
      <c r="C550" s="315"/>
      <c r="D550" s="315"/>
      <c r="E550" s="315"/>
      <c r="F550" s="315"/>
      <c r="G550" s="315"/>
      <c r="H550" s="315"/>
      <c r="I550" s="315"/>
      <c r="J550" s="315"/>
      <c r="K550" s="315"/>
      <c r="L550" s="315"/>
    </row>
    <row r="551" spans="1:12">
      <c r="A551" s="315"/>
      <c r="B551" s="315"/>
      <c r="C551" s="315"/>
      <c r="D551" s="315"/>
      <c r="E551" s="315"/>
      <c r="F551" s="315"/>
      <c r="G551" s="315"/>
      <c r="H551" s="315"/>
      <c r="I551" s="315"/>
      <c r="J551" s="315"/>
      <c r="K551" s="315"/>
      <c r="L551" s="315"/>
    </row>
    <row r="552" spans="1:12">
      <c r="A552" s="315"/>
      <c r="B552" s="315"/>
      <c r="C552" s="315"/>
      <c r="D552" s="315"/>
      <c r="E552" s="315"/>
      <c r="F552" s="315"/>
      <c r="G552" s="315"/>
      <c r="H552" s="315"/>
      <c r="I552" s="315"/>
      <c r="J552" s="315"/>
      <c r="K552" s="315"/>
      <c r="L552" s="315"/>
    </row>
    <row r="553" spans="1:12">
      <c r="A553" s="315"/>
      <c r="B553" s="315"/>
      <c r="C553" s="315"/>
      <c r="D553" s="315"/>
      <c r="E553" s="315"/>
      <c r="F553" s="315"/>
      <c r="G553" s="315"/>
      <c r="H553" s="315"/>
      <c r="I553" s="315"/>
      <c r="J553" s="315"/>
      <c r="K553" s="315"/>
      <c r="L553" s="315"/>
    </row>
    <row r="554" spans="1:12">
      <c r="A554" s="315"/>
      <c r="B554" s="315"/>
      <c r="C554" s="315"/>
      <c r="D554" s="315"/>
      <c r="E554" s="315"/>
      <c r="F554" s="315"/>
      <c r="G554" s="315"/>
      <c r="H554" s="315"/>
      <c r="I554" s="315"/>
      <c r="J554" s="315"/>
      <c r="K554" s="315"/>
      <c r="L554" s="315"/>
    </row>
    <row r="555" spans="1:12">
      <c r="A555" s="315"/>
      <c r="B555" s="315"/>
      <c r="C555" s="315"/>
      <c r="D555" s="315"/>
      <c r="E555" s="315"/>
      <c r="F555" s="315"/>
      <c r="G555" s="315"/>
      <c r="H555" s="315"/>
      <c r="I555" s="315"/>
      <c r="J555" s="315"/>
      <c r="K555" s="315"/>
      <c r="L555" s="315"/>
    </row>
    <row r="556" spans="1:12">
      <c r="A556" s="315"/>
      <c r="B556" s="315"/>
      <c r="C556" s="315"/>
      <c r="D556" s="315"/>
      <c r="E556" s="315"/>
      <c r="F556" s="315"/>
      <c r="G556" s="315"/>
      <c r="H556" s="315"/>
      <c r="I556" s="315"/>
      <c r="J556" s="315"/>
      <c r="K556" s="315"/>
      <c r="L556" s="315"/>
    </row>
    <row r="557" spans="1:12">
      <c r="A557" s="315"/>
      <c r="B557" s="315"/>
      <c r="C557" s="315"/>
      <c r="D557" s="315"/>
      <c r="E557" s="315"/>
      <c r="F557" s="315"/>
      <c r="G557" s="315"/>
      <c r="H557" s="315"/>
      <c r="I557" s="315"/>
      <c r="J557" s="315"/>
      <c r="K557" s="315"/>
      <c r="L557" s="315"/>
    </row>
    <row r="558" spans="1:12">
      <c r="A558" s="315"/>
      <c r="B558" s="315"/>
      <c r="C558" s="315"/>
      <c r="D558" s="315"/>
      <c r="E558" s="315"/>
      <c r="F558" s="315"/>
      <c r="G558" s="315"/>
      <c r="H558" s="315"/>
      <c r="I558" s="315"/>
      <c r="J558" s="315"/>
      <c r="K558" s="315"/>
      <c r="L558" s="315"/>
    </row>
    <row r="559" spans="1:12">
      <c r="A559" s="315"/>
      <c r="B559" s="315"/>
      <c r="C559" s="315"/>
      <c r="D559" s="315"/>
      <c r="E559" s="315"/>
      <c r="F559" s="315"/>
      <c r="G559" s="315"/>
      <c r="H559" s="315"/>
      <c r="I559" s="315"/>
      <c r="J559" s="315"/>
      <c r="K559" s="315"/>
      <c r="L559" s="315"/>
    </row>
    <row r="560" spans="1:12">
      <c r="A560" s="315"/>
      <c r="B560" s="315"/>
      <c r="C560" s="315"/>
      <c r="D560" s="315"/>
      <c r="E560" s="315"/>
      <c r="F560" s="315"/>
      <c r="G560" s="315"/>
      <c r="H560" s="315"/>
      <c r="I560" s="315"/>
      <c r="J560" s="315"/>
      <c r="K560" s="315"/>
      <c r="L560" s="315"/>
    </row>
    <row r="561" spans="1:12">
      <c r="A561" s="315"/>
      <c r="B561" s="315"/>
      <c r="C561" s="315"/>
      <c r="D561" s="315"/>
      <c r="E561" s="315"/>
      <c r="F561" s="315"/>
      <c r="G561" s="315"/>
      <c r="H561" s="315"/>
      <c r="I561" s="315"/>
      <c r="J561" s="315"/>
      <c r="K561" s="315"/>
      <c r="L561" s="315"/>
    </row>
    <row r="562" spans="1:12">
      <c r="A562" s="315"/>
      <c r="B562" s="315"/>
      <c r="C562" s="315"/>
      <c r="D562" s="315"/>
      <c r="E562" s="315"/>
      <c r="F562" s="315"/>
      <c r="G562" s="315"/>
      <c r="H562" s="315"/>
      <c r="I562" s="315"/>
      <c r="J562" s="315"/>
      <c r="K562" s="315"/>
      <c r="L562" s="315"/>
    </row>
    <row r="563" spans="1:12">
      <c r="A563" s="315"/>
      <c r="B563" s="315"/>
      <c r="C563" s="315"/>
      <c r="D563" s="315"/>
      <c r="E563" s="315"/>
      <c r="F563" s="315"/>
      <c r="G563" s="315"/>
      <c r="H563" s="315"/>
      <c r="I563" s="315"/>
      <c r="J563" s="315"/>
      <c r="K563" s="315"/>
      <c r="L563" s="315"/>
    </row>
    <row r="564" spans="1:12">
      <c r="A564" s="315"/>
      <c r="B564" s="315"/>
      <c r="C564" s="315"/>
      <c r="D564" s="315"/>
      <c r="E564" s="315"/>
      <c r="F564" s="315"/>
      <c r="G564" s="315"/>
      <c r="H564" s="315"/>
      <c r="I564" s="315"/>
      <c r="J564" s="315"/>
      <c r="K564" s="315"/>
      <c r="L564" s="315"/>
    </row>
    <row r="565" spans="1:12">
      <c r="A565" s="315"/>
      <c r="B565" s="315"/>
      <c r="C565" s="315"/>
      <c r="D565" s="315"/>
      <c r="E565" s="315"/>
      <c r="F565" s="315"/>
      <c r="G565" s="315"/>
      <c r="H565" s="315"/>
      <c r="I565" s="315"/>
      <c r="J565" s="315"/>
      <c r="K565" s="315"/>
      <c r="L565" s="315"/>
    </row>
    <row r="566" spans="1:12">
      <c r="A566" s="315"/>
      <c r="B566" s="315"/>
      <c r="C566" s="315"/>
      <c r="D566" s="315"/>
      <c r="E566" s="315"/>
      <c r="F566" s="315"/>
      <c r="G566" s="315"/>
      <c r="H566" s="315"/>
      <c r="I566" s="315"/>
      <c r="J566" s="315"/>
      <c r="K566" s="315"/>
      <c r="L566" s="315"/>
    </row>
    <row r="567" spans="1:12">
      <c r="A567" s="315"/>
      <c r="B567" s="315"/>
      <c r="C567" s="315"/>
      <c r="D567" s="315"/>
      <c r="E567" s="315"/>
      <c r="F567" s="315"/>
      <c r="G567" s="315"/>
      <c r="H567" s="315"/>
      <c r="I567" s="315"/>
      <c r="J567" s="315"/>
      <c r="K567" s="315"/>
      <c r="L567" s="315"/>
    </row>
    <row r="568" spans="1:12">
      <c r="A568" s="315"/>
      <c r="B568" s="315"/>
      <c r="C568" s="315"/>
      <c r="D568" s="315"/>
      <c r="E568" s="315"/>
      <c r="F568" s="315"/>
      <c r="G568" s="315"/>
      <c r="H568" s="315"/>
      <c r="I568" s="315"/>
      <c r="J568" s="315"/>
      <c r="K568" s="315"/>
      <c r="L568" s="315"/>
    </row>
    <row r="569" spans="1:12">
      <c r="A569" s="315"/>
      <c r="B569" s="315"/>
      <c r="C569" s="315"/>
      <c r="D569" s="315"/>
      <c r="E569" s="315"/>
      <c r="F569" s="315"/>
      <c r="G569" s="315"/>
      <c r="H569" s="315"/>
      <c r="I569" s="315"/>
      <c r="J569" s="315"/>
      <c r="K569" s="315"/>
      <c r="L569" s="315"/>
    </row>
    <row r="570" spans="1:12">
      <c r="A570" s="315"/>
      <c r="B570" s="315"/>
      <c r="C570" s="315"/>
      <c r="D570" s="315"/>
      <c r="E570" s="315"/>
      <c r="F570" s="315"/>
      <c r="G570" s="315"/>
      <c r="H570" s="315"/>
      <c r="I570" s="315"/>
      <c r="J570" s="315"/>
      <c r="K570" s="315"/>
      <c r="L570" s="315"/>
    </row>
    <row r="571" spans="1:12">
      <c r="A571" s="315"/>
      <c r="B571" s="315"/>
      <c r="C571" s="315"/>
      <c r="D571" s="315"/>
      <c r="E571" s="315"/>
      <c r="F571" s="315"/>
      <c r="G571" s="315"/>
      <c r="H571" s="315"/>
      <c r="I571" s="315"/>
      <c r="J571" s="315"/>
      <c r="K571" s="315"/>
      <c r="L571" s="315"/>
    </row>
    <row r="572" spans="1:12">
      <c r="A572" s="315"/>
      <c r="B572" s="315"/>
      <c r="C572" s="315"/>
      <c r="D572" s="315"/>
      <c r="E572" s="315"/>
      <c r="F572" s="315"/>
      <c r="G572" s="315"/>
      <c r="H572" s="315"/>
      <c r="I572" s="315"/>
      <c r="J572" s="315"/>
      <c r="K572" s="315"/>
      <c r="L572" s="315"/>
    </row>
    <row r="573" spans="1:12">
      <c r="A573" s="315"/>
      <c r="B573" s="315"/>
      <c r="C573" s="315"/>
      <c r="D573" s="315"/>
      <c r="E573" s="315"/>
      <c r="F573" s="315"/>
      <c r="G573" s="315"/>
      <c r="H573" s="315"/>
      <c r="I573" s="315"/>
      <c r="J573" s="315"/>
      <c r="K573" s="315"/>
      <c r="L573" s="315"/>
    </row>
    <row r="574" spans="1:12">
      <c r="A574" s="315"/>
      <c r="B574" s="315"/>
      <c r="C574" s="315"/>
      <c r="D574" s="315"/>
      <c r="E574" s="315"/>
      <c r="F574" s="315"/>
      <c r="G574" s="315"/>
      <c r="H574" s="315"/>
      <c r="I574" s="315"/>
      <c r="J574" s="315"/>
      <c r="K574" s="315"/>
      <c r="L574" s="315"/>
    </row>
    <row r="575" spans="1:12">
      <c r="A575" s="315"/>
      <c r="B575" s="315"/>
      <c r="C575" s="315"/>
      <c r="D575" s="315"/>
      <c r="E575" s="315"/>
      <c r="F575" s="315"/>
      <c r="G575" s="315"/>
      <c r="H575" s="315"/>
      <c r="I575" s="315"/>
      <c r="J575" s="315"/>
      <c r="K575" s="315"/>
      <c r="L575" s="315"/>
    </row>
    <row r="576" spans="1:12">
      <c r="A576" s="315"/>
      <c r="B576" s="315"/>
      <c r="C576" s="315"/>
      <c r="D576" s="315"/>
      <c r="E576" s="315"/>
      <c r="F576" s="315"/>
      <c r="G576" s="315"/>
      <c r="H576" s="315"/>
      <c r="I576" s="315"/>
      <c r="J576" s="315"/>
      <c r="K576" s="315"/>
      <c r="L576" s="315"/>
    </row>
    <row r="577" spans="1:12">
      <c r="A577" s="315"/>
      <c r="B577" s="315"/>
      <c r="C577" s="315"/>
      <c r="D577" s="315"/>
      <c r="E577" s="315"/>
      <c r="F577" s="315"/>
      <c r="G577" s="315"/>
      <c r="H577" s="315"/>
      <c r="I577" s="315"/>
      <c r="J577" s="315"/>
      <c r="K577" s="315"/>
      <c r="L577" s="315"/>
    </row>
    <row r="578" spans="1:12">
      <c r="A578" s="315"/>
      <c r="B578" s="315"/>
      <c r="C578" s="315"/>
      <c r="D578" s="315"/>
      <c r="E578" s="315"/>
      <c r="F578" s="315"/>
      <c r="G578" s="315"/>
      <c r="H578" s="315"/>
      <c r="I578" s="315"/>
      <c r="J578" s="315"/>
      <c r="K578" s="315"/>
      <c r="L578" s="315"/>
    </row>
    <row r="579" spans="1:12">
      <c r="A579" s="315"/>
      <c r="B579" s="315"/>
      <c r="C579" s="315"/>
      <c r="D579" s="315"/>
      <c r="E579" s="315"/>
      <c r="F579" s="315"/>
      <c r="G579" s="315"/>
      <c r="H579" s="315"/>
      <c r="I579" s="315"/>
      <c r="J579" s="315"/>
      <c r="K579" s="315"/>
      <c r="L579" s="315"/>
    </row>
    <row r="580" spans="1:12">
      <c r="A580" s="315"/>
      <c r="B580" s="315"/>
      <c r="C580" s="315"/>
      <c r="D580" s="315"/>
      <c r="E580" s="315"/>
      <c r="F580" s="315"/>
      <c r="G580" s="315"/>
      <c r="H580" s="315"/>
      <c r="I580" s="315"/>
      <c r="J580" s="315"/>
      <c r="K580" s="315"/>
      <c r="L580" s="315"/>
    </row>
    <row r="581" spans="1:12">
      <c r="A581" s="315"/>
      <c r="B581" s="315"/>
      <c r="C581" s="315"/>
      <c r="D581" s="315"/>
      <c r="E581" s="315"/>
      <c r="F581" s="315"/>
      <c r="G581" s="315"/>
      <c r="H581" s="315"/>
      <c r="I581" s="315"/>
      <c r="J581" s="315"/>
      <c r="K581" s="315"/>
      <c r="L581" s="315"/>
    </row>
    <row r="582" spans="1:12">
      <c r="A582" s="315"/>
      <c r="B582" s="315"/>
      <c r="C582" s="315"/>
      <c r="D582" s="315"/>
      <c r="E582" s="315"/>
      <c r="F582" s="315"/>
      <c r="G582" s="315"/>
      <c r="H582" s="315"/>
      <c r="I582" s="315"/>
      <c r="J582" s="315"/>
      <c r="K582" s="315"/>
      <c r="L582" s="315"/>
    </row>
    <row r="583" spans="1:12">
      <c r="A583" s="315"/>
      <c r="B583" s="315"/>
      <c r="C583" s="315"/>
      <c r="D583" s="315"/>
      <c r="E583" s="315"/>
      <c r="F583" s="315"/>
      <c r="G583" s="315"/>
      <c r="H583" s="315"/>
      <c r="I583" s="315"/>
      <c r="J583" s="315"/>
      <c r="K583" s="315"/>
      <c r="L583" s="315"/>
    </row>
    <row r="584" spans="1:12">
      <c r="A584" s="315"/>
      <c r="B584" s="315"/>
      <c r="C584" s="315"/>
      <c r="D584" s="315"/>
      <c r="E584" s="315"/>
      <c r="F584" s="315"/>
      <c r="G584" s="315"/>
      <c r="H584" s="315"/>
      <c r="I584" s="315"/>
      <c r="J584" s="315"/>
      <c r="K584" s="315"/>
      <c r="L584" s="315"/>
    </row>
    <row r="585" spans="1:12">
      <c r="A585" s="315"/>
      <c r="B585" s="315"/>
      <c r="C585" s="315"/>
      <c r="D585" s="315"/>
      <c r="E585" s="315"/>
      <c r="F585" s="315"/>
      <c r="G585" s="315"/>
      <c r="H585" s="315"/>
      <c r="I585" s="315"/>
      <c r="J585" s="315"/>
      <c r="K585" s="315"/>
      <c r="L585" s="315"/>
    </row>
    <row r="586" spans="1:12">
      <c r="A586" s="315"/>
      <c r="B586" s="315"/>
      <c r="C586" s="315"/>
      <c r="D586" s="315"/>
      <c r="E586" s="315"/>
      <c r="F586" s="315"/>
      <c r="G586" s="315"/>
      <c r="H586" s="315"/>
      <c r="I586" s="315"/>
      <c r="J586" s="315"/>
      <c r="K586" s="315"/>
      <c r="L586" s="315"/>
    </row>
    <row r="587" spans="1:12">
      <c r="A587" s="315"/>
      <c r="B587" s="315"/>
      <c r="C587" s="315"/>
      <c r="D587" s="315"/>
      <c r="E587" s="315"/>
      <c r="F587" s="315"/>
      <c r="G587" s="315"/>
      <c r="H587" s="315"/>
      <c r="I587" s="315"/>
      <c r="J587" s="315"/>
      <c r="K587" s="315"/>
      <c r="L587" s="315"/>
    </row>
    <row r="588" spans="1:12">
      <c r="A588" s="315"/>
      <c r="B588" s="315"/>
      <c r="C588" s="315"/>
      <c r="D588" s="315"/>
      <c r="E588" s="315"/>
      <c r="F588" s="315"/>
      <c r="G588" s="315"/>
      <c r="H588" s="315"/>
      <c r="I588" s="315"/>
      <c r="J588" s="315"/>
      <c r="K588" s="315"/>
      <c r="L588" s="315"/>
    </row>
    <row r="589" spans="1:12">
      <c r="A589" s="315"/>
      <c r="B589" s="315"/>
      <c r="C589" s="315"/>
      <c r="D589" s="315"/>
      <c r="E589" s="315"/>
      <c r="F589" s="315"/>
      <c r="G589" s="315"/>
      <c r="H589" s="315"/>
      <c r="I589" s="315"/>
      <c r="J589" s="315"/>
      <c r="K589" s="315"/>
      <c r="L589" s="315"/>
    </row>
    <row r="590" spans="1:12">
      <c r="A590" s="315"/>
      <c r="B590" s="315"/>
      <c r="C590" s="315"/>
      <c r="D590" s="315"/>
      <c r="E590" s="315"/>
      <c r="F590" s="315"/>
      <c r="G590" s="315"/>
      <c r="H590" s="315"/>
      <c r="I590" s="315"/>
      <c r="J590" s="315"/>
      <c r="K590" s="315"/>
      <c r="L590" s="315"/>
    </row>
    <row r="591" spans="1:12">
      <c r="A591" s="315"/>
      <c r="B591" s="315"/>
      <c r="C591" s="315"/>
      <c r="D591" s="315"/>
      <c r="E591" s="315"/>
      <c r="F591" s="315"/>
      <c r="G591" s="315"/>
      <c r="H591" s="315"/>
      <c r="I591" s="315"/>
      <c r="J591" s="315"/>
      <c r="K591" s="315"/>
      <c r="L591" s="315"/>
    </row>
    <row r="592" spans="1:12">
      <c r="A592" s="315"/>
      <c r="B592" s="315"/>
      <c r="C592" s="315"/>
      <c r="D592" s="315"/>
      <c r="E592" s="315"/>
      <c r="F592" s="315"/>
      <c r="G592" s="315"/>
      <c r="H592" s="315"/>
      <c r="I592" s="315"/>
      <c r="J592" s="315"/>
      <c r="K592" s="315"/>
      <c r="L592" s="315"/>
    </row>
    <row r="593" spans="1:12">
      <c r="A593" s="315"/>
      <c r="B593" s="315"/>
      <c r="C593" s="315"/>
      <c r="D593" s="315"/>
      <c r="E593" s="315"/>
      <c r="F593" s="315"/>
      <c r="G593" s="315"/>
      <c r="H593" s="315"/>
      <c r="I593" s="315"/>
      <c r="J593" s="315"/>
      <c r="K593" s="315"/>
      <c r="L593" s="315"/>
    </row>
    <row r="594" spans="1:12">
      <c r="A594" s="315"/>
      <c r="B594" s="315"/>
      <c r="C594" s="315"/>
      <c r="D594" s="315"/>
      <c r="E594" s="315"/>
      <c r="F594" s="315"/>
      <c r="G594" s="315"/>
      <c r="H594" s="315"/>
      <c r="I594" s="315"/>
      <c r="J594" s="315"/>
      <c r="K594" s="315"/>
      <c r="L594" s="315"/>
    </row>
    <row r="595" spans="1:12">
      <c r="A595" s="315"/>
      <c r="B595" s="315"/>
      <c r="C595" s="315"/>
      <c r="D595" s="315"/>
      <c r="E595" s="315"/>
      <c r="F595" s="315"/>
      <c r="G595" s="315"/>
      <c r="H595" s="315"/>
      <c r="I595" s="315"/>
      <c r="J595" s="315"/>
      <c r="K595" s="315"/>
      <c r="L595" s="315"/>
    </row>
    <row r="596" spans="1:12">
      <c r="A596" s="315"/>
      <c r="B596" s="315"/>
      <c r="C596" s="315"/>
      <c r="D596" s="315"/>
      <c r="E596" s="315"/>
      <c r="F596" s="315"/>
      <c r="G596" s="315"/>
      <c r="H596" s="315"/>
      <c r="I596" s="315"/>
      <c r="J596" s="315"/>
      <c r="K596" s="315"/>
      <c r="L596" s="315"/>
    </row>
    <row r="597" spans="1:12">
      <c r="A597" s="315"/>
      <c r="B597" s="315"/>
      <c r="C597" s="315"/>
      <c r="D597" s="315"/>
      <c r="E597" s="315"/>
      <c r="F597" s="315"/>
      <c r="G597" s="315"/>
      <c r="H597" s="315"/>
      <c r="I597" s="315"/>
      <c r="J597" s="315"/>
      <c r="K597" s="315"/>
      <c r="L597" s="315"/>
    </row>
    <row r="598" spans="1:12">
      <c r="A598" s="315"/>
      <c r="B598" s="315"/>
      <c r="C598" s="315"/>
      <c r="D598" s="315"/>
      <c r="E598" s="315"/>
      <c r="F598" s="315"/>
      <c r="G598" s="315"/>
      <c r="H598" s="315"/>
      <c r="I598" s="315"/>
      <c r="J598" s="315"/>
      <c r="K598" s="315"/>
      <c r="L598" s="315"/>
    </row>
    <row r="599" spans="1:12">
      <c r="A599" s="315"/>
      <c r="B599" s="315"/>
      <c r="C599" s="315"/>
      <c r="D599" s="315"/>
      <c r="E599" s="315"/>
      <c r="F599" s="315"/>
      <c r="G599" s="315"/>
      <c r="H599" s="315"/>
      <c r="I599" s="315"/>
      <c r="J599" s="315"/>
      <c r="K599" s="315"/>
      <c r="L599" s="315"/>
    </row>
    <row r="600" spans="1:12">
      <c r="A600" s="315"/>
      <c r="B600" s="315"/>
      <c r="C600" s="315"/>
      <c r="D600" s="315"/>
      <c r="E600" s="315"/>
      <c r="F600" s="315"/>
      <c r="G600" s="315"/>
      <c r="H600" s="315"/>
      <c r="I600" s="315"/>
      <c r="J600" s="315"/>
      <c r="K600" s="315"/>
      <c r="L600" s="315"/>
    </row>
    <row r="601" spans="1:12">
      <c r="A601" s="315"/>
      <c r="B601" s="315"/>
      <c r="C601" s="315"/>
      <c r="D601" s="315"/>
      <c r="E601" s="315"/>
      <c r="F601" s="315"/>
      <c r="G601" s="315"/>
      <c r="H601" s="315"/>
      <c r="I601" s="315"/>
      <c r="J601" s="315"/>
      <c r="K601" s="315"/>
      <c r="L601" s="315"/>
    </row>
    <row r="602" spans="1:12">
      <c r="A602" s="315"/>
      <c r="B602" s="315"/>
      <c r="C602" s="315"/>
      <c r="D602" s="315"/>
      <c r="E602" s="315"/>
      <c r="F602" s="315"/>
      <c r="G602" s="315"/>
      <c r="H602" s="315"/>
      <c r="I602" s="315"/>
      <c r="J602" s="315"/>
      <c r="K602" s="315"/>
      <c r="L602" s="315"/>
    </row>
    <row r="603" spans="1:12">
      <c r="A603" s="315"/>
      <c r="B603" s="315"/>
      <c r="C603" s="315"/>
      <c r="D603" s="315"/>
      <c r="E603" s="315"/>
      <c r="F603" s="315"/>
      <c r="G603" s="315"/>
      <c r="H603" s="315"/>
      <c r="I603" s="315"/>
      <c r="J603" s="315"/>
      <c r="K603" s="315"/>
      <c r="L603" s="315"/>
    </row>
    <row r="604" spans="1:12">
      <c r="A604" s="315"/>
      <c r="B604" s="315"/>
      <c r="C604" s="315"/>
      <c r="D604" s="315"/>
      <c r="E604" s="315"/>
      <c r="F604" s="315"/>
      <c r="G604" s="315"/>
      <c r="H604" s="315"/>
      <c r="I604" s="315"/>
      <c r="J604" s="315"/>
      <c r="K604" s="315"/>
      <c r="L604" s="315"/>
    </row>
    <row r="605" spans="1:12">
      <c r="A605" s="315"/>
      <c r="B605" s="315"/>
      <c r="C605" s="315"/>
      <c r="D605" s="315"/>
      <c r="E605" s="315"/>
      <c r="F605" s="315"/>
      <c r="G605" s="315"/>
      <c r="H605" s="315"/>
      <c r="I605" s="315"/>
      <c r="J605" s="315"/>
      <c r="K605" s="315"/>
      <c r="L605" s="315"/>
    </row>
    <row r="606" spans="1:12">
      <c r="A606" s="315"/>
      <c r="B606" s="315"/>
      <c r="C606" s="315"/>
      <c r="D606" s="315"/>
      <c r="E606" s="315"/>
      <c r="F606" s="315"/>
      <c r="G606" s="315"/>
      <c r="H606" s="315"/>
      <c r="I606" s="315"/>
      <c r="J606" s="315"/>
      <c r="K606" s="315"/>
      <c r="L606" s="315"/>
    </row>
    <row r="607" spans="1:12">
      <c r="A607" s="315"/>
      <c r="B607" s="315"/>
      <c r="C607" s="315"/>
      <c r="D607" s="315"/>
      <c r="E607" s="315"/>
      <c r="F607" s="315"/>
      <c r="G607" s="315"/>
      <c r="H607" s="315"/>
      <c r="I607" s="315"/>
      <c r="J607" s="315"/>
      <c r="K607" s="315"/>
      <c r="L607" s="315"/>
    </row>
    <row r="608" spans="1:12">
      <c r="A608" s="315"/>
      <c r="B608" s="315"/>
      <c r="C608" s="315"/>
      <c r="D608" s="315"/>
      <c r="E608" s="315"/>
      <c r="F608" s="315"/>
      <c r="G608" s="315"/>
      <c r="H608" s="315"/>
      <c r="I608" s="315"/>
      <c r="J608" s="315"/>
      <c r="K608" s="315"/>
      <c r="L608" s="315"/>
    </row>
    <row r="609" spans="1:12">
      <c r="A609" s="315"/>
      <c r="B609" s="315"/>
      <c r="C609" s="315"/>
      <c r="D609" s="315"/>
      <c r="E609" s="315"/>
      <c r="F609" s="315"/>
      <c r="G609" s="315"/>
      <c r="H609" s="315"/>
      <c r="I609" s="315"/>
      <c r="J609" s="315"/>
      <c r="K609" s="315"/>
      <c r="L609" s="315"/>
    </row>
    <row r="610" spans="1:12">
      <c r="A610" s="315"/>
      <c r="B610" s="315"/>
      <c r="C610" s="315"/>
      <c r="D610" s="315"/>
      <c r="E610" s="315"/>
      <c r="F610" s="315"/>
      <c r="G610" s="315"/>
      <c r="H610" s="315"/>
      <c r="I610" s="315"/>
      <c r="J610" s="315"/>
      <c r="K610" s="315"/>
      <c r="L610" s="315"/>
    </row>
    <row r="611" spans="1:12">
      <c r="A611" s="315"/>
      <c r="B611" s="315"/>
      <c r="C611" s="315"/>
      <c r="D611" s="315"/>
      <c r="E611" s="315"/>
      <c r="F611" s="315"/>
      <c r="G611" s="315"/>
      <c r="H611" s="315"/>
      <c r="I611" s="315"/>
      <c r="J611" s="315"/>
      <c r="K611" s="315"/>
      <c r="L611" s="315"/>
    </row>
    <row r="612" spans="1:12">
      <c r="A612" s="315"/>
      <c r="B612" s="315"/>
      <c r="C612" s="315"/>
      <c r="D612" s="315"/>
      <c r="E612" s="315"/>
      <c r="F612" s="315"/>
      <c r="G612" s="315"/>
      <c r="H612" s="315"/>
      <c r="I612" s="315"/>
      <c r="J612" s="315"/>
      <c r="K612" s="315"/>
      <c r="L612" s="315"/>
    </row>
    <row r="613" spans="1:12">
      <c r="A613" s="315"/>
      <c r="B613" s="315"/>
      <c r="C613" s="315"/>
      <c r="D613" s="315"/>
      <c r="E613" s="315"/>
      <c r="F613" s="315"/>
      <c r="G613" s="315"/>
      <c r="H613" s="315"/>
      <c r="I613" s="315"/>
      <c r="J613" s="315"/>
      <c r="K613" s="315"/>
      <c r="L613" s="315"/>
    </row>
    <row r="614" spans="1:12">
      <c r="A614" s="315"/>
      <c r="B614" s="315"/>
      <c r="C614" s="315"/>
      <c r="D614" s="315"/>
      <c r="E614" s="315"/>
      <c r="F614" s="315"/>
      <c r="G614" s="315"/>
      <c r="H614" s="315"/>
      <c r="I614" s="315"/>
      <c r="J614" s="315"/>
      <c r="K614" s="315"/>
      <c r="L614" s="315"/>
    </row>
    <row r="615" spans="1:12">
      <c r="A615" s="315"/>
      <c r="B615" s="315"/>
      <c r="C615" s="315"/>
      <c r="D615" s="315"/>
      <c r="E615" s="315"/>
      <c r="F615" s="315"/>
      <c r="G615" s="315"/>
      <c r="H615" s="315"/>
      <c r="I615" s="315"/>
      <c r="J615" s="315"/>
      <c r="K615" s="315"/>
      <c r="L615" s="315"/>
    </row>
    <row r="616" spans="1:12">
      <c r="A616" s="315"/>
      <c r="B616" s="315"/>
      <c r="C616" s="315"/>
      <c r="D616" s="315"/>
      <c r="E616" s="315"/>
      <c r="F616" s="315"/>
      <c r="G616" s="315"/>
      <c r="H616" s="315"/>
      <c r="I616" s="315"/>
      <c r="J616" s="315"/>
      <c r="K616" s="315"/>
      <c r="L616" s="315"/>
    </row>
    <row r="617" spans="1:12">
      <c r="A617" s="315"/>
      <c r="B617" s="315"/>
      <c r="C617" s="315"/>
      <c r="D617" s="315"/>
      <c r="E617" s="315"/>
      <c r="F617" s="315"/>
      <c r="G617" s="315"/>
      <c r="H617" s="315"/>
      <c r="I617" s="315"/>
      <c r="J617" s="315"/>
      <c r="K617" s="315"/>
      <c r="L617" s="315"/>
    </row>
    <row r="618" spans="1:12">
      <c r="A618" s="315"/>
      <c r="B618" s="315"/>
      <c r="C618" s="315"/>
      <c r="D618" s="315"/>
      <c r="E618" s="315"/>
      <c r="F618" s="315"/>
      <c r="G618" s="315"/>
      <c r="H618" s="315"/>
      <c r="I618" s="315"/>
      <c r="J618" s="315"/>
      <c r="K618" s="315"/>
      <c r="L618" s="315"/>
    </row>
    <row r="619" spans="1:12">
      <c r="A619" s="315"/>
      <c r="B619" s="315"/>
      <c r="C619" s="315"/>
      <c r="D619" s="315"/>
      <c r="E619" s="315"/>
      <c r="F619" s="315"/>
      <c r="G619" s="315"/>
      <c r="H619" s="315"/>
      <c r="I619" s="315"/>
      <c r="J619" s="315"/>
      <c r="K619" s="315"/>
      <c r="L619" s="315"/>
    </row>
    <row r="620" spans="1:12">
      <c r="A620" s="315"/>
      <c r="B620" s="315"/>
      <c r="C620" s="315"/>
      <c r="D620" s="315"/>
      <c r="E620" s="315"/>
      <c r="F620" s="315"/>
      <c r="G620" s="315"/>
      <c r="H620" s="315"/>
      <c r="I620" s="315"/>
      <c r="J620" s="315"/>
      <c r="K620" s="315"/>
      <c r="L620" s="315"/>
    </row>
    <row r="621" spans="1:12">
      <c r="A621" s="315"/>
      <c r="B621" s="315"/>
      <c r="C621" s="315"/>
      <c r="D621" s="315"/>
      <c r="E621" s="315"/>
      <c r="F621" s="315"/>
      <c r="G621" s="315"/>
      <c r="H621" s="315"/>
      <c r="I621" s="315"/>
      <c r="J621" s="315"/>
      <c r="K621" s="315"/>
      <c r="L621" s="315"/>
    </row>
    <row r="622" spans="1:12">
      <c r="A622" s="315"/>
      <c r="B622" s="315"/>
      <c r="C622" s="315"/>
      <c r="D622" s="315"/>
      <c r="E622" s="315"/>
      <c r="F622" s="315"/>
      <c r="G622" s="315"/>
      <c r="H622" s="315"/>
      <c r="I622" s="315"/>
      <c r="J622" s="315"/>
      <c r="K622" s="315"/>
      <c r="L622" s="315"/>
    </row>
    <row r="623" spans="1:12">
      <c r="A623" s="315"/>
      <c r="B623" s="315"/>
      <c r="C623" s="315"/>
      <c r="D623" s="315"/>
      <c r="E623" s="315"/>
      <c r="F623" s="315"/>
      <c r="G623" s="315"/>
      <c r="H623" s="315"/>
      <c r="I623" s="315"/>
      <c r="J623" s="315"/>
      <c r="K623" s="315"/>
      <c r="L623" s="315"/>
    </row>
    <row r="624" spans="1:12">
      <c r="A624" s="315"/>
      <c r="B624" s="315"/>
      <c r="C624" s="315"/>
      <c r="D624" s="315"/>
      <c r="E624" s="315"/>
      <c r="F624" s="315"/>
      <c r="G624" s="315"/>
      <c r="H624" s="315"/>
      <c r="I624" s="315"/>
      <c r="J624" s="315"/>
      <c r="K624" s="315"/>
      <c r="L624" s="315"/>
    </row>
    <row r="625" spans="1:12">
      <c r="A625" s="315"/>
      <c r="B625" s="315"/>
      <c r="C625" s="315"/>
      <c r="D625" s="315"/>
      <c r="E625" s="315"/>
      <c r="F625" s="315"/>
      <c r="G625" s="315"/>
      <c r="H625" s="315"/>
      <c r="I625" s="315"/>
      <c r="J625" s="315"/>
      <c r="K625" s="315"/>
      <c r="L625" s="315"/>
    </row>
    <row r="626" spans="1:12">
      <c r="A626" s="315"/>
      <c r="B626" s="315"/>
      <c r="C626" s="315"/>
      <c r="D626" s="315"/>
      <c r="E626" s="315"/>
      <c r="F626" s="315"/>
      <c r="G626" s="315"/>
      <c r="H626" s="315"/>
      <c r="I626" s="315"/>
      <c r="J626" s="315"/>
      <c r="K626" s="315"/>
      <c r="L626" s="315"/>
    </row>
    <row r="627" spans="1:12">
      <c r="A627" s="315"/>
      <c r="B627" s="315"/>
      <c r="C627" s="315"/>
      <c r="D627" s="315"/>
      <c r="E627" s="315"/>
      <c r="F627" s="315"/>
      <c r="G627" s="315"/>
      <c r="H627" s="315"/>
      <c r="I627" s="315"/>
      <c r="J627" s="315"/>
      <c r="K627" s="315"/>
      <c r="L627" s="315"/>
    </row>
    <row r="628" spans="1:12">
      <c r="A628" s="315"/>
      <c r="B628" s="315"/>
      <c r="C628" s="315"/>
      <c r="D628" s="315"/>
      <c r="E628" s="315"/>
      <c r="F628" s="315"/>
      <c r="G628" s="315"/>
      <c r="H628" s="315"/>
      <c r="I628" s="315"/>
      <c r="J628" s="315"/>
      <c r="K628" s="315"/>
      <c r="L628" s="315"/>
    </row>
    <row r="629" spans="1:12">
      <c r="A629" s="315"/>
      <c r="B629" s="315"/>
      <c r="C629" s="315"/>
      <c r="D629" s="315"/>
      <c r="E629" s="315"/>
      <c r="F629" s="315"/>
      <c r="G629" s="315"/>
      <c r="H629" s="315"/>
      <c r="I629" s="315"/>
      <c r="J629" s="315"/>
      <c r="K629" s="315"/>
      <c r="L629" s="315"/>
    </row>
    <row r="630" spans="1:12">
      <c r="A630" s="315"/>
      <c r="B630" s="315"/>
      <c r="C630" s="315"/>
      <c r="D630" s="315"/>
      <c r="E630" s="315"/>
      <c r="F630" s="315"/>
      <c r="G630" s="315"/>
      <c r="H630" s="315"/>
      <c r="I630" s="315"/>
      <c r="J630" s="315"/>
      <c r="K630" s="315"/>
      <c r="L630" s="315"/>
    </row>
    <row r="631" spans="1:12">
      <c r="A631" s="315"/>
      <c r="B631" s="315"/>
      <c r="C631" s="315"/>
      <c r="D631" s="315"/>
      <c r="E631" s="315"/>
      <c r="F631" s="315"/>
      <c r="G631" s="315"/>
      <c r="H631" s="315"/>
      <c r="I631" s="315"/>
      <c r="J631" s="315"/>
      <c r="K631" s="315"/>
      <c r="L631" s="315"/>
    </row>
    <row r="632" spans="1:12">
      <c r="A632" s="315"/>
      <c r="B632" s="315"/>
      <c r="C632" s="315"/>
      <c r="D632" s="315"/>
      <c r="E632" s="315"/>
      <c r="F632" s="315"/>
      <c r="G632" s="315"/>
      <c r="H632" s="315"/>
      <c r="I632" s="315"/>
      <c r="J632" s="315"/>
      <c r="K632" s="315"/>
      <c r="L632" s="315"/>
    </row>
    <row r="633" spans="1:12">
      <c r="A633" s="315"/>
      <c r="B633" s="315"/>
      <c r="C633" s="315"/>
      <c r="D633" s="315"/>
      <c r="E633" s="315"/>
      <c r="F633" s="315"/>
      <c r="G633" s="315"/>
      <c r="H633" s="315"/>
      <c r="I633" s="315"/>
      <c r="J633" s="315"/>
      <c r="K633" s="315"/>
      <c r="L633" s="315"/>
    </row>
    <row r="634" spans="1:12">
      <c r="A634" s="315"/>
      <c r="B634" s="315"/>
      <c r="C634" s="315"/>
      <c r="D634" s="315"/>
      <c r="E634" s="315"/>
      <c r="F634" s="315"/>
      <c r="G634" s="315"/>
      <c r="H634" s="315"/>
      <c r="I634" s="315"/>
      <c r="J634" s="315"/>
      <c r="K634" s="315"/>
      <c r="L634" s="315"/>
    </row>
    <row r="635" spans="1:12">
      <c r="A635" s="315"/>
      <c r="B635" s="315"/>
      <c r="C635" s="315"/>
      <c r="D635" s="315"/>
      <c r="E635" s="315"/>
      <c r="F635" s="315"/>
      <c r="G635" s="315"/>
      <c r="H635" s="315"/>
      <c r="I635" s="315"/>
      <c r="J635" s="315"/>
      <c r="K635" s="315"/>
      <c r="L635" s="315"/>
    </row>
    <row r="636" spans="1:12">
      <c r="A636" s="315"/>
      <c r="B636" s="315"/>
      <c r="C636" s="315"/>
      <c r="D636" s="315"/>
      <c r="E636" s="315"/>
      <c r="F636" s="315"/>
      <c r="G636" s="315"/>
      <c r="H636" s="315"/>
      <c r="I636" s="315"/>
      <c r="J636" s="315"/>
      <c r="K636" s="315"/>
      <c r="L636" s="315"/>
    </row>
    <row r="637" spans="1:12">
      <c r="A637" s="315"/>
      <c r="B637" s="315"/>
      <c r="C637" s="315"/>
      <c r="D637" s="315"/>
      <c r="E637" s="315"/>
      <c r="F637" s="315"/>
      <c r="G637" s="315"/>
      <c r="H637" s="315"/>
      <c r="I637" s="315"/>
      <c r="J637" s="315"/>
      <c r="K637" s="315"/>
      <c r="L637" s="315"/>
    </row>
    <row r="638" spans="1:12">
      <c r="A638" s="315"/>
      <c r="B638" s="315"/>
      <c r="C638" s="315"/>
      <c r="D638" s="315"/>
      <c r="E638" s="315"/>
      <c r="F638" s="315"/>
      <c r="G638" s="315"/>
      <c r="H638" s="315"/>
      <c r="I638" s="315"/>
      <c r="J638" s="315"/>
      <c r="K638" s="315"/>
      <c r="L638" s="315"/>
    </row>
    <row r="639" spans="1:12">
      <c r="A639" s="315"/>
      <c r="B639" s="315"/>
      <c r="C639" s="315"/>
      <c r="D639" s="315"/>
      <c r="E639" s="315"/>
      <c r="F639" s="315"/>
      <c r="G639" s="315"/>
      <c r="H639" s="315"/>
      <c r="I639" s="315"/>
      <c r="J639" s="315"/>
      <c r="K639" s="315"/>
      <c r="L639" s="315"/>
    </row>
    <row r="640" spans="1:12">
      <c r="A640" s="315"/>
      <c r="B640" s="315"/>
      <c r="C640" s="315"/>
      <c r="D640" s="315"/>
      <c r="E640" s="315"/>
      <c r="F640" s="315"/>
      <c r="G640" s="315"/>
      <c r="H640" s="315"/>
      <c r="I640" s="315"/>
      <c r="J640" s="315"/>
      <c r="K640" s="315"/>
      <c r="L640" s="315"/>
    </row>
    <row r="641" spans="1:12">
      <c r="A641" s="315"/>
      <c r="B641" s="315"/>
      <c r="C641" s="315"/>
      <c r="D641" s="315"/>
      <c r="E641" s="315"/>
      <c r="F641" s="315"/>
      <c r="G641" s="315"/>
      <c r="H641" s="315"/>
      <c r="I641" s="315"/>
      <c r="J641" s="315"/>
      <c r="K641" s="315"/>
      <c r="L641" s="315"/>
    </row>
    <row r="642" spans="1:12">
      <c r="A642" s="315"/>
      <c r="B642" s="315"/>
      <c r="C642" s="315"/>
      <c r="D642" s="315"/>
      <c r="E642" s="315"/>
      <c r="F642" s="315"/>
      <c r="G642" s="315"/>
      <c r="H642" s="315"/>
      <c r="I642" s="315"/>
      <c r="J642" s="315"/>
      <c r="K642" s="315"/>
      <c r="L642" s="315"/>
    </row>
    <row r="643" spans="1:12">
      <c r="A643" s="315"/>
      <c r="B643" s="315"/>
      <c r="C643" s="315"/>
      <c r="D643" s="315"/>
      <c r="E643" s="315"/>
      <c r="F643" s="315"/>
      <c r="G643" s="315"/>
      <c r="H643" s="315"/>
      <c r="I643" s="315"/>
      <c r="J643" s="315"/>
      <c r="K643" s="315"/>
      <c r="L643" s="315"/>
    </row>
    <row r="644" spans="1:12">
      <c r="A644" s="315"/>
      <c r="B644" s="315"/>
      <c r="C644" s="315"/>
      <c r="D644" s="315"/>
      <c r="E644" s="315"/>
      <c r="F644" s="315"/>
      <c r="G644" s="315"/>
      <c r="H644" s="315"/>
      <c r="I644" s="315"/>
      <c r="J644" s="315"/>
      <c r="K644" s="315"/>
      <c r="L644" s="315"/>
    </row>
    <row r="645" spans="1:12">
      <c r="A645" s="315"/>
      <c r="B645" s="315"/>
      <c r="C645" s="315"/>
      <c r="D645" s="315"/>
      <c r="E645" s="315"/>
      <c r="F645" s="315"/>
      <c r="G645" s="315"/>
      <c r="H645" s="315"/>
      <c r="I645" s="315"/>
      <c r="J645" s="315"/>
      <c r="K645" s="315"/>
      <c r="L645" s="315"/>
    </row>
    <row r="646" spans="1:12">
      <c r="A646" s="315"/>
      <c r="B646" s="315"/>
      <c r="C646" s="315"/>
      <c r="D646" s="315"/>
      <c r="E646" s="315"/>
      <c r="F646" s="315"/>
      <c r="G646" s="315"/>
      <c r="H646" s="315"/>
      <c r="I646" s="315"/>
      <c r="J646" s="315"/>
      <c r="K646" s="315"/>
      <c r="L646" s="315"/>
    </row>
    <row r="647" spans="1:12">
      <c r="A647" s="315"/>
      <c r="B647" s="315"/>
      <c r="C647" s="315"/>
      <c r="D647" s="315"/>
      <c r="E647" s="315"/>
      <c r="F647" s="315"/>
      <c r="G647" s="315"/>
      <c r="H647" s="315"/>
      <c r="I647" s="315"/>
      <c r="J647" s="315"/>
      <c r="K647" s="315"/>
      <c r="L647" s="315"/>
    </row>
    <row r="648" spans="1:12">
      <c r="A648" s="315"/>
      <c r="B648" s="315"/>
      <c r="C648" s="315"/>
      <c r="D648" s="315"/>
      <c r="E648" s="315"/>
      <c r="F648" s="315"/>
      <c r="G648" s="315"/>
      <c r="H648" s="315"/>
      <c r="I648" s="315"/>
      <c r="J648" s="315"/>
      <c r="K648" s="315"/>
      <c r="L648" s="315"/>
    </row>
    <row r="649" spans="1:12">
      <c r="A649" s="315"/>
      <c r="B649" s="315"/>
      <c r="C649" s="315"/>
      <c r="D649" s="315"/>
      <c r="E649" s="315"/>
      <c r="F649" s="315"/>
      <c r="G649" s="315"/>
      <c r="H649" s="315"/>
      <c r="I649" s="315"/>
      <c r="J649" s="315"/>
      <c r="K649" s="315"/>
      <c r="L649" s="315"/>
    </row>
    <row r="650" spans="1:12">
      <c r="A650" s="315"/>
      <c r="B650" s="315"/>
      <c r="C650" s="315"/>
      <c r="D650" s="315"/>
      <c r="E650" s="315"/>
      <c r="F650" s="315"/>
      <c r="G650" s="315"/>
      <c r="H650" s="315"/>
      <c r="I650" s="315"/>
      <c r="J650" s="315"/>
      <c r="K650" s="315"/>
      <c r="L650" s="315"/>
    </row>
    <row r="651" spans="1:12">
      <c r="A651" s="315"/>
      <c r="B651" s="315"/>
      <c r="C651" s="315"/>
      <c r="D651" s="315"/>
      <c r="E651" s="315"/>
      <c r="F651" s="315"/>
      <c r="G651" s="315"/>
      <c r="H651" s="315"/>
      <c r="I651" s="315"/>
      <c r="J651" s="315"/>
      <c r="K651" s="315"/>
      <c r="L651" s="315"/>
    </row>
    <row r="652" spans="1:12">
      <c r="A652" s="315"/>
      <c r="B652" s="315"/>
      <c r="C652" s="315"/>
      <c r="D652" s="315"/>
      <c r="E652" s="315"/>
      <c r="F652" s="315"/>
      <c r="G652" s="315"/>
      <c r="H652" s="315"/>
      <c r="I652" s="315"/>
      <c r="J652" s="315"/>
      <c r="K652" s="315"/>
      <c r="L652" s="315"/>
    </row>
    <row r="653" spans="1:12">
      <c r="A653" s="315"/>
      <c r="B653" s="315"/>
      <c r="C653" s="315"/>
      <c r="D653" s="315"/>
      <c r="E653" s="315"/>
      <c r="F653" s="315"/>
      <c r="G653" s="315"/>
      <c r="H653" s="315"/>
      <c r="I653" s="315"/>
      <c r="J653" s="315"/>
      <c r="K653" s="315"/>
      <c r="L653" s="315"/>
    </row>
    <row r="654" spans="1:12">
      <c r="A654" s="315"/>
      <c r="B654" s="315"/>
      <c r="C654" s="315"/>
      <c r="D654" s="315"/>
      <c r="E654" s="315"/>
      <c r="F654" s="315"/>
      <c r="G654" s="315"/>
      <c r="H654" s="315"/>
      <c r="I654" s="315"/>
      <c r="J654" s="315"/>
      <c r="K654" s="315"/>
      <c r="L654" s="315"/>
    </row>
    <row r="655" spans="1:12">
      <c r="A655" s="315"/>
      <c r="B655" s="315"/>
      <c r="C655" s="315"/>
      <c r="D655" s="315"/>
      <c r="E655" s="315"/>
      <c r="F655" s="315"/>
      <c r="G655" s="315"/>
      <c r="H655" s="315"/>
      <c r="I655" s="315"/>
      <c r="J655" s="315"/>
      <c r="K655" s="315"/>
      <c r="L655" s="315"/>
    </row>
    <row r="656" spans="1:12">
      <c r="A656" s="315"/>
      <c r="B656" s="315"/>
      <c r="C656" s="315"/>
      <c r="D656" s="315"/>
      <c r="E656" s="315"/>
      <c r="F656" s="315"/>
      <c r="G656" s="315"/>
      <c r="H656" s="315"/>
      <c r="I656" s="315"/>
      <c r="J656" s="315"/>
      <c r="K656" s="315"/>
      <c r="L656" s="315"/>
    </row>
    <row r="657" spans="1:12">
      <c r="A657" s="315"/>
      <c r="B657" s="315"/>
      <c r="C657" s="315"/>
      <c r="D657" s="315"/>
      <c r="E657" s="315"/>
      <c r="F657" s="315"/>
      <c r="G657" s="315"/>
      <c r="H657" s="315"/>
      <c r="I657" s="315"/>
      <c r="J657" s="315"/>
      <c r="K657" s="315"/>
      <c r="L657" s="315"/>
    </row>
    <row r="658" spans="1:12">
      <c r="A658" s="315"/>
      <c r="B658" s="315"/>
      <c r="C658" s="315"/>
      <c r="D658" s="315"/>
      <c r="E658" s="315"/>
      <c r="F658" s="315"/>
      <c r="G658" s="315"/>
      <c r="H658" s="315"/>
      <c r="I658" s="315"/>
      <c r="J658" s="315"/>
      <c r="K658" s="315"/>
      <c r="L658" s="315"/>
    </row>
    <row r="659" spans="1:12">
      <c r="A659" s="315"/>
      <c r="B659" s="315"/>
      <c r="C659" s="315"/>
      <c r="D659" s="315"/>
      <c r="E659" s="315"/>
      <c r="F659" s="315"/>
      <c r="G659" s="315"/>
      <c r="H659" s="315"/>
      <c r="I659" s="315"/>
      <c r="J659" s="315"/>
      <c r="K659" s="315"/>
      <c r="L659" s="315"/>
    </row>
    <row r="660" spans="1:12">
      <c r="A660" s="315"/>
      <c r="B660" s="315"/>
      <c r="C660" s="315"/>
      <c r="D660" s="315"/>
      <c r="E660" s="315"/>
      <c r="F660" s="315"/>
      <c r="G660" s="315"/>
      <c r="H660" s="315"/>
      <c r="I660" s="315"/>
      <c r="J660" s="315"/>
      <c r="K660" s="315"/>
      <c r="L660" s="315"/>
    </row>
    <row r="661" spans="1:12">
      <c r="A661" s="315"/>
      <c r="B661" s="315"/>
      <c r="C661" s="315"/>
      <c r="D661" s="315"/>
      <c r="E661" s="315"/>
      <c r="F661" s="315"/>
      <c r="G661" s="315"/>
      <c r="H661" s="315"/>
      <c r="I661" s="315"/>
      <c r="J661" s="315"/>
      <c r="K661" s="315"/>
      <c r="L661" s="315"/>
    </row>
    <row r="662" spans="1:12">
      <c r="A662" s="315"/>
      <c r="B662" s="315"/>
      <c r="C662" s="315"/>
      <c r="D662" s="315"/>
      <c r="E662" s="315"/>
      <c r="F662" s="315"/>
      <c r="G662" s="315"/>
      <c r="H662" s="315"/>
      <c r="I662" s="315"/>
      <c r="J662" s="315"/>
      <c r="K662" s="315"/>
      <c r="L662" s="315"/>
    </row>
    <row r="663" spans="1:12">
      <c r="A663" s="315"/>
      <c r="B663" s="315"/>
      <c r="C663" s="315"/>
      <c r="D663" s="315"/>
      <c r="E663" s="315"/>
      <c r="F663" s="315"/>
      <c r="G663" s="315"/>
      <c r="H663" s="315"/>
      <c r="I663" s="315"/>
      <c r="J663" s="315"/>
      <c r="K663" s="315"/>
      <c r="L663" s="315"/>
    </row>
    <row r="664" spans="1:12">
      <c r="A664" s="315"/>
      <c r="B664" s="315"/>
      <c r="C664" s="315"/>
      <c r="D664" s="315"/>
      <c r="E664" s="315"/>
      <c r="F664" s="315"/>
      <c r="G664" s="315"/>
      <c r="H664" s="315"/>
      <c r="I664" s="315"/>
      <c r="J664" s="315"/>
      <c r="K664" s="315"/>
      <c r="L664" s="315"/>
    </row>
    <row r="665" spans="1:12">
      <c r="A665" s="315"/>
      <c r="B665" s="315"/>
      <c r="C665" s="315"/>
      <c r="D665" s="315"/>
      <c r="E665" s="315"/>
      <c r="F665" s="315"/>
      <c r="G665" s="315"/>
      <c r="H665" s="315"/>
      <c r="I665" s="315"/>
      <c r="J665" s="315"/>
      <c r="K665" s="315"/>
      <c r="L665" s="315"/>
    </row>
    <row r="666" spans="1:12">
      <c r="A666" s="315"/>
      <c r="B666" s="315"/>
      <c r="C666" s="315"/>
      <c r="D666" s="315"/>
      <c r="E666" s="315"/>
      <c r="F666" s="315"/>
      <c r="G666" s="315"/>
      <c r="H666" s="315"/>
      <c r="I666" s="315"/>
      <c r="J666" s="315"/>
      <c r="K666" s="315"/>
      <c r="L666" s="315"/>
    </row>
    <row r="667" spans="1:12">
      <c r="A667" s="315"/>
      <c r="B667" s="315"/>
      <c r="C667" s="315"/>
      <c r="D667" s="315"/>
      <c r="E667" s="315"/>
      <c r="F667" s="315"/>
      <c r="G667" s="315"/>
      <c r="H667" s="315"/>
      <c r="I667" s="315"/>
      <c r="J667" s="315"/>
      <c r="K667" s="315"/>
      <c r="L667" s="315"/>
    </row>
    <row r="668" spans="1:12">
      <c r="A668" s="315"/>
      <c r="B668" s="315"/>
      <c r="C668" s="315"/>
      <c r="D668" s="315"/>
      <c r="E668" s="315"/>
      <c r="F668" s="315"/>
      <c r="G668" s="315"/>
      <c r="H668" s="315"/>
      <c r="I668" s="315"/>
      <c r="J668" s="315"/>
      <c r="K668" s="315"/>
      <c r="L668" s="315"/>
    </row>
    <row r="669" spans="1:12">
      <c r="A669" s="315"/>
      <c r="B669" s="315"/>
      <c r="C669" s="315"/>
      <c r="D669" s="315"/>
      <c r="E669" s="315"/>
      <c r="F669" s="315"/>
      <c r="G669" s="315"/>
      <c r="H669" s="315"/>
      <c r="I669" s="315"/>
      <c r="J669" s="315"/>
      <c r="K669" s="315"/>
      <c r="L669" s="315"/>
    </row>
    <row r="670" spans="1:12">
      <c r="A670" s="315"/>
      <c r="B670" s="315"/>
      <c r="C670" s="315"/>
      <c r="D670" s="315"/>
      <c r="E670" s="315"/>
      <c r="F670" s="315"/>
      <c r="G670" s="315"/>
      <c r="H670" s="315"/>
      <c r="I670" s="315"/>
      <c r="J670" s="315"/>
      <c r="K670" s="315"/>
      <c r="L670" s="315"/>
    </row>
    <row r="671" spans="1:12">
      <c r="A671" s="315"/>
      <c r="B671" s="315"/>
      <c r="C671" s="315"/>
      <c r="D671" s="315"/>
      <c r="E671" s="315"/>
      <c r="F671" s="315"/>
      <c r="G671" s="315"/>
      <c r="H671" s="315"/>
      <c r="I671" s="315"/>
      <c r="J671" s="315"/>
      <c r="K671" s="315"/>
      <c r="L671" s="315"/>
    </row>
    <row r="672" spans="1:12">
      <c r="A672" s="315"/>
      <c r="B672" s="315"/>
      <c r="C672" s="315"/>
      <c r="D672" s="315"/>
      <c r="E672" s="315"/>
      <c r="F672" s="315"/>
      <c r="G672" s="315"/>
      <c r="H672" s="315"/>
      <c r="I672" s="315"/>
      <c r="J672" s="315"/>
      <c r="K672" s="315"/>
      <c r="L672" s="315"/>
    </row>
    <row r="673" spans="1:12">
      <c r="A673" s="315"/>
      <c r="B673" s="315"/>
      <c r="C673" s="315"/>
      <c r="D673" s="315"/>
      <c r="E673" s="315"/>
      <c r="F673" s="315"/>
      <c r="G673" s="315"/>
      <c r="H673" s="315"/>
      <c r="I673" s="315"/>
      <c r="J673" s="315"/>
      <c r="K673" s="315"/>
      <c r="L673" s="315"/>
    </row>
    <row r="674" spans="1:12">
      <c r="A674" s="315"/>
      <c r="B674" s="315"/>
      <c r="C674" s="315"/>
      <c r="D674" s="315"/>
      <c r="E674" s="315"/>
      <c r="F674" s="315"/>
      <c r="G674" s="315"/>
      <c r="H674" s="315"/>
      <c r="I674" s="315"/>
      <c r="J674" s="315"/>
      <c r="K674" s="315"/>
      <c r="L674" s="315"/>
    </row>
    <row r="675" spans="1:12">
      <c r="A675" s="315"/>
      <c r="B675" s="315"/>
      <c r="C675" s="315"/>
      <c r="D675" s="315"/>
      <c r="E675" s="315"/>
      <c r="F675" s="315"/>
      <c r="G675" s="315"/>
      <c r="H675" s="315"/>
      <c r="I675" s="315"/>
      <c r="J675" s="315"/>
      <c r="K675" s="315"/>
      <c r="L675" s="315"/>
    </row>
    <row r="676" spans="1:12">
      <c r="A676" s="315"/>
      <c r="B676" s="315"/>
      <c r="C676" s="315"/>
      <c r="D676" s="315"/>
      <c r="E676" s="315"/>
      <c r="F676" s="315"/>
      <c r="G676" s="315"/>
      <c r="H676" s="315"/>
      <c r="I676" s="315"/>
      <c r="J676" s="315"/>
      <c r="K676" s="315"/>
      <c r="L676" s="315"/>
    </row>
    <row r="677" spans="1:12">
      <c r="A677" s="315"/>
      <c r="B677" s="315"/>
      <c r="C677" s="315"/>
      <c r="D677" s="315"/>
      <c r="E677" s="315"/>
      <c r="F677" s="315"/>
      <c r="G677" s="315"/>
      <c r="H677" s="315"/>
      <c r="I677" s="315"/>
      <c r="J677" s="315"/>
      <c r="K677" s="315"/>
      <c r="L677" s="315"/>
    </row>
    <row r="678" spans="1:12">
      <c r="A678" s="315"/>
      <c r="B678" s="315"/>
      <c r="C678" s="315"/>
      <c r="D678" s="315"/>
      <c r="E678" s="315"/>
      <c r="F678" s="315"/>
      <c r="G678" s="315"/>
      <c r="H678" s="315"/>
      <c r="I678" s="315"/>
      <c r="J678" s="315"/>
      <c r="K678" s="315"/>
      <c r="L678" s="315"/>
    </row>
    <row r="679" spans="1:12">
      <c r="A679" s="315"/>
      <c r="B679" s="315"/>
      <c r="C679" s="315"/>
      <c r="D679" s="315"/>
      <c r="E679" s="315"/>
      <c r="F679" s="315"/>
      <c r="G679" s="315"/>
      <c r="H679" s="315"/>
      <c r="I679" s="315"/>
      <c r="J679" s="315"/>
      <c r="K679" s="315"/>
      <c r="L679" s="315"/>
    </row>
    <row r="680" spans="1:12">
      <c r="A680" s="315"/>
      <c r="B680" s="315"/>
      <c r="C680" s="315"/>
      <c r="D680" s="315"/>
      <c r="E680" s="315"/>
      <c r="F680" s="315"/>
      <c r="G680" s="315"/>
      <c r="H680" s="315"/>
      <c r="I680" s="315"/>
      <c r="J680" s="315"/>
      <c r="K680" s="315"/>
      <c r="L680" s="315"/>
    </row>
    <row r="681" spans="1:12">
      <c r="A681" s="315"/>
      <c r="B681" s="315"/>
      <c r="C681" s="315"/>
      <c r="D681" s="315"/>
      <c r="E681" s="315"/>
      <c r="F681" s="315"/>
      <c r="G681" s="315"/>
      <c r="H681" s="315"/>
      <c r="I681" s="315"/>
      <c r="J681" s="315"/>
      <c r="K681" s="315"/>
      <c r="L681" s="315"/>
    </row>
    <row r="682" spans="1:12">
      <c r="A682" s="315"/>
      <c r="B682" s="315"/>
      <c r="C682" s="315"/>
      <c r="D682" s="315"/>
      <c r="E682" s="315"/>
      <c r="F682" s="315"/>
      <c r="G682" s="315"/>
      <c r="H682" s="315"/>
      <c r="I682" s="315"/>
      <c r="J682" s="315"/>
      <c r="K682" s="315"/>
      <c r="L682" s="315"/>
    </row>
    <row r="683" spans="1:12">
      <c r="A683" s="315"/>
      <c r="B683" s="315"/>
      <c r="C683" s="315"/>
      <c r="D683" s="315"/>
      <c r="E683" s="315"/>
      <c r="F683" s="315"/>
      <c r="G683" s="315"/>
      <c r="H683" s="315"/>
      <c r="I683" s="315"/>
      <c r="J683" s="315"/>
      <c r="K683" s="315"/>
      <c r="L683" s="315"/>
    </row>
    <row r="684" spans="1:12">
      <c r="A684" s="315"/>
      <c r="B684" s="315"/>
      <c r="C684" s="315"/>
      <c r="D684" s="315"/>
      <c r="E684" s="315"/>
      <c r="F684" s="315"/>
      <c r="G684" s="315"/>
      <c r="H684" s="315"/>
      <c r="I684" s="315"/>
      <c r="J684" s="315"/>
      <c r="K684" s="315"/>
      <c r="L684" s="315"/>
    </row>
    <row r="685" spans="1:12">
      <c r="A685" s="315"/>
      <c r="B685" s="315"/>
      <c r="C685" s="315"/>
      <c r="D685" s="315"/>
      <c r="E685" s="315"/>
      <c r="F685" s="315"/>
      <c r="G685" s="315"/>
      <c r="H685" s="315"/>
      <c r="I685" s="315"/>
      <c r="J685" s="315"/>
      <c r="K685" s="315"/>
      <c r="L685" s="315"/>
    </row>
    <row r="686" spans="1:12">
      <c r="A686" s="315"/>
      <c r="B686" s="315"/>
      <c r="C686" s="315"/>
      <c r="D686" s="315"/>
      <c r="E686" s="315"/>
      <c r="F686" s="315"/>
      <c r="G686" s="315"/>
      <c r="H686" s="315"/>
      <c r="I686" s="315"/>
      <c r="J686" s="315"/>
      <c r="K686" s="315"/>
      <c r="L686" s="315"/>
    </row>
    <row r="687" spans="1:12">
      <c r="A687" s="315"/>
      <c r="B687" s="315"/>
      <c r="C687" s="315"/>
      <c r="D687" s="315"/>
      <c r="E687" s="315"/>
      <c r="F687" s="315"/>
      <c r="G687" s="315"/>
      <c r="H687" s="315"/>
      <c r="I687" s="315"/>
      <c r="J687" s="315"/>
      <c r="K687" s="315"/>
      <c r="L687" s="315"/>
    </row>
    <row r="688" spans="1:12">
      <c r="A688" s="315"/>
      <c r="B688" s="315"/>
      <c r="C688" s="315"/>
      <c r="D688" s="315"/>
      <c r="E688" s="315"/>
      <c r="F688" s="315"/>
      <c r="G688" s="315"/>
      <c r="H688" s="315"/>
      <c r="I688" s="315"/>
      <c r="J688" s="315"/>
      <c r="K688" s="315"/>
      <c r="L688" s="315"/>
    </row>
    <row r="689" spans="1:12">
      <c r="A689" s="315"/>
      <c r="B689" s="315"/>
      <c r="C689" s="315"/>
      <c r="D689" s="315"/>
      <c r="E689" s="315"/>
      <c r="F689" s="315"/>
      <c r="G689" s="315"/>
      <c r="H689" s="315"/>
      <c r="I689" s="315"/>
      <c r="J689" s="315"/>
      <c r="K689" s="315"/>
      <c r="L689" s="315"/>
    </row>
    <row r="690" spans="1:12">
      <c r="A690" s="315"/>
      <c r="B690" s="315"/>
      <c r="C690" s="315"/>
      <c r="D690" s="315"/>
      <c r="E690" s="315"/>
      <c r="F690" s="315"/>
      <c r="G690" s="315"/>
      <c r="H690" s="315"/>
      <c r="I690" s="315"/>
      <c r="J690" s="315"/>
      <c r="K690" s="315"/>
      <c r="L690" s="315"/>
    </row>
    <row r="691" spans="1:12">
      <c r="A691" s="315"/>
      <c r="B691" s="315"/>
      <c r="C691" s="315"/>
      <c r="D691" s="315"/>
      <c r="E691" s="315"/>
      <c r="F691" s="315"/>
      <c r="G691" s="315"/>
      <c r="H691" s="315"/>
      <c r="I691" s="315"/>
      <c r="J691" s="315"/>
      <c r="K691" s="315"/>
      <c r="L691" s="315"/>
    </row>
    <row r="692" spans="1:12">
      <c r="A692" s="315"/>
      <c r="B692" s="315"/>
      <c r="C692" s="315"/>
      <c r="D692" s="315"/>
      <c r="E692" s="315"/>
      <c r="F692" s="315"/>
      <c r="G692" s="315"/>
      <c r="H692" s="315"/>
      <c r="I692" s="315"/>
      <c r="J692" s="315"/>
      <c r="K692" s="315"/>
      <c r="L692" s="315"/>
    </row>
    <row r="693" spans="1:12">
      <c r="A693" s="315"/>
      <c r="B693" s="315"/>
      <c r="C693" s="315"/>
      <c r="D693" s="315"/>
      <c r="E693" s="315"/>
      <c r="F693" s="315"/>
      <c r="G693" s="315"/>
      <c r="H693" s="315"/>
      <c r="I693" s="315"/>
      <c r="J693" s="315"/>
      <c r="K693" s="315"/>
      <c r="L693" s="315"/>
    </row>
    <row r="694" spans="1:12">
      <c r="A694" s="315"/>
      <c r="B694" s="315"/>
      <c r="C694" s="315"/>
      <c r="D694" s="315"/>
      <c r="E694" s="315"/>
      <c r="F694" s="315"/>
      <c r="G694" s="315"/>
      <c r="H694" s="315"/>
      <c r="I694" s="315"/>
      <c r="J694" s="315"/>
      <c r="K694" s="315"/>
      <c r="L694" s="315"/>
    </row>
    <row r="695" spans="1:12">
      <c r="A695" s="315"/>
      <c r="B695" s="315"/>
      <c r="C695" s="315"/>
      <c r="D695" s="315"/>
      <c r="E695" s="315"/>
      <c r="F695" s="315"/>
      <c r="G695" s="315"/>
      <c r="H695" s="315"/>
      <c r="I695" s="315"/>
      <c r="J695" s="315"/>
      <c r="K695" s="315"/>
      <c r="L695" s="315"/>
    </row>
    <row r="696" spans="1:12">
      <c r="A696" s="315"/>
      <c r="B696" s="315"/>
      <c r="C696" s="315"/>
      <c r="D696" s="315"/>
      <c r="E696" s="315"/>
      <c r="F696" s="315"/>
      <c r="G696" s="315"/>
      <c r="H696" s="315"/>
      <c r="I696" s="315"/>
      <c r="J696" s="315"/>
      <c r="K696" s="315"/>
      <c r="L696" s="315"/>
    </row>
    <row r="697" spans="1:12">
      <c r="A697" s="315"/>
      <c r="B697" s="315"/>
      <c r="C697" s="315"/>
      <c r="D697" s="315"/>
      <c r="E697" s="315"/>
      <c r="F697" s="315"/>
      <c r="G697" s="315"/>
      <c r="H697" s="315"/>
      <c r="I697" s="315"/>
      <c r="J697" s="315"/>
      <c r="K697" s="315"/>
      <c r="L697" s="315"/>
    </row>
    <row r="698" spans="1:12">
      <c r="A698" s="315"/>
      <c r="B698" s="315"/>
      <c r="C698" s="315"/>
      <c r="D698" s="315"/>
      <c r="E698" s="315"/>
      <c r="F698" s="315"/>
      <c r="G698" s="315"/>
      <c r="H698" s="315"/>
      <c r="I698" s="315"/>
      <c r="J698" s="315"/>
      <c r="K698" s="315"/>
      <c r="L698" s="315"/>
    </row>
    <row r="699" spans="1:12">
      <c r="A699" s="315"/>
      <c r="B699" s="315"/>
      <c r="C699" s="315"/>
      <c r="D699" s="315"/>
      <c r="E699" s="315"/>
      <c r="F699" s="315"/>
      <c r="G699" s="315"/>
      <c r="H699" s="315"/>
      <c r="I699" s="315"/>
      <c r="J699" s="315"/>
      <c r="K699" s="315"/>
      <c r="L699" s="315"/>
    </row>
    <row r="700" spans="1:12">
      <c r="A700" s="315"/>
      <c r="B700" s="315"/>
      <c r="C700" s="315"/>
      <c r="D700" s="315"/>
      <c r="E700" s="315"/>
      <c r="F700" s="315"/>
      <c r="G700" s="315"/>
      <c r="H700" s="315"/>
      <c r="I700" s="315"/>
      <c r="J700" s="315"/>
      <c r="K700" s="315"/>
      <c r="L700" s="315"/>
    </row>
    <row r="701" spans="1:12">
      <c r="A701" s="315"/>
      <c r="B701" s="315"/>
      <c r="C701" s="315"/>
      <c r="D701" s="315"/>
      <c r="E701" s="315"/>
      <c r="F701" s="315"/>
      <c r="G701" s="315"/>
      <c r="H701" s="315"/>
      <c r="I701" s="315"/>
      <c r="J701" s="315"/>
      <c r="K701" s="315"/>
      <c r="L701" s="315"/>
    </row>
    <row r="702" spans="1:12">
      <c r="A702" s="315"/>
      <c r="B702" s="315"/>
      <c r="C702" s="315"/>
      <c r="D702" s="315"/>
      <c r="E702" s="315"/>
      <c r="F702" s="315"/>
      <c r="G702" s="315"/>
      <c r="H702" s="315"/>
      <c r="I702" s="315"/>
      <c r="J702" s="315"/>
      <c r="K702" s="315"/>
      <c r="L702" s="315"/>
    </row>
    <row r="703" spans="1:12">
      <c r="A703" s="315"/>
      <c r="B703" s="315"/>
      <c r="C703" s="315"/>
      <c r="D703" s="315"/>
      <c r="E703" s="315"/>
      <c r="F703" s="315"/>
      <c r="G703" s="315"/>
      <c r="H703" s="315"/>
      <c r="I703" s="315"/>
      <c r="J703" s="315"/>
      <c r="K703" s="315"/>
      <c r="L703" s="315"/>
    </row>
    <row r="704" spans="1:12">
      <c r="A704" s="315"/>
      <c r="B704" s="315"/>
      <c r="C704" s="315"/>
      <c r="D704" s="315"/>
      <c r="E704" s="315"/>
      <c r="F704" s="315"/>
      <c r="G704" s="315"/>
      <c r="H704" s="315"/>
      <c r="I704" s="315"/>
      <c r="J704" s="315"/>
      <c r="K704" s="315"/>
      <c r="L704" s="315"/>
    </row>
    <row r="705" spans="1:12">
      <c r="A705" s="315"/>
      <c r="B705" s="315"/>
      <c r="C705" s="315"/>
      <c r="D705" s="315"/>
      <c r="E705" s="315"/>
      <c r="F705" s="315"/>
      <c r="G705" s="315"/>
      <c r="H705" s="315"/>
      <c r="I705" s="315"/>
      <c r="J705" s="315"/>
      <c r="K705" s="315"/>
      <c r="L705" s="315"/>
    </row>
    <row r="706" spans="1:12">
      <c r="A706" s="315"/>
      <c r="B706" s="315"/>
      <c r="C706" s="315"/>
      <c r="D706" s="315"/>
      <c r="E706" s="315"/>
      <c r="F706" s="315"/>
      <c r="G706" s="315"/>
      <c r="H706" s="315"/>
      <c r="I706" s="315"/>
      <c r="J706" s="315"/>
      <c r="K706" s="315"/>
      <c r="L706" s="315"/>
    </row>
    <row r="707" spans="1:12">
      <c r="A707" s="315"/>
      <c r="B707" s="315"/>
      <c r="C707" s="315"/>
      <c r="D707" s="315"/>
      <c r="E707" s="315"/>
      <c r="F707" s="315"/>
      <c r="G707" s="315"/>
      <c r="H707" s="315"/>
      <c r="I707" s="315"/>
      <c r="J707" s="315"/>
      <c r="K707" s="315"/>
      <c r="L707" s="315"/>
    </row>
    <row r="708" spans="1:12">
      <c r="A708" s="315"/>
      <c r="B708" s="315"/>
      <c r="C708" s="315"/>
      <c r="D708" s="315"/>
      <c r="E708" s="315"/>
      <c r="F708" s="315"/>
      <c r="G708" s="315"/>
      <c r="H708" s="315"/>
      <c r="I708" s="315"/>
      <c r="J708" s="315"/>
      <c r="K708" s="315"/>
      <c r="L708" s="315"/>
    </row>
    <row r="709" spans="1:12">
      <c r="A709" s="315"/>
      <c r="B709" s="315"/>
      <c r="C709" s="315"/>
      <c r="D709" s="315"/>
      <c r="E709" s="315"/>
      <c r="F709" s="315"/>
      <c r="G709" s="315"/>
      <c r="H709" s="315"/>
      <c r="I709" s="315"/>
      <c r="J709" s="315"/>
      <c r="K709" s="315"/>
      <c r="L709" s="315"/>
    </row>
    <row r="710" spans="1:12">
      <c r="A710" s="315"/>
      <c r="B710" s="315"/>
      <c r="C710" s="315"/>
      <c r="D710" s="315"/>
      <c r="E710" s="315"/>
      <c r="F710" s="315"/>
      <c r="G710" s="315"/>
      <c r="H710" s="315"/>
      <c r="I710" s="315"/>
      <c r="J710" s="315"/>
      <c r="K710" s="315"/>
      <c r="L710" s="315"/>
    </row>
    <row r="711" spans="1:12">
      <c r="A711" s="315"/>
      <c r="B711" s="315"/>
      <c r="C711" s="315"/>
      <c r="D711" s="315"/>
      <c r="E711" s="315"/>
      <c r="F711" s="315"/>
      <c r="G711" s="315"/>
      <c r="H711" s="315"/>
      <c r="I711" s="315"/>
      <c r="J711" s="315"/>
      <c r="K711" s="315"/>
      <c r="L711" s="315"/>
    </row>
    <row r="712" spans="1:12">
      <c r="A712" s="315"/>
      <c r="B712" s="315"/>
      <c r="C712" s="315"/>
      <c r="D712" s="315"/>
      <c r="E712" s="315"/>
      <c r="F712" s="315"/>
      <c r="G712" s="315"/>
      <c r="H712" s="315"/>
      <c r="I712" s="315"/>
      <c r="J712" s="315"/>
      <c r="K712" s="315"/>
      <c r="L712" s="315"/>
    </row>
    <row r="713" spans="1:12">
      <c r="A713" s="315"/>
      <c r="B713" s="315"/>
      <c r="C713" s="315"/>
      <c r="D713" s="315"/>
      <c r="E713" s="315"/>
      <c r="F713" s="315"/>
      <c r="G713" s="315"/>
      <c r="H713" s="315"/>
      <c r="I713" s="315"/>
      <c r="J713" s="315"/>
      <c r="K713" s="315"/>
      <c r="L713" s="315"/>
    </row>
    <row r="714" spans="1:12">
      <c r="A714" s="315"/>
      <c r="B714" s="315"/>
      <c r="C714" s="315"/>
      <c r="D714" s="315"/>
      <c r="E714" s="315"/>
      <c r="F714" s="315"/>
      <c r="G714" s="315"/>
      <c r="H714" s="315"/>
      <c r="I714" s="315"/>
      <c r="J714" s="315"/>
      <c r="K714" s="315"/>
      <c r="L714" s="315"/>
    </row>
    <row r="715" spans="1:12">
      <c r="A715" s="315"/>
      <c r="B715" s="315"/>
      <c r="C715" s="315"/>
      <c r="D715" s="315"/>
      <c r="E715" s="315"/>
      <c r="F715" s="315"/>
      <c r="G715" s="315"/>
      <c r="H715" s="315"/>
      <c r="I715" s="315"/>
      <c r="J715" s="315"/>
      <c r="K715" s="315"/>
      <c r="L715" s="315"/>
    </row>
    <row r="716" spans="1:12">
      <c r="A716" s="315"/>
      <c r="B716" s="315"/>
      <c r="C716" s="315"/>
      <c r="D716" s="315"/>
      <c r="E716" s="315"/>
      <c r="F716" s="315"/>
      <c r="G716" s="315"/>
      <c r="H716" s="315"/>
      <c r="I716" s="315"/>
      <c r="J716" s="315"/>
      <c r="K716" s="315"/>
      <c r="L716" s="315"/>
    </row>
    <row r="717" spans="1:12">
      <c r="A717" s="315"/>
      <c r="B717" s="315"/>
      <c r="C717" s="315"/>
      <c r="D717" s="315"/>
      <c r="E717" s="315"/>
      <c r="F717" s="315"/>
      <c r="G717" s="315"/>
      <c r="H717" s="315"/>
      <c r="I717" s="315"/>
      <c r="J717" s="315"/>
      <c r="K717" s="315"/>
      <c r="L717" s="315"/>
    </row>
    <row r="718" spans="1:12">
      <c r="A718" s="315"/>
      <c r="B718" s="315"/>
      <c r="C718" s="315"/>
      <c r="D718" s="315"/>
      <c r="E718" s="315"/>
      <c r="F718" s="315"/>
      <c r="G718" s="315"/>
      <c r="H718" s="315"/>
      <c r="I718" s="315"/>
      <c r="J718" s="315"/>
      <c r="K718" s="315"/>
      <c r="L718" s="315"/>
    </row>
    <row r="719" spans="1:12">
      <c r="A719" s="315"/>
      <c r="B719" s="315"/>
      <c r="C719" s="315"/>
      <c r="D719" s="315"/>
      <c r="E719" s="315"/>
      <c r="F719" s="315"/>
      <c r="G719" s="315"/>
      <c r="H719" s="315"/>
      <c r="I719" s="315"/>
      <c r="J719" s="315"/>
      <c r="K719" s="315"/>
      <c r="L719" s="315"/>
    </row>
    <row r="720" spans="1:12">
      <c r="A720" s="315"/>
      <c r="B720" s="315"/>
      <c r="C720" s="315"/>
      <c r="D720" s="315"/>
      <c r="E720" s="315"/>
      <c r="F720" s="315"/>
      <c r="G720" s="315"/>
      <c r="H720" s="315"/>
      <c r="I720" s="315"/>
      <c r="J720" s="315"/>
      <c r="K720" s="315"/>
      <c r="L720" s="315"/>
    </row>
    <row r="721" spans="1:12">
      <c r="A721" s="315"/>
      <c r="B721" s="315"/>
      <c r="C721" s="315"/>
      <c r="D721" s="315"/>
      <c r="E721" s="315"/>
      <c r="F721" s="315"/>
      <c r="G721" s="315"/>
      <c r="H721" s="315"/>
      <c r="I721" s="315"/>
      <c r="J721" s="315"/>
      <c r="K721" s="315"/>
      <c r="L721" s="315"/>
    </row>
    <row r="722" spans="1:12">
      <c r="A722" s="315"/>
      <c r="B722" s="315"/>
      <c r="C722" s="315"/>
      <c r="D722" s="315"/>
      <c r="E722" s="315"/>
      <c r="F722" s="315"/>
      <c r="G722" s="315"/>
      <c r="H722" s="315"/>
      <c r="I722" s="315"/>
      <c r="J722" s="315"/>
      <c r="K722" s="315"/>
      <c r="L722" s="315"/>
    </row>
    <row r="723" spans="1:12">
      <c r="A723" s="315"/>
      <c r="B723" s="315"/>
      <c r="C723" s="315"/>
      <c r="D723" s="315"/>
      <c r="E723" s="315"/>
      <c r="F723" s="315"/>
      <c r="G723" s="315"/>
      <c r="H723" s="315"/>
      <c r="I723" s="315"/>
      <c r="J723" s="315"/>
      <c r="K723" s="315"/>
      <c r="L723" s="315"/>
    </row>
    <row r="724" spans="1:12">
      <c r="A724" s="315"/>
      <c r="B724" s="315"/>
      <c r="C724" s="315"/>
      <c r="D724" s="315"/>
      <c r="E724" s="315"/>
      <c r="F724" s="315"/>
      <c r="G724" s="315"/>
      <c r="H724" s="315"/>
      <c r="I724" s="315"/>
      <c r="J724" s="315"/>
      <c r="K724" s="315"/>
      <c r="L724" s="315"/>
    </row>
    <row r="725" spans="1:12">
      <c r="A725" s="315"/>
      <c r="B725" s="315"/>
      <c r="C725" s="315"/>
      <c r="D725" s="315"/>
      <c r="E725" s="315"/>
      <c r="F725" s="315"/>
      <c r="G725" s="315"/>
      <c r="H725" s="315"/>
      <c r="I725" s="315"/>
      <c r="J725" s="315"/>
      <c r="K725" s="315"/>
      <c r="L725" s="315"/>
    </row>
    <row r="726" spans="1:12">
      <c r="A726" s="315"/>
      <c r="B726" s="315"/>
      <c r="C726" s="315"/>
      <c r="D726" s="315"/>
      <c r="E726" s="315"/>
      <c r="F726" s="315"/>
      <c r="G726" s="315"/>
      <c r="H726" s="315"/>
      <c r="I726" s="315"/>
      <c r="J726" s="315"/>
      <c r="K726" s="315"/>
      <c r="L726" s="315"/>
    </row>
    <row r="727" spans="1:12">
      <c r="A727" s="315"/>
      <c r="B727" s="315"/>
      <c r="C727" s="315"/>
      <c r="D727" s="315"/>
      <c r="E727" s="315"/>
      <c r="F727" s="315"/>
      <c r="G727" s="315"/>
      <c r="H727" s="315"/>
      <c r="I727" s="315"/>
      <c r="J727" s="315"/>
      <c r="K727" s="315"/>
      <c r="L727" s="315"/>
    </row>
    <row r="728" spans="1:12">
      <c r="A728" s="315"/>
      <c r="B728" s="315"/>
      <c r="C728" s="315"/>
      <c r="D728" s="315"/>
      <c r="E728" s="315"/>
      <c r="F728" s="315"/>
      <c r="G728" s="315"/>
      <c r="H728" s="315"/>
      <c r="I728" s="315"/>
      <c r="J728" s="315"/>
      <c r="K728" s="315"/>
      <c r="L728" s="315"/>
    </row>
    <row r="729" spans="1:12">
      <c r="A729" s="315"/>
      <c r="B729" s="315"/>
      <c r="C729" s="315"/>
      <c r="D729" s="315"/>
      <c r="E729" s="315"/>
      <c r="F729" s="315"/>
      <c r="G729" s="315"/>
      <c r="H729" s="315"/>
      <c r="I729" s="315"/>
      <c r="J729" s="315"/>
      <c r="K729" s="315"/>
      <c r="L729" s="315"/>
    </row>
    <row r="730" spans="1:12">
      <c r="A730" s="315"/>
      <c r="B730" s="315"/>
      <c r="C730" s="315"/>
      <c r="D730" s="315"/>
      <c r="E730" s="315"/>
      <c r="F730" s="315"/>
      <c r="G730" s="315"/>
      <c r="H730" s="315"/>
      <c r="I730" s="315"/>
      <c r="J730" s="315"/>
      <c r="K730" s="315"/>
      <c r="L730" s="315"/>
    </row>
    <row r="731" spans="1:12">
      <c r="A731" s="315"/>
      <c r="B731" s="315"/>
      <c r="C731" s="315"/>
      <c r="D731" s="315"/>
      <c r="E731" s="315"/>
      <c r="F731" s="315"/>
      <c r="G731" s="315"/>
      <c r="H731" s="315"/>
      <c r="I731" s="315"/>
      <c r="J731" s="315"/>
      <c r="K731" s="315"/>
      <c r="L731" s="315"/>
    </row>
    <row r="732" spans="1:12">
      <c r="A732" s="315"/>
      <c r="B732" s="315"/>
      <c r="C732" s="315"/>
      <c r="D732" s="315"/>
      <c r="E732" s="315"/>
      <c r="F732" s="315"/>
      <c r="G732" s="315"/>
      <c r="H732" s="315"/>
      <c r="I732" s="315"/>
      <c r="J732" s="315"/>
      <c r="K732" s="315"/>
      <c r="L732" s="315"/>
    </row>
    <row r="733" spans="1:12">
      <c r="A733" s="315"/>
      <c r="B733" s="315"/>
      <c r="C733" s="315"/>
      <c r="D733" s="315"/>
      <c r="E733" s="315"/>
      <c r="F733" s="315"/>
      <c r="G733" s="315"/>
      <c r="H733" s="315"/>
      <c r="I733" s="315"/>
      <c r="J733" s="315"/>
      <c r="K733" s="315"/>
      <c r="L733" s="315"/>
    </row>
    <row r="734" spans="1:12">
      <c r="A734" s="315"/>
      <c r="B734" s="315"/>
      <c r="C734" s="315"/>
      <c r="D734" s="315"/>
      <c r="E734" s="315"/>
      <c r="F734" s="315"/>
      <c r="G734" s="315"/>
      <c r="H734" s="315"/>
      <c r="I734" s="315"/>
      <c r="J734" s="315"/>
      <c r="K734" s="315"/>
      <c r="L734" s="315"/>
    </row>
    <row r="735" spans="1:12">
      <c r="A735" s="315"/>
      <c r="B735" s="315"/>
      <c r="C735" s="315"/>
      <c r="D735" s="315"/>
      <c r="E735" s="315"/>
      <c r="F735" s="315"/>
      <c r="G735" s="315"/>
      <c r="H735" s="315"/>
      <c r="I735" s="315"/>
      <c r="J735" s="315"/>
      <c r="K735" s="315"/>
      <c r="L735" s="315"/>
    </row>
    <row r="736" spans="1:12">
      <c r="A736" s="315"/>
      <c r="B736" s="315"/>
      <c r="C736" s="315"/>
      <c r="D736" s="315"/>
      <c r="E736" s="315"/>
      <c r="F736" s="315"/>
      <c r="G736" s="315"/>
      <c r="H736" s="315"/>
      <c r="I736" s="315"/>
      <c r="J736" s="315"/>
      <c r="K736" s="315"/>
      <c r="L736" s="315"/>
    </row>
    <row r="737" spans="1:12">
      <c r="A737" s="315"/>
      <c r="B737" s="315"/>
      <c r="C737" s="315"/>
      <c r="D737" s="315"/>
      <c r="E737" s="315"/>
      <c r="F737" s="315"/>
      <c r="G737" s="315"/>
      <c r="H737" s="315"/>
      <c r="I737" s="315"/>
      <c r="J737" s="315"/>
      <c r="K737" s="315"/>
      <c r="L737" s="315"/>
    </row>
    <row r="738" spans="1:12">
      <c r="A738" s="315"/>
      <c r="B738" s="315"/>
      <c r="C738" s="315"/>
      <c r="D738" s="315"/>
      <c r="E738" s="315"/>
      <c r="F738" s="315"/>
      <c r="G738" s="315"/>
      <c r="H738" s="315"/>
      <c r="I738" s="315"/>
      <c r="J738" s="315"/>
      <c r="K738" s="315"/>
      <c r="L738" s="315"/>
    </row>
    <row r="739" spans="1:12">
      <c r="A739" s="315"/>
      <c r="B739" s="315"/>
      <c r="C739" s="315"/>
      <c r="D739" s="315"/>
      <c r="E739" s="315"/>
      <c r="F739" s="315"/>
      <c r="G739" s="315"/>
      <c r="H739" s="315"/>
      <c r="I739" s="315"/>
      <c r="J739" s="315"/>
      <c r="K739" s="315"/>
      <c r="L739" s="315"/>
    </row>
    <row r="740" spans="1:12">
      <c r="A740" s="315"/>
      <c r="B740" s="315"/>
      <c r="C740" s="315"/>
      <c r="D740" s="315"/>
      <c r="E740" s="315"/>
      <c r="F740" s="315"/>
      <c r="G740" s="315"/>
      <c r="H740" s="315"/>
      <c r="I740" s="315"/>
      <c r="J740" s="315"/>
      <c r="K740" s="315"/>
      <c r="L740" s="315"/>
    </row>
    <row r="741" spans="1:12">
      <c r="A741" s="315"/>
      <c r="B741" s="315"/>
      <c r="C741" s="315"/>
      <c r="D741" s="315"/>
      <c r="E741" s="315"/>
      <c r="F741" s="315"/>
      <c r="G741" s="315"/>
      <c r="H741" s="315"/>
      <c r="I741" s="315"/>
      <c r="J741" s="315"/>
      <c r="K741" s="315"/>
      <c r="L741" s="315"/>
    </row>
    <row r="742" spans="1:12">
      <c r="A742" s="315"/>
      <c r="B742" s="315"/>
      <c r="C742" s="315"/>
      <c r="D742" s="315"/>
      <c r="E742" s="315"/>
      <c r="F742" s="315"/>
      <c r="G742" s="315"/>
      <c r="H742" s="315"/>
      <c r="I742" s="315"/>
      <c r="J742" s="315"/>
      <c r="K742" s="315"/>
      <c r="L742" s="315"/>
    </row>
    <row r="743" spans="1:12">
      <c r="A743" s="315"/>
      <c r="B743" s="315"/>
      <c r="C743" s="315"/>
      <c r="D743" s="315"/>
      <c r="E743" s="315"/>
      <c r="F743" s="315"/>
      <c r="G743" s="315"/>
      <c r="H743" s="315"/>
      <c r="I743" s="315"/>
      <c r="J743" s="315"/>
      <c r="K743" s="315"/>
      <c r="L743" s="315"/>
    </row>
    <row r="744" spans="1:12">
      <c r="A744" s="315"/>
      <c r="B744" s="315"/>
      <c r="C744" s="315"/>
      <c r="D744" s="315"/>
      <c r="E744" s="315"/>
      <c r="F744" s="315"/>
      <c r="G744" s="315"/>
      <c r="H744" s="315"/>
      <c r="I744" s="315"/>
      <c r="J744" s="315"/>
      <c r="K744" s="315"/>
      <c r="L744" s="315"/>
    </row>
    <row r="745" spans="1:12">
      <c r="A745" s="315"/>
      <c r="B745" s="315"/>
      <c r="C745" s="315"/>
      <c r="D745" s="315"/>
      <c r="E745" s="315"/>
      <c r="F745" s="315"/>
      <c r="G745" s="315"/>
      <c r="H745" s="315"/>
      <c r="I745" s="315"/>
      <c r="J745" s="315"/>
      <c r="K745" s="315"/>
      <c r="L745" s="315"/>
    </row>
    <row r="746" spans="1:12">
      <c r="A746" s="315"/>
      <c r="B746" s="315"/>
      <c r="C746" s="315"/>
      <c r="D746" s="315"/>
      <c r="E746" s="315"/>
      <c r="F746" s="315"/>
      <c r="G746" s="315"/>
      <c r="H746" s="315"/>
      <c r="I746" s="315"/>
      <c r="J746" s="315"/>
      <c r="K746" s="315"/>
      <c r="L746" s="315"/>
    </row>
    <row r="747" spans="1:12">
      <c r="A747" s="315"/>
      <c r="B747" s="315"/>
      <c r="C747" s="315"/>
      <c r="D747" s="315"/>
      <c r="E747" s="315"/>
      <c r="F747" s="315"/>
      <c r="G747" s="315"/>
      <c r="H747" s="315"/>
      <c r="I747" s="315"/>
      <c r="J747" s="315"/>
      <c r="K747" s="315"/>
      <c r="L747" s="315"/>
    </row>
    <row r="748" spans="1:12">
      <c r="A748" s="315"/>
      <c r="B748" s="315"/>
      <c r="C748" s="315"/>
      <c r="D748" s="315"/>
      <c r="E748" s="315"/>
      <c r="F748" s="315"/>
      <c r="G748" s="315"/>
      <c r="H748" s="315"/>
      <c r="I748" s="315"/>
      <c r="J748" s="315"/>
      <c r="K748" s="315"/>
      <c r="L748" s="315"/>
    </row>
    <row r="749" spans="1:12">
      <c r="A749" s="315"/>
      <c r="B749" s="315"/>
      <c r="C749" s="315"/>
      <c r="D749" s="315"/>
      <c r="E749" s="315"/>
      <c r="F749" s="315"/>
      <c r="G749" s="315"/>
      <c r="H749" s="315"/>
      <c r="I749" s="315"/>
      <c r="J749" s="315"/>
      <c r="K749" s="315"/>
      <c r="L749" s="315"/>
    </row>
    <row r="750" spans="1:12">
      <c r="A750" s="315"/>
      <c r="B750" s="315"/>
      <c r="C750" s="315"/>
      <c r="D750" s="315"/>
      <c r="E750" s="315"/>
      <c r="F750" s="315"/>
      <c r="G750" s="315"/>
      <c r="H750" s="315"/>
      <c r="I750" s="315"/>
      <c r="J750" s="315"/>
      <c r="K750" s="315"/>
      <c r="L750" s="315"/>
    </row>
    <row r="751" spans="1:12">
      <c r="A751" s="315"/>
      <c r="B751" s="315"/>
      <c r="C751" s="315"/>
      <c r="D751" s="315"/>
      <c r="E751" s="315"/>
      <c r="F751" s="315"/>
      <c r="G751" s="315"/>
      <c r="H751" s="315"/>
      <c r="I751" s="315"/>
      <c r="J751" s="315"/>
      <c r="K751" s="315"/>
      <c r="L751" s="315"/>
    </row>
    <row r="752" spans="1:12">
      <c r="A752" s="315"/>
      <c r="B752" s="315"/>
      <c r="C752" s="315"/>
      <c r="D752" s="315"/>
      <c r="E752" s="315"/>
      <c r="F752" s="315"/>
      <c r="G752" s="315"/>
      <c r="H752" s="315"/>
      <c r="I752" s="315"/>
      <c r="J752" s="315"/>
      <c r="K752" s="315"/>
      <c r="L752" s="315"/>
    </row>
    <row r="753" spans="1:12">
      <c r="A753" s="315"/>
      <c r="B753" s="315"/>
      <c r="C753" s="315"/>
      <c r="D753" s="315"/>
      <c r="E753" s="315"/>
      <c r="F753" s="315"/>
      <c r="G753" s="315"/>
      <c r="H753" s="315"/>
      <c r="I753" s="315"/>
      <c r="J753" s="315"/>
      <c r="K753" s="315"/>
      <c r="L753" s="315"/>
    </row>
    <row r="754" spans="1:12">
      <c r="A754" s="315"/>
      <c r="B754" s="315"/>
      <c r="C754" s="315"/>
      <c r="D754" s="315"/>
      <c r="E754" s="315"/>
      <c r="F754" s="315"/>
      <c r="G754" s="315"/>
      <c r="H754" s="315"/>
      <c r="I754" s="315"/>
      <c r="J754" s="315"/>
      <c r="K754" s="315"/>
      <c r="L754" s="315"/>
    </row>
    <row r="755" spans="1:12">
      <c r="A755" s="315"/>
      <c r="B755" s="315"/>
      <c r="C755" s="315"/>
      <c r="D755" s="315"/>
      <c r="E755" s="315"/>
      <c r="F755" s="315"/>
      <c r="G755" s="315"/>
      <c r="H755" s="315"/>
      <c r="I755" s="315"/>
      <c r="J755" s="315"/>
      <c r="K755" s="315"/>
      <c r="L755" s="315"/>
    </row>
    <row r="756" spans="1:12">
      <c r="A756" s="315"/>
      <c r="B756" s="315"/>
      <c r="C756" s="315"/>
      <c r="D756" s="315"/>
      <c r="E756" s="315"/>
      <c r="F756" s="315"/>
      <c r="G756" s="315"/>
      <c r="H756" s="315"/>
      <c r="I756" s="315"/>
      <c r="J756" s="315"/>
      <c r="K756" s="315"/>
      <c r="L756" s="315"/>
    </row>
    <row r="757" spans="1:12">
      <c r="A757" s="315"/>
      <c r="B757" s="315"/>
      <c r="C757" s="315"/>
      <c r="D757" s="315"/>
      <c r="E757" s="315"/>
      <c r="F757" s="315"/>
      <c r="G757" s="315"/>
      <c r="H757" s="315"/>
      <c r="I757" s="315"/>
      <c r="J757" s="315"/>
      <c r="K757" s="315"/>
      <c r="L757" s="315"/>
    </row>
    <row r="758" spans="1:12">
      <c r="A758" s="315"/>
      <c r="B758" s="315"/>
      <c r="C758" s="315"/>
      <c r="D758" s="315"/>
      <c r="E758" s="315"/>
      <c r="F758" s="315"/>
      <c r="G758" s="315"/>
      <c r="H758" s="315"/>
      <c r="I758" s="315"/>
      <c r="J758" s="315"/>
      <c r="K758" s="315"/>
      <c r="L758" s="315"/>
    </row>
    <row r="759" spans="1:12">
      <c r="A759" s="315"/>
      <c r="B759" s="315"/>
      <c r="C759" s="315"/>
      <c r="D759" s="315"/>
      <c r="E759" s="315"/>
      <c r="F759" s="315"/>
      <c r="G759" s="315"/>
      <c r="H759" s="315"/>
      <c r="I759" s="315"/>
      <c r="J759" s="315"/>
      <c r="K759" s="315"/>
      <c r="L759" s="315"/>
    </row>
    <row r="760" spans="1:12">
      <c r="A760" s="315"/>
      <c r="B760" s="315"/>
      <c r="C760" s="315"/>
      <c r="D760" s="315"/>
      <c r="E760" s="315"/>
      <c r="F760" s="315"/>
      <c r="G760" s="315"/>
      <c r="H760" s="315"/>
      <c r="I760" s="315"/>
      <c r="J760" s="315"/>
      <c r="K760" s="315"/>
      <c r="L760" s="315"/>
    </row>
    <row r="761" spans="1:12">
      <c r="A761" s="315"/>
      <c r="B761" s="315"/>
      <c r="C761" s="315"/>
      <c r="D761" s="315"/>
      <c r="E761" s="315"/>
      <c r="F761" s="315"/>
      <c r="G761" s="315"/>
      <c r="H761" s="315"/>
      <c r="I761" s="315"/>
      <c r="J761" s="315"/>
      <c r="K761" s="315"/>
      <c r="L761" s="315"/>
    </row>
    <row r="762" spans="1:12">
      <c r="A762" s="315"/>
      <c r="B762" s="315"/>
      <c r="C762" s="315"/>
      <c r="D762" s="315"/>
      <c r="E762" s="315"/>
      <c r="F762" s="315"/>
      <c r="G762" s="315"/>
      <c r="H762" s="315"/>
      <c r="I762" s="315"/>
      <c r="J762" s="315"/>
      <c r="K762" s="315"/>
      <c r="L762" s="315"/>
    </row>
    <row r="763" spans="1:12">
      <c r="A763" s="315"/>
      <c r="B763" s="315"/>
      <c r="C763" s="315"/>
      <c r="D763" s="315"/>
      <c r="E763" s="315"/>
      <c r="F763" s="315"/>
      <c r="G763" s="315"/>
      <c r="H763" s="315"/>
      <c r="I763" s="315"/>
      <c r="J763" s="315"/>
      <c r="K763" s="315"/>
      <c r="L763" s="315"/>
    </row>
    <row r="764" spans="1:12">
      <c r="A764" s="315"/>
      <c r="B764" s="315"/>
      <c r="C764" s="315"/>
      <c r="D764" s="315"/>
      <c r="E764" s="315"/>
      <c r="F764" s="315"/>
      <c r="G764" s="315"/>
      <c r="H764" s="315"/>
      <c r="I764" s="315"/>
      <c r="J764" s="315"/>
      <c r="K764" s="315"/>
      <c r="L764" s="315"/>
    </row>
    <row r="765" spans="1:12">
      <c r="A765" s="315"/>
      <c r="B765" s="315"/>
      <c r="C765" s="315"/>
      <c r="D765" s="315"/>
      <c r="E765" s="315"/>
      <c r="F765" s="315"/>
      <c r="G765" s="315"/>
      <c r="H765" s="315"/>
      <c r="I765" s="315"/>
      <c r="J765" s="315"/>
      <c r="K765" s="315"/>
      <c r="L765" s="315"/>
    </row>
    <row r="766" spans="1:12">
      <c r="A766" s="315"/>
      <c r="B766" s="315"/>
      <c r="C766" s="315"/>
      <c r="D766" s="315"/>
      <c r="E766" s="315"/>
      <c r="F766" s="315"/>
      <c r="G766" s="315"/>
      <c r="H766" s="315"/>
      <c r="I766" s="315"/>
      <c r="J766" s="315"/>
      <c r="K766" s="315"/>
      <c r="L766" s="315"/>
    </row>
    <row r="767" spans="1:12">
      <c r="A767" s="315"/>
      <c r="B767" s="315"/>
      <c r="C767" s="315"/>
      <c r="D767" s="315"/>
      <c r="E767" s="315"/>
      <c r="F767" s="315"/>
      <c r="G767" s="315"/>
      <c r="H767" s="315"/>
      <c r="I767" s="315"/>
      <c r="J767" s="315"/>
      <c r="K767" s="315"/>
      <c r="L767" s="315"/>
    </row>
    <row r="768" spans="1:12">
      <c r="A768" s="315"/>
      <c r="B768" s="315"/>
      <c r="C768" s="315"/>
      <c r="D768" s="315"/>
      <c r="E768" s="315"/>
      <c r="F768" s="315"/>
      <c r="G768" s="315"/>
      <c r="H768" s="315"/>
      <c r="I768" s="315"/>
      <c r="J768" s="315"/>
      <c r="K768" s="315"/>
      <c r="L768" s="315"/>
    </row>
    <row r="769" spans="1:12">
      <c r="A769" s="315"/>
      <c r="B769" s="315"/>
      <c r="C769" s="315"/>
      <c r="D769" s="315"/>
      <c r="E769" s="315"/>
      <c r="F769" s="315"/>
      <c r="G769" s="315"/>
      <c r="H769" s="315"/>
      <c r="I769" s="315"/>
      <c r="J769" s="315"/>
      <c r="K769" s="315"/>
      <c r="L769" s="315"/>
    </row>
    <row r="770" spans="1:12">
      <c r="A770" s="315"/>
      <c r="B770" s="315"/>
      <c r="C770" s="315"/>
      <c r="D770" s="315"/>
      <c r="E770" s="315"/>
      <c r="F770" s="315"/>
      <c r="G770" s="315"/>
      <c r="H770" s="315"/>
      <c r="I770" s="315"/>
      <c r="J770" s="315"/>
      <c r="K770" s="315"/>
      <c r="L770" s="315"/>
    </row>
    <row r="771" spans="1:12">
      <c r="A771" s="315"/>
      <c r="B771" s="315"/>
      <c r="C771" s="315"/>
      <c r="D771" s="315"/>
      <c r="E771" s="315"/>
      <c r="F771" s="315"/>
      <c r="G771" s="315"/>
      <c r="H771" s="315"/>
      <c r="I771" s="315"/>
      <c r="J771" s="315"/>
      <c r="K771" s="315"/>
      <c r="L771" s="315"/>
    </row>
    <row r="772" spans="1:12">
      <c r="A772" s="315"/>
      <c r="B772" s="315"/>
      <c r="C772" s="315"/>
      <c r="D772" s="315"/>
      <c r="E772" s="315"/>
      <c r="F772" s="315"/>
      <c r="G772" s="315"/>
      <c r="H772" s="315"/>
      <c r="I772" s="315"/>
      <c r="J772" s="315"/>
      <c r="K772" s="315"/>
      <c r="L772" s="315"/>
    </row>
    <row r="773" spans="1:12">
      <c r="A773" s="315"/>
      <c r="B773" s="315"/>
      <c r="C773" s="315"/>
      <c r="D773" s="315"/>
      <c r="E773" s="315"/>
      <c r="F773" s="315"/>
      <c r="G773" s="315"/>
      <c r="H773" s="315"/>
      <c r="I773" s="315"/>
      <c r="J773" s="315"/>
      <c r="K773" s="315"/>
      <c r="L773" s="315"/>
    </row>
    <row r="774" spans="1:12">
      <c r="A774" s="315"/>
      <c r="B774" s="315"/>
      <c r="C774" s="315"/>
      <c r="D774" s="315"/>
      <c r="E774" s="315"/>
      <c r="F774" s="315"/>
      <c r="G774" s="315"/>
      <c r="H774" s="315"/>
      <c r="I774" s="315"/>
      <c r="J774" s="315"/>
      <c r="K774" s="315"/>
      <c r="L774" s="315"/>
    </row>
    <row r="775" spans="1:12">
      <c r="A775" s="315"/>
      <c r="B775" s="315"/>
      <c r="C775" s="315"/>
      <c r="D775" s="315"/>
      <c r="E775" s="315"/>
      <c r="F775" s="315"/>
      <c r="G775" s="315"/>
      <c r="H775" s="315"/>
      <c r="I775" s="315"/>
      <c r="J775" s="315"/>
      <c r="K775" s="315"/>
      <c r="L775" s="315"/>
    </row>
    <row r="776" spans="1:12">
      <c r="A776" s="315"/>
      <c r="B776" s="315"/>
      <c r="C776" s="315"/>
      <c r="D776" s="315"/>
      <c r="E776" s="315"/>
      <c r="F776" s="315"/>
      <c r="G776" s="315"/>
      <c r="H776" s="315"/>
      <c r="I776" s="315"/>
      <c r="J776" s="315"/>
      <c r="K776" s="315"/>
      <c r="L776" s="315"/>
    </row>
    <row r="777" spans="1:12">
      <c r="A777" s="315"/>
      <c r="B777" s="315"/>
      <c r="C777" s="315"/>
      <c r="D777" s="315"/>
      <c r="E777" s="315"/>
      <c r="F777" s="315"/>
      <c r="G777" s="315"/>
      <c r="H777" s="315"/>
      <c r="I777" s="315"/>
      <c r="J777" s="315"/>
      <c r="K777" s="315"/>
      <c r="L777" s="315"/>
    </row>
    <row r="778" spans="1:12">
      <c r="A778" s="315"/>
      <c r="B778" s="315"/>
      <c r="C778" s="315"/>
      <c r="D778" s="315"/>
      <c r="E778" s="315"/>
      <c r="F778" s="315"/>
      <c r="G778" s="315"/>
      <c r="H778" s="315"/>
      <c r="I778" s="315"/>
      <c r="J778" s="315"/>
      <c r="K778" s="315"/>
      <c r="L778" s="315"/>
    </row>
    <row r="779" spans="1:12">
      <c r="A779" s="315"/>
      <c r="B779" s="315"/>
      <c r="C779" s="315"/>
      <c r="D779" s="315"/>
      <c r="E779" s="315"/>
      <c r="F779" s="315"/>
      <c r="G779" s="315"/>
      <c r="H779" s="315"/>
      <c r="I779" s="315"/>
      <c r="J779" s="315"/>
      <c r="K779" s="315"/>
      <c r="L779" s="315"/>
    </row>
    <row r="780" spans="1:12">
      <c r="A780" s="315"/>
      <c r="B780" s="315"/>
      <c r="C780" s="315"/>
      <c r="D780" s="315"/>
      <c r="E780" s="315"/>
      <c r="F780" s="315"/>
      <c r="G780" s="315"/>
      <c r="H780" s="315"/>
      <c r="I780" s="315"/>
      <c r="J780" s="315"/>
      <c r="K780" s="315"/>
      <c r="L780" s="315"/>
    </row>
    <row r="781" spans="1:12">
      <c r="A781" s="315"/>
      <c r="B781" s="315"/>
      <c r="C781" s="315"/>
      <c r="D781" s="315"/>
      <c r="E781" s="315"/>
      <c r="F781" s="315"/>
      <c r="G781" s="315"/>
      <c r="H781" s="315"/>
      <c r="I781" s="315"/>
      <c r="J781" s="315"/>
      <c r="K781" s="315"/>
      <c r="L781" s="315"/>
    </row>
    <row r="782" spans="1:12">
      <c r="A782" s="315"/>
      <c r="B782" s="315"/>
      <c r="C782" s="315"/>
      <c r="D782" s="315"/>
      <c r="E782" s="315"/>
      <c r="F782" s="315"/>
      <c r="G782" s="315"/>
      <c r="H782" s="315"/>
      <c r="I782" s="315"/>
      <c r="J782" s="315"/>
      <c r="K782" s="315"/>
      <c r="L782" s="315"/>
    </row>
    <row r="783" spans="1:12">
      <c r="A783" s="315"/>
      <c r="B783" s="315"/>
      <c r="C783" s="315"/>
      <c r="D783" s="315"/>
      <c r="E783" s="315"/>
      <c r="F783" s="315"/>
      <c r="G783" s="315"/>
      <c r="H783" s="315"/>
      <c r="I783" s="315"/>
      <c r="J783" s="315"/>
      <c r="K783" s="315"/>
      <c r="L783" s="315"/>
    </row>
    <row r="784" spans="1:12">
      <c r="A784" s="315"/>
      <c r="B784" s="315"/>
      <c r="C784" s="315"/>
      <c r="D784" s="315"/>
      <c r="E784" s="315"/>
      <c r="F784" s="315"/>
      <c r="G784" s="315"/>
      <c r="H784" s="315"/>
      <c r="I784" s="315"/>
      <c r="J784" s="315"/>
      <c r="K784" s="315"/>
      <c r="L784" s="315"/>
    </row>
    <row r="785" spans="1:12">
      <c r="A785" s="315"/>
      <c r="B785" s="315"/>
      <c r="C785" s="315"/>
      <c r="D785" s="315"/>
      <c r="E785" s="315"/>
      <c r="F785" s="315"/>
      <c r="G785" s="315"/>
      <c r="H785" s="315"/>
      <c r="I785" s="315"/>
      <c r="J785" s="315"/>
      <c r="K785" s="315"/>
      <c r="L785" s="315"/>
    </row>
    <row r="786" spans="1:12">
      <c r="A786" s="315"/>
      <c r="B786" s="315"/>
      <c r="C786" s="315"/>
      <c r="D786" s="315"/>
      <c r="E786" s="315"/>
      <c r="F786" s="315"/>
      <c r="G786" s="315"/>
      <c r="H786" s="315"/>
      <c r="I786" s="315"/>
      <c r="J786" s="315"/>
      <c r="K786" s="315"/>
      <c r="L786" s="315"/>
    </row>
    <row r="787" spans="1:12">
      <c r="A787" s="315"/>
      <c r="B787" s="315"/>
      <c r="C787" s="315"/>
      <c r="D787" s="315"/>
      <c r="E787" s="315"/>
      <c r="F787" s="315"/>
      <c r="G787" s="315"/>
      <c r="H787" s="315"/>
      <c r="I787" s="315"/>
      <c r="J787" s="315"/>
      <c r="K787" s="315"/>
      <c r="L787" s="315"/>
    </row>
    <row r="788" spans="1:12">
      <c r="A788" s="315"/>
      <c r="B788" s="315"/>
      <c r="C788" s="315"/>
      <c r="D788" s="315"/>
      <c r="E788" s="315"/>
      <c r="F788" s="315"/>
      <c r="G788" s="315"/>
      <c r="H788" s="315"/>
      <c r="I788" s="315"/>
      <c r="J788" s="315"/>
      <c r="K788" s="315"/>
      <c r="L788" s="315"/>
    </row>
    <row r="789" spans="1:12">
      <c r="A789" s="315"/>
      <c r="B789" s="315"/>
      <c r="C789" s="315"/>
      <c r="D789" s="315"/>
      <c r="E789" s="315"/>
      <c r="F789" s="315"/>
      <c r="G789" s="315"/>
      <c r="H789" s="315"/>
      <c r="I789" s="315"/>
      <c r="J789" s="315"/>
      <c r="K789" s="315"/>
      <c r="L789" s="315"/>
    </row>
    <row r="790" spans="1:12">
      <c r="A790" s="315"/>
      <c r="B790" s="315"/>
      <c r="C790" s="315"/>
      <c r="D790" s="315"/>
      <c r="E790" s="315"/>
      <c r="F790" s="315"/>
      <c r="G790" s="315"/>
      <c r="H790" s="315"/>
      <c r="I790" s="315"/>
      <c r="J790" s="315"/>
      <c r="K790" s="315"/>
      <c r="L790" s="315"/>
    </row>
    <row r="791" spans="1:12">
      <c r="A791" s="315"/>
      <c r="B791" s="315"/>
      <c r="C791" s="315"/>
      <c r="D791" s="315"/>
      <c r="E791" s="315"/>
      <c r="F791" s="315"/>
      <c r="G791" s="315"/>
      <c r="H791" s="315"/>
      <c r="I791" s="315"/>
      <c r="J791" s="315"/>
      <c r="K791" s="315"/>
      <c r="L791" s="315"/>
    </row>
    <row r="792" spans="1:12">
      <c r="A792" s="315"/>
      <c r="B792" s="315"/>
      <c r="C792" s="315"/>
      <c r="D792" s="315"/>
      <c r="E792" s="315"/>
      <c r="F792" s="315"/>
      <c r="G792" s="315"/>
      <c r="H792" s="315"/>
      <c r="I792" s="315"/>
      <c r="J792" s="315"/>
      <c r="K792" s="315"/>
      <c r="L792" s="315"/>
    </row>
    <row r="793" spans="1:12">
      <c r="A793" s="315"/>
      <c r="B793" s="315"/>
      <c r="C793" s="315"/>
      <c r="D793" s="315"/>
      <c r="E793" s="315"/>
      <c r="F793" s="315"/>
      <c r="G793" s="315"/>
      <c r="H793" s="315"/>
      <c r="I793" s="315"/>
      <c r="J793" s="315"/>
      <c r="K793" s="315"/>
      <c r="L793" s="315"/>
    </row>
    <row r="794" spans="1:12">
      <c r="A794" s="315"/>
      <c r="B794" s="315"/>
      <c r="C794" s="315"/>
      <c r="D794" s="315"/>
      <c r="E794" s="315"/>
      <c r="F794" s="315"/>
      <c r="G794" s="315"/>
      <c r="H794" s="315"/>
      <c r="I794" s="315"/>
      <c r="J794" s="315"/>
      <c r="K794" s="315"/>
      <c r="L794" s="315"/>
    </row>
    <row r="795" spans="1:12">
      <c r="A795" s="315"/>
      <c r="B795" s="315"/>
      <c r="C795" s="315"/>
      <c r="D795" s="315"/>
      <c r="E795" s="315"/>
      <c r="F795" s="315"/>
      <c r="G795" s="315"/>
      <c r="H795" s="315"/>
      <c r="I795" s="315"/>
      <c r="J795" s="315"/>
      <c r="K795" s="315"/>
      <c r="L795" s="315"/>
    </row>
    <row r="796" spans="1:12">
      <c r="A796" s="315"/>
      <c r="B796" s="315"/>
      <c r="C796" s="315"/>
      <c r="D796" s="315"/>
      <c r="E796" s="315"/>
      <c r="F796" s="315"/>
      <c r="G796" s="315"/>
      <c r="H796" s="315"/>
      <c r="I796" s="315"/>
      <c r="J796" s="315"/>
      <c r="K796" s="315"/>
      <c r="L796" s="315"/>
    </row>
    <row r="797" spans="1:12">
      <c r="A797" s="315"/>
      <c r="B797" s="315"/>
      <c r="C797" s="315"/>
      <c r="D797" s="315"/>
      <c r="E797" s="315"/>
      <c r="F797" s="315"/>
      <c r="G797" s="315"/>
      <c r="H797" s="315"/>
      <c r="I797" s="315"/>
      <c r="J797" s="315"/>
      <c r="K797" s="315"/>
      <c r="L797" s="315"/>
    </row>
    <row r="798" spans="1:12">
      <c r="A798" s="315"/>
      <c r="B798" s="315"/>
      <c r="C798" s="315"/>
      <c r="D798" s="315"/>
      <c r="E798" s="315"/>
      <c r="F798" s="315"/>
      <c r="G798" s="315"/>
      <c r="H798" s="315"/>
      <c r="I798" s="315"/>
      <c r="J798" s="315"/>
      <c r="K798" s="315"/>
      <c r="L798" s="315"/>
    </row>
    <row r="799" spans="1:12">
      <c r="A799" s="315"/>
      <c r="B799" s="315"/>
      <c r="C799" s="315"/>
      <c r="D799" s="315"/>
      <c r="E799" s="315"/>
      <c r="F799" s="315"/>
      <c r="G799" s="315"/>
      <c r="H799" s="315"/>
      <c r="I799" s="315"/>
      <c r="J799" s="315"/>
      <c r="K799" s="315"/>
      <c r="L799" s="315"/>
    </row>
    <row r="800" spans="1:12">
      <c r="A800" s="315"/>
      <c r="B800" s="315"/>
      <c r="C800" s="315"/>
      <c r="D800" s="315"/>
      <c r="E800" s="315"/>
      <c r="F800" s="315"/>
      <c r="G800" s="315"/>
      <c r="H800" s="315"/>
      <c r="I800" s="315"/>
      <c r="J800" s="315"/>
      <c r="K800" s="315"/>
      <c r="L800" s="315"/>
    </row>
    <row r="801" spans="1:12">
      <c r="A801" s="315"/>
      <c r="B801" s="315"/>
      <c r="C801" s="315"/>
      <c r="D801" s="315"/>
      <c r="E801" s="315"/>
      <c r="F801" s="315"/>
      <c r="G801" s="315"/>
      <c r="H801" s="315"/>
      <c r="I801" s="315"/>
      <c r="J801" s="315"/>
      <c r="K801" s="315"/>
      <c r="L801" s="315"/>
    </row>
    <row r="802" spans="1:12">
      <c r="A802" s="315"/>
      <c r="B802" s="315"/>
      <c r="C802" s="315"/>
      <c r="D802" s="315"/>
      <c r="E802" s="315"/>
      <c r="F802" s="315"/>
      <c r="G802" s="315"/>
      <c r="H802" s="315"/>
      <c r="I802" s="315"/>
      <c r="J802" s="315"/>
      <c r="K802" s="315"/>
      <c r="L802" s="315"/>
    </row>
    <row r="803" spans="1:12">
      <c r="A803" s="315"/>
      <c r="B803" s="315"/>
      <c r="C803" s="315"/>
      <c r="D803" s="315"/>
      <c r="E803" s="315"/>
      <c r="F803" s="315"/>
      <c r="G803" s="315"/>
      <c r="H803" s="315"/>
      <c r="I803" s="315"/>
      <c r="J803" s="315"/>
      <c r="K803" s="315"/>
      <c r="L803" s="315"/>
    </row>
    <row r="804" spans="1:12">
      <c r="A804" s="315"/>
      <c r="B804" s="315"/>
      <c r="C804" s="315"/>
      <c r="D804" s="315"/>
      <c r="E804" s="315"/>
      <c r="F804" s="315"/>
      <c r="G804" s="315"/>
      <c r="H804" s="315"/>
      <c r="I804" s="315"/>
      <c r="J804" s="315"/>
      <c r="K804" s="315"/>
      <c r="L804" s="315"/>
    </row>
    <row r="805" spans="1:12">
      <c r="A805" s="315"/>
      <c r="B805" s="315"/>
      <c r="C805" s="315"/>
      <c r="D805" s="315"/>
      <c r="E805" s="315"/>
      <c r="F805" s="315"/>
      <c r="G805" s="315"/>
      <c r="H805" s="315"/>
      <c r="I805" s="315"/>
      <c r="J805" s="315"/>
      <c r="K805" s="315"/>
      <c r="L805" s="315"/>
    </row>
    <row r="806" spans="1:12">
      <c r="A806" s="315"/>
      <c r="B806" s="315"/>
      <c r="C806" s="315"/>
      <c r="D806" s="315"/>
      <c r="E806" s="315"/>
      <c r="F806" s="315"/>
      <c r="G806" s="315"/>
      <c r="H806" s="315"/>
      <c r="I806" s="315"/>
      <c r="J806" s="315"/>
      <c r="K806" s="315"/>
      <c r="L806" s="315"/>
    </row>
    <row r="807" spans="1:12">
      <c r="A807" s="315"/>
      <c r="B807" s="315"/>
      <c r="C807" s="315"/>
      <c r="D807" s="315"/>
      <c r="E807" s="315"/>
      <c r="F807" s="315"/>
      <c r="G807" s="315"/>
      <c r="H807" s="315"/>
      <c r="I807" s="315"/>
      <c r="J807" s="315"/>
      <c r="K807" s="315"/>
      <c r="L807" s="315"/>
    </row>
    <row r="808" spans="1:12">
      <c r="A808" s="315"/>
      <c r="B808" s="315"/>
      <c r="C808" s="315"/>
      <c r="D808" s="315"/>
      <c r="E808" s="315"/>
      <c r="F808" s="315"/>
      <c r="G808" s="315"/>
      <c r="H808" s="315"/>
      <c r="I808" s="315"/>
      <c r="J808" s="315"/>
      <c r="K808" s="315"/>
      <c r="L808" s="315"/>
    </row>
    <row r="809" spans="1:12">
      <c r="A809" s="315"/>
      <c r="B809" s="315"/>
      <c r="C809" s="315"/>
      <c r="D809" s="315"/>
      <c r="E809" s="315"/>
      <c r="F809" s="315"/>
      <c r="G809" s="315"/>
      <c r="H809" s="315"/>
      <c r="I809" s="315"/>
      <c r="J809" s="315"/>
      <c r="K809" s="315"/>
      <c r="L809" s="315"/>
    </row>
    <row r="810" spans="1:12">
      <c r="A810" s="315"/>
      <c r="B810" s="315"/>
      <c r="C810" s="315"/>
      <c r="D810" s="315"/>
      <c r="E810" s="315"/>
      <c r="F810" s="315"/>
      <c r="G810" s="315"/>
      <c r="H810" s="315"/>
      <c r="I810" s="315"/>
      <c r="J810" s="315"/>
      <c r="K810" s="315"/>
      <c r="L810" s="315"/>
    </row>
    <row r="811" spans="1:12">
      <c r="A811" s="315"/>
      <c r="B811" s="315"/>
      <c r="C811" s="315"/>
      <c r="D811" s="315"/>
      <c r="E811" s="315"/>
      <c r="F811" s="315"/>
      <c r="G811" s="315"/>
      <c r="H811" s="315"/>
      <c r="I811" s="315"/>
      <c r="J811" s="315"/>
      <c r="K811" s="315"/>
      <c r="L811" s="315"/>
    </row>
    <row r="812" spans="1:12">
      <c r="A812" s="315"/>
      <c r="B812" s="315"/>
      <c r="C812" s="315"/>
      <c r="D812" s="315"/>
      <c r="E812" s="315"/>
      <c r="F812" s="315"/>
      <c r="G812" s="315"/>
      <c r="H812" s="315"/>
      <c r="I812" s="315"/>
      <c r="J812" s="315"/>
      <c r="K812" s="315"/>
      <c r="L812" s="315"/>
    </row>
    <row r="813" spans="1:12">
      <c r="A813" s="315"/>
      <c r="B813" s="315"/>
      <c r="C813" s="315"/>
      <c r="D813" s="315"/>
      <c r="E813" s="315"/>
      <c r="F813" s="315"/>
      <c r="G813" s="315"/>
      <c r="H813" s="315"/>
      <c r="I813" s="315"/>
      <c r="J813" s="315"/>
      <c r="K813" s="315"/>
      <c r="L813" s="315"/>
    </row>
    <row r="814" spans="1:12">
      <c r="A814" s="315"/>
      <c r="B814" s="315"/>
      <c r="C814" s="315"/>
      <c r="D814" s="315"/>
      <c r="E814" s="315"/>
      <c r="F814" s="315"/>
      <c r="G814" s="315"/>
      <c r="H814" s="315"/>
      <c r="I814" s="315"/>
      <c r="J814" s="315"/>
      <c r="K814" s="315"/>
      <c r="L814" s="315"/>
    </row>
    <row r="815" spans="1:12">
      <c r="A815" s="315"/>
      <c r="B815" s="315"/>
      <c r="C815" s="315"/>
      <c r="D815" s="315"/>
      <c r="E815" s="315"/>
      <c r="F815" s="315"/>
      <c r="G815" s="315"/>
      <c r="H815" s="315"/>
      <c r="I815" s="315"/>
      <c r="J815" s="315"/>
      <c r="K815" s="315"/>
      <c r="L815" s="315"/>
    </row>
    <row r="816" spans="1:12">
      <c r="A816" s="315"/>
      <c r="B816" s="315"/>
      <c r="C816" s="315"/>
      <c r="D816" s="315"/>
      <c r="E816" s="315"/>
      <c r="F816" s="315"/>
      <c r="G816" s="315"/>
      <c r="H816" s="315"/>
      <c r="I816" s="315"/>
      <c r="J816" s="315"/>
      <c r="K816" s="315"/>
      <c r="L816" s="315"/>
    </row>
    <row r="817" spans="1:12">
      <c r="A817" s="315"/>
      <c r="B817" s="315"/>
      <c r="C817" s="315"/>
      <c r="D817" s="315"/>
      <c r="E817" s="315"/>
      <c r="F817" s="315"/>
      <c r="G817" s="315"/>
      <c r="H817" s="315"/>
      <c r="I817" s="315"/>
      <c r="J817" s="315"/>
      <c r="K817" s="315"/>
      <c r="L817" s="315"/>
    </row>
    <row r="818" spans="1:12">
      <c r="A818" s="315"/>
      <c r="B818" s="315"/>
      <c r="C818" s="315"/>
      <c r="D818" s="315"/>
      <c r="E818" s="315"/>
      <c r="F818" s="315"/>
      <c r="G818" s="315"/>
      <c r="H818" s="315"/>
      <c r="I818" s="315"/>
      <c r="J818" s="315"/>
      <c r="K818" s="315"/>
      <c r="L818" s="315"/>
    </row>
    <row r="819" spans="1:12">
      <c r="A819" s="315"/>
      <c r="B819" s="315"/>
      <c r="C819" s="315"/>
      <c r="D819" s="315"/>
      <c r="E819" s="315"/>
      <c r="F819" s="315"/>
      <c r="G819" s="315"/>
      <c r="H819" s="315"/>
      <c r="I819" s="315"/>
      <c r="J819" s="315"/>
      <c r="K819" s="315"/>
      <c r="L819" s="315"/>
    </row>
    <row r="820" spans="1:12">
      <c r="A820" s="315"/>
      <c r="B820" s="315"/>
      <c r="C820" s="315"/>
      <c r="D820" s="315"/>
      <c r="E820" s="315"/>
      <c r="F820" s="315"/>
      <c r="G820" s="315"/>
      <c r="H820" s="315"/>
      <c r="I820" s="315"/>
      <c r="J820" s="315"/>
      <c r="K820" s="315"/>
      <c r="L820" s="315"/>
    </row>
    <row r="821" spans="1:12">
      <c r="A821" s="315"/>
      <c r="B821" s="315"/>
      <c r="C821" s="315"/>
      <c r="D821" s="315"/>
      <c r="E821" s="315"/>
      <c r="F821" s="315"/>
      <c r="G821" s="315"/>
      <c r="H821" s="315"/>
      <c r="I821" s="315"/>
      <c r="J821" s="315"/>
      <c r="K821" s="315"/>
      <c r="L821" s="315"/>
    </row>
    <row r="822" spans="1:12">
      <c r="A822" s="315"/>
      <c r="B822" s="315"/>
      <c r="C822" s="315"/>
      <c r="D822" s="315"/>
      <c r="E822" s="315"/>
      <c r="F822" s="315"/>
      <c r="G822" s="315"/>
      <c r="H822" s="315"/>
      <c r="I822" s="315"/>
      <c r="J822" s="315"/>
      <c r="K822" s="315"/>
      <c r="L822" s="315"/>
    </row>
    <row r="823" spans="1:12">
      <c r="A823" s="315"/>
      <c r="B823" s="315"/>
      <c r="C823" s="315"/>
      <c r="D823" s="315"/>
      <c r="E823" s="315"/>
      <c r="F823" s="315"/>
      <c r="G823" s="315"/>
      <c r="H823" s="315"/>
      <c r="I823" s="315"/>
      <c r="J823" s="315"/>
      <c r="K823" s="315"/>
      <c r="L823" s="315"/>
    </row>
    <row r="824" spans="1:12">
      <c r="A824" s="315"/>
      <c r="B824" s="315"/>
      <c r="C824" s="315"/>
      <c r="D824" s="315"/>
      <c r="E824" s="315"/>
      <c r="F824" s="315"/>
      <c r="G824" s="315"/>
      <c r="H824" s="315"/>
      <c r="I824" s="315"/>
      <c r="J824" s="315"/>
      <c r="K824" s="315"/>
      <c r="L824" s="315"/>
    </row>
    <row r="825" spans="1:12">
      <c r="A825" s="315"/>
      <c r="B825" s="315"/>
      <c r="C825" s="315"/>
      <c r="D825" s="315"/>
      <c r="E825" s="315"/>
      <c r="F825" s="315"/>
      <c r="G825" s="315"/>
      <c r="H825" s="315"/>
      <c r="I825" s="315"/>
      <c r="J825" s="315"/>
      <c r="K825" s="315"/>
      <c r="L825" s="315"/>
    </row>
    <row r="826" spans="1:12">
      <c r="A826" s="315"/>
      <c r="B826" s="315"/>
      <c r="C826" s="315"/>
      <c r="D826" s="315"/>
      <c r="E826" s="315"/>
      <c r="F826" s="315"/>
      <c r="G826" s="315"/>
      <c r="H826" s="315"/>
      <c r="I826" s="315"/>
      <c r="J826" s="315"/>
      <c r="K826" s="315"/>
      <c r="L826" s="315"/>
    </row>
    <row r="827" spans="1:12">
      <c r="A827" s="315"/>
      <c r="B827" s="315"/>
      <c r="C827" s="315"/>
      <c r="D827" s="315"/>
      <c r="E827" s="315"/>
      <c r="F827" s="315"/>
      <c r="G827" s="315"/>
      <c r="H827" s="315"/>
      <c r="I827" s="315"/>
      <c r="J827" s="315"/>
      <c r="K827" s="315"/>
      <c r="L827" s="315"/>
    </row>
    <row r="828" spans="1:12">
      <c r="A828" s="315"/>
      <c r="B828" s="315"/>
      <c r="C828" s="315"/>
      <c r="D828" s="315"/>
      <c r="E828" s="315"/>
      <c r="F828" s="315"/>
      <c r="G828" s="315"/>
      <c r="H828" s="315"/>
      <c r="I828" s="315"/>
      <c r="J828" s="315"/>
      <c r="K828" s="315"/>
      <c r="L828" s="315"/>
    </row>
    <row r="829" spans="1:12">
      <c r="A829" s="315"/>
      <c r="B829" s="315"/>
      <c r="C829" s="315"/>
      <c r="D829" s="315"/>
      <c r="E829" s="315"/>
      <c r="F829" s="315"/>
      <c r="G829" s="315"/>
      <c r="H829" s="315"/>
      <c r="I829" s="315"/>
      <c r="J829" s="315"/>
      <c r="K829" s="315"/>
      <c r="L829" s="315"/>
    </row>
    <row r="830" spans="1:12">
      <c r="A830" s="315"/>
      <c r="B830" s="315"/>
      <c r="C830" s="315"/>
      <c r="D830" s="315"/>
      <c r="E830" s="315"/>
      <c r="F830" s="315"/>
      <c r="G830" s="315"/>
      <c r="H830" s="315"/>
      <c r="I830" s="315"/>
      <c r="J830" s="315"/>
      <c r="K830" s="315"/>
      <c r="L830" s="315"/>
    </row>
    <row r="831" spans="1:12">
      <c r="A831" s="315"/>
      <c r="B831" s="315"/>
      <c r="C831" s="315"/>
      <c r="D831" s="315"/>
      <c r="E831" s="315"/>
      <c r="F831" s="315"/>
      <c r="G831" s="315"/>
      <c r="H831" s="315"/>
      <c r="I831" s="315"/>
      <c r="J831" s="315"/>
      <c r="K831" s="315"/>
      <c r="L831" s="315"/>
    </row>
    <row r="832" spans="1:12">
      <c r="A832" s="315"/>
      <c r="B832" s="315"/>
      <c r="C832" s="315"/>
      <c r="D832" s="315"/>
      <c r="E832" s="315"/>
      <c r="F832" s="315"/>
      <c r="G832" s="315"/>
      <c r="H832" s="315"/>
      <c r="I832" s="315"/>
      <c r="J832" s="315"/>
      <c r="K832" s="315"/>
      <c r="L832" s="315"/>
    </row>
    <row r="833" spans="1:12">
      <c r="A833" s="315"/>
      <c r="B833" s="315"/>
      <c r="C833" s="315"/>
      <c r="D833" s="315"/>
      <c r="E833" s="315"/>
      <c r="F833" s="315"/>
      <c r="G833" s="315"/>
      <c r="H833" s="315"/>
      <c r="I833" s="315"/>
      <c r="J833" s="315"/>
      <c r="K833" s="315"/>
      <c r="L833" s="315"/>
    </row>
    <row r="834" spans="1:12">
      <c r="A834" s="315"/>
      <c r="B834" s="315"/>
      <c r="C834" s="315"/>
      <c r="D834" s="315"/>
      <c r="E834" s="315"/>
      <c r="F834" s="315"/>
      <c r="G834" s="315"/>
      <c r="H834" s="315"/>
      <c r="I834" s="315"/>
      <c r="J834" s="315"/>
      <c r="K834" s="315"/>
      <c r="L834" s="315"/>
    </row>
    <row r="835" spans="1:12">
      <c r="A835" s="315"/>
      <c r="B835" s="315"/>
      <c r="C835" s="315"/>
      <c r="D835" s="315"/>
      <c r="E835" s="315"/>
      <c r="F835" s="315"/>
      <c r="G835" s="315"/>
      <c r="H835" s="315"/>
      <c r="I835" s="315"/>
      <c r="J835" s="315"/>
      <c r="K835" s="315"/>
      <c r="L835" s="315"/>
    </row>
    <row r="836" spans="1:12">
      <c r="A836" s="315"/>
      <c r="B836" s="315"/>
      <c r="C836" s="315"/>
      <c r="D836" s="315"/>
      <c r="E836" s="315"/>
      <c r="F836" s="315"/>
      <c r="G836" s="315"/>
      <c r="H836" s="315"/>
      <c r="I836" s="315"/>
      <c r="J836" s="315"/>
      <c r="K836" s="315"/>
      <c r="L836" s="315"/>
    </row>
    <row r="837" spans="1:12">
      <c r="A837" s="315"/>
      <c r="B837" s="315"/>
      <c r="C837" s="315"/>
      <c r="D837" s="315"/>
      <c r="E837" s="315"/>
      <c r="F837" s="315"/>
      <c r="G837" s="315"/>
      <c r="H837" s="315"/>
      <c r="I837" s="315"/>
      <c r="J837" s="315"/>
      <c r="K837" s="315"/>
      <c r="L837" s="315"/>
    </row>
    <row r="838" spans="1:12">
      <c r="A838" s="315"/>
      <c r="B838" s="315"/>
      <c r="C838" s="315"/>
      <c r="D838" s="315"/>
      <c r="E838" s="315"/>
      <c r="F838" s="315"/>
      <c r="G838" s="315"/>
      <c r="H838" s="315"/>
      <c r="I838" s="315"/>
      <c r="J838" s="315"/>
      <c r="K838" s="315"/>
      <c r="L838" s="315"/>
    </row>
    <row r="839" spans="1:12">
      <c r="A839" s="315"/>
      <c r="B839" s="315"/>
      <c r="C839" s="315"/>
      <c r="D839" s="315"/>
      <c r="E839" s="315"/>
      <c r="F839" s="315"/>
      <c r="G839" s="315"/>
      <c r="H839" s="315"/>
      <c r="I839" s="315"/>
      <c r="J839" s="315"/>
      <c r="K839" s="315"/>
      <c r="L839" s="315"/>
    </row>
    <row r="840" spans="1:12">
      <c r="A840" s="315"/>
      <c r="B840" s="315"/>
      <c r="C840" s="315"/>
      <c r="D840" s="315"/>
      <c r="E840" s="315"/>
      <c r="F840" s="315"/>
      <c r="G840" s="315"/>
      <c r="H840" s="315"/>
      <c r="I840" s="315"/>
      <c r="J840" s="315"/>
      <c r="K840" s="315"/>
      <c r="L840" s="315"/>
    </row>
    <row r="841" spans="1:12">
      <c r="A841" s="315"/>
      <c r="B841" s="315"/>
      <c r="C841" s="315"/>
      <c r="D841" s="315"/>
      <c r="E841" s="315"/>
      <c r="F841" s="315"/>
      <c r="G841" s="315"/>
      <c r="H841" s="315"/>
      <c r="I841" s="315"/>
      <c r="J841" s="315"/>
      <c r="K841" s="315"/>
      <c r="L841" s="315"/>
    </row>
    <row r="842" spans="1:12">
      <c r="A842" s="315"/>
      <c r="B842" s="315"/>
      <c r="C842" s="315"/>
      <c r="D842" s="315"/>
      <c r="E842" s="315"/>
      <c r="F842" s="315"/>
      <c r="G842" s="315"/>
      <c r="H842" s="315"/>
      <c r="I842" s="315"/>
      <c r="J842" s="315"/>
      <c r="K842" s="315"/>
      <c r="L842" s="315"/>
    </row>
    <row r="843" spans="1:12">
      <c r="A843" s="315"/>
      <c r="B843" s="315"/>
      <c r="C843" s="315"/>
      <c r="D843" s="315"/>
      <c r="E843" s="315"/>
      <c r="F843" s="315"/>
      <c r="G843" s="315"/>
      <c r="H843" s="315"/>
      <c r="I843" s="315"/>
      <c r="J843" s="315"/>
      <c r="K843" s="315"/>
      <c r="L843" s="315"/>
    </row>
    <row r="844" spans="1:12">
      <c r="A844" s="315"/>
      <c r="B844" s="315"/>
      <c r="C844" s="315"/>
      <c r="D844" s="315"/>
      <c r="E844" s="315"/>
      <c r="F844" s="315"/>
      <c r="G844" s="315"/>
      <c r="H844" s="315"/>
      <c r="I844" s="315"/>
      <c r="J844" s="315"/>
      <c r="K844" s="315"/>
      <c r="L844" s="315"/>
    </row>
    <row r="845" spans="1:12">
      <c r="A845" s="315"/>
      <c r="B845" s="315"/>
      <c r="C845" s="315"/>
      <c r="D845" s="315"/>
      <c r="E845" s="315"/>
      <c r="F845" s="315"/>
      <c r="G845" s="315"/>
      <c r="H845" s="315"/>
      <c r="I845" s="315"/>
      <c r="J845" s="315"/>
      <c r="K845" s="315"/>
      <c r="L845" s="315"/>
    </row>
    <row r="846" spans="1:12">
      <c r="A846" s="315"/>
      <c r="B846" s="315"/>
      <c r="C846" s="315"/>
      <c r="D846" s="315"/>
      <c r="E846" s="315"/>
      <c r="F846" s="315"/>
      <c r="G846" s="315"/>
      <c r="H846" s="315"/>
      <c r="I846" s="315"/>
      <c r="J846" s="315"/>
      <c r="K846" s="315"/>
      <c r="L846" s="315"/>
    </row>
    <row r="847" spans="1:12">
      <c r="A847" s="315"/>
      <c r="B847" s="315"/>
      <c r="C847" s="315"/>
      <c r="D847" s="315"/>
      <c r="E847" s="315"/>
      <c r="F847" s="315"/>
      <c r="G847" s="315"/>
      <c r="H847" s="315"/>
      <c r="I847" s="315"/>
      <c r="J847" s="315"/>
      <c r="K847" s="315"/>
      <c r="L847" s="315"/>
    </row>
    <row r="848" spans="1:12">
      <c r="A848" s="315"/>
      <c r="B848" s="315"/>
      <c r="C848" s="315"/>
      <c r="D848" s="315"/>
      <c r="E848" s="315"/>
      <c r="F848" s="315"/>
      <c r="G848" s="315"/>
      <c r="H848" s="315"/>
      <c r="I848" s="315"/>
      <c r="J848" s="315"/>
      <c r="K848" s="315"/>
      <c r="L848" s="315"/>
    </row>
    <row r="849" spans="1:12">
      <c r="A849" s="315"/>
      <c r="B849" s="315"/>
      <c r="C849" s="315"/>
      <c r="D849" s="315"/>
      <c r="E849" s="315"/>
      <c r="F849" s="315"/>
      <c r="G849" s="315"/>
      <c r="H849" s="315"/>
      <c r="I849" s="315"/>
      <c r="J849" s="315"/>
      <c r="K849" s="315"/>
      <c r="L849" s="315"/>
    </row>
    <row r="850" spans="1:12">
      <c r="A850" s="315"/>
      <c r="B850" s="315"/>
      <c r="C850" s="315"/>
      <c r="D850" s="315"/>
      <c r="E850" s="315"/>
      <c r="F850" s="315"/>
      <c r="G850" s="315"/>
      <c r="H850" s="315"/>
      <c r="I850" s="315"/>
      <c r="J850" s="315"/>
      <c r="K850" s="315"/>
      <c r="L850" s="315"/>
    </row>
    <row r="851" spans="1:12">
      <c r="A851" s="315"/>
      <c r="B851" s="315"/>
      <c r="C851" s="315"/>
      <c r="D851" s="315"/>
      <c r="E851" s="315"/>
      <c r="F851" s="315"/>
      <c r="G851" s="315"/>
      <c r="H851" s="315"/>
      <c r="I851" s="315"/>
      <c r="J851" s="315"/>
      <c r="K851" s="315"/>
      <c r="L851" s="315"/>
    </row>
    <row r="852" spans="1:12">
      <c r="A852" s="315"/>
      <c r="B852" s="315"/>
      <c r="C852" s="315"/>
      <c r="D852" s="315"/>
      <c r="E852" s="315"/>
      <c r="F852" s="315"/>
      <c r="G852" s="315"/>
      <c r="H852" s="315"/>
      <c r="I852" s="315"/>
      <c r="J852" s="315"/>
      <c r="K852" s="315"/>
      <c r="L852" s="315"/>
    </row>
    <row r="853" spans="1:12">
      <c r="A853" s="315"/>
      <c r="B853" s="315"/>
      <c r="C853" s="315"/>
      <c r="D853" s="315"/>
      <c r="E853" s="315"/>
      <c r="F853" s="315"/>
      <c r="G853" s="315"/>
      <c r="H853" s="315"/>
      <c r="I853" s="315"/>
      <c r="J853" s="315"/>
      <c r="K853" s="315"/>
      <c r="L853" s="315"/>
    </row>
    <row r="854" spans="1:12">
      <c r="A854" s="315"/>
      <c r="B854" s="315"/>
      <c r="C854" s="315"/>
      <c r="D854" s="315"/>
      <c r="E854" s="315"/>
      <c r="F854" s="315"/>
      <c r="G854" s="315"/>
      <c r="H854" s="315"/>
      <c r="I854" s="315"/>
      <c r="J854" s="315"/>
      <c r="K854" s="315"/>
      <c r="L854" s="315"/>
    </row>
    <row r="855" spans="1:12">
      <c r="A855" s="315"/>
      <c r="B855" s="315"/>
      <c r="C855" s="315"/>
      <c r="D855" s="315"/>
      <c r="E855" s="315"/>
      <c r="F855" s="315"/>
      <c r="G855" s="315"/>
      <c r="H855" s="315"/>
      <c r="I855" s="315"/>
      <c r="J855" s="315"/>
      <c r="K855" s="315"/>
      <c r="L855" s="315"/>
    </row>
    <row r="856" spans="1:12">
      <c r="A856" s="315"/>
      <c r="B856" s="315"/>
      <c r="C856" s="315"/>
      <c r="D856" s="315"/>
      <c r="E856" s="315"/>
      <c r="F856" s="315"/>
      <c r="G856" s="315"/>
      <c r="H856" s="315"/>
      <c r="I856" s="315"/>
      <c r="J856" s="315"/>
      <c r="K856" s="315"/>
      <c r="L856" s="315"/>
    </row>
    <row r="857" spans="1:12">
      <c r="A857" s="315"/>
      <c r="B857" s="315"/>
      <c r="C857" s="315"/>
      <c r="D857" s="315"/>
      <c r="E857" s="315"/>
      <c r="F857" s="315"/>
      <c r="G857" s="315"/>
      <c r="H857" s="315"/>
      <c r="I857" s="315"/>
      <c r="J857" s="315"/>
      <c r="K857" s="315"/>
      <c r="L857" s="315"/>
    </row>
    <row r="858" spans="1:12">
      <c r="A858" s="315"/>
      <c r="B858" s="315"/>
      <c r="C858" s="315"/>
      <c r="D858" s="315"/>
      <c r="E858" s="315"/>
      <c r="F858" s="315"/>
      <c r="G858" s="315"/>
      <c r="H858" s="315"/>
      <c r="I858" s="315"/>
      <c r="J858" s="315"/>
      <c r="K858" s="315"/>
      <c r="L858" s="315"/>
    </row>
    <row r="859" spans="1:12">
      <c r="A859" s="315"/>
      <c r="B859" s="315"/>
      <c r="C859" s="315"/>
      <c r="D859" s="315"/>
      <c r="E859" s="315"/>
      <c r="F859" s="315"/>
      <c r="G859" s="315"/>
      <c r="H859" s="315"/>
      <c r="I859" s="315"/>
      <c r="J859" s="315"/>
      <c r="K859" s="315"/>
      <c r="L859" s="315"/>
    </row>
    <row r="860" spans="1:12">
      <c r="A860" s="315"/>
      <c r="B860" s="315"/>
      <c r="C860" s="315"/>
      <c r="D860" s="315"/>
      <c r="E860" s="315"/>
      <c r="F860" s="315"/>
      <c r="G860" s="315"/>
      <c r="H860" s="315"/>
      <c r="I860" s="315"/>
      <c r="J860" s="315"/>
      <c r="K860" s="315"/>
      <c r="L860" s="315"/>
    </row>
    <row r="861" spans="1:12">
      <c r="A861" s="315"/>
      <c r="B861" s="315"/>
      <c r="C861" s="315"/>
      <c r="D861" s="315"/>
      <c r="E861" s="315"/>
      <c r="F861" s="315"/>
      <c r="G861" s="315"/>
      <c r="H861" s="315"/>
      <c r="I861" s="315"/>
      <c r="J861" s="315"/>
      <c r="K861" s="315"/>
      <c r="L861" s="315"/>
    </row>
    <row r="862" spans="1:12">
      <c r="A862" s="315"/>
      <c r="B862" s="315"/>
      <c r="C862" s="315"/>
      <c r="D862" s="315"/>
      <c r="E862" s="315"/>
      <c r="F862" s="315"/>
      <c r="G862" s="315"/>
      <c r="H862" s="315"/>
      <c r="I862" s="315"/>
      <c r="J862" s="315"/>
      <c r="K862" s="315"/>
      <c r="L862" s="315"/>
    </row>
    <row r="863" spans="1:12">
      <c r="A863" s="315"/>
      <c r="B863" s="315"/>
      <c r="C863" s="315"/>
      <c r="D863" s="315"/>
      <c r="E863" s="315"/>
      <c r="F863" s="315"/>
      <c r="G863" s="315"/>
      <c r="H863" s="315"/>
      <c r="I863" s="315"/>
      <c r="J863" s="315"/>
      <c r="K863" s="315"/>
      <c r="L863" s="315"/>
    </row>
    <row r="864" spans="1:12">
      <c r="A864" s="315"/>
      <c r="B864" s="315"/>
      <c r="C864" s="315"/>
      <c r="D864" s="315"/>
      <c r="E864" s="315"/>
      <c r="F864" s="315"/>
      <c r="G864" s="315"/>
      <c r="H864" s="315"/>
      <c r="I864" s="315"/>
      <c r="J864" s="315"/>
      <c r="K864" s="315"/>
      <c r="L864" s="315"/>
    </row>
    <row r="865" spans="1:12">
      <c r="A865" s="315"/>
      <c r="B865" s="315"/>
      <c r="C865" s="315"/>
      <c r="D865" s="315"/>
      <c r="E865" s="315"/>
      <c r="F865" s="315"/>
      <c r="G865" s="315"/>
      <c r="H865" s="315"/>
      <c r="I865" s="315"/>
      <c r="J865" s="315"/>
      <c r="K865" s="315"/>
      <c r="L865" s="315"/>
    </row>
    <row r="866" spans="1:12">
      <c r="A866" s="315"/>
      <c r="B866" s="315"/>
      <c r="C866" s="315"/>
      <c r="D866" s="315"/>
      <c r="E866" s="315"/>
      <c r="F866" s="315"/>
      <c r="G866" s="315"/>
      <c r="H866" s="315"/>
      <c r="I866" s="315"/>
      <c r="J866" s="315"/>
      <c r="K866" s="315"/>
      <c r="L866" s="315"/>
    </row>
    <row r="867" spans="1:12">
      <c r="A867" s="315"/>
      <c r="B867" s="315"/>
      <c r="C867" s="315"/>
      <c r="D867" s="315"/>
      <c r="E867" s="315"/>
      <c r="F867" s="315"/>
      <c r="G867" s="315"/>
      <c r="H867" s="315"/>
      <c r="I867" s="315"/>
      <c r="J867" s="315"/>
      <c r="K867" s="315"/>
      <c r="L867" s="315"/>
    </row>
    <row r="868" spans="1:12">
      <c r="A868" s="315"/>
      <c r="B868" s="315"/>
      <c r="C868" s="315"/>
      <c r="D868" s="315"/>
      <c r="E868" s="315"/>
      <c r="F868" s="315"/>
      <c r="G868" s="315"/>
      <c r="H868" s="315"/>
      <c r="I868" s="315"/>
      <c r="J868" s="315"/>
      <c r="K868" s="315"/>
      <c r="L868" s="315"/>
    </row>
    <row r="869" spans="1:12">
      <c r="A869" s="315"/>
      <c r="B869" s="315"/>
      <c r="C869" s="315"/>
      <c r="D869" s="315"/>
      <c r="E869" s="315"/>
      <c r="F869" s="315"/>
      <c r="G869" s="315"/>
      <c r="H869" s="315"/>
      <c r="I869" s="315"/>
      <c r="J869" s="315"/>
      <c r="K869" s="315"/>
      <c r="L869" s="315"/>
    </row>
    <row r="870" spans="1:12">
      <c r="A870" s="315"/>
      <c r="B870" s="315"/>
      <c r="C870" s="315"/>
      <c r="D870" s="315"/>
      <c r="E870" s="315"/>
      <c r="F870" s="315"/>
      <c r="G870" s="315"/>
      <c r="H870" s="315"/>
      <c r="I870" s="315"/>
      <c r="J870" s="315"/>
      <c r="K870" s="315"/>
      <c r="L870" s="315"/>
    </row>
    <row r="871" spans="1:12">
      <c r="A871" s="315"/>
      <c r="B871" s="315"/>
      <c r="C871" s="315"/>
      <c r="D871" s="315"/>
      <c r="E871" s="315"/>
      <c r="F871" s="315"/>
      <c r="G871" s="315"/>
      <c r="H871" s="315"/>
      <c r="I871" s="315"/>
      <c r="J871" s="315"/>
      <c r="K871" s="315"/>
      <c r="L871" s="315"/>
    </row>
    <row r="872" spans="1:12">
      <c r="A872" s="315"/>
      <c r="B872" s="315"/>
      <c r="C872" s="315"/>
      <c r="D872" s="315"/>
      <c r="E872" s="315"/>
      <c r="F872" s="315"/>
      <c r="G872" s="315"/>
      <c r="H872" s="315"/>
      <c r="I872" s="315"/>
      <c r="J872" s="315"/>
      <c r="K872" s="315"/>
      <c r="L872" s="315"/>
    </row>
    <row r="873" spans="1:12">
      <c r="A873" s="315"/>
      <c r="B873" s="315"/>
      <c r="C873" s="315"/>
      <c r="D873" s="315"/>
      <c r="E873" s="315"/>
      <c r="F873" s="315"/>
      <c r="G873" s="315"/>
      <c r="H873" s="315"/>
      <c r="I873" s="315"/>
      <c r="J873" s="315"/>
      <c r="K873" s="315"/>
      <c r="L873" s="315"/>
    </row>
    <row r="874" spans="1:12">
      <c r="A874" s="315"/>
      <c r="B874" s="315"/>
      <c r="C874" s="315"/>
      <c r="D874" s="315"/>
      <c r="E874" s="315"/>
      <c r="F874" s="315"/>
      <c r="G874" s="315"/>
      <c r="H874" s="315"/>
      <c r="I874" s="315"/>
      <c r="J874" s="315"/>
      <c r="K874" s="315"/>
      <c r="L874" s="315"/>
    </row>
    <row r="875" spans="1:12">
      <c r="A875" s="315"/>
      <c r="B875" s="315"/>
      <c r="C875" s="315"/>
      <c r="D875" s="315"/>
      <c r="E875" s="315"/>
      <c r="F875" s="315"/>
      <c r="G875" s="315"/>
      <c r="H875" s="315"/>
      <c r="I875" s="315"/>
      <c r="J875" s="315"/>
      <c r="K875" s="315"/>
      <c r="L875" s="315"/>
    </row>
    <row r="876" spans="1:12">
      <c r="A876" s="315"/>
      <c r="B876" s="315"/>
      <c r="C876" s="315"/>
      <c r="D876" s="315"/>
      <c r="E876" s="315"/>
      <c r="F876" s="315"/>
      <c r="G876" s="315"/>
      <c r="H876" s="315"/>
      <c r="I876" s="315"/>
      <c r="J876" s="315"/>
      <c r="K876" s="315"/>
      <c r="L876" s="315"/>
    </row>
    <row r="877" spans="1:12">
      <c r="A877" s="315"/>
      <c r="B877" s="315"/>
      <c r="C877" s="315"/>
      <c r="D877" s="315"/>
      <c r="E877" s="315"/>
      <c r="F877" s="315"/>
      <c r="G877" s="315"/>
      <c r="H877" s="315"/>
      <c r="I877" s="315"/>
      <c r="J877" s="315"/>
      <c r="K877" s="315"/>
      <c r="L877" s="315"/>
    </row>
    <row r="878" spans="1:12">
      <c r="A878" s="315"/>
      <c r="B878" s="315"/>
      <c r="C878" s="315"/>
      <c r="D878" s="315"/>
      <c r="E878" s="315"/>
      <c r="F878" s="315"/>
      <c r="G878" s="315"/>
      <c r="H878" s="315"/>
      <c r="I878" s="315"/>
      <c r="J878" s="315"/>
      <c r="K878" s="315"/>
      <c r="L878" s="315"/>
    </row>
    <row r="879" spans="1:12">
      <c r="A879" s="315"/>
      <c r="B879" s="315"/>
      <c r="C879" s="315"/>
      <c r="D879" s="315"/>
      <c r="E879" s="315"/>
      <c r="F879" s="315"/>
      <c r="G879" s="315"/>
      <c r="H879" s="315"/>
      <c r="I879" s="315"/>
      <c r="J879" s="315"/>
      <c r="K879" s="315"/>
      <c r="L879" s="315"/>
    </row>
    <row r="880" spans="1:12">
      <c r="A880" s="315"/>
      <c r="B880" s="315"/>
      <c r="C880" s="315"/>
      <c r="D880" s="315"/>
      <c r="E880" s="315"/>
      <c r="F880" s="315"/>
      <c r="G880" s="315"/>
      <c r="H880" s="315"/>
      <c r="I880" s="315"/>
      <c r="J880" s="315"/>
      <c r="K880" s="315"/>
      <c r="L880" s="315"/>
    </row>
    <row r="881" spans="1:12">
      <c r="A881" s="315"/>
      <c r="B881" s="315"/>
      <c r="C881" s="315"/>
      <c r="D881" s="315"/>
      <c r="E881" s="315"/>
      <c r="F881" s="315"/>
      <c r="G881" s="315"/>
      <c r="H881" s="315"/>
      <c r="I881" s="315"/>
      <c r="J881" s="315"/>
      <c r="K881" s="315"/>
      <c r="L881" s="315"/>
    </row>
    <row r="882" spans="1:12">
      <c r="A882" s="315"/>
      <c r="B882" s="315"/>
      <c r="C882" s="315"/>
      <c r="D882" s="315"/>
      <c r="E882" s="315"/>
      <c r="F882" s="315"/>
      <c r="G882" s="315"/>
      <c r="H882" s="315"/>
      <c r="I882" s="315"/>
      <c r="J882" s="315"/>
      <c r="K882" s="315"/>
      <c r="L882" s="315"/>
    </row>
    <row r="883" spans="1:12">
      <c r="A883" s="315"/>
      <c r="B883" s="315"/>
      <c r="C883" s="315"/>
      <c r="D883" s="315"/>
      <c r="E883" s="315"/>
      <c r="F883" s="315"/>
      <c r="G883" s="315"/>
      <c r="H883" s="315"/>
      <c r="I883" s="315"/>
      <c r="J883" s="315"/>
      <c r="K883" s="315"/>
      <c r="L883" s="315"/>
    </row>
    <row r="884" spans="1:12">
      <c r="A884" s="315"/>
      <c r="B884" s="315"/>
      <c r="C884" s="315"/>
      <c r="D884" s="315"/>
      <c r="E884" s="315"/>
      <c r="F884" s="315"/>
      <c r="G884" s="315"/>
      <c r="H884" s="315"/>
      <c r="I884" s="315"/>
      <c r="J884" s="315"/>
      <c r="K884" s="315"/>
      <c r="L884" s="315"/>
    </row>
    <row r="885" spans="1:12">
      <c r="A885" s="315"/>
      <c r="B885" s="315"/>
      <c r="C885" s="315"/>
      <c r="D885" s="315"/>
      <c r="E885" s="315"/>
      <c r="F885" s="315"/>
      <c r="G885" s="315"/>
      <c r="H885" s="315"/>
      <c r="I885" s="315"/>
      <c r="J885" s="315"/>
      <c r="K885" s="315"/>
      <c r="L885" s="315"/>
    </row>
    <row r="886" spans="1:12">
      <c r="A886" s="315"/>
      <c r="B886" s="315"/>
      <c r="C886" s="315"/>
      <c r="D886" s="315"/>
      <c r="E886" s="315"/>
      <c r="F886" s="315"/>
      <c r="G886" s="315"/>
      <c r="H886" s="315"/>
      <c r="I886" s="315"/>
      <c r="J886" s="315"/>
      <c r="K886" s="315"/>
      <c r="L886" s="315"/>
    </row>
    <row r="887" spans="1:12">
      <c r="A887" s="315"/>
      <c r="B887" s="315"/>
      <c r="C887" s="315"/>
      <c r="D887" s="315"/>
      <c r="E887" s="315"/>
      <c r="F887" s="315"/>
      <c r="G887" s="315"/>
      <c r="H887" s="315"/>
      <c r="I887" s="315"/>
      <c r="J887" s="315"/>
      <c r="K887" s="315"/>
      <c r="L887" s="315"/>
    </row>
    <row r="888" spans="1:12">
      <c r="A888" s="315"/>
      <c r="B888" s="315"/>
      <c r="C888" s="315"/>
      <c r="D888" s="315"/>
      <c r="E888" s="315"/>
      <c r="F888" s="315"/>
      <c r="G888" s="315"/>
      <c r="H888" s="315"/>
      <c r="I888" s="315"/>
      <c r="J888" s="315"/>
      <c r="K888" s="315"/>
      <c r="L888" s="315"/>
    </row>
    <row r="889" spans="1:12">
      <c r="A889" s="315"/>
      <c r="B889" s="315"/>
      <c r="C889" s="315"/>
      <c r="D889" s="315"/>
      <c r="E889" s="315"/>
      <c r="F889" s="315"/>
      <c r="G889" s="315"/>
      <c r="H889" s="315"/>
      <c r="I889" s="315"/>
      <c r="J889" s="315"/>
      <c r="K889" s="315"/>
      <c r="L889" s="315"/>
    </row>
    <row r="890" spans="1:12">
      <c r="A890" s="315"/>
      <c r="B890" s="315"/>
      <c r="C890" s="315"/>
      <c r="D890" s="315"/>
      <c r="E890" s="315"/>
      <c r="F890" s="315"/>
      <c r="G890" s="315"/>
      <c r="H890" s="315"/>
      <c r="I890" s="315"/>
      <c r="J890" s="315"/>
      <c r="K890" s="315"/>
      <c r="L890" s="315"/>
    </row>
    <row r="891" spans="1:12">
      <c r="A891" s="315"/>
      <c r="B891" s="315"/>
      <c r="C891" s="315"/>
      <c r="D891" s="315"/>
      <c r="E891" s="315"/>
      <c r="F891" s="315"/>
      <c r="G891" s="315"/>
      <c r="H891" s="315"/>
      <c r="I891" s="315"/>
      <c r="J891" s="315"/>
      <c r="K891" s="315"/>
      <c r="L891" s="315"/>
    </row>
    <row r="892" spans="1:12">
      <c r="A892" s="315"/>
      <c r="B892" s="315"/>
      <c r="C892" s="315"/>
      <c r="D892" s="315"/>
      <c r="E892" s="315"/>
      <c r="F892" s="315"/>
      <c r="G892" s="315"/>
      <c r="H892" s="315"/>
      <c r="I892" s="315"/>
      <c r="J892" s="315"/>
      <c r="K892" s="315"/>
      <c r="L892" s="315"/>
    </row>
    <row r="893" spans="1:12">
      <c r="A893" s="315"/>
      <c r="B893" s="315"/>
      <c r="C893" s="315"/>
      <c r="D893" s="315"/>
      <c r="E893" s="315"/>
      <c r="F893" s="315"/>
      <c r="G893" s="315"/>
      <c r="H893" s="315"/>
      <c r="I893" s="315"/>
      <c r="J893" s="315"/>
      <c r="K893" s="315"/>
      <c r="L893" s="315"/>
    </row>
    <row r="894" spans="1:12">
      <c r="A894" s="315"/>
      <c r="B894" s="315"/>
      <c r="C894" s="315"/>
      <c r="D894" s="315"/>
      <c r="E894" s="315"/>
      <c r="F894" s="315"/>
      <c r="G894" s="315"/>
      <c r="H894" s="315"/>
      <c r="I894" s="315"/>
      <c r="J894" s="315"/>
      <c r="K894" s="315"/>
      <c r="L894" s="315"/>
    </row>
    <row r="895" spans="1:12">
      <c r="A895" s="315"/>
      <c r="B895" s="315"/>
      <c r="C895" s="315"/>
      <c r="D895" s="315"/>
      <c r="E895" s="315"/>
      <c r="F895" s="315"/>
      <c r="G895" s="315"/>
      <c r="H895" s="315"/>
      <c r="I895" s="315"/>
      <c r="J895" s="315"/>
      <c r="K895" s="315"/>
      <c r="L895" s="315"/>
    </row>
    <row r="896" spans="1:12">
      <c r="A896" s="315"/>
      <c r="B896" s="315"/>
      <c r="C896" s="315"/>
      <c r="D896" s="315"/>
      <c r="E896" s="315"/>
      <c r="F896" s="315"/>
      <c r="G896" s="315"/>
      <c r="H896" s="315"/>
      <c r="I896" s="315"/>
      <c r="J896" s="315"/>
      <c r="K896" s="315"/>
      <c r="L896" s="315"/>
    </row>
    <row r="897" spans="1:12">
      <c r="A897" s="315"/>
      <c r="B897" s="315"/>
      <c r="C897" s="315"/>
      <c r="D897" s="315"/>
      <c r="E897" s="315"/>
      <c r="F897" s="315"/>
      <c r="G897" s="315"/>
      <c r="H897" s="315"/>
      <c r="I897" s="315"/>
      <c r="J897" s="315"/>
      <c r="K897" s="315"/>
      <c r="L897" s="315"/>
    </row>
    <row r="898" spans="1:12">
      <c r="A898" s="315"/>
      <c r="B898" s="315"/>
      <c r="C898" s="315"/>
      <c r="D898" s="315"/>
      <c r="E898" s="315"/>
      <c r="F898" s="315"/>
      <c r="G898" s="315"/>
      <c r="H898" s="315"/>
      <c r="I898" s="315"/>
      <c r="J898" s="315"/>
      <c r="K898" s="315"/>
      <c r="L898" s="315"/>
    </row>
    <row r="899" spans="1:12">
      <c r="A899" s="315"/>
      <c r="B899" s="315"/>
      <c r="C899" s="315"/>
      <c r="D899" s="315"/>
      <c r="E899" s="315"/>
      <c r="F899" s="315"/>
      <c r="G899" s="315"/>
      <c r="H899" s="315"/>
      <c r="I899" s="315"/>
      <c r="J899" s="315"/>
      <c r="K899" s="315"/>
      <c r="L899" s="315"/>
    </row>
    <row r="900" spans="1:12">
      <c r="A900" s="315"/>
      <c r="B900" s="315"/>
      <c r="C900" s="315"/>
      <c r="D900" s="315"/>
      <c r="E900" s="315"/>
      <c r="F900" s="315"/>
      <c r="G900" s="315"/>
      <c r="H900" s="315"/>
      <c r="I900" s="315"/>
      <c r="J900" s="315"/>
      <c r="K900" s="315"/>
      <c r="L900" s="315"/>
    </row>
    <row r="901" spans="1:12">
      <c r="A901" s="315"/>
      <c r="B901" s="315"/>
      <c r="C901" s="315"/>
      <c r="D901" s="315"/>
      <c r="E901" s="315"/>
      <c r="F901" s="315"/>
      <c r="G901" s="315"/>
      <c r="H901" s="315"/>
      <c r="I901" s="315"/>
      <c r="J901" s="315"/>
      <c r="K901" s="315"/>
      <c r="L901" s="315"/>
    </row>
    <row r="902" spans="1:12">
      <c r="A902" s="315"/>
      <c r="B902" s="315"/>
      <c r="C902" s="315"/>
      <c r="D902" s="315"/>
      <c r="E902" s="315"/>
      <c r="F902" s="315"/>
      <c r="G902" s="315"/>
      <c r="H902" s="315"/>
      <c r="I902" s="315"/>
      <c r="J902" s="315"/>
      <c r="K902" s="315"/>
      <c r="L902" s="315"/>
    </row>
    <row r="903" spans="1:12">
      <c r="A903" s="315"/>
      <c r="B903" s="315"/>
      <c r="C903" s="315"/>
      <c r="D903" s="315"/>
      <c r="E903" s="315"/>
      <c r="F903" s="315"/>
      <c r="G903" s="315"/>
      <c r="H903" s="315"/>
      <c r="I903" s="315"/>
      <c r="J903" s="315"/>
      <c r="K903" s="315"/>
      <c r="L903" s="315"/>
    </row>
    <row r="904" spans="1:12">
      <c r="A904" s="315"/>
      <c r="B904" s="315"/>
      <c r="C904" s="315"/>
      <c r="D904" s="315"/>
      <c r="E904" s="315"/>
      <c r="F904" s="315"/>
      <c r="G904" s="315"/>
      <c r="H904" s="315"/>
      <c r="I904" s="315"/>
      <c r="J904" s="315"/>
      <c r="K904" s="315"/>
      <c r="L904" s="315"/>
    </row>
    <row r="905" spans="1:12">
      <c r="A905" s="315"/>
      <c r="B905" s="315"/>
      <c r="C905" s="315"/>
      <c r="D905" s="315"/>
      <c r="E905" s="315"/>
      <c r="F905" s="315"/>
      <c r="G905" s="315"/>
      <c r="H905" s="315"/>
      <c r="I905" s="315"/>
      <c r="J905" s="315"/>
      <c r="K905" s="315"/>
      <c r="L905" s="315"/>
    </row>
    <row r="906" spans="1:12">
      <c r="A906" s="315"/>
      <c r="B906" s="315"/>
      <c r="C906" s="315"/>
      <c r="D906" s="315"/>
      <c r="E906" s="315"/>
      <c r="F906" s="315"/>
      <c r="G906" s="315"/>
      <c r="H906" s="315"/>
      <c r="I906" s="315"/>
      <c r="J906" s="315"/>
      <c r="K906" s="315"/>
      <c r="L906" s="315"/>
    </row>
    <row r="907" spans="1:12">
      <c r="A907" s="315"/>
      <c r="B907" s="315"/>
      <c r="C907" s="315"/>
      <c r="D907" s="315"/>
      <c r="E907" s="315"/>
      <c r="F907" s="315"/>
      <c r="G907" s="315"/>
      <c r="H907" s="315"/>
      <c r="I907" s="315"/>
      <c r="J907" s="315"/>
      <c r="K907" s="315"/>
      <c r="L907" s="315"/>
    </row>
    <row r="908" spans="1:12">
      <c r="A908" s="315"/>
      <c r="B908" s="315"/>
      <c r="C908" s="315"/>
      <c r="D908" s="315"/>
      <c r="E908" s="315"/>
      <c r="F908" s="315"/>
      <c r="G908" s="315"/>
      <c r="H908" s="315"/>
      <c r="I908" s="315"/>
      <c r="J908" s="315"/>
      <c r="K908" s="315"/>
      <c r="L908" s="315"/>
    </row>
    <row r="909" spans="1:12">
      <c r="A909" s="315"/>
      <c r="B909" s="315"/>
      <c r="C909" s="315"/>
      <c r="D909" s="315"/>
      <c r="E909" s="315"/>
      <c r="F909" s="315"/>
      <c r="G909" s="315"/>
      <c r="H909" s="315"/>
      <c r="I909" s="315"/>
      <c r="J909" s="315"/>
      <c r="K909" s="315"/>
      <c r="L909" s="315"/>
    </row>
    <row r="910" spans="1:12">
      <c r="A910" s="315"/>
      <c r="B910" s="315"/>
      <c r="C910" s="315"/>
      <c r="D910" s="315"/>
      <c r="E910" s="315"/>
      <c r="F910" s="315"/>
      <c r="G910" s="315"/>
      <c r="H910" s="315"/>
      <c r="I910" s="315"/>
      <c r="J910" s="315"/>
      <c r="K910" s="315"/>
      <c r="L910" s="315"/>
    </row>
    <row r="911" spans="1:12">
      <c r="A911" s="315"/>
      <c r="B911" s="315"/>
      <c r="C911" s="315"/>
      <c r="D911" s="315"/>
      <c r="E911" s="315"/>
      <c r="F911" s="315"/>
      <c r="G911" s="315"/>
      <c r="H911" s="315"/>
      <c r="I911" s="315"/>
      <c r="J911" s="315"/>
      <c r="K911" s="315"/>
      <c r="L911" s="315"/>
    </row>
    <row r="912" spans="1:12">
      <c r="A912" s="315"/>
      <c r="B912" s="315"/>
      <c r="C912" s="315"/>
      <c r="D912" s="315"/>
      <c r="E912" s="315"/>
      <c r="F912" s="315"/>
      <c r="G912" s="315"/>
      <c r="H912" s="315"/>
      <c r="I912" s="315"/>
      <c r="J912" s="315"/>
      <c r="K912" s="315"/>
      <c r="L912" s="315"/>
    </row>
    <row r="913" spans="1:12">
      <c r="A913" s="315"/>
      <c r="B913" s="315"/>
      <c r="C913" s="315"/>
      <c r="D913" s="315"/>
      <c r="E913" s="315"/>
      <c r="F913" s="315"/>
      <c r="G913" s="315"/>
      <c r="H913" s="315"/>
      <c r="I913" s="315"/>
      <c r="J913" s="315"/>
      <c r="K913" s="315"/>
      <c r="L913" s="315"/>
    </row>
    <row r="914" spans="1:12">
      <c r="A914" s="315"/>
      <c r="B914" s="315"/>
      <c r="C914" s="315"/>
      <c r="D914" s="315"/>
      <c r="E914" s="315"/>
      <c r="F914" s="315"/>
      <c r="G914" s="315"/>
      <c r="H914" s="315"/>
      <c r="I914" s="315"/>
      <c r="J914" s="315"/>
      <c r="K914" s="315"/>
      <c r="L914" s="315"/>
    </row>
    <row r="915" spans="1:12">
      <c r="A915" s="315"/>
      <c r="B915" s="315"/>
      <c r="C915" s="315"/>
      <c r="D915" s="315"/>
      <c r="E915" s="315"/>
      <c r="F915" s="315"/>
      <c r="G915" s="315"/>
      <c r="H915" s="315"/>
      <c r="I915" s="315"/>
      <c r="J915" s="315"/>
      <c r="K915" s="315"/>
      <c r="L915" s="315"/>
    </row>
    <row r="916" spans="1:12">
      <c r="A916" s="315"/>
      <c r="B916" s="315"/>
      <c r="C916" s="315"/>
      <c r="D916" s="315"/>
      <c r="E916" s="315"/>
      <c r="F916" s="315"/>
      <c r="G916" s="315"/>
      <c r="H916" s="315"/>
      <c r="I916" s="315"/>
      <c r="J916" s="315"/>
      <c r="K916" s="315"/>
      <c r="L916" s="315"/>
    </row>
    <row r="917" spans="1:12">
      <c r="A917" s="315"/>
      <c r="B917" s="315"/>
      <c r="C917" s="315"/>
      <c r="D917" s="315"/>
      <c r="E917" s="315"/>
      <c r="F917" s="315"/>
      <c r="G917" s="315"/>
      <c r="H917" s="315"/>
      <c r="I917" s="315"/>
      <c r="J917" s="315"/>
      <c r="K917" s="315"/>
      <c r="L917" s="315"/>
    </row>
    <row r="918" spans="1:12">
      <c r="A918" s="315"/>
      <c r="B918" s="315"/>
      <c r="C918" s="315"/>
      <c r="D918" s="315"/>
      <c r="E918" s="315"/>
      <c r="F918" s="315"/>
      <c r="G918" s="315"/>
      <c r="H918" s="315"/>
      <c r="I918" s="315"/>
      <c r="J918" s="315"/>
      <c r="K918" s="315"/>
      <c r="L918" s="315"/>
    </row>
    <row r="919" spans="1:12">
      <c r="A919" s="315"/>
      <c r="B919" s="315"/>
      <c r="C919" s="315"/>
      <c r="D919" s="315"/>
      <c r="E919" s="315"/>
      <c r="F919" s="315"/>
      <c r="G919" s="315"/>
      <c r="H919" s="315"/>
      <c r="I919" s="315"/>
      <c r="J919" s="315"/>
      <c r="K919" s="315"/>
      <c r="L919" s="315"/>
    </row>
    <row r="920" spans="1:12">
      <c r="A920" s="315"/>
      <c r="B920" s="315"/>
      <c r="C920" s="315"/>
      <c r="D920" s="315"/>
      <c r="E920" s="315"/>
      <c r="F920" s="315"/>
      <c r="G920" s="315"/>
      <c r="H920" s="315"/>
      <c r="I920" s="315"/>
      <c r="J920" s="315"/>
      <c r="K920" s="315"/>
      <c r="L920" s="315"/>
    </row>
    <row r="921" spans="1:12">
      <c r="A921" s="315"/>
      <c r="B921" s="315"/>
      <c r="C921" s="315"/>
      <c r="D921" s="315"/>
      <c r="E921" s="315"/>
      <c r="F921" s="315"/>
      <c r="G921" s="315"/>
      <c r="H921" s="315"/>
      <c r="I921" s="315"/>
      <c r="J921" s="315"/>
      <c r="K921" s="315"/>
      <c r="L921" s="315"/>
    </row>
    <row r="922" spans="1:12">
      <c r="A922" s="315"/>
      <c r="B922" s="315"/>
      <c r="C922" s="315"/>
      <c r="D922" s="315"/>
      <c r="E922" s="315"/>
      <c r="F922" s="315"/>
      <c r="G922" s="315"/>
      <c r="H922" s="315"/>
      <c r="I922" s="315"/>
      <c r="J922" s="315"/>
      <c r="K922" s="315"/>
      <c r="L922" s="315"/>
    </row>
    <row r="923" spans="1:12">
      <c r="A923" s="315"/>
      <c r="B923" s="315"/>
      <c r="C923" s="315"/>
      <c r="D923" s="315"/>
      <c r="E923" s="315"/>
      <c r="F923" s="315"/>
      <c r="G923" s="315"/>
      <c r="H923" s="315"/>
      <c r="I923" s="315"/>
      <c r="J923" s="315"/>
      <c r="K923" s="315"/>
      <c r="L923" s="315"/>
    </row>
    <row r="924" spans="1:12">
      <c r="A924" s="315"/>
      <c r="B924" s="315"/>
      <c r="C924" s="315"/>
      <c r="D924" s="315"/>
      <c r="E924" s="315"/>
      <c r="F924" s="315"/>
      <c r="G924" s="315"/>
      <c r="H924" s="315"/>
      <c r="I924" s="315"/>
      <c r="J924" s="315"/>
      <c r="K924" s="315"/>
      <c r="L924" s="315"/>
    </row>
    <row r="925" spans="1:12">
      <c r="A925" s="315"/>
      <c r="B925" s="315"/>
      <c r="C925" s="315"/>
      <c r="D925" s="315"/>
      <c r="E925" s="315"/>
      <c r="F925" s="315"/>
      <c r="G925" s="315"/>
      <c r="H925" s="315"/>
      <c r="I925" s="315"/>
      <c r="J925" s="315"/>
      <c r="K925" s="315"/>
      <c r="L925" s="315"/>
    </row>
    <row r="926" spans="1:12">
      <c r="A926" s="315"/>
      <c r="B926" s="315"/>
      <c r="C926" s="315"/>
      <c r="D926" s="315"/>
      <c r="E926" s="315"/>
      <c r="F926" s="315"/>
      <c r="G926" s="315"/>
      <c r="H926" s="315"/>
      <c r="I926" s="315"/>
      <c r="J926" s="315"/>
      <c r="K926" s="315"/>
      <c r="L926" s="315"/>
    </row>
    <row r="927" spans="1:12">
      <c r="A927" s="315"/>
      <c r="B927" s="315"/>
      <c r="C927" s="315"/>
      <c r="D927" s="315"/>
      <c r="E927" s="315"/>
      <c r="F927" s="315"/>
      <c r="G927" s="315"/>
      <c r="H927" s="315"/>
      <c r="I927" s="315"/>
      <c r="J927" s="315"/>
      <c r="K927" s="315"/>
      <c r="L927" s="315"/>
    </row>
    <row r="928" spans="1:12">
      <c r="A928" s="315"/>
      <c r="B928" s="315"/>
      <c r="C928" s="315"/>
      <c r="D928" s="315"/>
      <c r="E928" s="315"/>
      <c r="F928" s="315"/>
      <c r="G928" s="315"/>
      <c r="H928" s="315"/>
      <c r="I928" s="315"/>
      <c r="J928" s="315"/>
      <c r="K928" s="315"/>
      <c r="L928" s="315"/>
    </row>
    <row r="929" spans="1:12">
      <c r="A929" s="315"/>
      <c r="B929" s="315"/>
      <c r="C929" s="315"/>
      <c r="D929" s="315"/>
      <c r="E929" s="315"/>
      <c r="F929" s="315"/>
      <c r="G929" s="315"/>
      <c r="H929" s="315"/>
      <c r="I929" s="315"/>
      <c r="J929" s="315"/>
      <c r="K929" s="315"/>
      <c r="L929" s="315"/>
    </row>
    <row r="930" spans="1:12">
      <c r="A930" s="315"/>
      <c r="B930" s="315"/>
      <c r="C930" s="315"/>
      <c r="D930" s="315"/>
      <c r="E930" s="315"/>
      <c r="F930" s="315"/>
      <c r="G930" s="315"/>
      <c r="H930" s="315"/>
      <c r="I930" s="315"/>
      <c r="J930" s="315"/>
      <c r="K930" s="315"/>
      <c r="L930" s="315"/>
    </row>
    <row r="931" spans="1:12">
      <c r="A931" s="315"/>
      <c r="B931" s="315"/>
      <c r="C931" s="315"/>
      <c r="D931" s="315"/>
      <c r="E931" s="315"/>
      <c r="F931" s="315"/>
      <c r="G931" s="315"/>
      <c r="H931" s="315"/>
      <c r="I931" s="315"/>
      <c r="J931" s="315"/>
      <c r="K931" s="315"/>
      <c r="L931" s="315"/>
    </row>
    <row r="932" spans="1:12">
      <c r="A932" s="315"/>
      <c r="B932" s="315"/>
      <c r="C932" s="315"/>
      <c r="D932" s="315"/>
      <c r="E932" s="315"/>
      <c r="F932" s="315"/>
      <c r="G932" s="315"/>
      <c r="H932" s="315"/>
      <c r="I932" s="315"/>
      <c r="J932" s="315"/>
      <c r="K932" s="315"/>
      <c r="L932" s="315"/>
    </row>
    <row r="933" spans="1:12">
      <c r="A933" s="315"/>
      <c r="B933" s="315"/>
      <c r="C933" s="315"/>
      <c r="D933" s="315"/>
      <c r="E933" s="315"/>
      <c r="F933" s="315"/>
      <c r="G933" s="315"/>
      <c r="H933" s="315"/>
      <c r="I933" s="315"/>
      <c r="J933" s="315"/>
      <c r="K933" s="315"/>
      <c r="L933" s="315"/>
    </row>
    <row r="934" spans="1:12">
      <c r="A934" s="315"/>
      <c r="B934" s="315"/>
      <c r="C934" s="315"/>
      <c r="D934" s="315"/>
      <c r="E934" s="315"/>
      <c r="F934" s="315"/>
      <c r="G934" s="315"/>
      <c r="H934" s="315"/>
      <c r="I934" s="315"/>
      <c r="J934" s="315"/>
      <c r="K934" s="315"/>
      <c r="L934" s="315"/>
    </row>
    <row r="935" spans="1:12">
      <c r="A935" s="315"/>
      <c r="B935" s="315"/>
      <c r="C935" s="315"/>
      <c r="D935" s="315"/>
      <c r="E935" s="315"/>
      <c r="F935" s="315"/>
      <c r="G935" s="315"/>
      <c r="H935" s="315"/>
      <c r="I935" s="315"/>
      <c r="J935" s="315"/>
      <c r="K935" s="315"/>
      <c r="L935" s="315"/>
    </row>
    <row r="936" spans="1:12">
      <c r="A936" s="315"/>
      <c r="B936" s="315"/>
      <c r="C936" s="315"/>
      <c r="D936" s="315"/>
      <c r="E936" s="315"/>
      <c r="F936" s="315"/>
      <c r="G936" s="315"/>
      <c r="H936" s="315"/>
      <c r="I936" s="315"/>
      <c r="J936" s="315"/>
      <c r="K936" s="315"/>
      <c r="L936" s="315"/>
    </row>
    <row r="937" spans="1:12">
      <c r="A937" s="315"/>
      <c r="B937" s="315"/>
      <c r="C937" s="315"/>
      <c r="D937" s="315"/>
      <c r="E937" s="315"/>
      <c r="F937" s="315"/>
      <c r="G937" s="315"/>
      <c r="H937" s="315"/>
      <c r="I937" s="315"/>
      <c r="J937" s="315"/>
      <c r="K937" s="315"/>
      <c r="L937" s="315"/>
    </row>
    <row r="938" spans="1:12">
      <c r="A938" s="315"/>
      <c r="B938" s="315"/>
      <c r="C938" s="315"/>
      <c r="D938" s="315"/>
      <c r="E938" s="315"/>
      <c r="F938" s="315"/>
      <c r="G938" s="315"/>
      <c r="H938" s="315"/>
      <c r="I938" s="315"/>
      <c r="J938" s="315"/>
      <c r="K938" s="315"/>
      <c r="L938" s="315"/>
    </row>
    <row r="939" spans="1:12">
      <c r="A939" s="315"/>
      <c r="B939" s="315"/>
      <c r="C939" s="315"/>
      <c r="D939" s="315"/>
      <c r="E939" s="315"/>
      <c r="F939" s="315"/>
      <c r="G939" s="315"/>
      <c r="H939" s="315"/>
      <c r="I939" s="315"/>
      <c r="J939" s="315"/>
      <c r="K939" s="315"/>
      <c r="L939" s="315"/>
    </row>
    <row r="940" spans="1:12">
      <c r="A940" s="315"/>
      <c r="B940" s="315"/>
      <c r="C940" s="315"/>
      <c r="D940" s="315"/>
      <c r="E940" s="315"/>
      <c r="F940" s="315"/>
      <c r="G940" s="315"/>
      <c r="H940" s="315"/>
      <c r="I940" s="315"/>
      <c r="J940" s="315"/>
      <c r="K940" s="315"/>
      <c r="L940" s="315"/>
    </row>
    <row r="941" spans="1:12">
      <c r="A941" s="315"/>
      <c r="B941" s="315"/>
      <c r="C941" s="315"/>
      <c r="D941" s="315"/>
      <c r="E941" s="315"/>
      <c r="F941" s="315"/>
      <c r="G941" s="315"/>
      <c r="H941" s="315"/>
      <c r="I941" s="315"/>
      <c r="J941" s="315"/>
      <c r="K941" s="315"/>
      <c r="L941" s="315"/>
    </row>
    <row r="942" spans="1:12">
      <c r="A942" s="315"/>
      <c r="B942" s="315"/>
      <c r="C942" s="315"/>
      <c r="D942" s="315"/>
      <c r="E942" s="315"/>
      <c r="F942" s="315"/>
      <c r="G942" s="315"/>
      <c r="H942" s="315"/>
      <c r="I942" s="315"/>
      <c r="J942" s="315"/>
      <c r="K942" s="315"/>
      <c r="L942" s="315"/>
    </row>
    <row r="943" spans="1:12">
      <c r="A943" s="315"/>
      <c r="B943" s="315"/>
      <c r="C943" s="315"/>
      <c r="D943" s="315"/>
      <c r="E943" s="315"/>
      <c r="F943" s="315"/>
      <c r="G943" s="315"/>
      <c r="H943" s="315"/>
      <c r="I943" s="315"/>
      <c r="J943" s="315"/>
      <c r="K943" s="315"/>
      <c r="L943" s="315"/>
    </row>
    <row r="944" spans="1:12">
      <c r="A944" s="315"/>
      <c r="B944" s="315"/>
      <c r="C944" s="315"/>
      <c r="D944" s="315"/>
      <c r="E944" s="315"/>
      <c r="F944" s="315"/>
      <c r="G944" s="315"/>
      <c r="H944" s="315"/>
      <c r="I944" s="315"/>
      <c r="J944" s="315"/>
      <c r="K944" s="315"/>
      <c r="L944" s="315"/>
    </row>
    <row r="945" spans="1:12">
      <c r="A945" s="315"/>
      <c r="B945" s="315"/>
      <c r="C945" s="315"/>
      <c r="D945" s="315"/>
      <c r="E945" s="315"/>
      <c r="F945" s="315"/>
      <c r="G945" s="315"/>
      <c r="H945" s="315"/>
      <c r="I945" s="315"/>
      <c r="J945" s="315"/>
      <c r="K945" s="315"/>
      <c r="L945" s="315"/>
    </row>
    <row r="946" spans="1:12">
      <c r="A946" s="315"/>
      <c r="B946" s="315"/>
      <c r="C946" s="315"/>
      <c r="D946" s="315"/>
      <c r="E946" s="315"/>
      <c r="F946" s="315"/>
      <c r="G946" s="315"/>
      <c r="H946" s="315"/>
      <c r="I946" s="315"/>
      <c r="J946" s="315"/>
      <c r="K946" s="315"/>
      <c r="L946" s="315"/>
    </row>
    <row r="947" spans="1:12">
      <c r="A947" s="315"/>
      <c r="B947" s="315"/>
      <c r="C947" s="315"/>
      <c r="D947" s="315"/>
      <c r="E947" s="315"/>
      <c r="F947" s="315"/>
      <c r="G947" s="315"/>
      <c r="H947" s="315"/>
      <c r="I947" s="315"/>
      <c r="J947" s="315"/>
      <c r="K947" s="315"/>
      <c r="L947" s="315"/>
    </row>
    <row r="948" spans="1:12">
      <c r="A948" s="315"/>
      <c r="B948" s="315"/>
      <c r="C948" s="315"/>
      <c r="D948" s="315"/>
      <c r="E948" s="315"/>
      <c r="F948" s="315"/>
      <c r="G948" s="315"/>
      <c r="H948" s="315"/>
      <c r="I948" s="315"/>
      <c r="J948" s="315"/>
      <c r="K948" s="315"/>
      <c r="L948" s="315"/>
    </row>
    <row r="949" spans="1:12">
      <c r="A949" s="315"/>
      <c r="B949" s="315"/>
      <c r="C949" s="315"/>
      <c r="D949" s="315"/>
      <c r="E949" s="315"/>
      <c r="F949" s="315"/>
      <c r="G949" s="315"/>
      <c r="H949" s="315"/>
      <c r="I949" s="315"/>
      <c r="J949" s="315"/>
      <c r="K949" s="315"/>
      <c r="L949" s="315"/>
    </row>
    <row r="950" spans="1:12">
      <c r="A950" s="315"/>
      <c r="B950" s="315"/>
      <c r="C950" s="315"/>
      <c r="D950" s="315"/>
      <c r="E950" s="315"/>
      <c r="F950" s="315"/>
      <c r="G950" s="315"/>
      <c r="H950" s="315"/>
      <c r="I950" s="315"/>
      <c r="J950" s="315"/>
      <c r="K950" s="315"/>
      <c r="L950" s="315"/>
    </row>
    <row r="951" spans="1:12">
      <c r="A951" s="315"/>
      <c r="B951" s="315"/>
      <c r="C951" s="315"/>
      <c r="D951" s="315"/>
      <c r="E951" s="315"/>
      <c r="F951" s="315"/>
      <c r="G951" s="315"/>
      <c r="H951" s="315"/>
      <c r="I951" s="315"/>
      <c r="J951" s="315"/>
      <c r="K951" s="315"/>
      <c r="L951" s="315"/>
    </row>
    <row r="952" spans="1:12">
      <c r="A952" s="315"/>
      <c r="B952" s="315"/>
      <c r="C952" s="315"/>
      <c r="D952" s="315"/>
      <c r="E952" s="315"/>
      <c r="F952" s="315"/>
      <c r="G952" s="315"/>
      <c r="H952" s="315"/>
      <c r="I952" s="315"/>
      <c r="J952" s="315"/>
      <c r="K952" s="315"/>
      <c r="L952" s="315"/>
    </row>
    <row r="953" spans="1:12">
      <c r="A953" s="315"/>
      <c r="B953" s="315"/>
      <c r="C953" s="315"/>
      <c r="D953" s="315"/>
      <c r="E953" s="315"/>
      <c r="F953" s="315"/>
      <c r="G953" s="315"/>
      <c r="H953" s="315"/>
      <c r="I953" s="315"/>
      <c r="J953" s="315"/>
      <c r="K953" s="315"/>
      <c r="L953" s="315"/>
    </row>
    <row r="954" spans="1:12">
      <c r="A954" s="315"/>
      <c r="B954" s="315"/>
      <c r="C954" s="315"/>
      <c r="D954" s="315"/>
      <c r="E954" s="315"/>
      <c r="F954" s="315"/>
      <c r="G954" s="315"/>
      <c r="H954" s="315"/>
      <c r="I954" s="315"/>
      <c r="J954" s="315"/>
      <c r="K954" s="315"/>
      <c r="L954" s="315"/>
    </row>
    <row r="955" spans="1:12">
      <c r="A955" s="315"/>
      <c r="B955" s="315"/>
      <c r="C955" s="315"/>
      <c r="D955" s="315"/>
      <c r="E955" s="315"/>
      <c r="F955" s="315"/>
      <c r="G955" s="315"/>
      <c r="H955" s="315"/>
      <c r="I955" s="315"/>
      <c r="J955" s="315"/>
      <c r="K955" s="315"/>
      <c r="L955" s="315"/>
    </row>
    <row r="956" spans="1:12">
      <c r="A956" s="315"/>
      <c r="B956" s="315"/>
      <c r="C956" s="315"/>
      <c r="D956" s="315"/>
      <c r="E956" s="315"/>
      <c r="F956" s="315"/>
      <c r="G956" s="315"/>
      <c r="H956" s="315"/>
      <c r="I956" s="315"/>
      <c r="J956" s="315"/>
      <c r="K956" s="315"/>
      <c r="L956" s="315"/>
    </row>
    <row r="957" spans="1:12">
      <c r="A957" s="315"/>
      <c r="B957" s="315"/>
      <c r="C957" s="315"/>
      <c r="D957" s="315"/>
      <c r="E957" s="315"/>
      <c r="F957" s="315"/>
      <c r="G957" s="315"/>
      <c r="H957" s="315"/>
      <c r="I957" s="315"/>
      <c r="J957" s="315"/>
      <c r="K957" s="315"/>
      <c r="L957" s="315"/>
    </row>
    <row r="958" spans="1:12">
      <c r="A958" s="315"/>
      <c r="B958" s="315"/>
      <c r="C958" s="315"/>
      <c r="D958" s="315"/>
      <c r="E958" s="315"/>
      <c r="F958" s="315"/>
      <c r="G958" s="315"/>
      <c r="H958" s="315"/>
      <c r="I958" s="315"/>
      <c r="J958" s="315"/>
      <c r="K958" s="315"/>
      <c r="L958" s="315"/>
    </row>
    <row r="959" spans="1:12">
      <c r="A959" s="315"/>
      <c r="B959" s="315"/>
      <c r="C959" s="315"/>
      <c r="D959" s="315"/>
      <c r="E959" s="315"/>
      <c r="F959" s="315"/>
      <c r="G959" s="315"/>
      <c r="H959" s="315"/>
      <c r="I959" s="315"/>
      <c r="J959" s="315"/>
      <c r="K959" s="315"/>
      <c r="L959" s="315"/>
    </row>
    <row r="960" spans="1:12">
      <c r="A960" s="315"/>
      <c r="B960" s="315"/>
      <c r="C960" s="315"/>
      <c r="D960" s="315"/>
      <c r="E960" s="315"/>
      <c r="F960" s="315"/>
      <c r="G960" s="315"/>
      <c r="H960" s="315"/>
      <c r="I960" s="315"/>
      <c r="J960" s="315"/>
      <c r="K960" s="315"/>
      <c r="L960" s="315"/>
    </row>
    <row r="961" spans="1:12">
      <c r="A961" s="315"/>
      <c r="B961" s="315"/>
      <c r="C961" s="315"/>
      <c r="D961" s="315"/>
      <c r="E961" s="315"/>
      <c r="F961" s="315"/>
      <c r="G961" s="315"/>
      <c r="H961" s="315"/>
      <c r="I961" s="315"/>
      <c r="J961" s="315"/>
      <c r="K961" s="315"/>
      <c r="L961" s="315"/>
    </row>
    <row r="962" spans="1:12">
      <c r="A962" s="315"/>
      <c r="B962" s="315"/>
      <c r="C962" s="315"/>
      <c r="D962" s="315"/>
      <c r="E962" s="315"/>
      <c r="F962" s="315"/>
      <c r="G962" s="315"/>
      <c r="H962" s="315"/>
      <c r="I962" s="315"/>
      <c r="J962" s="315"/>
      <c r="K962" s="315"/>
      <c r="L962" s="315"/>
    </row>
    <row r="963" spans="1:12">
      <c r="A963" s="315"/>
      <c r="B963" s="315"/>
      <c r="C963" s="315"/>
      <c r="D963" s="315"/>
      <c r="E963" s="315"/>
      <c r="F963" s="315"/>
      <c r="G963" s="315"/>
      <c r="H963" s="315"/>
      <c r="I963" s="315"/>
      <c r="J963" s="315"/>
      <c r="K963" s="315"/>
      <c r="L963" s="315"/>
    </row>
    <row r="964" spans="1:12">
      <c r="A964" s="315"/>
      <c r="B964" s="315"/>
      <c r="C964" s="315"/>
      <c r="D964" s="315"/>
      <c r="E964" s="315"/>
      <c r="F964" s="315"/>
      <c r="G964" s="315"/>
      <c r="H964" s="315"/>
      <c r="I964" s="315"/>
      <c r="J964" s="315"/>
      <c r="K964" s="315"/>
      <c r="L964" s="315"/>
    </row>
    <row r="965" spans="1:12">
      <c r="A965" s="315"/>
      <c r="B965" s="315"/>
      <c r="C965" s="315"/>
      <c r="D965" s="315"/>
      <c r="E965" s="315"/>
      <c r="F965" s="315"/>
      <c r="G965" s="315"/>
      <c r="H965" s="315"/>
      <c r="I965" s="315"/>
      <c r="J965" s="315"/>
      <c r="K965" s="315"/>
      <c r="L965" s="315"/>
    </row>
    <row r="966" spans="1:12">
      <c r="A966" s="315"/>
      <c r="B966" s="315"/>
      <c r="C966" s="315"/>
      <c r="D966" s="315"/>
      <c r="E966" s="315"/>
      <c r="F966" s="315"/>
      <c r="G966" s="315"/>
      <c r="H966" s="315"/>
      <c r="I966" s="315"/>
      <c r="J966" s="315"/>
      <c r="K966" s="315"/>
      <c r="L966" s="315"/>
    </row>
    <row r="967" spans="1:12">
      <c r="A967" s="315"/>
      <c r="B967" s="315"/>
      <c r="C967" s="315"/>
      <c r="D967" s="315"/>
      <c r="E967" s="315"/>
      <c r="F967" s="315"/>
      <c r="G967" s="315"/>
      <c r="H967" s="315"/>
      <c r="I967" s="315"/>
      <c r="J967" s="315"/>
      <c r="K967" s="315"/>
      <c r="L967" s="315"/>
    </row>
    <row r="968" spans="1:12">
      <c r="A968" s="315"/>
      <c r="B968" s="315"/>
      <c r="C968" s="315"/>
      <c r="D968" s="315"/>
      <c r="E968" s="315"/>
      <c r="F968" s="315"/>
      <c r="G968" s="315"/>
      <c r="H968" s="315"/>
      <c r="I968" s="315"/>
      <c r="J968" s="315"/>
      <c r="K968" s="315"/>
      <c r="L968" s="315"/>
    </row>
    <row r="969" spans="1:12">
      <c r="A969" s="315"/>
      <c r="B969" s="315"/>
      <c r="C969" s="315"/>
      <c r="D969" s="315"/>
      <c r="E969" s="315"/>
      <c r="F969" s="315"/>
      <c r="G969" s="315"/>
      <c r="H969" s="315"/>
      <c r="I969" s="315"/>
      <c r="J969" s="315"/>
      <c r="K969" s="315"/>
      <c r="L969" s="315"/>
    </row>
    <row r="970" spans="1:12">
      <c r="A970" s="315"/>
      <c r="B970" s="315"/>
      <c r="C970" s="315"/>
      <c r="D970" s="315"/>
      <c r="E970" s="315"/>
      <c r="F970" s="315"/>
      <c r="G970" s="315"/>
      <c r="H970" s="315"/>
      <c r="I970" s="315"/>
      <c r="J970" s="315"/>
      <c r="K970" s="315"/>
      <c r="L970" s="315"/>
    </row>
    <row r="971" spans="1:12">
      <c r="A971" s="315"/>
      <c r="B971" s="315"/>
      <c r="C971" s="315"/>
      <c r="D971" s="315"/>
      <c r="E971" s="315"/>
      <c r="F971" s="315"/>
      <c r="G971" s="315"/>
      <c r="H971" s="315"/>
      <c r="I971" s="315"/>
      <c r="J971" s="315"/>
      <c r="K971" s="315"/>
      <c r="L971" s="315"/>
    </row>
    <row r="972" spans="1:12">
      <c r="A972" s="315"/>
      <c r="B972" s="315"/>
      <c r="C972" s="315"/>
      <c r="D972" s="315"/>
      <c r="E972" s="315"/>
      <c r="F972" s="315"/>
      <c r="G972" s="315"/>
      <c r="H972" s="315"/>
      <c r="I972" s="315"/>
      <c r="J972" s="315"/>
      <c r="K972" s="315"/>
      <c r="L972" s="315"/>
    </row>
    <row r="973" spans="1:12">
      <c r="A973" s="315"/>
      <c r="B973" s="315"/>
      <c r="C973" s="315"/>
      <c r="D973" s="315"/>
      <c r="E973" s="315"/>
      <c r="F973" s="315"/>
      <c r="G973" s="315"/>
      <c r="H973" s="315"/>
      <c r="I973" s="315"/>
      <c r="J973" s="315"/>
      <c r="K973" s="315"/>
      <c r="L973" s="315"/>
    </row>
    <row r="974" spans="1:12">
      <c r="A974" s="315"/>
      <c r="B974" s="315"/>
      <c r="C974" s="315"/>
      <c r="D974" s="315"/>
      <c r="E974" s="315"/>
      <c r="F974" s="315"/>
      <c r="G974" s="315"/>
      <c r="H974" s="315"/>
      <c r="I974" s="315"/>
      <c r="J974" s="315"/>
      <c r="K974" s="315"/>
      <c r="L974" s="315"/>
    </row>
    <row r="975" spans="1:12">
      <c r="A975" s="315"/>
      <c r="B975" s="315"/>
      <c r="C975" s="315"/>
      <c r="D975" s="315"/>
      <c r="E975" s="315"/>
      <c r="F975" s="315"/>
      <c r="G975" s="315"/>
      <c r="H975" s="315"/>
      <c r="I975" s="315"/>
      <c r="J975" s="315"/>
      <c r="K975" s="315"/>
      <c r="L975" s="315"/>
    </row>
    <row r="976" spans="1:12">
      <c r="A976" s="315"/>
      <c r="B976" s="315"/>
      <c r="C976" s="315"/>
      <c r="D976" s="315"/>
      <c r="E976" s="315"/>
      <c r="F976" s="315"/>
      <c r="G976" s="315"/>
      <c r="H976" s="315"/>
      <c r="I976" s="315"/>
      <c r="J976" s="315"/>
      <c r="K976" s="315"/>
      <c r="L976" s="315"/>
    </row>
    <row r="977" spans="1:12">
      <c r="A977" s="315"/>
      <c r="B977" s="315"/>
      <c r="C977" s="315"/>
      <c r="D977" s="315"/>
      <c r="E977" s="315"/>
      <c r="F977" s="315"/>
      <c r="G977" s="315"/>
      <c r="H977" s="315"/>
      <c r="I977" s="315"/>
      <c r="J977" s="315"/>
      <c r="K977" s="315"/>
      <c r="L977" s="315"/>
    </row>
    <row r="978" spans="1:12">
      <c r="A978" s="315"/>
      <c r="B978" s="315"/>
      <c r="C978" s="315"/>
      <c r="D978" s="315"/>
      <c r="E978" s="315"/>
      <c r="F978" s="315"/>
      <c r="G978" s="315"/>
      <c r="H978" s="315"/>
      <c r="I978" s="315"/>
      <c r="J978" s="315"/>
      <c r="K978" s="315"/>
      <c r="L978" s="315"/>
    </row>
    <row r="979" spans="1:12">
      <c r="A979" s="315"/>
      <c r="B979" s="315"/>
      <c r="C979" s="315"/>
      <c r="D979" s="315"/>
      <c r="E979" s="315"/>
      <c r="F979" s="315"/>
      <c r="G979" s="315"/>
      <c r="H979" s="315"/>
      <c r="I979" s="315"/>
      <c r="J979" s="315"/>
      <c r="K979" s="315"/>
      <c r="L979" s="315"/>
    </row>
    <row r="980" spans="1:12">
      <c r="A980" s="315"/>
      <c r="B980" s="315"/>
      <c r="C980" s="315"/>
      <c r="D980" s="315"/>
      <c r="E980" s="315"/>
      <c r="F980" s="315"/>
      <c r="G980" s="315"/>
      <c r="H980" s="315"/>
      <c r="I980" s="315"/>
      <c r="J980" s="315"/>
      <c r="K980" s="315"/>
      <c r="L980" s="315"/>
    </row>
    <row r="981" spans="1:12">
      <c r="A981" s="315"/>
      <c r="B981" s="315"/>
      <c r="C981" s="315"/>
      <c r="D981" s="315"/>
      <c r="E981" s="315"/>
      <c r="F981" s="315"/>
      <c r="G981" s="315"/>
      <c r="H981" s="315"/>
      <c r="I981" s="315"/>
      <c r="J981" s="315"/>
      <c r="K981" s="315"/>
      <c r="L981" s="315"/>
    </row>
    <row r="982" spans="1:12">
      <c r="A982" s="315"/>
      <c r="B982" s="315"/>
      <c r="C982" s="315"/>
      <c r="D982" s="315"/>
      <c r="E982" s="315"/>
      <c r="F982" s="315"/>
      <c r="G982" s="315"/>
      <c r="H982" s="315"/>
      <c r="I982" s="315"/>
      <c r="J982" s="315"/>
      <c r="K982" s="315"/>
      <c r="L982" s="315"/>
    </row>
    <row r="983" spans="1:12">
      <c r="A983" s="315"/>
      <c r="B983" s="315"/>
      <c r="C983" s="315"/>
      <c r="D983" s="315"/>
      <c r="E983" s="315"/>
      <c r="F983" s="315"/>
      <c r="G983" s="315"/>
      <c r="H983" s="315"/>
      <c r="I983" s="315"/>
      <c r="J983" s="315"/>
      <c r="K983" s="315"/>
      <c r="L983" s="315"/>
    </row>
    <row r="984" spans="1:12">
      <c r="A984" s="315"/>
      <c r="B984" s="315"/>
      <c r="C984" s="315"/>
      <c r="D984" s="315"/>
      <c r="E984" s="315"/>
      <c r="F984" s="315"/>
      <c r="G984" s="315"/>
      <c r="H984" s="315"/>
      <c r="I984" s="315"/>
      <c r="J984" s="315"/>
      <c r="K984" s="315"/>
      <c r="L984" s="315"/>
    </row>
    <row r="985" spans="1:12">
      <c r="A985" s="315"/>
      <c r="B985" s="315"/>
      <c r="C985" s="315"/>
      <c r="D985" s="315"/>
      <c r="E985" s="315"/>
      <c r="F985" s="315"/>
      <c r="G985" s="315"/>
      <c r="H985" s="315"/>
      <c r="I985" s="315"/>
      <c r="J985" s="315"/>
      <c r="K985" s="315"/>
      <c r="L985" s="315"/>
    </row>
    <row r="986" spans="1:12">
      <c r="A986" s="315"/>
      <c r="B986" s="315"/>
      <c r="C986" s="315"/>
      <c r="D986" s="315"/>
      <c r="E986" s="315"/>
      <c r="F986" s="315"/>
      <c r="G986" s="315"/>
      <c r="H986" s="315"/>
      <c r="I986" s="315"/>
      <c r="J986" s="315"/>
      <c r="K986" s="315"/>
      <c r="L986" s="315"/>
    </row>
    <row r="987" spans="1:12">
      <c r="A987" s="315"/>
      <c r="B987" s="315"/>
      <c r="C987" s="315"/>
      <c r="D987" s="315"/>
      <c r="E987" s="315"/>
      <c r="F987" s="315"/>
      <c r="G987" s="315"/>
      <c r="H987" s="315"/>
      <c r="I987" s="315"/>
      <c r="J987" s="315"/>
      <c r="K987" s="315"/>
      <c r="L987" s="315"/>
    </row>
    <row r="988" spans="1:12">
      <c r="A988" s="315"/>
      <c r="B988" s="315"/>
      <c r="C988" s="315"/>
      <c r="D988" s="315"/>
      <c r="E988" s="315"/>
      <c r="F988" s="315"/>
      <c r="G988" s="315"/>
      <c r="H988" s="315"/>
      <c r="I988" s="315"/>
      <c r="J988" s="315"/>
      <c r="K988" s="315"/>
      <c r="L988" s="315"/>
    </row>
    <row r="989" spans="1:12">
      <c r="A989" s="315"/>
      <c r="B989" s="315"/>
      <c r="C989" s="315"/>
      <c r="D989" s="315"/>
      <c r="E989" s="315"/>
      <c r="F989" s="315"/>
      <c r="G989" s="315"/>
      <c r="H989" s="315"/>
      <c r="I989" s="315"/>
      <c r="J989" s="315"/>
      <c r="K989" s="315"/>
      <c r="L989" s="315"/>
    </row>
    <row r="990" spans="1:12">
      <c r="A990" s="315"/>
      <c r="B990" s="315"/>
      <c r="C990" s="315"/>
      <c r="D990" s="315"/>
      <c r="E990" s="315"/>
      <c r="F990" s="315"/>
      <c r="G990" s="315"/>
      <c r="H990" s="315"/>
      <c r="I990" s="315"/>
      <c r="J990" s="315"/>
      <c r="K990" s="315"/>
      <c r="L990" s="315"/>
    </row>
    <row r="991" spans="1:12">
      <c r="A991" s="315"/>
      <c r="B991" s="315"/>
      <c r="C991" s="315"/>
      <c r="D991" s="315"/>
      <c r="E991" s="315"/>
      <c r="F991" s="315"/>
      <c r="G991" s="315"/>
      <c r="H991" s="315"/>
      <c r="I991" s="315"/>
      <c r="J991" s="315"/>
      <c r="K991" s="315"/>
      <c r="L991" s="315"/>
    </row>
    <row r="992" spans="1:12">
      <c r="A992" s="315"/>
      <c r="B992" s="315"/>
      <c r="C992" s="315"/>
      <c r="D992" s="315"/>
      <c r="E992" s="315"/>
      <c r="F992" s="315"/>
      <c r="G992" s="315"/>
      <c r="H992" s="315"/>
      <c r="I992" s="315"/>
      <c r="J992" s="315"/>
      <c r="K992" s="315"/>
      <c r="L992" s="315"/>
    </row>
    <row r="993" spans="1:12">
      <c r="A993" s="315"/>
      <c r="B993" s="315"/>
      <c r="C993" s="315"/>
      <c r="D993" s="315"/>
      <c r="E993" s="315"/>
      <c r="F993" s="315"/>
      <c r="G993" s="315"/>
      <c r="H993" s="315"/>
      <c r="I993" s="315"/>
      <c r="J993" s="315"/>
      <c r="K993" s="315"/>
      <c r="L993" s="315"/>
    </row>
    <row r="994" spans="1:12">
      <c r="A994" s="315"/>
      <c r="B994" s="315"/>
      <c r="C994" s="315"/>
      <c r="D994" s="315"/>
      <c r="E994" s="315"/>
      <c r="F994" s="315"/>
      <c r="G994" s="315"/>
      <c r="H994" s="315"/>
      <c r="I994" s="315"/>
      <c r="J994" s="315"/>
      <c r="K994" s="315"/>
      <c r="L994" s="315"/>
    </row>
    <row r="995" spans="1:12">
      <c r="A995" s="315"/>
      <c r="B995" s="315"/>
      <c r="C995" s="315"/>
      <c r="D995" s="315"/>
      <c r="E995" s="315"/>
      <c r="F995" s="315"/>
      <c r="G995" s="315"/>
      <c r="H995" s="315"/>
      <c r="I995" s="315"/>
      <c r="J995" s="315"/>
      <c r="K995" s="315"/>
      <c r="L995" s="315"/>
    </row>
    <row r="996" spans="1:12">
      <c r="A996" s="315"/>
      <c r="B996" s="315"/>
      <c r="C996" s="315"/>
      <c r="D996" s="315"/>
      <c r="E996" s="315"/>
      <c r="F996" s="315"/>
      <c r="G996" s="315"/>
      <c r="H996" s="315"/>
      <c r="I996" s="315"/>
      <c r="J996" s="315"/>
      <c r="K996" s="315"/>
      <c r="L996" s="315"/>
    </row>
    <row r="997" spans="1:12">
      <c r="A997" s="315"/>
      <c r="B997" s="315"/>
      <c r="C997" s="315"/>
      <c r="D997" s="315"/>
      <c r="E997" s="315"/>
      <c r="F997" s="315"/>
      <c r="G997" s="315"/>
      <c r="H997" s="315"/>
      <c r="I997" s="315"/>
      <c r="J997" s="315"/>
      <c r="K997" s="315"/>
      <c r="L997" s="315"/>
    </row>
    <row r="998" spans="1:12">
      <c r="A998" s="315"/>
      <c r="B998" s="315"/>
      <c r="C998" s="315"/>
      <c r="D998" s="315"/>
      <c r="E998" s="315"/>
      <c r="F998" s="315"/>
      <c r="G998" s="315"/>
      <c r="H998" s="315"/>
      <c r="I998" s="315"/>
      <c r="J998" s="315"/>
      <c r="K998" s="315"/>
      <c r="L998" s="315"/>
    </row>
    <row r="999" spans="1:12">
      <c r="A999" s="315"/>
      <c r="B999" s="315"/>
      <c r="C999" s="315"/>
      <c r="D999" s="315"/>
      <c r="E999" s="315"/>
      <c r="F999" s="315"/>
      <c r="G999" s="315"/>
      <c r="H999" s="315"/>
      <c r="I999" s="315"/>
      <c r="J999" s="315"/>
      <c r="K999" s="315"/>
      <c r="L999" s="315"/>
    </row>
    <row r="1000" spans="1:12">
      <c r="A1000" s="315"/>
      <c r="B1000" s="315"/>
      <c r="C1000" s="315"/>
      <c r="D1000" s="315"/>
      <c r="E1000" s="315"/>
      <c r="F1000" s="315"/>
      <c r="G1000" s="315"/>
      <c r="H1000" s="315"/>
      <c r="I1000" s="315"/>
      <c r="J1000" s="315"/>
      <c r="K1000" s="315"/>
      <c r="L1000" s="315"/>
    </row>
    <row r="1001" spans="1:12">
      <c r="A1001" s="315"/>
      <c r="B1001" s="315"/>
      <c r="C1001" s="315"/>
      <c r="D1001" s="315"/>
      <c r="E1001" s="315"/>
      <c r="F1001" s="315"/>
      <c r="G1001" s="315"/>
      <c r="H1001" s="315"/>
      <c r="I1001" s="315"/>
      <c r="J1001" s="315"/>
      <c r="K1001" s="315"/>
      <c r="L1001" s="315"/>
    </row>
    <row r="1002" spans="1:12">
      <c r="A1002" s="315"/>
      <c r="B1002" s="315"/>
      <c r="C1002" s="315"/>
      <c r="D1002" s="315"/>
      <c r="E1002" s="315"/>
      <c r="F1002" s="315"/>
      <c r="G1002" s="315"/>
      <c r="H1002" s="315"/>
      <c r="I1002" s="315"/>
      <c r="J1002" s="315"/>
      <c r="K1002" s="315"/>
      <c r="L1002" s="315"/>
    </row>
    <row r="1003" spans="1:12">
      <c r="A1003" s="315"/>
      <c r="B1003" s="315"/>
      <c r="C1003" s="315"/>
      <c r="D1003" s="315"/>
      <c r="E1003" s="315"/>
      <c r="F1003" s="315"/>
      <c r="G1003" s="315"/>
      <c r="H1003" s="315"/>
      <c r="I1003" s="315"/>
      <c r="J1003" s="315"/>
      <c r="K1003" s="315"/>
      <c r="L1003" s="315"/>
    </row>
    <row r="1004" spans="1:12">
      <c r="A1004" s="315"/>
      <c r="B1004" s="315"/>
      <c r="C1004" s="315"/>
      <c r="D1004" s="315"/>
      <c r="E1004" s="315"/>
      <c r="F1004" s="315"/>
      <c r="G1004" s="315"/>
      <c r="H1004" s="315"/>
      <c r="I1004" s="315"/>
      <c r="J1004" s="315"/>
      <c r="K1004" s="315"/>
      <c r="L1004" s="315"/>
    </row>
    <row r="1005" spans="1:12">
      <c r="A1005" s="315"/>
      <c r="B1005" s="315"/>
      <c r="C1005" s="315"/>
      <c r="D1005" s="315"/>
      <c r="E1005" s="315"/>
      <c r="F1005" s="315"/>
      <c r="G1005" s="315"/>
      <c r="H1005" s="315"/>
      <c r="I1005" s="315"/>
      <c r="J1005" s="315"/>
      <c r="K1005" s="315"/>
      <c r="L1005" s="315"/>
    </row>
    <row r="1006" spans="1:12">
      <c r="A1006" s="315"/>
      <c r="B1006" s="315"/>
      <c r="C1006" s="315"/>
      <c r="D1006" s="315"/>
      <c r="E1006" s="315"/>
      <c r="F1006" s="315"/>
      <c r="G1006" s="315"/>
      <c r="H1006" s="315"/>
      <c r="I1006" s="315"/>
      <c r="J1006" s="315"/>
      <c r="K1006" s="315"/>
      <c r="L1006" s="315"/>
    </row>
    <row r="1007" spans="1:12">
      <c r="A1007" s="315"/>
      <c r="B1007" s="315"/>
      <c r="C1007" s="315"/>
      <c r="D1007" s="315"/>
      <c r="E1007" s="315"/>
      <c r="F1007" s="315"/>
      <c r="G1007" s="315"/>
      <c r="H1007" s="315"/>
      <c r="I1007" s="315"/>
      <c r="J1007" s="315"/>
      <c r="K1007" s="315"/>
      <c r="L1007" s="315"/>
    </row>
    <row r="1008" spans="1:12">
      <c r="A1008" s="315"/>
      <c r="B1008" s="315"/>
      <c r="C1008" s="315"/>
      <c r="D1008" s="315"/>
      <c r="E1008" s="315"/>
      <c r="F1008" s="315"/>
      <c r="G1008" s="315"/>
      <c r="H1008" s="315"/>
      <c r="I1008" s="315"/>
      <c r="J1008" s="315"/>
      <c r="K1008" s="315"/>
      <c r="L1008" s="315"/>
    </row>
    <row r="1009" spans="1:12">
      <c r="A1009" s="315"/>
      <c r="B1009" s="315"/>
      <c r="C1009" s="315"/>
      <c r="D1009" s="315"/>
      <c r="E1009" s="315"/>
      <c r="F1009" s="315"/>
      <c r="G1009" s="315"/>
      <c r="H1009" s="315"/>
      <c r="I1009" s="315"/>
      <c r="J1009" s="315"/>
      <c r="K1009" s="315"/>
      <c r="L1009" s="315"/>
    </row>
    <row r="1010" spans="1:12">
      <c r="A1010" s="315"/>
      <c r="B1010" s="315"/>
      <c r="C1010" s="315"/>
      <c r="D1010" s="315"/>
      <c r="E1010" s="315"/>
      <c r="F1010" s="315"/>
      <c r="G1010" s="315"/>
      <c r="H1010" s="315"/>
      <c r="I1010" s="315"/>
      <c r="J1010" s="315"/>
      <c r="K1010" s="315"/>
      <c r="L1010" s="315"/>
    </row>
    <row r="1011" spans="1:12">
      <c r="A1011" s="315"/>
      <c r="B1011" s="315"/>
      <c r="C1011" s="315"/>
      <c r="D1011" s="315"/>
      <c r="E1011" s="315"/>
      <c r="F1011" s="315"/>
      <c r="G1011" s="315"/>
      <c r="H1011" s="315"/>
      <c r="I1011" s="315"/>
      <c r="J1011" s="315"/>
      <c r="K1011" s="315"/>
      <c r="L1011" s="315"/>
    </row>
    <row r="1012" spans="1:12">
      <c r="A1012" s="315"/>
      <c r="B1012" s="315"/>
      <c r="C1012" s="315"/>
      <c r="D1012" s="315"/>
      <c r="E1012" s="315"/>
      <c r="F1012" s="315"/>
      <c r="G1012" s="315"/>
      <c r="H1012" s="315"/>
      <c r="I1012" s="315"/>
      <c r="J1012" s="315"/>
      <c r="K1012" s="315"/>
      <c r="L1012" s="315"/>
    </row>
    <row r="1013" spans="1:12">
      <c r="A1013" s="315"/>
      <c r="B1013" s="315"/>
      <c r="C1013" s="315"/>
      <c r="D1013" s="315"/>
      <c r="E1013" s="315"/>
      <c r="F1013" s="315"/>
      <c r="G1013" s="315"/>
      <c r="H1013" s="315"/>
      <c r="I1013" s="315"/>
      <c r="J1013" s="315"/>
      <c r="K1013" s="315"/>
      <c r="L1013" s="315"/>
    </row>
    <row r="1014" spans="1:12">
      <c r="A1014" s="315"/>
      <c r="B1014" s="315"/>
      <c r="C1014" s="315"/>
      <c r="D1014" s="315"/>
      <c r="E1014" s="315"/>
      <c r="F1014" s="315"/>
      <c r="G1014" s="315"/>
      <c r="H1014" s="315"/>
      <c r="I1014" s="315"/>
      <c r="J1014" s="315"/>
      <c r="K1014" s="315"/>
      <c r="L1014" s="315"/>
    </row>
    <row r="1015" spans="1:12">
      <c r="A1015" s="315"/>
      <c r="B1015" s="315"/>
      <c r="C1015" s="315"/>
      <c r="D1015" s="315"/>
      <c r="E1015" s="315"/>
      <c r="F1015" s="315"/>
      <c r="G1015" s="315"/>
      <c r="H1015" s="315"/>
      <c r="I1015" s="315"/>
      <c r="J1015" s="315"/>
      <c r="K1015" s="315"/>
      <c r="L1015" s="315"/>
    </row>
    <row r="1016" spans="1:12">
      <c r="A1016" s="315"/>
      <c r="B1016" s="315"/>
      <c r="C1016" s="315"/>
      <c r="D1016" s="315"/>
      <c r="E1016" s="315"/>
      <c r="F1016" s="315"/>
      <c r="G1016" s="315"/>
      <c r="H1016" s="315"/>
      <c r="I1016" s="315"/>
      <c r="J1016" s="315"/>
      <c r="K1016" s="315"/>
      <c r="L1016" s="315"/>
    </row>
    <row r="1017" spans="1:12">
      <c r="A1017" s="315"/>
      <c r="B1017" s="315"/>
      <c r="C1017" s="315"/>
      <c r="D1017" s="315"/>
      <c r="E1017" s="315"/>
      <c r="F1017" s="315"/>
      <c r="G1017" s="315"/>
      <c r="H1017" s="315"/>
      <c r="I1017" s="315"/>
      <c r="J1017" s="315"/>
      <c r="K1017" s="315"/>
      <c r="L1017" s="315"/>
    </row>
    <row r="1018" spans="1:12">
      <c r="A1018" s="315"/>
      <c r="B1018" s="315"/>
      <c r="C1018" s="315"/>
      <c r="D1018" s="315"/>
      <c r="E1018" s="315"/>
      <c r="F1018" s="315"/>
      <c r="G1018" s="315"/>
      <c r="H1018" s="315"/>
      <c r="I1018" s="315"/>
      <c r="J1018" s="315"/>
      <c r="K1018" s="315"/>
      <c r="L1018" s="315"/>
    </row>
    <row r="1019" spans="1:12">
      <c r="A1019" s="315"/>
      <c r="B1019" s="315"/>
      <c r="C1019" s="315"/>
      <c r="D1019" s="315"/>
      <c r="E1019" s="315"/>
      <c r="F1019" s="315"/>
      <c r="G1019" s="315"/>
      <c r="H1019" s="315"/>
      <c r="I1019" s="315"/>
      <c r="J1019" s="315"/>
      <c r="K1019" s="315"/>
      <c r="L1019" s="315"/>
    </row>
    <row r="1020" spans="1:12">
      <c r="A1020" s="315"/>
      <c r="B1020" s="315"/>
      <c r="C1020" s="315"/>
      <c r="D1020" s="315"/>
      <c r="E1020" s="315"/>
      <c r="F1020" s="315"/>
      <c r="G1020" s="315"/>
      <c r="H1020" s="315"/>
      <c r="I1020" s="315"/>
      <c r="J1020" s="315"/>
      <c r="K1020" s="315"/>
      <c r="L1020" s="315"/>
    </row>
    <row r="1021" spans="1:12">
      <c r="A1021" s="315"/>
      <c r="B1021" s="315"/>
      <c r="C1021" s="315"/>
      <c r="D1021" s="315"/>
      <c r="E1021" s="315"/>
      <c r="F1021" s="315"/>
      <c r="G1021" s="315"/>
      <c r="H1021" s="315"/>
      <c r="I1021" s="315"/>
      <c r="J1021" s="315"/>
      <c r="K1021" s="315"/>
      <c r="L1021" s="315"/>
    </row>
    <row r="1022" spans="1:12">
      <c r="A1022" s="315"/>
      <c r="B1022" s="315"/>
      <c r="C1022" s="315"/>
      <c r="D1022" s="315"/>
      <c r="E1022" s="315"/>
      <c r="F1022" s="315"/>
      <c r="G1022" s="315"/>
      <c r="H1022" s="315"/>
      <c r="I1022" s="315"/>
      <c r="J1022" s="315"/>
      <c r="K1022" s="315"/>
      <c r="L1022" s="315"/>
    </row>
    <row r="1023" spans="1:12">
      <c r="A1023" s="315"/>
      <c r="B1023" s="315"/>
      <c r="C1023" s="315"/>
      <c r="D1023" s="315"/>
      <c r="E1023" s="315"/>
      <c r="F1023" s="315"/>
      <c r="G1023" s="315"/>
      <c r="H1023" s="315"/>
      <c r="I1023" s="315"/>
      <c r="J1023" s="315"/>
      <c r="K1023" s="315"/>
      <c r="L1023" s="315"/>
    </row>
    <row r="1024" spans="1:12">
      <c r="A1024" s="315"/>
      <c r="B1024" s="315"/>
      <c r="C1024" s="315"/>
      <c r="D1024" s="315"/>
      <c r="E1024" s="315"/>
      <c r="F1024" s="315"/>
      <c r="G1024" s="315"/>
      <c r="H1024" s="315"/>
      <c r="I1024" s="315"/>
      <c r="J1024" s="315"/>
      <c r="K1024" s="315"/>
      <c r="L1024" s="315"/>
    </row>
    <row r="1025" spans="1:12">
      <c r="A1025" s="315"/>
      <c r="B1025" s="315"/>
      <c r="C1025" s="315"/>
      <c r="D1025" s="315"/>
      <c r="E1025" s="315"/>
      <c r="F1025" s="315"/>
      <c r="G1025" s="315"/>
      <c r="H1025" s="315"/>
      <c r="I1025" s="315"/>
      <c r="J1025" s="315"/>
      <c r="K1025" s="315"/>
      <c r="L1025" s="315"/>
    </row>
    <row r="1026" spans="1:12">
      <c r="A1026" s="315"/>
      <c r="B1026" s="315"/>
      <c r="C1026" s="315"/>
      <c r="D1026" s="315"/>
      <c r="E1026" s="315"/>
      <c r="F1026" s="315"/>
      <c r="G1026" s="315"/>
      <c r="H1026" s="315"/>
      <c r="I1026" s="315"/>
      <c r="J1026" s="315"/>
      <c r="K1026" s="315"/>
      <c r="L1026" s="315"/>
    </row>
    <row r="1027" spans="1:12">
      <c r="A1027" s="315"/>
      <c r="B1027" s="315"/>
      <c r="C1027" s="315"/>
      <c r="D1027" s="315"/>
      <c r="E1027" s="315"/>
      <c r="F1027" s="315"/>
      <c r="G1027" s="315"/>
      <c r="H1027" s="315"/>
      <c r="I1027" s="315"/>
      <c r="J1027" s="315"/>
      <c r="K1027" s="315"/>
      <c r="L1027" s="315"/>
    </row>
    <row r="1028" spans="1:12">
      <c r="A1028" s="315"/>
      <c r="B1028" s="315"/>
      <c r="C1028" s="315"/>
      <c r="D1028" s="315"/>
      <c r="E1028" s="315"/>
      <c r="F1028" s="315"/>
      <c r="G1028" s="315"/>
      <c r="H1028" s="315"/>
      <c r="I1028" s="315"/>
      <c r="J1028" s="315"/>
      <c r="K1028" s="315"/>
      <c r="L1028" s="315"/>
    </row>
    <row r="1029" spans="1:12">
      <c r="A1029" s="315"/>
      <c r="B1029" s="315"/>
      <c r="C1029" s="315"/>
      <c r="D1029" s="315"/>
      <c r="E1029" s="315"/>
      <c r="F1029" s="315"/>
      <c r="G1029" s="315"/>
      <c r="H1029" s="315"/>
      <c r="I1029" s="315"/>
      <c r="J1029" s="315"/>
      <c r="K1029" s="315"/>
      <c r="L1029" s="315"/>
    </row>
    <row r="1030" spans="1:12">
      <c r="A1030" s="315"/>
      <c r="B1030" s="315"/>
      <c r="C1030" s="315"/>
      <c r="D1030" s="315"/>
      <c r="E1030" s="315"/>
      <c r="F1030" s="315"/>
      <c r="G1030" s="315"/>
      <c r="H1030" s="315"/>
      <c r="I1030" s="315"/>
      <c r="J1030" s="315"/>
      <c r="K1030" s="315"/>
      <c r="L1030" s="315"/>
    </row>
    <row r="1031" spans="1:12">
      <c r="A1031" s="315"/>
      <c r="B1031" s="315"/>
      <c r="C1031" s="315"/>
      <c r="D1031" s="315"/>
      <c r="E1031" s="315"/>
      <c r="F1031" s="315"/>
      <c r="G1031" s="315"/>
      <c r="H1031" s="315"/>
      <c r="I1031" s="315"/>
      <c r="J1031" s="315"/>
      <c r="K1031" s="315"/>
      <c r="L1031" s="315"/>
    </row>
    <row r="1032" spans="1:12">
      <c r="A1032" s="315"/>
      <c r="B1032" s="315"/>
      <c r="C1032" s="315"/>
      <c r="D1032" s="315"/>
      <c r="E1032" s="315"/>
      <c r="F1032" s="315"/>
      <c r="G1032" s="315"/>
      <c r="H1032" s="315"/>
      <c r="I1032" s="315"/>
      <c r="J1032" s="315"/>
      <c r="K1032" s="315"/>
      <c r="L1032" s="315"/>
    </row>
    <row r="1033" spans="1:12">
      <c r="A1033" s="315"/>
      <c r="B1033" s="315"/>
      <c r="C1033" s="315"/>
      <c r="D1033" s="315"/>
      <c r="E1033" s="315"/>
      <c r="F1033" s="315"/>
      <c r="G1033" s="315"/>
      <c r="H1033" s="315"/>
      <c r="I1033" s="315"/>
      <c r="J1033" s="315"/>
      <c r="K1033" s="315"/>
      <c r="L1033" s="315"/>
    </row>
    <row r="1034" spans="1:12">
      <c r="A1034" s="315"/>
      <c r="B1034" s="315"/>
      <c r="C1034" s="315"/>
      <c r="D1034" s="315"/>
      <c r="E1034" s="315"/>
      <c r="F1034" s="315"/>
      <c r="G1034" s="315"/>
      <c r="H1034" s="315"/>
      <c r="I1034" s="315"/>
      <c r="J1034" s="315"/>
      <c r="K1034" s="315"/>
      <c r="L1034" s="315"/>
    </row>
    <row r="1035" spans="1:12">
      <c r="A1035" s="315"/>
      <c r="B1035" s="315"/>
      <c r="C1035" s="315"/>
      <c r="D1035" s="315"/>
      <c r="E1035" s="315"/>
      <c r="F1035" s="315"/>
      <c r="G1035" s="315"/>
      <c r="H1035" s="315"/>
      <c r="I1035" s="315"/>
      <c r="J1035" s="315"/>
      <c r="K1035" s="315"/>
      <c r="L1035" s="315"/>
    </row>
    <row r="1036" spans="1:12">
      <c r="A1036" s="315"/>
      <c r="B1036" s="315"/>
      <c r="C1036" s="315"/>
      <c r="D1036" s="315"/>
      <c r="E1036" s="315"/>
      <c r="F1036" s="315"/>
      <c r="G1036" s="315"/>
      <c r="H1036" s="315"/>
      <c r="I1036" s="315"/>
      <c r="J1036" s="315"/>
      <c r="K1036" s="315"/>
      <c r="L1036" s="315"/>
    </row>
    <row r="1037" spans="1:12">
      <c r="A1037" s="315"/>
      <c r="B1037" s="315"/>
      <c r="C1037" s="315"/>
      <c r="D1037" s="315"/>
      <c r="E1037" s="315"/>
      <c r="F1037" s="315"/>
      <c r="G1037" s="315"/>
      <c r="H1037" s="315"/>
      <c r="I1037" s="315"/>
      <c r="J1037" s="315"/>
      <c r="K1037" s="315"/>
      <c r="L1037" s="315"/>
    </row>
    <row r="1038" spans="1:12">
      <c r="A1038" s="315"/>
      <c r="B1038" s="315"/>
      <c r="C1038" s="315"/>
      <c r="D1038" s="315"/>
      <c r="E1038" s="315"/>
      <c r="F1038" s="315"/>
      <c r="G1038" s="315"/>
      <c r="H1038" s="315"/>
      <c r="I1038" s="315"/>
      <c r="J1038" s="315"/>
      <c r="K1038" s="315"/>
      <c r="L1038" s="315"/>
    </row>
    <row r="1039" spans="1:12">
      <c r="A1039" s="315"/>
      <c r="B1039" s="315"/>
      <c r="C1039" s="315"/>
      <c r="D1039" s="315"/>
      <c r="E1039" s="315"/>
      <c r="F1039" s="315"/>
      <c r="G1039" s="315"/>
      <c r="H1039" s="315"/>
      <c r="I1039" s="315"/>
      <c r="J1039" s="315"/>
      <c r="K1039" s="315"/>
      <c r="L1039" s="315"/>
    </row>
    <row r="1040" spans="1:12">
      <c r="A1040" s="315"/>
      <c r="B1040" s="315"/>
      <c r="C1040" s="315"/>
      <c r="D1040" s="315"/>
      <c r="E1040" s="315"/>
      <c r="F1040" s="315"/>
      <c r="G1040" s="315"/>
      <c r="H1040" s="315"/>
      <c r="I1040" s="315"/>
      <c r="J1040" s="315"/>
      <c r="K1040" s="315"/>
      <c r="L1040" s="315"/>
    </row>
    <row r="1041" spans="1:12">
      <c r="A1041" s="315"/>
      <c r="B1041" s="315"/>
      <c r="C1041" s="315"/>
      <c r="D1041" s="315"/>
      <c r="E1041" s="315"/>
      <c r="F1041" s="315"/>
      <c r="G1041" s="315"/>
      <c r="H1041" s="315"/>
      <c r="I1041" s="315"/>
      <c r="J1041" s="315"/>
      <c r="K1041" s="315"/>
      <c r="L1041" s="315"/>
    </row>
    <row r="1042" spans="1:12">
      <c r="A1042" s="315"/>
      <c r="B1042" s="315"/>
      <c r="C1042" s="315"/>
      <c r="D1042" s="315"/>
      <c r="E1042" s="315"/>
      <c r="F1042" s="315"/>
      <c r="G1042" s="315"/>
      <c r="H1042" s="315"/>
      <c r="I1042" s="315"/>
      <c r="J1042" s="315"/>
      <c r="K1042" s="315"/>
      <c r="L1042" s="315"/>
    </row>
    <row r="1043" spans="1:12">
      <c r="A1043" s="315"/>
      <c r="B1043" s="315"/>
      <c r="C1043" s="315"/>
      <c r="D1043" s="315"/>
      <c r="E1043" s="315"/>
      <c r="F1043" s="315"/>
      <c r="G1043" s="315"/>
      <c r="H1043" s="315"/>
      <c r="I1043" s="315"/>
      <c r="J1043" s="315"/>
      <c r="K1043" s="315"/>
      <c r="L1043" s="315"/>
    </row>
    <row r="1044" spans="1:12">
      <c r="A1044" s="315"/>
      <c r="B1044" s="315"/>
      <c r="C1044" s="315"/>
      <c r="D1044" s="315"/>
      <c r="E1044" s="315"/>
      <c r="F1044" s="315"/>
      <c r="G1044" s="315"/>
      <c r="H1044" s="315"/>
      <c r="I1044" s="315"/>
      <c r="J1044" s="315"/>
      <c r="K1044" s="315"/>
      <c r="L1044" s="315"/>
    </row>
    <row r="1045" spans="1:12">
      <c r="A1045" s="315"/>
      <c r="B1045" s="315"/>
      <c r="C1045" s="315"/>
      <c r="D1045" s="315"/>
      <c r="E1045" s="315"/>
      <c r="F1045" s="315"/>
      <c r="G1045" s="315"/>
      <c r="H1045" s="315"/>
      <c r="I1045" s="315"/>
      <c r="J1045" s="315"/>
      <c r="K1045" s="315"/>
      <c r="L1045" s="315"/>
    </row>
    <row r="1046" spans="1:12">
      <c r="A1046" s="315"/>
      <c r="B1046" s="315"/>
      <c r="C1046" s="315"/>
      <c r="D1046" s="315"/>
      <c r="E1046" s="315"/>
      <c r="F1046" s="315"/>
      <c r="G1046" s="315"/>
      <c r="H1046" s="315"/>
      <c r="I1046" s="315"/>
      <c r="J1046" s="315"/>
      <c r="K1046" s="315"/>
      <c r="L1046" s="315"/>
    </row>
    <row r="1047" spans="1:12">
      <c r="A1047" s="315"/>
      <c r="B1047" s="315"/>
      <c r="C1047" s="315"/>
      <c r="D1047" s="315"/>
      <c r="E1047" s="315"/>
      <c r="F1047" s="315"/>
      <c r="G1047" s="315"/>
      <c r="H1047" s="315"/>
      <c r="I1047" s="315"/>
      <c r="J1047" s="315"/>
      <c r="K1047" s="315"/>
      <c r="L1047" s="315"/>
    </row>
    <row r="1048" spans="1:12">
      <c r="A1048" s="315"/>
      <c r="B1048" s="315"/>
      <c r="C1048" s="315"/>
      <c r="D1048" s="315"/>
      <c r="E1048" s="315"/>
      <c r="F1048" s="315"/>
      <c r="G1048" s="315"/>
      <c r="H1048" s="315"/>
      <c r="I1048" s="315"/>
      <c r="J1048" s="315"/>
      <c r="K1048" s="315"/>
      <c r="L1048" s="315"/>
    </row>
    <row r="1049" spans="1:12">
      <c r="A1049" s="315"/>
      <c r="B1049" s="315"/>
      <c r="C1049" s="315"/>
      <c r="D1049" s="315"/>
      <c r="E1049" s="315"/>
      <c r="F1049" s="315"/>
      <c r="G1049" s="315"/>
      <c r="H1049" s="315"/>
      <c r="I1049" s="315"/>
      <c r="J1049" s="315"/>
      <c r="K1049" s="315"/>
      <c r="L1049" s="315"/>
    </row>
    <row r="1050" spans="1:12">
      <c r="A1050" s="315"/>
      <c r="B1050" s="315"/>
      <c r="C1050" s="315"/>
      <c r="D1050" s="315"/>
      <c r="E1050" s="315"/>
      <c r="F1050" s="315"/>
      <c r="G1050" s="315"/>
      <c r="H1050" s="315"/>
      <c r="I1050" s="315"/>
      <c r="J1050" s="315"/>
      <c r="K1050" s="315"/>
      <c r="L1050" s="315"/>
    </row>
    <row r="1051" spans="1:12">
      <c r="A1051" s="315"/>
      <c r="B1051" s="315"/>
      <c r="C1051" s="315"/>
      <c r="D1051" s="315"/>
      <c r="E1051" s="315"/>
      <c r="F1051" s="315"/>
      <c r="G1051" s="315"/>
      <c r="H1051" s="315"/>
      <c r="I1051" s="315"/>
      <c r="J1051" s="315"/>
      <c r="K1051" s="315"/>
      <c r="L1051" s="315"/>
    </row>
    <row r="1052" spans="1:12">
      <c r="A1052" s="315"/>
      <c r="B1052" s="315"/>
      <c r="C1052" s="315"/>
      <c r="D1052" s="315"/>
      <c r="E1052" s="315"/>
      <c r="F1052" s="315"/>
      <c r="G1052" s="315"/>
      <c r="H1052" s="315"/>
      <c r="I1052" s="315"/>
      <c r="J1052" s="315"/>
      <c r="K1052" s="315"/>
      <c r="L1052" s="315"/>
    </row>
    <row r="1053" spans="1:12">
      <c r="A1053" s="315"/>
      <c r="B1053" s="315"/>
      <c r="C1053" s="315"/>
      <c r="D1053" s="315"/>
      <c r="E1053" s="315"/>
      <c r="F1053" s="315"/>
      <c r="G1053" s="315"/>
      <c r="H1053" s="315"/>
      <c r="I1053" s="315"/>
      <c r="J1053" s="315"/>
      <c r="K1053" s="315"/>
      <c r="L1053" s="315"/>
    </row>
    <row r="1054" spans="1:12">
      <c r="A1054" s="315"/>
      <c r="B1054" s="315"/>
      <c r="C1054" s="315"/>
      <c r="D1054" s="315"/>
      <c r="E1054" s="315"/>
      <c r="F1054" s="315"/>
      <c r="G1054" s="315"/>
      <c r="H1054" s="315"/>
      <c r="I1054" s="315"/>
      <c r="J1054" s="315"/>
      <c r="K1054" s="315"/>
      <c r="L1054" s="315"/>
    </row>
    <row r="1055" spans="1:12">
      <c r="A1055" s="315"/>
      <c r="B1055" s="315"/>
      <c r="C1055" s="315"/>
      <c r="D1055" s="315"/>
      <c r="E1055" s="315"/>
      <c r="F1055" s="315"/>
      <c r="G1055" s="315"/>
      <c r="H1055" s="315"/>
      <c r="I1055" s="315"/>
      <c r="J1055" s="315"/>
      <c r="K1055" s="315"/>
      <c r="L1055" s="315"/>
    </row>
    <row r="1056" spans="1:12">
      <c r="A1056" s="315"/>
      <c r="B1056" s="315"/>
      <c r="C1056" s="315"/>
      <c r="D1056" s="315"/>
      <c r="E1056" s="315"/>
      <c r="F1056" s="315"/>
      <c r="G1056" s="315"/>
      <c r="H1056" s="315"/>
      <c r="I1056" s="315"/>
      <c r="J1056" s="315"/>
      <c r="K1056" s="315"/>
      <c r="L1056" s="315"/>
    </row>
    <row r="1057" spans="1:12">
      <c r="A1057" s="315"/>
      <c r="B1057" s="315"/>
      <c r="C1057" s="315"/>
      <c r="D1057" s="315"/>
      <c r="E1057" s="315"/>
      <c r="F1057" s="315"/>
      <c r="G1057" s="315"/>
      <c r="H1057" s="315"/>
      <c r="I1057" s="315"/>
      <c r="J1057" s="315"/>
      <c r="K1057" s="315"/>
      <c r="L1057" s="315"/>
    </row>
    <row r="1058" spans="1:12">
      <c r="A1058" s="315"/>
      <c r="B1058" s="315"/>
      <c r="C1058" s="315"/>
      <c r="D1058" s="315"/>
      <c r="E1058" s="315"/>
      <c r="F1058" s="315"/>
      <c r="G1058" s="315"/>
      <c r="H1058" s="315"/>
      <c r="I1058" s="315"/>
      <c r="J1058" s="315"/>
      <c r="K1058" s="315"/>
      <c r="L1058" s="315"/>
    </row>
    <row r="1059" spans="1:12">
      <c r="A1059" s="315"/>
      <c r="B1059" s="315"/>
      <c r="C1059" s="315"/>
      <c r="D1059" s="315"/>
      <c r="E1059" s="315"/>
      <c r="F1059" s="315"/>
      <c r="G1059" s="315"/>
      <c r="H1059" s="315"/>
      <c r="I1059" s="315"/>
      <c r="J1059" s="315"/>
      <c r="K1059" s="315"/>
      <c r="L1059" s="315"/>
    </row>
    <row r="1060" spans="1:12">
      <c r="A1060" s="315"/>
      <c r="B1060" s="315"/>
      <c r="C1060" s="315"/>
      <c r="D1060" s="315"/>
      <c r="E1060" s="315"/>
      <c r="F1060" s="315"/>
      <c r="G1060" s="315"/>
      <c r="H1060" s="315"/>
      <c r="I1060" s="315"/>
      <c r="J1060" s="315"/>
      <c r="K1060" s="315"/>
      <c r="L1060" s="315"/>
    </row>
    <row r="1061" spans="1:12">
      <c r="A1061" s="315"/>
      <c r="B1061" s="315"/>
      <c r="C1061" s="315"/>
      <c r="D1061" s="315"/>
      <c r="E1061" s="315"/>
      <c r="F1061" s="315"/>
      <c r="G1061" s="315"/>
      <c r="H1061" s="315"/>
      <c r="I1061" s="315"/>
      <c r="J1061" s="315"/>
      <c r="K1061" s="315"/>
      <c r="L1061" s="315"/>
    </row>
    <row r="1062" spans="1:12">
      <c r="A1062" s="315"/>
      <c r="B1062" s="315"/>
      <c r="C1062" s="315"/>
      <c r="D1062" s="315"/>
      <c r="E1062" s="315"/>
      <c r="F1062" s="315"/>
      <c r="G1062" s="315"/>
      <c r="H1062" s="315"/>
      <c r="I1062" s="315"/>
      <c r="J1062" s="315"/>
      <c r="K1062" s="315"/>
      <c r="L1062" s="315"/>
    </row>
    <row r="1063" spans="1:12">
      <c r="A1063" s="315"/>
      <c r="B1063" s="315"/>
      <c r="C1063" s="315"/>
      <c r="D1063" s="315"/>
      <c r="E1063" s="315"/>
      <c r="F1063" s="315"/>
      <c r="G1063" s="315"/>
      <c r="H1063" s="315"/>
      <c r="I1063" s="315"/>
      <c r="J1063" s="315"/>
      <c r="K1063" s="315"/>
      <c r="L1063" s="315"/>
    </row>
    <row r="1064" spans="1:12">
      <c r="A1064" s="315"/>
      <c r="B1064" s="315"/>
      <c r="C1064" s="315"/>
      <c r="D1064" s="315"/>
      <c r="E1064" s="315"/>
      <c r="F1064" s="315"/>
      <c r="G1064" s="315"/>
      <c r="H1064" s="315"/>
      <c r="I1064" s="315"/>
      <c r="J1064" s="315"/>
      <c r="K1064" s="315"/>
      <c r="L1064" s="315"/>
    </row>
    <row r="1065" spans="1:12">
      <c r="A1065" s="315"/>
      <c r="B1065" s="315"/>
      <c r="C1065" s="315"/>
      <c r="D1065" s="315"/>
      <c r="E1065" s="315"/>
      <c r="F1065" s="315"/>
      <c r="G1065" s="315"/>
      <c r="H1065" s="315"/>
      <c r="I1065" s="315"/>
      <c r="J1065" s="315"/>
      <c r="K1065" s="315"/>
      <c r="L1065" s="315"/>
    </row>
    <row r="1066" spans="1:12">
      <c r="A1066" s="315"/>
      <c r="B1066" s="315"/>
      <c r="C1066" s="315"/>
      <c r="D1066" s="315"/>
      <c r="E1066" s="315"/>
      <c r="F1066" s="315"/>
      <c r="G1066" s="315"/>
      <c r="H1066" s="315"/>
      <c r="I1066" s="315"/>
      <c r="J1066" s="315"/>
      <c r="K1066" s="315"/>
      <c r="L1066" s="315"/>
    </row>
    <row r="1067" spans="1:12">
      <c r="A1067" s="315"/>
      <c r="B1067" s="315"/>
      <c r="C1067" s="315"/>
      <c r="D1067" s="315"/>
      <c r="E1067" s="315"/>
      <c r="F1067" s="315"/>
      <c r="G1067" s="315"/>
      <c r="H1067" s="315"/>
      <c r="I1067" s="315"/>
      <c r="J1067" s="315"/>
      <c r="K1067" s="315"/>
      <c r="L1067" s="315"/>
    </row>
    <row r="1068" spans="1:12">
      <c r="A1068" s="315"/>
      <c r="B1068" s="315"/>
      <c r="C1068" s="315"/>
      <c r="D1068" s="315"/>
      <c r="E1068" s="315"/>
      <c r="F1068" s="315"/>
      <c r="G1068" s="315"/>
      <c r="H1068" s="315"/>
      <c r="I1068" s="315"/>
      <c r="J1068" s="315"/>
      <c r="K1068" s="315"/>
      <c r="L1068" s="315"/>
    </row>
    <row r="1069" spans="1:12">
      <c r="A1069" s="315"/>
      <c r="B1069" s="315"/>
      <c r="C1069" s="315"/>
      <c r="D1069" s="315"/>
      <c r="E1069" s="315"/>
      <c r="F1069" s="315"/>
      <c r="G1069" s="315"/>
      <c r="H1069" s="315"/>
      <c r="I1069" s="315"/>
      <c r="J1069" s="315"/>
      <c r="K1069" s="315"/>
      <c r="L1069" s="315"/>
    </row>
    <row r="1070" spans="1:12">
      <c r="A1070" s="315"/>
      <c r="B1070" s="315"/>
      <c r="C1070" s="315"/>
      <c r="D1070" s="315"/>
      <c r="E1070" s="315"/>
      <c r="F1070" s="315"/>
      <c r="G1070" s="315"/>
      <c r="H1070" s="315"/>
      <c r="I1070" s="315"/>
      <c r="J1070" s="315"/>
      <c r="K1070" s="315"/>
      <c r="L1070" s="315"/>
    </row>
    <row r="1071" spans="1:12">
      <c r="A1071" s="315"/>
      <c r="B1071" s="315"/>
      <c r="C1071" s="315"/>
      <c r="D1071" s="315"/>
      <c r="E1071" s="315"/>
      <c r="F1071" s="315"/>
      <c r="G1071" s="315"/>
      <c r="H1071" s="315"/>
      <c r="I1071" s="315"/>
      <c r="J1071" s="315"/>
      <c r="K1071" s="315"/>
      <c r="L1071" s="315"/>
    </row>
    <row r="1072" spans="1:12">
      <c r="A1072" s="315"/>
      <c r="B1072" s="315"/>
      <c r="C1072" s="315"/>
      <c r="D1072" s="315"/>
      <c r="E1072" s="315"/>
      <c r="F1072" s="315"/>
      <c r="G1072" s="315"/>
      <c r="H1072" s="315"/>
      <c r="I1072" s="315"/>
      <c r="J1072" s="315"/>
      <c r="K1072" s="315"/>
      <c r="L1072" s="315"/>
    </row>
    <row r="1073" spans="1:12">
      <c r="A1073" s="315"/>
      <c r="B1073" s="315"/>
      <c r="C1073" s="315"/>
      <c r="D1073" s="315"/>
      <c r="E1073" s="315"/>
      <c r="F1073" s="315"/>
      <c r="G1073" s="315"/>
      <c r="H1073" s="315"/>
      <c r="I1073" s="315"/>
      <c r="J1073" s="315"/>
      <c r="K1073" s="315"/>
      <c r="L1073" s="315"/>
    </row>
    <row r="1074" spans="1:12">
      <c r="A1074" s="315"/>
      <c r="B1074" s="315"/>
      <c r="C1074" s="315"/>
      <c r="D1074" s="315"/>
      <c r="E1074" s="315"/>
      <c r="F1074" s="315"/>
      <c r="G1074" s="315"/>
      <c r="H1074" s="315"/>
      <c r="I1074" s="315"/>
      <c r="J1074" s="315"/>
      <c r="K1074" s="315"/>
      <c r="L1074" s="315"/>
    </row>
    <row r="1075" spans="1:12">
      <c r="A1075" s="315"/>
      <c r="B1075" s="315"/>
      <c r="C1075" s="315"/>
      <c r="D1075" s="315"/>
      <c r="E1075" s="315"/>
      <c r="F1075" s="315"/>
      <c r="G1075" s="315"/>
      <c r="H1075" s="315"/>
      <c r="I1075" s="315"/>
      <c r="J1075" s="315"/>
      <c r="K1075" s="315"/>
      <c r="L1075" s="315"/>
    </row>
    <row r="1076" spans="1:12">
      <c r="A1076" s="315"/>
      <c r="B1076" s="315"/>
      <c r="C1076" s="315"/>
      <c r="D1076" s="315"/>
      <c r="E1076" s="315"/>
      <c r="F1076" s="315"/>
      <c r="G1076" s="315"/>
      <c r="H1076" s="315"/>
      <c r="I1076" s="315"/>
      <c r="J1076" s="315"/>
      <c r="K1076" s="315"/>
      <c r="L1076" s="315"/>
    </row>
    <row r="1077" spans="1:12">
      <c r="A1077" s="315"/>
      <c r="B1077" s="315"/>
      <c r="C1077" s="315"/>
      <c r="D1077" s="315"/>
      <c r="E1077" s="315"/>
      <c r="F1077" s="315"/>
      <c r="G1077" s="315"/>
      <c r="H1077" s="315"/>
      <c r="I1077" s="315"/>
      <c r="J1077" s="315"/>
      <c r="K1077" s="315"/>
      <c r="L1077" s="315"/>
    </row>
    <row r="1078" spans="1:12">
      <c r="A1078" s="315"/>
      <c r="B1078" s="315"/>
      <c r="C1078" s="315"/>
      <c r="D1078" s="315"/>
      <c r="E1078" s="315"/>
      <c r="F1078" s="315"/>
      <c r="G1078" s="315"/>
      <c r="H1078" s="315"/>
      <c r="I1078" s="315"/>
      <c r="J1078" s="315"/>
      <c r="K1078" s="315"/>
      <c r="L1078" s="315"/>
    </row>
    <row r="1079" spans="1:12">
      <c r="A1079" s="315"/>
      <c r="B1079" s="315"/>
      <c r="C1079" s="315"/>
      <c r="D1079" s="315"/>
      <c r="E1079" s="315"/>
      <c r="F1079" s="315"/>
      <c r="G1079" s="315"/>
      <c r="H1079" s="315"/>
      <c r="I1079" s="315"/>
      <c r="J1079" s="315"/>
      <c r="K1079" s="315"/>
      <c r="L1079" s="315"/>
    </row>
    <row r="1080" spans="1:12">
      <c r="A1080" s="315"/>
      <c r="B1080" s="315"/>
      <c r="C1080" s="315"/>
      <c r="D1080" s="315"/>
      <c r="E1080" s="315"/>
      <c r="F1080" s="315"/>
      <c r="G1080" s="315"/>
      <c r="H1080" s="315"/>
      <c r="I1080" s="315"/>
      <c r="J1080" s="315"/>
      <c r="K1080" s="315"/>
      <c r="L1080" s="315"/>
    </row>
    <row r="1081" spans="1:12">
      <c r="A1081" s="315"/>
      <c r="B1081" s="315"/>
      <c r="C1081" s="315"/>
      <c r="D1081" s="315"/>
      <c r="E1081" s="315"/>
      <c r="F1081" s="315"/>
      <c r="G1081" s="315"/>
      <c r="H1081" s="315"/>
      <c r="I1081" s="315"/>
      <c r="J1081" s="315"/>
      <c r="K1081" s="315"/>
      <c r="L1081" s="315"/>
    </row>
    <row r="1082" spans="1:12">
      <c r="A1082" s="315"/>
      <c r="B1082" s="315"/>
      <c r="C1082" s="315"/>
      <c r="D1082" s="315"/>
      <c r="E1082" s="315"/>
      <c r="F1082" s="315"/>
      <c r="G1082" s="315"/>
      <c r="H1082" s="315"/>
      <c r="I1082" s="315"/>
      <c r="J1082" s="315"/>
      <c r="K1082" s="315"/>
      <c r="L1082" s="315"/>
    </row>
    <row r="1083" spans="1:12">
      <c r="A1083" s="315"/>
      <c r="B1083" s="315"/>
      <c r="C1083" s="315"/>
      <c r="D1083" s="315"/>
      <c r="E1083" s="315"/>
      <c r="F1083" s="315"/>
      <c r="G1083" s="315"/>
      <c r="H1083" s="315"/>
      <c r="I1083" s="315"/>
      <c r="J1083" s="315"/>
      <c r="K1083" s="315"/>
      <c r="L1083" s="315"/>
    </row>
    <row r="1084" spans="1:12">
      <c r="A1084" s="315"/>
      <c r="B1084" s="315"/>
      <c r="C1084" s="315"/>
      <c r="D1084" s="315"/>
      <c r="E1084" s="315"/>
      <c r="F1084" s="315"/>
      <c r="G1084" s="315"/>
      <c r="H1084" s="315"/>
      <c r="I1084" s="315"/>
      <c r="J1084" s="315"/>
      <c r="K1084" s="315"/>
      <c r="L1084" s="315"/>
    </row>
    <row r="1085" spans="1:12">
      <c r="A1085" s="315"/>
      <c r="B1085" s="315"/>
      <c r="C1085" s="315"/>
      <c r="D1085" s="315"/>
      <c r="E1085" s="315"/>
      <c r="F1085" s="315"/>
      <c r="G1085" s="315"/>
      <c r="H1085" s="315"/>
      <c r="I1085" s="315"/>
      <c r="J1085" s="315"/>
      <c r="K1085" s="315"/>
      <c r="L1085" s="315"/>
    </row>
    <row r="1086" spans="1:12">
      <c r="A1086" s="315"/>
      <c r="B1086" s="315"/>
      <c r="C1086" s="315"/>
      <c r="D1086" s="315"/>
      <c r="E1086" s="315"/>
      <c r="F1086" s="315"/>
      <c r="G1086" s="315"/>
      <c r="H1086" s="315"/>
      <c r="I1086" s="315"/>
      <c r="J1086" s="315"/>
      <c r="K1086" s="315"/>
      <c r="L1086" s="315"/>
    </row>
    <row r="1087" spans="1:12">
      <c r="A1087" s="315"/>
      <c r="B1087" s="315"/>
      <c r="C1087" s="315"/>
      <c r="D1087" s="315"/>
      <c r="E1087" s="315"/>
      <c r="F1087" s="315"/>
      <c r="G1087" s="315"/>
      <c r="H1087" s="315"/>
      <c r="I1087" s="315"/>
      <c r="J1087" s="315"/>
      <c r="K1087" s="315"/>
      <c r="L1087" s="315"/>
    </row>
    <row r="1088" spans="1:12">
      <c r="A1088" s="315"/>
      <c r="B1088" s="315"/>
      <c r="C1088" s="315"/>
      <c r="D1088" s="315"/>
      <c r="E1088" s="315"/>
      <c r="F1088" s="315"/>
      <c r="G1088" s="315"/>
      <c r="H1088" s="315"/>
      <c r="I1088" s="315"/>
      <c r="J1088" s="315"/>
      <c r="K1088" s="315"/>
      <c r="L1088" s="315"/>
    </row>
    <row r="1089" spans="1:12">
      <c r="A1089" s="315"/>
      <c r="B1089" s="315"/>
      <c r="C1089" s="315"/>
      <c r="D1089" s="315"/>
      <c r="E1089" s="315"/>
      <c r="F1089" s="315"/>
      <c r="G1089" s="315"/>
      <c r="H1089" s="315"/>
      <c r="I1089" s="315"/>
      <c r="J1089" s="315"/>
      <c r="K1089" s="315"/>
      <c r="L1089" s="315"/>
    </row>
    <row r="1090" spans="1:12">
      <c r="A1090" s="315"/>
      <c r="B1090" s="315"/>
      <c r="C1090" s="315"/>
      <c r="D1090" s="315"/>
      <c r="E1090" s="315"/>
      <c r="F1090" s="315"/>
      <c r="G1090" s="315"/>
      <c r="H1090" s="315"/>
      <c r="I1090" s="315"/>
      <c r="J1090" s="315"/>
      <c r="K1090" s="315"/>
      <c r="L1090" s="315"/>
    </row>
    <row r="1091" spans="1:12">
      <c r="A1091" s="315"/>
      <c r="B1091" s="315"/>
      <c r="C1091" s="315"/>
      <c r="D1091" s="315"/>
      <c r="E1091" s="315"/>
      <c r="F1091" s="315"/>
      <c r="G1091" s="315"/>
      <c r="H1091" s="315"/>
      <c r="I1091" s="315"/>
      <c r="J1091" s="315"/>
      <c r="K1091" s="315"/>
      <c r="L1091" s="315"/>
    </row>
    <row r="1092" spans="1:12">
      <c r="A1092" s="315"/>
      <c r="B1092" s="315"/>
      <c r="C1092" s="315"/>
      <c r="D1092" s="315"/>
      <c r="E1092" s="315"/>
      <c r="F1092" s="315"/>
      <c r="G1092" s="315"/>
      <c r="H1092" s="315"/>
      <c r="I1092" s="315"/>
      <c r="J1092" s="315"/>
      <c r="K1092" s="315"/>
      <c r="L1092" s="315"/>
    </row>
    <row r="1093" spans="1:12">
      <c r="A1093" s="315"/>
      <c r="B1093" s="315"/>
      <c r="C1093" s="315"/>
      <c r="D1093" s="315"/>
      <c r="E1093" s="315"/>
      <c r="F1093" s="315"/>
      <c r="G1093" s="315"/>
      <c r="H1093" s="315"/>
      <c r="I1093" s="315"/>
      <c r="J1093" s="315"/>
      <c r="K1093" s="315"/>
      <c r="L1093" s="315"/>
    </row>
    <row r="1094" spans="1:12">
      <c r="A1094" s="315"/>
      <c r="B1094" s="315"/>
      <c r="C1094" s="315"/>
      <c r="D1094" s="315"/>
      <c r="E1094" s="315"/>
      <c r="F1094" s="315"/>
      <c r="G1094" s="315"/>
      <c r="H1094" s="315"/>
      <c r="I1094" s="315"/>
      <c r="J1094" s="315"/>
      <c r="K1094" s="315"/>
      <c r="L1094" s="315"/>
    </row>
    <row r="1095" spans="1:12">
      <c r="A1095" s="315"/>
      <c r="B1095" s="315"/>
      <c r="C1095" s="315"/>
      <c r="D1095" s="315"/>
      <c r="E1095" s="315"/>
      <c r="F1095" s="315"/>
      <c r="G1095" s="315"/>
      <c r="H1095" s="315"/>
      <c r="I1095" s="315"/>
      <c r="J1095" s="315"/>
      <c r="K1095" s="315"/>
      <c r="L1095" s="315"/>
    </row>
    <row r="1096" spans="1:12">
      <c r="A1096" s="315"/>
      <c r="B1096" s="315"/>
      <c r="C1096" s="315"/>
      <c r="D1096" s="315"/>
      <c r="E1096" s="315"/>
      <c r="F1096" s="315"/>
      <c r="G1096" s="315"/>
      <c r="H1096" s="315"/>
      <c r="I1096" s="315"/>
      <c r="J1096" s="315"/>
      <c r="K1096" s="315"/>
      <c r="L1096" s="315"/>
    </row>
    <row r="1097" spans="1:12">
      <c r="A1097" s="315"/>
      <c r="B1097" s="315"/>
      <c r="C1097" s="315"/>
      <c r="D1097" s="315"/>
      <c r="E1097" s="315"/>
      <c r="F1097" s="315"/>
      <c r="G1097" s="315"/>
      <c r="H1097" s="315"/>
      <c r="I1097" s="315"/>
      <c r="J1097" s="315"/>
      <c r="K1097" s="315"/>
      <c r="L1097" s="315"/>
    </row>
    <row r="1098" spans="1:12">
      <c r="A1098" s="315"/>
      <c r="B1098" s="315"/>
      <c r="C1098" s="315"/>
      <c r="D1098" s="315"/>
      <c r="E1098" s="315"/>
      <c r="F1098" s="315"/>
      <c r="G1098" s="315"/>
      <c r="H1098" s="315"/>
      <c r="I1098" s="315"/>
      <c r="J1098" s="315"/>
      <c r="K1098" s="315"/>
      <c r="L1098" s="315"/>
    </row>
    <row r="1099" spans="1:12">
      <c r="A1099" s="315"/>
      <c r="B1099" s="315"/>
      <c r="C1099" s="315"/>
      <c r="D1099" s="315"/>
      <c r="E1099" s="315"/>
      <c r="F1099" s="315"/>
      <c r="G1099" s="315"/>
      <c r="H1099" s="315"/>
      <c r="I1099" s="315"/>
      <c r="J1099" s="315"/>
      <c r="K1099" s="315"/>
      <c r="L1099" s="315"/>
    </row>
    <row r="1100" spans="1:12">
      <c r="A1100" s="315"/>
      <c r="B1100" s="315"/>
      <c r="C1100" s="315"/>
      <c r="D1100" s="315"/>
      <c r="E1100" s="315"/>
      <c r="F1100" s="315"/>
      <c r="G1100" s="315"/>
      <c r="H1100" s="315"/>
      <c r="I1100" s="315"/>
      <c r="J1100" s="315"/>
      <c r="K1100" s="315"/>
      <c r="L1100" s="315"/>
    </row>
    <row r="1101" spans="1:12">
      <c r="A1101" s="315"/>
      <c r="B1101" s="315"/>
      <c r="C1101" s="315"/>
      <c r="D1101" s="315"/>
      <c r="E1101" s="315"/>
      <c r="F1101" s="315"/>
      <c r="G1101" s="315"/>
      <c r="H1101" s="315"/>
      <c r="I1101" s="315"/>
      <c r="J1101" s="315"/>
      <c r="K1101" s="315"/>
      <c r="L1101" s="315"/>
    </row>
    <row r="1102" spans="1:12">
      <c r="A1102" s="315"/>
      <c r="B1102" s="315"/>
      <c r="C1102" s="315"/>
      <c r="D1102" s="315"/>
      <c r="E1102" s="315"/>
      <c r="F1102" s="315"/>
      <c r="G1102" s="315"/>
      <c r="H1102" s="315"/>
      <c r="I1102" s="315"/>
      <c r="J1102" s="315"/>
      <c r="K1102" s="315"/>
      <c r="L1102" s="315"/>
    </row>
    <row r="1103" spans="1:12">
      <c r="A1103" s="315"/>
      <c r="B1103" s="315"/>
      <c r="C1103" s="315"/>
      <c r="D1103" s="315"/>
      <c r="E1103" s="315"/>
      <c r="F1103" s="315"/>
      <c r="G1103" s="315"/>
      <c r="H1103" s="315"/>
      <c r="I1103" s="315"/>
      <c r="J1103" s="315"/>
      <c r="K1103" s="315"/>
      <c r="L1103" s="315"/>
    </row>
    <row r="1104" spans="1:12">
      <c r="A1104" s="315"/>
      <c r="B1104" s="315"/>
      <c r="C1104" s="315"/>
      <c r="D1104" s="315"/>
      <c r="E1104" s="315"/>
      <c r="F1104" s="315"/>
      <c r="G1104" s="315"/>
      <c r="H1104" s="315"/>
      <c r="I1104" s="315"/>
      <c r="J1104" s="315"/>
      <c r="K1104" s="315"/>
      <c r="L1104" s="315"/>
    </row>
    <row r="1105" spans="1:12">
      <c r="A1105" s="315"/>
      <c r="B1105" s="315"/>
      <c r="C1105" s="315"/>
      <c r="D1105" s="315"/>
      <c r="E1105" s="315"/>
      <c r="F1105" s="315"/>
      <c r="G1105" s="315"/>
      <c r="H1105" s="315"/>
      <c r="I1105" s="315"/>
      <c r="J1105" s="315"/>
      <c r="K1105" s="315"/>
      <c r="L1105" s="315"/>
    </row>
    <row r="1106" spans="1:12">
      <c r="A1106" s="315"/>
      <c r="B1106" s="315"/>
      <c r="C1106" s="315"/>
      <c r="D1106" s="315"/>
      <c r="E1106" s="315"/>
      <c r="F1106" s="315"/>
      <c r="G1106" s="315"/>
      <c r="H1106" s="315"/>
      <c r="I1106" s="315"/>
      <c r="J1106" s="315"/>
      <c r="K1106" s="315"/>
      <c r="L1106" s="315"/>
    </row>
    <row r="1107" spans="1:12">
      <c r="A1107" s="315"/>
      <c r="B1107" s="315"/>
      <c r="C1107" s="315"/>
      <c r="D1107" s="315"/>
      <c r="E1107" s="315"/>
      <c r="F1107" s="315"/>
      <c r="G1107" s="315"/>
      <c r="H1107" s="315"/>
      <c r="I1107" s="315"/>
      <c r="J1107" s="315"/>
      <c r="K1107" s="315"/>
      <c r="L1107" s="315"/>
    </row>
    <row r="1108" spans="1:12">
      <c r="A1108" s="315"/>
      <c r="B1108" s="315"/>
      <c r="C1108" s="315"/>
      <c r="D1108" s="315"/>
      <c r="E1108" s="315"/>
      <c r="F1108" s="315"/>
      <c r="G1108" s="315"/>
      <c r="H1108" s="315"/>
      <c r="I1108" s="315"/>
      <c r="J1108" s="315"/>
      <c r="K1108" s="315"/>
      <c r="L1108" s="315"/>
    </row>
    <row r="1109" spans="1:12">
      <c r="A1109" s="315"/>
      <c r="B1109" s="315"/>
      <c r="C1109" s="315"/>
      <c r="D1109" s="315"/>
      <c r="E1109" s="315"/>
      <c r="F1109" s="315"/>
      <c r="G1109" s="315"/>
      <c r="H1109" s="315"/>
      <c r="I1109" s="315"/>
      <c r="J1109" s="315"/>
      <c r="K1109" s="315"/>
      <c r="L1109" s="315"/>
    </row>
    <row r="1110" spans="1:12">
      <c r="A1110" s="315"/>
      <c r="B1110" s="315"/>
      <c r="C1110" s="315"/>
      <c r="D1110" s="315"/>
      <c r="E1110" s="315"/>
      <c r="F1110" s="315"/>
      <c r="G1110" s="315"/>
      <c r="H1110" s="315"/>
      <c r="I1110" s="315"/>
      <c r="J1110" s="315"/>
      <c r="K1110" s="315"/>
      <c r="L1110" s="315"/>
    </row>
    <row r="1111" spans="1:12">
      <c r="A1111" s="315"/>
      <c r="B1111" s="315"/>
      <c r="C1111" s="315"/>
      <c r="D1111" s="315"/>
      <c r="E1111" s="315"/>
      <c r="F1111" s="315"/>
      <c r="G1111" s="315"/>
      <c r="H1111" s="315"/>
      <c r="I1111" s="315"/>
      <c r="J1111" s="315"/>
      <c r="K1111" s="315"/>
      <c r="L1111" s="315"/>
    </row>
    <row r="1112" spans="1:12">
      <c r="A1112" s="315"/>
      <c r="B1112" s="315"/>
      <c r="C1112" s="315"/>
      <c r="D1112" s="315"/>
      <c r="E1112" s="315"/>
      <c r="F1112" s="315"/>
      <c r="G1112" s="315"/>
      <c r="H1112" s="315"/>
      <c r="I1112" s="315"/>
      <c r="J1112" s="315"/>
      <c r="K1112" s="315"/>
      <c r="L1112" s="315"/>
    </row>
    <row r="1113" spans="1:12">
      <c r="A1113" s="315"/>
      <c r="B1113" s="315"/>
      <c r="C1113" s="315"/>
      <c r="D1113" s="315"/>
      <c r="E1113" s="315"/>
      <c r="F1113" s="315"/>
      <c r="G1113" s="315"/>
      <c r="H1113" s="315"/>
      <c r="I1113" s="315"/>
      <c r="J1113" s="315"/>
      <c r="K1113" s="315"/>
      <c r="L1113" s="315"/>
    </row>
    <row r="1114" spans="1:12">
      <c r="A1114" s="315"/>
      <c r="B1114" s="315"/>
      <c r="C1114" s="315"/>
      <c r="D1114" s="315"/>
      <c r="E1114" s="315"/>
      <c r="F1114" s="315"/>
      <c r="G1114" s="315"/>
      <c r="H1114" s="315"/>
      <c r="I1114" s="315"/>
      <c r="J1114" s="315"/>
      <c r="K1114" s="315"/>
      <c r="L1114" s="315"/>
    </row>
    <row r="1115" spans="1:12">
      <c r="A1115" s="315"/>
      <c r="B1115" s="315"/>
      <c r="C1115" s="315"/>
      <c r="D1115" s="315"/>
      <c r="E1115" s="315"/>
      <c r="F1115" s="315"/>
      <c r="G1115" s="315"/>
      <c r="H1115" s="315"/>
      <c r="I1115" s="315"/>
      <c r="J1115" s="315"/>
      <c r="K1115" s="315"/>
      <c r="L1115" s="315"/>
    </row>
    <row r="1116" spans="1:12">
      <c r="A1116" s="315"/>
      <c r="B1116" s="315"/>
      <c r="C1116" s="315"/>
      <c r="D1116" s="315"/>
      <c r="E1116" s="315"/>
      <c r="F1116" s="315"/>
      <c r="G1116" s="315"/>
      <c r="H1116" s="315"/>
      <c r="I1116" s="315"/>
      <c r="J1116" s="315"/>
      <c r="K1116" s="315"/>
      <c r="L1116" s="315"/>
    </row>
    <row r="1117" spans="1:12">
      <c r="A1117" s="315"/>
      <c r="B1117" s="315"/>
      <c r="C1117" s="315"/>
      <c r="D1117" s="315"/>
      <c r="E1117" s="315"/>
      <c r="F1117" s="315"/>
      <c r="G1117" s="315"/>
      <c r="H1117" s="315"/>
      <c r="I1117" s="315"/>
      <c r="J1117" s="315"/>
      <c r="K1117" s="315"/>
      <c r="L1117" s="315"/>
    </row>
    <row r="1118" spans="1:12">
      <c r="A1118" s="315"/>
      <c r="B1118" s="315"/>
      <c r="C1118" s="315"/>
      <c r="D1118" s="315"/>
      <c r="E1118" s="315"/>
      <c r="F1118" s="315"/>
      <c r="G1118" s="315"/>
      <c r="H1118" s="315"/>
      <c r="I1118" s="315"/>
      <c r="J1118" s="315"/>
      <c r="K1118" s="315"/>
      <c r="L1118" s="315"/>
    </row>
    <row r="1119" spans="1:12">
      <c r="A1119" s="315"/>
      <c r="B1119" s="315"/>
      <c r="C1119" s="315"/>
      <c r="D1119" s="315"/>
      <c r="E1119" s="315"/>
      <c r="F1119" s="315"/>
      <c r="G1119" s="315"/>
      <c r="H1119" s="315"/>
      <c r="I1119" s="315"/>
      <c r="J1119" s="315"/>
      <c r="K1119" s="315"/>
      <c r="L1119" s="315"/>
    </row>
    <row r="1120" spans="1:12">
      <c r="A1120" s="315"/>
      <c r="B1120" s="315"/>
      <c r="C1120" s="315"/>
      <c r="D1120" s="315"/>
      <c r="E1120" s="315"/>
      <c r="F1120" s="315"/>
      <c r="G1120" s="315"/>
      <c r="H1120" s="315"/>
      <c r="I1120" s="315"/>
      <c r="J1120" s="315"/>
      <c r="K1120" s="315"/>
      <c r="L1120" s="315"/>
    </row>
    <row r="1121" spans="1:12">
      <c r="A1121" s="315"/>
      <c r="B1121" s="315"/>
      <c r="C1121" s="315"/>
      <c r="D1121" s="315"/>
      <c r="E1121" s="315"/>
      <c r="F1121" s="315"/>
      <c r="G1121" s="315"/>
      <c r="H1121" s="315"/>
      <c r="I1121" s="315"/>
      <c r="J1121" s="315"/>
      <c r="K1121" s="315"/>
      <c r="L1121" s="315"/>
    </row>
    <row r="1122" spans="1:12">
      <c r="A1122" s="315"/>
      <c r="B1122" s="315"/>
      <c r="C1122" s="315"/>
      <c r="D1122" s="315"/>
      <c r="E1122" s="315"/>
      <c r="F1122" s="315"/>
      <c r="G1122" s="315"/>
      <c r="H1122" s="315"/>
      <c r="I1122" s="315"/>
      <c r="J1122" s="315"/>
      <c r="K1122" s="315"/>
      <c r="L1122" s="315"/>
    </row>
    <row r="1123" spans="1:12">
      <c r="A1123" s="315"/>
      <c r="B1123" s="315"/>
      <c r="C1123" s="315"/>
      <c r="D1123" s="315"/>
      <c r="E1123" s="315"/>
      <c r="F1123" s="315"/>
      <c r="G1123" s="315"/>
      <c r="H1123" s="315"/>
      <c r="I1123" s="315"/>
      <c r="J1123" s="315"/>
      <c r="K1123" s="315"/>
      <c r="L1123" s="315"/>
    </row>
    <row r="1124" spans="1:12">
      <c r="A1124" s="315"/>
      <c r="B1124" s="315"/>
      <c r="C1124" s="315"/>
      <c r="D1124" s="315"/>
      <c r="E1124" s="315"/>
      <c r="F1124" s="315"/>
      <c r="G1124" s="315"/>
      <c r="H1124" s="315"/>
      <c r="I1124" s="315"/>
      <c r="J1124" s="315"/>
      <c r="K1124" s="315"/>
      <c r="L1124" s="315"/>
    </row>
    <row r="1125" spans="1:12">
      <c r="A1125" s="315"/>
      <c r="B1125" s="315"/>
      <c r="C1125" s="315"/>
      <c r="D1125" s="315"/>
      <c r="E1125" s="315"/>
      <c r="F1125" s="315"/>
      <c r="G1125" s="315"/>
      <c r="H1125" s="315"/>
      <c r="I1125" s="315"/>
      <c r="J1125" s="315"/>
      <c r="K1125" s="315"/>
      <c r="L1125" s="315"/>
    </row>
    <row r="1126" spans="1:12">
      <c r="A1126" s="315"/>
      <c r="B1126" s="315"/>
      <c r="C1126" s="315"/>
      <c r="D1126" s="315"/>
      <c r="E1126" s="315"/>
      <c r="F1126" s="315"/>
      <c r="G1126" s="315"/>
      <c r="H1126" s="315"/>
      <c r="I1126" s="315"/>
      <c r="J1126" s="315"/>
      <c r="K1126" s="315"/>
      <c r="L1126" s="315"/>
    </row>
    <row r="1127" spans="1:12">
      <c r="A1127" s="315"/>
      <c r="B1127" s="315"/>
      <c r="C1127" s="315"/>
      <c r="D1127" s="315"/>
      <c r="E1127" s="315"/>
      <c r="F1127" s="315"/>
      <c r="G1127" s="315"/>
      <c r="H1127" s="315"/>
      <c r="I1127" s="315"/>
      <c r="J1127" s="315"/>
      <c r="K1127" s="315"/>
      <c r="L1127" s="315"/>
    </row>
    <row r="1128" spans="1:12">
      <c r="A1128" s="315"/>
      <c r="B1128" s="315"/>
      <c r="C1128" s="315"/>
      <c r="D1128" s="315"/>
      <c r="E1128" s="315"/>
      <c r="F1128" s="315"/>
      <c r="G1128" s="315"/>
      <c r="H1128" s="315"/>
      <c r="I1128" s="315"/>
      <c r="J1128" s="315"/>
      <c r="K1128" s="315"/>
      <c r="L1128" s="315"/>
    </row>
    <row r="1129" spans="1:12">
      <c r="A1129" s="315"/>
      <c r="B1129" s="315"/>
      <c r="C1129" s="315"/>
      <c r="D1129" s="315"/>
      <c r="E1129" s="315"/>
      <c r="F1129" s="315"/>
      <c r="G1129" s="315"/>
      <c r="H1129" s="315"/>
      <c r="I1129" s="315"/>
      <c r="J1129" s="315"/>
      <c r="K1129" s="315"/>
      <c r="L1129" s="315"/>
    </row>
    <row r="1130" spans="1:12">
      <c r="A1130" s="315"/>
      <c r="B1130" s="315"/>
      <c r="C1130" s="315"/>
      <c r="D1130" s="315"/>
      <c r="E1130" s="315"/>
      <c r="F1130" s="315"/>
      <c r="G1130" s="315"/>
      <c r="H1130" s="315"/>
      <c r="I1130" s="315"/>
      <c r="J1130" s="315"/>
      <c r="K1130" s="315"/>
      <c r="L1130" s="315"/>
    </row>
    <row r="1131" spans="1:12">
      <c r="A1131" s="315"/>
      <c r="B1131" s="315"/>
      <c r="C1131" s="315"/>
      <c r="D1131" s="315"/>
      <c r="E1131" s="315"/>
      <c r="F1131" s="315"/>
      <c r="G1131" s="315"/>
      <c r="H1131" s="315"/>
      <c r="I1131" s="315"/>
      <c r="J1131" s="315"/>
      <c r="K1131" s="315"/>
      <c r="L1131" s="315"/>
    </row>
    <row r="1132" spans="1:12">
      <c r="A1132" s="315"/>
      <c r="B1132" s="315"/>
      <c r="C1132" s="315"/>
      <c r="D1132" s="315"/>
      <c r="E1132" s="315"/>
      <c r="F1132" s="315"/>
      <c r="G1132" s="315"/>
      <c r="H1132" s="315"/>
      <c r="I1132" s="315"/>
      <c r="J1132" s="315"/>
      <c r="K1132" s="315"/>
      <c r="L1132" s="315"/>
    </row>
    <row r="1133" spans="1:12">
      <c r="A1133" s="315"/>
      <c r="B1133" s="315"/>
      <c r="C1133" s="315"/>
      <c r="D1133" s="315"/>
      <c r="E1133" s="315"/>
      <c r="F1133" s="315"/>
      <c r="G1133" s="315"/>
      <c r="H1133" s="315"/>
      <c r="I1133" s="315"/>
      <c r="J1133" s="315"/>
      <c r="K1133" s="315"/>
      <c r="L1133" s="315"/>
    </row>
    <row r="1134" spans="1:12">
      <c r="A1134" s="315"/>
      <c r="B1134" s="315"/>
      <c r="C1134" s="315"/>
      <c r="D1134" s="315"/>
      <c r="E1134" s="315"/>
      <c r="F1134" s="315"/>
      <c r="G1134" s="315"/>
      <c r="H1134" s="315"/>
      <c r="I1134" s="315"/>
      <c r="J1134" s="315"/>
      <c r="K1134" s="315"/>
      <c r="L1134" s="315"/>
    </row>
    <row r="1135" spans="1:12">
      <c r="A1135" s="315"/>
      <c r="B1135" s="315"/>
      <c r="C1135" s="315"/>
      <c r="D1135" s="315"/>
      <c r="E1135" s="315"/>
      <c r="F1135" s="315"/>
      <c r="G1135" s="315"/>
      <c r="H1135" s="315"/>
      <c r="I1135" s="315"/>
      <c r="J1135" s="315"/>
      <c r="K1135" s="315"/>
      <c r="L1135" s="315"/>
    </row>
    <row r="1136" spans="1:12">
      <c r="A1136" s="315"/>
      <c r="B1136" s="315"/>
      <c r="C1136" s="315"/>
      <c r="D1136" s="315"/>
      <c r="E1136" s="315"/>
      <c r="F1136" s="315"/>
      <c r="G1136" s="315"/>
      <c r="H1136" s="315"/>
      <c r="I1136" s="315"/>
      <c r="J1136" s="315"/>
      <c r="K1136" s="315"/>
      <c r="L1136" s="315"/>
    </row>
    <row r="1137" spans="1:12">
      <c r="A1137" s="315"/>
      <c r="B1137" s="315"/>
      <c r="C1137" s="315"/>
      <c r="D1137" s="315"/>
      <c r="E1137" s="315"/>
      <c r="F1137" s="315"/>
      <c r="G1137" s="315"/>
      <c r="H1137" s="315"/>
      <c r="I1137" s="315"/>
      <c r="J1137" s="315"/>
      <c r="K1137" s="315"/>
      <c r="L1137" s="315"/>
    </row>
    <row r="1138" spans="1:12">
      <c r="A1138" s="315"/>
      <c r="B1138" s="315"/>
      <c r="C1138" s="315"/>
      <c r="D1138" s="315"/>
      <c r="E1138" s="315"/>
      <c r="F1138" s="315"/>
      <c r="G1138" s="315"/>
      <c r="H1138" s="315"/>
      <c r="I1138" s="315"/>
      <c r="J1138" s="315"/>
      <c r="K1138" s="315"/>
      <c r="L1138" s="315"/>
    </row>
    <row r="1139" spans="1:12">
      <c r="A1139" s="315"/>
      <c r="B1139" s="315"/>
      <c r="C1139" s="315"/>
      <c r="D1139" s="315"/>
      <c r="E1139" s="315"/>
      <c r="F1139" s="315"/>
      <c r="G1139" s="315"/>
      <c r="H1139" s="315"/>
      <c r="I1139" s="315"/>
      <c r="J1139" s="315"/>
      <c r="K1139" s="315"/>
      <c r="L1139" s="315"/>
    </row>
    <row r="1140" spans="1:12">
      <c r="A1140" s="315"/>
      <c r="B1140" s="315"/>
      <c r="C1140" s="315"/>
      <c r="D1140" s="315"/>
      <c r="E1140" s="315"/>
      <c r="F1140" s="315"/>
      <c r="G1140" s="315"/>
      <c r="H1140" s="315"/>
      <c r="I1140" s="315"/>
      <c r="J1140" s="315"/>
      <c r="K1140" s="315"/>
      <c r="L1140" s="315"/>
    </row>
    <row r="1141" spans="1:12">
      <c r="A1141" s="315"/>
      <c r="B1141" s="315"/>
      <c r="C1141" s="315"/>
      <c r="D1141" s="315"/>
      <c r="E1141" s="315"/>
      <c r="F1141" s="315"/>
      <c r="G1141" s="315"/>
      <c r="H1141" s="315"/>
      <c r="I1141" s="315"/>
      <c r="J1141" s="315"/>
      <c r="K1141" s="315"/>
      <c r="L1141" s="315"/>
    </row>
    <row r="1142" spans="1:12">
      <c r="A1142" s="315"/>
      <c r="B1142" s="315"/>
      <c r="C1142" s="315"/>
      <c r="D1142" s="315"/>
      <c r="E1142" s="315"/>
      <c r="F1142" s="315"/>
      <c r="G1142" s="315"/>
      <c r="H1142" s="315"/>
      <c r="I1142" s="315"/>
      <c r="J1142" s="315"/>
      <c r="K1142" s="315"/>
      <c r="L1142" s="315"/>
    </row>
    <row r="1143" spans="1:12">
      <c r="A1143" s="315"/>
      <c r="B1143" s="315"/>
      <c r="C1143" s="315"/>
      <c r="D1143" s="315"/>
      <c r="E1143" s="315"/>
      <c r="F1143" s="315"/>
      <c r="G1143" s="315"/>
      <c r="H1143" s="315"/>
      <c r="I1143" s="315"/>
      <c r="J1143" s="315"/>
      <c r="K1143" s="315"/>
      <c r="L1143" s="315"/>
    </row>
    <row r="1144" spans="1:12">
      <c r="A1144" s="315"/>
      <c r="B1144" s="315"/>
      <c r="C1144" s="315"/>
      <c r="D1144" s="315"/>
      <c r="E1144" s="315"/>
      <c r="F1144" s="315"/>
      <c r="G1144" s="315"/>
      <c r="H1144" s="315"/>
      <c r="I1144" s="315"/>
      <c r="J1144" s="315"/>
      <c r="K1144" s="315"/>
      <c r="L1144" s="315"/>
    </row>
    <row r="1145" spans="1:12">
      <c r="A1145" s="315"/>
      <c r="B1145" s="315"/>
      <c r="C1145" s="315"/>
      <c r="D1145" s="315"/>
      <c r="E1145" s="315"/>
      <c r="F1145" s="315"/>
      <c r="G1145" s="315"/>
      <c r="H1145" s="315"/>
      <c r="I1145" s="315"/>
      <c r="J1145" s="315"/>
      <c r="K1145" s="315"/>
      <c r="L1145" s="315"/>
    </row>
    <row r="1146" spans="1:12">
      <c r="A1146" s="315"/>
      <c r="B1146" s="315"/>
      <c r="C1146" s="315"/>
      <c r="D1146" s="315"/>
      <c r="E1146" s="315"/>
      <c r="F1146" s="315"/>
      <c r="G1146" s="315"/>
      <c r="H1146" s="315"/>
      <c r="I1146" s="315"/>
      <c r="J1146" s="315"/>
      <c r="K1146" s="315"/>
      <c r="L1146" s="315"/>
    </row>
    <row r="1147" spans="1:12">
      <c r="A1147" s="315"/>
      <c r="B1147" s="315"/>
      <c r="C1147" s="315"/>
      <c r="D1147" s="315"/>
      <c r="E1147" s="315"/>
      <c r="F1147" s="315"/>
      <c r="G1147" s="315"/>
      <c r="H1147" s="315"/>
      <c r="I1147" s="315"/>
      <c r="J1147" s="315"/>
      <c r="K1147" s="315"/>
      <c r="L1147" s="315"/>
    </row>
    <row r="1148" spans="1:12">
      <c r="A1148" s="315"/>
      <c r="B1148" s="315"/>
      <c r="C1148" s="315"/>
      <c r="D1148" s="315"/>
      <c r="E1148" s="315"/>
      <c r="F1148" s="315"/>
      <c r="G1148" s="315"/>
      <c r="H1148" s="315"/>
      <c r="I1148" s="315"/>
      <c r="J1148" s="315"/>
      <c r="K1148" s="315"/>
      <c r="L1148" s="315"/>
    </row>
    <row r="1149" spans="1:12">
      <c r="A1149" s="315"/>
      <c r="B1149" s="315"/>
      <c r="C1149" s="315"/>
      <c r="D1149" s="315"/>
      <c r="E1149" s="315"/>
      <c r="F1149" s="315"/>
      <c r="G1149" s="315"/>
      <c r="H1149" s="315"/>
      <c r="I1149" s="315"/>
      <c r="J1149" s="315"/>
      <c r="K1149" s="315"/>
      <c r="L1149" s="315"/>
    </row>
    <row r="1150" spans="1:12">
      <c r="A1150" s="315"/>
      <c r="B1150" s="315"/>
      <c r="C1150" s="315"/>
      <c r="D1150" s="315"/>
      <c r="E1150" s="315"/>
      <c r="F1150" s="315"/>
      <c r="G1150" s="315"/>
      <c r="H1150" s="315"/>
      <c r="I1150" s="315"/>
      <c r="J1150" s="315"/>
      <c r="K1150" s="315"/>
      <c r="L1150" s="315"/>
    </row>
    <row r="1151" spans="1:12">
      <c r="A1151" s="315"/>
      <c r="B1151" s="315"/>
      <c r="C1151" s="315"/>
      <c r="D1151" s="315"/>
      <c r="E1151" s="315"/>
      <c r="F1151" s="315"/>
      <c r="G1151" s="315"/>
      <c r="H1151" s="315"/>
      <c r="I1151" s="315"/>
      <c r="J1151" s="315"/>
      <c r="K1151" s="315"/>
      <c r="L1151" s="315"/>
    </row>
    <row r="1152" spans="1:12">
      <c r="A1152" s="315"/>
      <c r="B1152" s="315"/>
      <c r="C1152" s="315"/>
      <c r="D1152" s="315"/>
      <c r="E1152" s="315"/>
      <c r="F1152" s="315"/>
      <c r="G1152" s="315"/>
      <c r="H1152" s="315"/>
      <c r="I1152" s="315"/>
      <c r="J1152" s="315"/>
      <c r="K1152" s="315"/>
      <c r="L1152" s="315"/>
    </row>
    <row r="1153" spans="1:12">
      <c r="A1153" s="315"/>
      <c r="B1153" s="315"/>
      <c r="C1153" s="315"/>
      <c r="D1153" s="315"/>
      <c r="E1153" s="315"/>
      <c r="F1153" s="315"/>
      <c r="G1153" s="315"/>
      <c r="H1153" s="315"/>
      <c r="I1153" s="315"/>
      <c r="J1153" s="315"/>
      <c r="K1153" s="315"/>
      <c r="L1153" s="315"/>
    </row>
    <row r="1154" spans="1:12">
      <c r="A1154" s="315"/>
      <c r="B1154" s="315"/>
      <c r="C1154" s="315"/>
      <c r="D1154" s="315"/>
      <c r="E1154" s="315"/>
      <c r="F1154" s="315"/>
      <c r="G1154" s="315"/>
      <c r="H1154" s="315"/>
      <c r="I1154" s="315"/>
      <c r="J1154" s="315"/>
      <c r="K1154" s="315"/>
      <c r="L1154" s="315"/>
    </row>
    <row r="1155" spans="1:12">
      <c r="A1155" s="315"/>
      <c r="B1155" s="315"/>
      <c r="C1155" s="315"/>
      <c r="D1155" s="315"/>
      <c r="E1155" s="315"/>
      <c r="F1155" s="315"/>
      <c r="G1155" s="315"/>
      <c r="H1155" s="315"/>
      <c r="I1155" s="315"/>
      <c r="J1155" s="315"/>
      <c r="K1155" s="315"/>
      <c r="L1155" s="315"/>
    </row>
    <row r="1156" spans="1:12">
      <c r="A1156" s="315"/>
      <c r="B1156" s="315"/>
      <c r="C1156" s="315"/>
      <c r="D1156" s="315"/>
      <c r="E1156" s="315"/>
      <c r="F1156" s="315"/>
      <c r="G1156" s="315"/>
      <c r="H1156" s="315"/>
      <c r="I1156" s="315"/>
      <c r="J1156" s="315"/>
      <c r="K1156" s="315"/>
      <c r="L1156" s="315"/>
    </row>
    <row r="1157" spans="1:12">
      <c r="A1157" s="315"/>
      <c r="B1157" s="315"/>
      <c r="C1157" s="315"/>
      <c r="D1157" s="315"/>
      <c r="E1157" s="315"/>
      <c r="F1157" s="315"/>
      <c r="G1157" s="315"/>
      <c r="H1157" s="315"/>
      <c r="I1157" s="315"/>
      <c r="J1157" s="315"/>
      <c r="K1157" s="315"/>
      <c r="L1157" s="315"/>
    </row>
    <row r="1158" spans="1:12">
      <c r="A1158" s="315"/>
      <c r="B1158" s="315"/>
      <c r="C1158" s="315"/>
      <c r="D1158" s="315"/>
      <c r="E1158" s="315"/>
      <c r="F1158" s="315"/>
      <c r="G1158" s="315"/>
      <c r="H1158" s="315"/>
      <c r="I1158" s="315"/>
      <c r="J1158" s="315"/>
      <c r="K1158" s="315"/>
      <c r="L1158" s="315"/>
    </row>
    <row r="1159" spans="1:12">
      <c r="A1159" s="315"/>
      <c r="B1159" s="315"/>
      <c r="C1159" s="315"/>
      <c r="D1159" s="315"/>
      <c r="E1159" s="315"/>
      <c r="F1159" s="315"/>
      <c r="G1159" s="315"/>
      <c r="H1159" s="315"/>
      <c r="I1159" s="315"/>
      <c r="J1159" s="315"/>
      <c r="K1159" s="315"/>
      <c r="L1159" s="315"/>
    </row>
    <row r="1160" spans="1:12">
      <c r="A1160" s="315"/>
      <c r="B1160" s="315"/>
      <c r="C1160" s="315"/>
      <c r="D1160" s="315"/>
      <c r="E1160" s="315"/>
      <c r="F1160" s="315"/>
      <c r="G1160" s="315"/>
      <c r="H1160" s="315"/>
      <c r="I1160" s="315"/>
      <c r="J1160" s="315"/>
      <c r="K1160" s="315"/>
      <c r="L1160" s="315"/>
    </row>
    <row r="1161" spans="1:12">
      <c r="A1161" s="315"/>
      <c r="B1161" s="315"/>
      <c r="C1161" s="315"/>
      <c r="D1161" s="315"/>
      <c r="E1161" s="315"/>
      <c r="F1161" s="315"/>
      <c r="G1161" s="315"/>
      <c r="H1161" s="315"/>
      <c r="I1161" s="315"/>
      <c r="J1161" s="315"/>
      <c r="K1161" s="315"/>
      <c r="L1161" s="315"/>
    </row>
    <row r="1162" spans="1:12">
      <c r="A1162" s="315"/>
      <c r="B1162" s="315"/>
      <c r="C1162" s="315"/>
      <c r="D1162" s="315"/>
      <c r="E1162" s="315"/>
      <c r="F1162" s="315"/>
      <c r="G1162" s="315"/>
      <c r="H1162" s="315"/>
      <c r="I1162" s="315"/>
      <c r="J1162" s="315"/>
      <c r="K1162" s="315"/>
      <c r="L1162" s="315"/>
    </row>
    <row r="1163" spans="1:12">
      <c r="A1163" s="315"/>
      <c r="B1163" s="315"/>
      <c r="C1163" s="315"/>
      <c r="D1163" s="315"/>
      <c r="E1163" s="315"/>
      <c r="F1163" s="315"/>
      <c r="G1163" s="315"/>
      <c r="H1163" s="315"/>
      <c r="I1163" s="315"/>
      <c r="J1163" s="315"/>
      <c r="K1163" s="315"/>
      <c r="L1163" s="315"/>
    </row>
    <row r="1164" spans="1:12">
      <c r="A1164" s="315"/>
      <c r="B1164" s="315"/>
      <c r="C1164" s="315"/>
      <c r="D1164" s="315"/>
      <c r="E1164" s="315"/>
      <c r="F1164" s="315"/>
      <c r="G1164" s="315"/>
      <c r="H1164" s="315"/>
      <c r="I1164" s="315"/>
      <c r="J1164" s="315"/>
      <c r="K1164" s="315"/>
      <c r="L1164" s="315"/>
    </row>
    <row r="1165" spans="1:12">
      <c r="A1165" s="315"/>
      <c r="B1165" s="315"/>
      <c r="C1165" s="315"/>
      <c r="D1165" s="315"/>
      <c r="E1165" s="315"/>
      <c r="F1165" s="315"/>
      <c r="G1165" s="315"/>
      <c r="H1165" s="315"/>
      <c r="I1165" s="315"/>
      <c r="J1165" s="315"/>
      <c r="K1165" s="315"/>
      <c r="L1165" s="315"/>
    </row>
    <row r="1166" spans="1:12">
      <c r="A1166" s="315"/>
      <c r="B1166" s="315"/>
      <c r="C1166" s="315"/>
      <c r="D1166" s="315"/>
      <c r="E1166" s="315"/>
      <c r="F1166" s="315"/>
      <c r="G1166" s="315"/>
      <c r="H1166" s="315"/>
      <c r="I1166" s="315"/>
      <c r="J1166" s="315"/>
      <c r="K1166" s="315"/>
      <c r="L1166" s="315"/>
    </row>
    <row r="1167" spans="1:12">
      <c r="A1167" s="315"/>
      <c r="B1167" s="315"/>
      <c r="C1167" s="315"/>
      <c r="D1167" s="315"/>
      <c r="E1167" s="315"/>
      <c r="F1167" s="315"/>
      <c r="G1167" s="315"/>
      <c r="H1167" s="315"/>
      <c r="I1167" s="315"/>
      <c r="J1167" s="315"/>
      <c r="K1167" s="315"/>
      <c r="L1167" s="315"/>
    </row>
    <row r="1168" spans="1:12">
      <c r="A1168" s="315"/>
      <c r="B1168" s="315"/>
      <c r="C1168" s="315"/>
      <c r="D1168" s="315"/>
      <c r="E1168" s="315"/>
      <c r="F1168" s="315"/>
      <c r="G1168" s="315"/>
      <c r="H1168" s="315"/>
      <c r="I1168" s="315"/>
      <c r="J1168" s="315"/>
      <c r="K1168" s="315"/>
      <c r="L1168" s="315"/>
    </row>
    <row r="1169" spans="1:12">
      <c r="A1169" s="315"/>
      <c r="B1169" s="315"/>
      <c r="C1169" s="315"/>
      <c r="D1169" s="315"/>
      <c r="E1169" s="315"/>
      <c r="F1169" s="315"/>
      <c r="G1169" s="315"/>
      <c r="H1169" s="315"/>
      <c r="I1169" s="315"/>
      <c r="J1169" s="315"/>
      <c r="K1169" s="315"/>
      <c r="L1169" s="315"/>
    </row>
    <row r="1170" spans="1:12">
      <c r="A1170" s="315"/>
      <c r="B1170" s="315"/>
      <c r="C1170" s="315"/>
      <c r="D1170" s="315"/>
      <c r="E1170" s="315"/>
      <c r="F1170" s="315"/>
      <c r="G1170" s="315"/>
      <c r="H1170" s="315"/>
      <c r="I1170" s="315"/>
      <c r="J1170" s="315"/>
      <c r="K1170" s="315"/>
      <c r="L1170" s="315"/>
    </row>
    <row r="1171" spans="1:12">
      <c r="A1171" s="315"/>
      <c r="B1171" s="315"/>
      <c r="C1171" s="315"/>
      <c r="D1171" s="315"/>
      <c r="E1171" s="315"/>
      <c r="F1171" s="315"/>
      <c r="G1171" s="315"/>
      <c r="H1171" s="315"/>
      <c r="I1171" s="315"/>
      <c r="J1171" s="315"/>
      <c r="K1171" s="315"/>
      <c r="L1171" s="315"/>
    </row>
    <row r="1172" spans="1:12">
      <c r="A1172" s="315"/>
      <c r="B1172" s="315"/>
      <c r="C1172" s="315"/>
      <c r="D1172" s="315"/>
      <c r="E1172" s="315"/>
      <c r="F1172" s="315"/>
      <c r="G1172" s="315"/>
      <c r="H1172" s="315"/>
      <c r="I1172" s="315"/>
      <c r="J1172" s="315"/>
      <c r="K1172" s="315"/>
      <c r="L1172" s="315"/>
    </row>
    <row r="1173" spans="1:12">
      <c r="A1173" s="315"/>
      <c r="B1173" s="315"/>
      <c r="C1173" s="315"/>
      <c r="D1173" s="315"/>
      <c r="E1173" s="315"/>
      <c r="F1173" s="315"/>
      <c r="G1173" s="315"/>
      <c r="H1173" s="315"/>
      <c r="I1173" s="315"/>
      <c r="J1173" s="315"/>
      <c r="K1173" s="315"/>
      <c r="L1173" s="315"/>
    </row>
    <row r="1174" spans="1:12">
      <c r="A1174" s="315"/>
      <c r="B1174" s="315"/>
      <c r="C1174" s="315"/>
      <c r="D1174" s="315"/>
      <c r="E1174" s="315"/>
      <c r="F1174" s="315"/>
      <c r="G1174" s="315"/>
      <c r="H1174" s="315"/>
      <c r="I1174" s="315"/>
      <c r="J1174" s="315"/>
      <c r="K1174" s="315"/>
      <c r="L1174" s="315"/>
    </row>
    <row r="1175" spans="1:12">
      <c r="A1175" s="315"/>
      <c r="B1175" s="315"/>
      <c r="C1175" s="315"/>
      <c r="D1175" s="315"/>
      <c r="E1175" s="315"/>
      <c r="F1175" s="315"/>
      <c r="G1175" s="315"/>
      <c r="H1175" s="315"/>
      <c r="I1175" s="315"/>
      <c r="J1175" s="315"/>
      <c r="K1175" s="315"/>
      <c r="L1175" s="315"/>
    </row>
    <row r="1176" spans="1:12">
      <c r="A1176" s="315"/>
      <c r="B1176" s="315"/>
      <c r="C1176" s="315"/>
      <c r="D1176" s="315"/>
      <c r="E1176" s="315"/>
      <c r="F1176" s="315"/>
      <c r="G1176" s="315"/>
      <c r="H1176" s="315"/>
      <c r="I1176" s="315"/>
      <c r="J1176" s="315"/>
      <c r="K1176" s="315"/>
      <c r="L1176" s="315"/>
    </row>
    <row r="1177" spans="1:12">
      <c r="A1177" s="315"/>
      <c r="B1177" s="315"/>
      <c r="C1177" s="315"/>
      <c r="D1177" s="315"/>
      <c r="E1177" s="315"/>
      <c r="F1177" s="315"/>
      <c r="G1177" s="315"/>
      <c r="H1177" s="315"/>
      <c r="I1177" s="315"/>
      <c r="J1177" s="315"/>
      <c r="K1177" s="315"/>
      <c r="L1177" s="315"/>
    </row>
    <row r="1178" spans="1:12">
      <c r="A1178" s="315"/>
      <c r="B1178" s="315"/>
      <c r="C1178" s="315"/>
      <c r="D1178" s="315"/>
      <c r="E1178" s="315"/>
      <c r="F1178" s="315"/>
      <c r="G1178" s="315"/>
      <c r="H1178" s="315"/>
      <c r="I1178" s="315"/>
      <c r="J1178" s="315"/>
      <c r="K1178" s="315"/>
      <c r="L1178" s="315"/>
    </row>
    <row r="1179" spans="1:12">
      <c r="A1179" s="315"/>
      <c r="B1179" s="315"/>
      <c r="C1179" s="315"/>
      <c r="D1179" s="315"/>
      <c r="E1179" s="315"/>
      <c r="F1179" s="315"/>
      <c r="G1179" s="315"/>
      <c r="H1179" s="315"/>
      <c r="I1179" s="315"/>
      <c r="J1179" s="315"/>
      <c r="K1179" s="315"/>
      <c r="L1179" s="315"/>
    </row>
    <row r="1180" spans="1:12">
      <c r="A1180" s="315"/>
      <c r="B1180" s="315"/>
      <c r="C1180" s="315"/>
      <c r="D1180" s="315"/>
      <c r="E1180" s="315"/>
      <c r="F1180" s="315"/>
      <c r="G1180" s="315"/>
      <c r="H1180" s="315"/>
      <c r="I1180" s="315"/>
      <c r="J1180" s="315"/>
      <c r="K1180" s="315"/>
      <c r="L1180" s="315"/>
    </row>
    <row r="1181" spans="1:12">
      <c r="A1181" s="315"/>
      <c r="B1181" s="315"/>
      <c r="C1181" s="315"/>
      <c r="D1181" s="315"/>
      <c r="E1181" s="315"/>
      <c r="F1181" s="315"/>
      <c r="G1181" s="315"/>
      <c r="H1181" s="315"/>
      <c r="I1181" s="315"/>
      <c r="J1181" s="315"/>
      <c r="K1181" s="315"/>
      <c r="L1181" s="315"/>
    </row>
    <row r="1182" spans="1:12">
      <c r="A1182" s="315"/>
      <c r="B1182" s="315"/>
      <c r="C1182" s="315"/>
      <c r="D1182" s="315"/>
      <c r="E1182" s="315"/>
      <c r="F1182" s="315"/>
      <c r="G1182" s="315"/>
      <c r="H1182" s="315"/>
      <c r="I1182" s="315"/>
      <c r="J1182" s="315"/>
      <c r="K1182" s="315"/>
      <c r="L1182" s="315"/>
    </row>
    <row r="1183" spans="1:12">
      <c r="A1183" s="315"/>
      <c r="B1183" s="315"/>
      <c r="C1183" s="315"/>
      <c r="D1183" s="315"/>
      <c r="E1183" s="315"/>
      <c r="F1183" s="315"/>
      <c r="G1183" s="315"/>
      <c r="H1183" s="315"/>
      <c r="I1183" s="315"/>
      <c r="J1183" s="315"/>
      <c r="K1183" s="315"/>
      <c r="L1183" s="315"/>
    </row>
    <row r="1184" spans="1:12">
      <c r="A1184" s="315"/>
      <c r="B1184" s="315"/>
      <c r="C1184" s="315"/>
      <c r="D1184" s="315"/>
      <c r="E1184" s="315"/>
      <c r="F1184" s="315"/>
      <c r="G1184" s="315"/>
      <c r="H1184" s="315"/>
      <c r="I1184" s="315"/>
      <c r="J1184" s="315"/>
      <c r="K1184" s="315"/>
      <c r="L1184" s="315"/>
    </row>
    <row r="1185" spans="1:12">
      <c r="A1185" s="315"/>
      <c r="B1185" s="315"/>
      <c r="C1185" s="315"/>
      <c r="D1185" s="315"/>
      <c r="E1185" s="315"/>
      <c r="F1185" s="315"/>
      <c r="G1185" s="315"/>
      <c r="H1185" s="315"/>
      <c r="I1185" s="315"/>
      <c r="J1185" s="315"/>
      <c r="K1185" s="315"/>
      <c r="L1185" s="315"/>
    </row>
    <row r="1186" spans="1:12">
      <c r="A1186" s="315"/>
      <c r="B1186" s="315"/>
      <c r="C1186" s="315"/>
      <c r="D1186" s="315"/>
      <c r="E1186" s="315"/>
      <c r="F1186" s="315"/>
      <c r="G1186" s="315"/>
      <c r="H1186" s="315"/>
      <c r="I1186" s="315"/>
      <c r="J1186" s="315"/>
      <c r="K1186" s="315"/>
      <c r="L1186" s="315"/>
    </row>
    <row r="1187" spans="1:12">
      <c r="A1187" s="315"/>
      <c r="B1187" s="315"/>
      <c r="C1187" s="315"/>
      <c r="D1187" s="315"/>
      <c r="E1187" s="315"/>
      <c r="F1187" s="315"/>
      <c r="G1187" s="315"/>
      <c r="H1187" s="315"/>
      <c r="I1187" s="315"/>
      <c r="J1187" s="315"/>
      <c r="K1187" s="315"/>
      <c r="L1187" s="315"/>
    </row>
    <row r="1188" spans="1:12">
      <c r="A1188" s="315"/>
      <c r="B1188" s="315"/>
      <c r="C1188" s="315"/>
      <c r="D1188" s="315"/>
      <c r="E1188" s="315"/>
      <c r="F1188" s="315"/>
      <c r="G1188" s="315"/>
      <c r="H1188" s="315"/>
      <c r="I1188" s="315"/>
      <c r="J1188" s="315"/>
      <c r="K1188" s="315"/>
      <c r="L1188" s="315"/>
    </row>
    <row r="1189" spans="1:12">
      <c r="A1189" s="315"/>
      <c r="B1189" s="315"/>
      <c r="C1189" s="315"/>
      <c r="D1189" s="315"/>
      <c r="E1189" s="315"/>
      <c r="F1189" s="315"/>
      <c r="G1189" s="315"/>
      <c r="H1189" s="315"/>
      <c r="I1189" s="315"/>
      <c r="J1189" s="315"/>
      <c r="K1189" s="315"/>
      <c r="L1189" s="315"/>
    </row>
    <row r="1190" spans="1:12">
      <c r="A1190" s="315"/>
      <c r="B1190" s="315"/>
      <c r="C1190" s="315"/>
      <c r="D1190" s="315"/>
      <c r="E1190" s="315"/>
      <c r="F1190" s="315"/>
      <c r="G1190" s="315"/>
      <c r="H1190" s="315"/>
      <c r="I1190" s="315"/>
      <c r="J1190" s="315"/>
      <c r="K1190" s="315"/>
      <c r="L1190" s="315"/>
    </row>
    <row r="1191" spans="1:12">
      <c r="A1191" s="315"/>
      <c r="B1191" s="315"/>
      <c r="C1191" s="315"/>
      <c r="D1191" s="315"/>
      <c r="E1191" s="315"/>
      <c r="F1191" s="315"/>
      <c r="G1191" s="315"/>
      <c r="H1191" s="315"/>
      <c r="I1191" s="315"/>
      <c r="J1191" s="315"/>
      <c r="K1191" s="315"/>
      <c r="L1191" s="315"/>
    </row>
    <row r="1192" spans="1:12">
      <c r="A1192" s="315"/>
      <c r="B1192" s="315"/>
      <c r="C1192" s="315"/>
      <c r="D1192" s="315"/>
      <c r="E1192" s="315"/>
      <c r="F1192" s="315"/>
      <c r="G1192" s="315"/>
      <c r="H1192" s="315"/>
      <c r="I1192" s="315"/>
      <c r="J1192" s="315"/>
      <c r="K1192" s="315"/>
      <c r="L1192" s="315"/>
    </row>
    <row r="1193" spans="1:12">
      <c r="A1193" s="315"/>
      <c r="B1193" s="315"/>
      <c r="C1193" s="315"/>
      <c r="D1193" s="315"/>
      <c r="E1193" s="315"/>
      <c r="F1193" s="315"/>
      <c r="G1193" s="315"/>
      <c r="H1193" s="315"/>
      <c r="I1193" s="315"/>
      <c r="J1193" s="315"/>
      <c r="K1193" s="315"/>
      <c r="L1193" s="315"/>
    </row>
    <row r="1194" spans="1:12">
      <c r="A1194" s="315"/>
      <c r="B1194" s="315"/>
      <c r="C1194" s="315"/>
      <c r="D1194" s="315"/>
      <c r="E1194" s="315"/>
      <c r="F1194" s="315"/>
      <c r="G1194" s="315"/>
      <c r="H1194" s="315"/>
      <c r="I1194" s="315"/>
      <c r="J1194" s="315"/>
      <c r="K1194" s="315"/>
      <c r="L1194" s="315"/>
    </row>
    <row r="1195" spans="1:12">
      <c r="A1195" s="315"/>
      <c r="B1195" s="315"/>
      <c r="C1195" s="315"/>
      <c r="D1195" s="315"/>
      <c r="E1195" s="315"/>
      <c r="F1195" s="315"/>
      <c r="G1195" s="315"/>
      <c r="H1195" s="315"/>
      <c r="I1195" s="315"/>
      <c r="J1195" s="315"/>
      <c r="K1195" s="315"/>
      <c r="L1195" s="315"/>
    </row>
    <row r="1196" spans="1:12">
      <c r="A1196" s="315"/>
      <c r="B1196" s="315"/>
      <c r="C1196" s="315"/>
      <c r="D1196" s="315"/>
      <c r="E1196" s="315"/>
      <c r="F1196" s="315"/>
      <c r="G1196" s="315"/>
      <c r="H1196" s="315"/>
      <c r="I1196" s="315"/>
      <c r="J1196" s="315"/>
      <c r="K1196" s="315"/>
      <c r="L1196" s="315"/>
    </row>
    <row r="1197" spans="1:12">
      <c r="A1197" s="315"/>
      <c r="B1197" s="315"/>
      <c r="C1197" s="315"/>
      <c r="D1197" s="315"/>
      <c r="E1197" s="315"/>
      <c r="F1197" s="315"/>
      <c r="G1197" s="315"/>
      <c r="H1197" s="315"/>
      <c r="I1197" s="315"/>
      <c r="J1197" s="315"/>
      <c r="K1197" s="315"/>
      <c r="L1197" s="315"/>
    </row>
    <row r="1198" spans="1:12">
      <c r="A1198" s="315"/>
      <c r="B1198" s="315"/>
      <c r="C1198" s="315"/>
      <c r="D1198" s="315"/>
      <c r="E1198" s="315"/>
      <c r="F1198" s="315"/>
      <c r="G1198" s="315"/>
      <c r="H1198" s="315"/>
      <c r="I1198" s="315"/>
      <c r="J1198" s="315"/>
      <c r="K1198" s="315"/>
      <c r="L1198" s="315"/>
    </row>
    <row r="1199" spans="1:12">
      <c r="A1199" s="315"/>
      <c r="B1199" s="315"/>
      <c r="C1199" s="315"/>
      <c r="D1199" s="315"/>
      <c r="E1199" s="315"/>
      <c r="F1199" s="315"/>
      <c r="G1199" s="315"/>
      <c r="H1199" s="315"/>
      <c r="I1199" s="315"/>
      <c r="J1199" s="315"/>
      <c r="K1199" s="315"/>
      <c r="L1199" s="315"/>
    </row>
    <row r="1200" spans="1:12">
      <c r="A1200" s="315"/>
      <c r="B1200" s="315"/>
      <c r="C1200" s="315"/>
      <c r="D1200" s="315"/>
      <c r="E1200" s="315"/>
      <c r="F1200" s="315"/>
      <c r="G1200" s="315"/>
      <c r="H1200" s="315"/>
      <c r="I1200" s="315"/>
      <c r="J1200" s="315"/>
      <c r="K1200" s="315"/>
      <c r="L1200" s="315"/>
    </row>
    <row r="1201" spans="1:12">
      <c r="A1201" s="315"/>
      <c r="B1201" s="315"/>
      <c r="C1201" s="315"/>
      <c r="D1201" s="315"/>
      <c r="E1201" s="315"/>
      <c r="F1201" s="315"/>
      <c r="G1201" s="315"/>
      <c r="H1201" s="315"/>
      <c r="I1201" s="315"/>
      <c r="J1201" s="315"/>
      <c r="K1201" s="315"/>
      <c r="L1201" s="315"/>
    </row>
    <row r="1202" spans="1:12">
      <c r="A1202" s="315"/>
      <c r="B1202" s="315"/>
      <c r="C1202" s="315"/>
      <c r="D1202" s="315"/>
      <c r="E1202" s="315"/>
      <c r="F1202" s="315"/>
      <c r="G1202" s="315"/>
      <c r="H1202" s="315"/>
      <c r="I1202" s="315"/>
      <c r="J1202" s="315"/>
      <c r="K1202" s="315"/>
      <c r="L1202" s="315"/>
    </row>
    <row r="1203" spans="1:12">
      <c r="A1203" s="315"/>
      <c r="B1203" s="315"/>
      <c r="C1203" s="315"/>
      <c r="D1203" s="315"/>
      <c r="E1203" s="315"/>
      <c r="F1203" s="315"/>
      <c r="G1203" s="315"/>
      <c r="H1203" s="315"/>
      <c r="I1203" s="315"/>
      <c r="J1203" s="315"/>
      <c r="K1203" s="315"/>
      <c r="L1203" s="315"/>
    </row>
    <row r="1204" spans="1:12">
      <c r="A1204" s="315"/>
      <c r="B1204" s="315"/>
      <c r="C1204" s="315"/>
      <c r="D1204" s="315"/>
      <c r="E1204" s="315"/>
      <c r="F1204" s="315"/>
      <c r="G1204" s="315"/>
      <c r="H1204" s="315"/>
      <c r="I1204" s="315"/>
      <c r="J1204" s="315"/>
      <c r="K1204" s="315"/>
      <c r="L1204" s="315"/>
    </row>
    <row r="1205" spans="1:12">
      <c r="A1205" s="315"/>
      <c r="B1205" s="315"/>
      <c r="C1205" s="315"/>
      <c r="D1205" s="315"/>
      <c r="E1205" s="315"/>
      <c r="F1205" s="315"/>
      <c r="G1205" s="315"/>
      <c r="H1205" s="315"/>
      <c r="I1205" s="315"/>
      <c r="J1205" s="315"/>
      <c r="K1205" s="315"/>
      <c r="L1205" s="315"/>
    </row>
    <row r="1206" spans="1:12">
      <c r="A1206" s="315"/>
      <c r="B1206" s="315"/>
      <c r="C1206" s="315"/>
      <c r="D1206" s="315"/>
      <c r="E1206" s="315"/>
      <c r="F1206" s="315"/>
      <c r="G1206" s="315"/>
      <c r="H1206" s="315"/>
      <c r="I1206" s="315"/>
      <c r="J1206" s="315"/>
      <c r="K1206" s="315"/>
      <c r="L1206" s="315"/>
    </row>
    <row r="1207" spans="1:12">
      <c r="A1207" s="315"/>
      <c r="B1207" s="315"/>
      <c r="C1207" s="315"/>
      <c r="D1207" s="315"/>
      <c r="E1207" s="315"/>
      <c r="F1207" s="315"/>
      <c r="G1207" s="315"/>
      <c r="H1207" s="315"/>
      <c r="I1207" s="315"/>
      <c r="J1207" s="315"/>
      <c r="K1207" s="315"/>
      <c r="L1207" s="315"/>
    </row>
    <row r="1208" spans="1:12">
      <c r="A1208" s="315"/>
      <c r="B1208" s="315"/>
      <c r="C1208" s="315"/>
      <c r="D1208" s="315"/>
      <c r="E1208" s="315"/>
      <c r="F1208" s="315"/>
      <c r="G1208" s="315"/>
      <c r="H1208" s="315"/>
      <c r="I1208" s="315"/>
      <c r="J1208" s="315"/>
      <c r="K1208" s="315"/>
      <c r="L1208" s="315"/>
    </row>
    <row r="1209" spans="1:12">
      <c r="A1209" s="315"/>
      <c r="B1209" s="315"/>
      <c r="C1209" s="315"/>
      <c r="D1209" s="315"/>
      <c r="E1209" s="315"/>
      <c r="F1209" s="315"/>
      <c r="G1209" s="315"/>
      <c r="H1209" s="315"/>
      <c r="I1209" s="315"/>
      <c r="J1209" s="315"/>
      <c r="K1209" s="315"/>
      <c r="L1209" s="315"/>
    </row>
    <row r="1210" spans="1:12">
      <c r="A1210" s="315"/>
      <c r="B1210" s="315"/>
      <c r="C1210" s="315"/>
      <c r="D1210" s="315"/>
      <c r="E1210" s="315"/>
      <c r="F1210" s="315"/>
      <c r="G1210" s="315"/>
      <c r="H1210" s="315"/>
      <c r="I1210" s="315"/>
      <c r="J1210" s="315"/>
      <c r="K1210" s="315"/>
      <c r="L1210" s="315"/>
    </row>
    <row r="1211" spans="1:12">
      <c r="A1211" s="315"/>
      <c r="B1211" s="315"/>
      <c r="C1211" s="315"/>
      <c r="D1211" s="315"/>
      <c r="E1211" s="315"/>
      <c r="F1211" s="315"/>
      <c r="G1211" s="315"/>
      <c r="H1211" s="315"/>
      <c r="I1211" s="315"/>
      <c r="J1211" s="315"/>
      <c r="K1211" s="315"/>
      <c r="L1211" s="315"/>
    </row>
    <row r="1212" spans="1:12">
      <c r="A1212" s="315"/>
      <c r="B1212" s="315"/>
      <c r="C1212" s="315"/>
      <c r="D1212" s="315"/>
      <c r="E1212" s="315"/>
      <c r="F1212" s="315"/>
      <c r="G1212" s="315"/>
      <c r="H1212" s="315"/>
      <c r="I1212" s="315"/>
      <c r="J1212" s="315"/>
      <c r="K1212" s="315"/>
      <c r="L1212" s="315"/>
    </row>
    <row r="1213" spans="1:12">
      <c r="A1213" s="315"/>
      <c r="B1213" s="315"/>
      <c r="C1213" s="315"/>
      <c r="D1213" s="315"/>
      <c r="E1213" s="315"/>
      <c r="F1213" s="315"/>
      <c r="G1213" s="315"/>
      <c r="H1213" s="315"/>
      <c r="I1213" s="315"/>
      <c r="J1213" s="315"/>
      <c r="K1213" s="315"/>
      <c r="L1213" s="315"/>
    </row>
    <row r="1214" spans="1:12">
      <c r="A1214" s="315"/>
      <c r="B1214" s="315"/>
      <c r="C1214" s="315"/>
      <c r="D1214" s="315"/>
      <c r="E1214" s="315"/>
      <c r="F1214" s="315"/>
      <c r="G1214" s="315"/>
      <c r="H1214" s="315"/>
      <c r="I1214" s="315"/>
      <c r="J1214" s="315"/>
      <c r="K1214" s="315"/>
      <c r="L1214" s="315"/>
    </row>
    <row r="1215" spans="1:12">
      <c r="A1215" s="315"/>
      <c r="B1215" s="315"/>
      <c r="C1215" s="315"/>
      <c r="D1215" s="315"/>
      <c r="E1215" s="315"/>
      <c r="F1215" s="315"/>
      <c r="G1215" s="315"/>
      <c r="H1215" s="315"/>
      <c r="I1215" s="315"/>
      <c r="J1215" s="315"/>
      <c r="K1215" s="315"/>
      <c r="L1215" s="315"/>
    </row>
    <row r="1216" spans="1:12">
      <c r="A1216" s="315"/>
      <c r="B1216" s="315"/>
      <c r="C1216" s="315"/>
      <c r="D1216" s="315"/>
      <c r="E1216" s="315"/>
      <c r="F1216" s="315"/>
      <c r="G1216" s="315"/>
      <c r="H1216" s="315"/>
      <c r="I1216" s="315"/>
      <c r="J1216" s="315"/>
      <c r="K1216" s="315"/>
      <c r="L1216" s="315"/>
    </row>
    <row r="1217" spans="1:12">
      <c r="A1217" s="315"/>
      <c r="B1217" s="315"/>
      <c r="C1217" s="315"/>
      <c r="D1217" s="315"/>
      <c r="E1217" s="315"/>
      <c r="F1217" s="315"/>
      <c r="G1217" s="315"/>
      <c r="H1217" s="315"/>
      <c r="I1217" s="315"/>
      <c r="J1217" s="315"/>
      <c r="K1217" s="315"/>
      <c r="L1217" s="315"/>
    </row>
    <row r="1218" spans="1:12">
      <c r="A1218" s="315"/>
      <c r="B1218" s="315"/>
      <c r="C1218" s="315"/>
      <c r="D1218" s="315"/>
      <c r="E1218" s="315"/>
      <c r="F1218" s="315"/>
      <c r="G1218" s="315"/>
      <c r="H1218" s="315"/>
      <c r="I1218" s="315"/>
      <c r="J1218" s="315"/>
      <c r="K1218" s="315"/>
      <c r="L1218" s="315"/>
    </row>
    <row r="1219" spans="1:12">
      <c r="A1219" s="315"/>
      <c r="B1219" s="315"/>
      <c r="C1219" s="315"/>
      <c r="D1219" s="315"/>
      <c r="E1219" s="315"/>
      <c r="F1219" s="315"/>
      <c r="G1219" s="315"/>
      <c r="H1219" s="315"/>
      <c r="I1219" s="315"/>
      <c r="J1219" s="315"/>
      <c r="K1219" s="315"/>
      <c r="L1219" s="315"/>
    </row>
    <row r="1220" spans="1:12">
      <c r="A1220" s="315"/>
      <c r="B1220" s="315"/>
      <c r="C1220" s="315"/>
      <c r="D1220" s="315"/>
      <c r="E1220" s="315"/>
      <c r="F1220" s="315"/>
      <c r="G1220" s="315"/>
      <c r="H1220" s="315"/>
      <c r="I1220" s="315"/>
      <c r="J1220" s="315"/>
      <c r="K1220" s="315"/>
      <c r="L1220" s="315"/>
    </row>
    <row r="1221" spans="1:12">
      <c r="A1221" s="315"/>
      <c r="B1221" s="315"/>
      <c r="C1221" s="315"/>
      <c r="D1221" s="315"/>
      <c r="E1221" s="315"/>
      <c r="F1221" s="315"/>
      <c r="G1221" s="315"/>
      <c r="H1221" s="315"/>
      <c r="I1221" s="315"/>
      <c r="J1221" s="315"/>
      <c r="K1221" s="315"/>
      <c r="L1221" s="315"/>
    </row>
    <row r="1222" spans="1:12">
      <c r="A1222" s="315"/>
      <c r="B1222" s="315"/>
      <c r="C1222" s="315"/>
      <c r="D1222" s="315"/>
      <c r="E1222" s="315"/>
      <c r="F1222" s="315"/>
      <c r="G1222" s="315"/>
      <c r="H1222" s="315"/>
      <c r="I1222" s="315"/>
      <c r="J1222" s="315"/>
      <c r="K1222" s="315"/>
      <c r="L1222" s="315"/>
    </row>
    <row r="1223" spans="1:12">
      <c r="A1223" s="315"/>
      <c r="B1223" s="315"/>
      <c r="C1223" s="315"/>
      <c r="D1223" s="315"/>
      <c r="E1223" s="315"/>
      <c r="F1223" s="315"/>
      <c r="G1223" s="315"/>
      <c r="H1223" s="315"/>
      <c r="I1223" s="315"/>
      <c r="J1223" s="315"/>
      <c r="K1223" s="315"/>
      <c r="L1223" s="315"/>
    </row>
    <row r="1224" spans="1:12">
      <c r="A1224" s="315"/>
      <c r="B1224" s="315"/>
      <c r="C1224" s="315"/>
      <c r="D1224" s="315"/>
      <c r="E1224" s="315"/>
      <c r="F1224" s="315"/>
      <c r="G1224" s="315"/>
      <c r="H1224" s="315"/>
      <c r="I1224" s="315"/>
      <c r="J1224" s="315"/>
      <c r="K1224" s="315"/>
      <c r="L1224" s="315"/>
    </row>
    <row r="1225" spans="1:12">
      <c r="A1225" s="315"/>
      <c r="B1225" s="315"/>
      <c r="C1225" s="315"/>
      <c r="D1225" s="315"/>
      <c r="E1225" s="315"/>
      <c r="F1225" s="315"/>
      <c r="G1225" s="315"/>
      <c r="H1225" s="315"/>
      <c r="I1225" s="315"/>
      <c r="J1225" s="315"/>
      <c r="K1225" s="315"/>
      <c r="L1225" s="315"/>
    </row>
    <row r="1226" spans="1:12">
      <c r="A1226" s="315"/>
      <c r="B1226" s="315"/>
      <c r="C1226" s="315"/>
      <c r="D1226" s="315"/>
      <c r="E1226" s="315"/>
      <c r="F1226" s="315"/>
      <c r="G1226" s="315"/>
      <c r="H1226" s="315"/>
      <c r="I1226" s="315"/>
      <c r="J1226" s="315"/>
      <c r="K1226" s="315"/>
      <c r="L1226" s="315"/>
    </row>
    <row r="1227" spans="1:12">
      <c r="A1227" s="315"/>
      <c r="B1227" s="315"/>
      <c r="C1227" s="315"/>
      <c r="D1227" s="315"/>
      <c r="E1227" s="315"/>
      <c r="F1227" s="315"/>
      <c r="G1227" s="315"/>
      <c r="H1227" s="315"/>
      <c r="I1227" s="315"/>
      <c r="J1227" s="315"/>
      <c r="K1227" s="315"/>
      <c r="L1227" s="315"/>
    </row>
    <row r="1228" spans="1:12">
      <c r="A1228" s="315"/>
      <c r="B1228" s="315"/>
      <c r="C1228" s="315"/>
      <c r="D1228" s="315"/>
      <c r="E1228" s="315"/>
      <c r="F1228" s="315"/>
      <c r="G1228" s="315"/>
      <c r="H1228" s="315"/>
      <c r="I1228" s="315"/>
      <c r="J1228" s="315"/>
      <c r="K1228" s="315"/>
      <c r="L1228" s="315"/>
    </row>
    <row r="1229" spans="1:12">
      <c r="A1229" s="315"/>
      <c r="B1229" s="315"/>
      <c r="C1229" s="315"/>
      <c r="D1229" s="315"/>
      <c r="E1229" s="315"/>
      <c r="F1229" s="315"/>
      <c r="G1229" s="315"/>
      <c r="H1229" s="315"/>
      <c r="I1229" s="315"/>
      <c r="J1229" s="315"/>
      <c r="K1229" s="315"/>
      <c r="L1229" s="315"/>
    </row>
    <row r="1230" spans="1:12">
      <c r="A1230" s="315"/>
      <c r="B1230" s="315"/>
      <c r="C1230" s="315"/>
      <c r="D1230" s="315"/>
      <c r="E1230" s="315"/>
      <c r="F1230" s="315"/>
      <c r="G1230" s="315"/>
      <c r="H1230" s="315"/>
      <c r="I1230" s="315"/>
      <c r="J1230" s="315"/>
      <c r="K1230" s="315"/>
      <c r="L1230" s="315"/>
    </row>
    <row r="1231" spans="1:12">
      <c r="A1231" s="315"/>
      <c r="B1231" s="315"/>
      <c r="C1231" s="315"/>
      <c r="D1231" s="315"/>
      <c r="E1231" s="315"/>
      <c r="F1231" s="315"/>
      <c r="G1231" s="315"/>
      <c r="H1231" s="315"/>
      <c r="I1231" s="315"/>
      <c r="J1231" s="315"/>
      <c r="K1231" s="315"/>
      <c r="L1231" s="315"/>
    </row>
    <row r="1232" spans="1:12">
      <c r="A1232" s="315"/>
      <c r="B1232" s="315"/>
      <c r="C1232" s="315"/>
      <c r="D1232" s="315"/>
      <c r="E1232" s="315"/>
      <c r="F1232" s="315"/>
      <c r="G1232" s="315"/>
      <c r="H1232" s="315"/>
      <c r="I1232" s="315"/>
      <c r="J1232" s="315"/>
      <c r="K1232" s="315"/>
      <c r="L1232" s="315"/>
    </row>
    <row r="1233" spans="1:12">
      <c r="A1233" s="315"/>
      <c r="B1233" s="315"/>
      <c r="C1233" s="315"/>
      <c r="D1233" s="315"/>
      <c r="E1233" s="315"/>
      <c r="F1233" s="315"/>
      <c r="G1233" s="315"/>
      <c r="H1233" s="315"/>
      <c r="I1233" s="315"/>
      <c r="J1233" s="315"/>
      <c r="K1233" s="315"/>
      <c r="L1233" s="315"/>
    </row>
    <row r="1234" spans="1:12">
      <c r="A1234" s="315"/>
      <c r="B1234" s="315"/>
      <c r="C1234" s="315"/>
      <c r="D1234" s="315"/>
      <c r="E1234" s="315"/>
      <c r="F1234" s="315"/>
      <c r="G1234" s="315"/>
      <c r="H1234" s="315"/>
      <c r="I1234" s="315"/>
      <c r="J1234" s="315"/>
      <c r="K1234" s="315"/>
      <c r="L1234" s="315"/>
    </row>
    <row r="1235" spans="1:12">
      <c r="A1235" s="315"/>
      <c r="B1235" s="315"/>
      <c r="C1235" s="315"/>
      <c r="D1235" s="315"/>
      <c r="E1235" s="315"/>
      <c r="F1235" s="315"/>
      <c r="G1235" s="315"/>
      <c r="H1235" s="315"/>
      <c r="I1235" s="315"/>
      <c r="J1235" s="315"/>
      <c r="K1235" s="315"/>
      <c r="L1235" s="315"/>
    </row>
    <row r="1236" spans="1:12">
      <c r="A1236" s="315"/>
      <c r="B1236" s="315"/>
      <c r="C1236" s="315"/>
      <c r="D1236" s="315"/>
      <c r="E1236" s="315"/>
      <c r="F1236" s="315"/>
      <c r="G1236" s="315"/>
      <c r="H1236" s="315"/>
      <c r="I1236" s="315"/>
      <c r="J1236" s="315"/>
      <c r="K1236" s="315"/>
      <c r="L1236" s="315"/>
    </row>
    <row r="1237" spans="1:12">
      <c r="A1237" s="315"/>
      <c r="B1237" s="315"/>
      <c r="C1237" s="315"/>
      <c r="D1237" s="315"/>
      <c r="E1237" s="315"/>
      <c r="F1237" s="315"/>
      <c r="G1237" s="315"/>
      <c r="H1237" s="315"/>
      <c r="I1237" s="315"/>
      <c r="J1237" s="315"/>
      <c r="K1237" s="315"/>
      <c r="L1237" s="315"/>
    </row>
    <row r="1238" spans="1:12">
      <c r="A1238" s="315"/>
      <c r="B1238" s="315"/>
      <c r="C1238" s="315"/>
      <c r="D1238" s="315"/>
      <c r="E1238" s="315"/>
      <c r="F1238" s="315"/>
      <c r="G1238" s="315"/>
      <c r="H1238" s="315"/>
      <c r="I1238" s="315"/>
      <c r="J1238" s="315"/>
      <c r="K1238" s="315"/>
      <c r="L1238" s="315"/>
    </row>
    <row r="1239" spans="1:12">
      <c r="A1239" s="315"/>
      <c r="B1239" s="315"/>
      <c r="C1239" s="315"/>
      <c r="D1239" s="315"/>
      <c r="E1239" s="315"/>
      <c r="F1239" s="315"/>
      <c r="G1239" s="315"/>
      <c r="H1239" s="315"/>
      <c r="I1239" s="315"/>
      <c r="J1239" s="315"/>
      <c r="K1239" s="315"/>
      <c r="L1239" s="315"/>
    </row>
    <row r="1240" spans="1:12">
      <c r="A1240" s="315"/>
      <c r="B1240" s="315"/>
      <c r="C1240" s="315"/>
      <c r="D1240" s="315"/>
      <c r="E1240" s="315"/>
      <c r="F1240" s="315"/>
      <c r="G1240" s="315"/>
      <c r="H1240" s="315"/>
      <c r="I1240" s="315"/>
      <c r="J1240" s="315"/>
      <c r="K1240" s="315"/>
      <c r="L1240" s="315"/>
    </row>
    <row r="1241" spans="1:12">
      <c r="A1241" s="315"/>
      <c r="B1241" s="315"/>
      <c r="C1241" s="315"/>
      <c r="D1241" s="315"/>
      <c r="E1241" s="315"/>
      <c r="F1241" s="315"/>
      <c r="G1241" s="315"/>
      <c r="H1241" s="315"/>
      <c r="I1241" s="315"/>
      <c r="J1241" s="315"/>
      <c r="K1241" s="315"/>
      <c r="L1241" s="315"/>
    </row>
    <row r="1242" spans="1:12">
      <c r="A1242" s="315"/>
      <c r="B1242" s="315"/>
      <c r="C1242" s="315"/>
      <c r="D1242" s="315"/>
      <c r="E1242" s="315"/>
      <c r="F1242" s="315"/>
      <c r="G1242" s="315"/>
      <c r="H1242" s="315"/>
      <c r="I1242" s="315"/>
      <c r="J1242" s="315"/>
      <c r="K1242" s="315"/>
      <c r="L1242" s="315"/>
    </row>
    <row r="1243" spans="1:12">
      <c r="A1243" s="315"/>
      <c r="B1243" s="315"/>
      <c r="C1243" s="315"/>
      <c r="D1243" s="315"/>
      <c r="E1243" s="315"/>
      <c r="F1243" s="315"/>
      <c r="G1243" s="315"/>
      <c r="H1243" s="315"/>
      <c r="I1243" s="315"/>
      <c r="J1243" s="315"/>
      <c r="K1243" s="315"/>
      <c r="L1243" s="315"/>
    </row>
    <row r="1244" spans="1:12">
      <c r="A1244" s="315"/>
      <c r="B1244" s="315"/>
      <c r="C1244" s="315"/>
      <c r="D1244" s="315"/>
      <c r="E1244" s="315"/>
      <c r="F1244" s="315"/>
      <c r="G1244" s="315"/>
      <c r="H1244" s="315"/>
      <c r="I1244" s="315"/>
      <c r="J1244" s="315"/>
      <c r="K1244" s="315"/>
      <c r="L1244" s="315"/>
    </row>
    <row r="1245" spans="1:12">
      <c r="A1245" s="315"/>
      <c r="B1245" s="315"/>
      <c r="C1245" s="315"/>
      <c r="D1245" s="315"/>
      <c r="E1245" s="315"/>
      <c r="F1245" s="315"/>
      <c r="G1245" s="315"/>
      <c r="H1245" s="315"/>
      <c r="I1245" s="315"/>
      <c r="J1245" s="315"/>
      <c r="K1245" s="315"/>
      <c r="L1245" s="315"/>
    </row>
    <row r="1246" spans="1:12">
      <c r="A1246" s="315"/>
      <c r="B1246" s="315"/>
      <c r="C1246" s="315"/>
      <c r="D1246" s="315"/>
      <c r="E1246" s="315"/>
      <c r="F1246" s="315"/>
      <c r="G1246" s="315"/>
      <c r="H1246" s="315"/>
      <c r="I1246" s="315"/>
      <c r="J1246" s="315"/>
      <c r="K1246" s="315"/>
      <c r="L1246" s="315"/>
    </row>
    <row r="1247" spans="1:12">
      <c r="A1247" s="315"/>
      <c r="B1247" s="315"/>
      <c r="C1247" s="315"/>
      <c r="D1247" s="315"/>
      <c r="E1247" s="315"/>
      <c r="F1247" s="315"/>
      <c r="G1247" s="315"/>
      <c r="H1247" s="315"/>
      <c r="I1247" s="315"/>
      <c r="J1247" s="315"/>
      <c r="K1247" s="315"/>
      <c r="L1247" s="315"/>
    </row>
    <row r="1248" spans="1:12">
      <c r="A1248" s="315"/>
      <c r="B1248" s="315"/>
      <c r="C1248" s="315"/>
      <c r="D1248" s="315"/>
      <c r="E1248" s="315"/>
      <c r="F1248" s="315"/>
      <c r="G1248" s="315"/>
      <c r="H1248" s="315"/>
      <c r="I1248" s="315"/>
      <c r="J1248" s="315"/>
      <c r="K1248" s="315"/>
      <c r="L1248" s="315"/>
    </row>
    <row r="1249" spans="1:12">
      <c r="A1249" s="315"/>
      <c r="B1249" s="315"/>
      <c r="C1249" s="315"/>
      <c r="D1249" s="315"/>
      <c r="E1249" s="315"/>
      <c r="F1249" s="315"/>
      <c r="G1249" s="315"/>
      <c r="H1249" s="315"/>
      <c r="I1249" s="315"/>
      <c r="J1249" s="315"/>
      <c r="K1249" s="315"/>
      <c r="L1249" s="315"/>
    </row>
    <row r="1250" spans="1:12">
      <c r="A1250" s="315"/>
      <c r="B1250" s="315"/>
      <c r="C1250" s="315"/>
      <c r="D1250" s="315"/>
      <c r="E1250" s="315"/>
      <c r="F1250" s="315"/>
      <c r="G1250" s="315"/>
      <c r="H1250" s="315"/>
      <c r="I1250" s="315"/>
      <c r="J1250" s="315"/>
      <c r="K1250" s="315"/>
      <c r="L1250" s="315"/>
    </row>
    <row r="1251" spans="1:12">
      <c r="A1251" s="315"/>
      <c r="B1251" s="315"/>
      <c r="C1251" s="315"/>
      <c r="D1251" s="315"/>
      <c r="E1251" s="315"/>
      <c r="F1251" s="315"/>
      <c r="G1251" s="315"/>
      <c r="H1251" s="315"/>
      <c r="I1251" s="315"/>
      <c r="J1251" s="315"/>
      <c r="K1251" s="315"/>
      <c r="L1251" s="315"/>
    </row>
    <row r="1252" spans="1:12">
      <c r="A1252" s="315"/>
      <c r="B1252" s="315"/>
      <c r="C1252" s="315"/>
      <c r="D1252" s="315"/>
      <c r="E1252" s="315"/>
      <c r="F1252" s="315"/>
      <c r="G1252" s="315"/>
      <c r="H1252" s="315"/>
      <c r="I1252" s="315"/>
      <c r="J1252" s="315"/>
      <c r="K1252" s="315"/>
      <c r="L1252" s="315"/>
    </row>
    <row r="1253" spans="1:12">
      <c r="A1253" s="315"/>
      <c r="B1253" s="315"/>
      <c r="C1253" s="315"/>
      <c r="D1253" s="315"/>
      <c r="E1253" s="315"/>
      <c r="F1253" s="315"/>
      <c r="G1253" s="315"/>
      <c r="H1253" s="315"/>
      <c r="I1253" s="315"/>
      <c r="J1253" s="315"/>
      <c r="K1253" s="315"/>
      <c r="L1253" s="315"/>
    </row>
    <row r="1254" spans="1:12">
      <c r="A1254" s="315"/>
      <c r="B1254" s="315"/>
      <c r="C1254" s="315"/>
      <c r="D1254" s="315"/>
      <c r="E1254" s="315"/>
      <c r="F1254" s="315"/>
      <c r="G1254" s="315"/>
      <c r="H1254" s="315"/>
      <c r="I1254" s="315"/>
      <c r="J1254" s="315"/>
      <c r="K1254" s="315"/>
      <c r="L1254" s="315"/>
    </row>
    <row r="1255" spans="1:12">
      <c r="A1255" s="315"/>
      <c r="B1255" s="315"/>
      <c r="C1255" s="315"/>
      <c r="D1255" s="315"/>
      <c r="E1255" s="315"/>
      <c r="F1255" s="315"/>
      <c r="G1255" s="315"/>
      <c r="H1255" s="315"/>
      <c r="I1255" s="315"/>
      <c r="J1255" s="315"/>
      <c r="K1255" s="315"/>
      <c r="L1255" s="315"/>
    </row>
    <row r="1256" spans="1:12">
      <c r="A1256" s="315"/>
      <c r="B1256" s="315"/>
      <c r="C1256" s="315"/>
      <c r="D1256" s="315"/>
      <c r="E1256" s="315"/>
      <c r="F1256" s="315"/>
      <c r="G1256" s="315"/>
      <c r="H1256" s="315"/>
      <c r="I1256" s="315"/>
      <c r="J1256" s="315"/>
      <c r="K1256" s="315"/>
      <c r="L1256" s="315"/>
    </row>
    <row r="1257" spans="1:12">
      <c r="A1257" s="315"/>
      <c r="B1257" s="315"/>
      <c r="C1257" s="315"/>
      <c r="D1257" s="315"/>
      <c r="E1257" s="315"/>
      <c r="F1257" s="315"/>
      <c r="G1257" s="315"/>
      <c r="H1257" s="315"/>
      <c r="I1257" s="315"/>
      <c r="J1257" s="315"/>
      <c r="K1257" s="315"/>
      <c r="L1257" s="315"/>
    </row>
    <row r="1258" spans="1:12">
      <c r="A1258" s="315"/>
      <c r="B1258" s="315"/>
      <c r="C1258" s="315"/>
      <c r="D1258" s="315"/>
      <c r="E1258" s="315"/>
      <c r="F1258" s="315"/>
      <c r="G1258" s="315"/>
      <c r="H1258" s="315"/>
      <c r="I1258" s="315"/>
      <c r="J1258" s="315"/>
      <c r="K1258" s="315"/>
      <c r="L1258" s="315"/>
    </row>
    <row r="1259" spans="1:12">
      <c r="A1259" s="315"/>
      <c r="B1259" s="315"/>
      <c r="C1259" s="315"/>
      <c r="D1259" s="315"/>
      <c r="E1259" s="315"/>
      <c r="F1259" s="315"/>
      <c r="G1259" s="315"/>
      <c r="H1259" s="315"/>
      <c r="I1259" s="315"/>
      <c r="J1259" s="315"/>
      <c r="K1259" s="315"/>
      <c r="L1259" s="315"/>
    </row>
    <row r="1260" spans="1:12">
      <c r="A1260" s="315"/>
      <c r="B1260" s="315"/>
      <c r="C1260" s="315"/>
      <c r="D1260" s="315"/>
      <c r="E1260" s="315"/>
      <c r="F1260" s="315"/>
      <c r="G1260" s="315"/>
      <c r="H1260" s="315"/>
      <c r="I1260" s="315"/>
      <c r="J1260" s="315"/>
      <c r="K1260" s="315"/>
      <c r="L1260" s="315"/>
    </row>
    <row r="1261" spans="1:12">
      <c r="A1261" s="315"/>
      <c r="B1261" s="315"/>
      <c r="C1261" s="315"/>
      <c r="D1261" s="315"/>
      <c r="E1261" s="315"/>
      <c r="F1261" s="315"/>
      <c r="G1261" s="315"/>
      <c r="H1261" s="315"/>
      <c r="I1261" s="315"/>
      <c r="J1261" s="315"/>
      <c r="K1261" s="315"/>
      <c r="L1261" s="315"/>
    </row>
    <row r="1262" spans="1:12">
      <c r="A1262" s="315"/>
      <c r="B1262" s="315"/>
      <c r="C1262" s="315"/>
      <c r="D1262" s="315"/>
      <c r="E1262" s="315"/>
      <c r="F1262" s="315"/>
      <c r="G1262" s="315"/>
      <c r="H1262" s="315"/>
      <c r="I1262" s="315"/>
      <c r="J1262" s="315"/>
      <c r="K1262" s="315"/>
      <c r="L1262" s="315"/>
    </row>
    <row r="1263" spans="1:12">
      <c r="A1263" s="315"/>
      <c r="B1263" s="315"/>
      <c r="C1263" s="315"/>
      <c r="D1263" s="315"/>
      <c r="E1263" s="315"/>
      <c r="F1263" s="315"/>
      <c r="G1263" s="315"/>
      <c r="H1263" s="315"/>
      <c r="I1263" s="315"/>
      <c r="J1263" s="315"/>
      <c r="K1263" s="315"/>
      <c r="L1263" s="315"/>
    </row>
    <row r="1264" spans="1:12">
      <c r="A1264" s="315"/>
      <c r="B1264" s="315"/>
      <c r="C1264" s="315"/>
      <c r="D1264" s="315"/>
      <c r="E1264" s="315"/>
      <c r="F1264" s="315"/>
      <c r="G1264" s="315"/>
      <c r="H1264" s="315"/>
      <c r="I1264" s="315"/>
      <c r="J1264" s="315"/>
      <c r="K1264" s="315"/>
      <c r="L1264" s="315"/>
    </row>
    <row r="1265" spans="1:12">
      <c r="A1265" s="315"/>
      <c r="B1265" s="315"/>
      <c r="C1265" s="315"/>
      <c r="D1265" s="315"/>
      <c r="E1265" s="315"/>
      <c r="F1265" s="315"/>
      <c r="G1265" s="315"/>
      <c r="H1265" s="315"/>
      <c r="I1265" s="315"/>
      <c r="J1265" s="315"/>
      <c r="K1265" s="315"/>
      <c r="L1265" s="315"/>
    </row>
    <row r="1266" spans="1:12">
      <c r="A1266" s="315"/>
      <c r="B1266" s="315"/>
      <c r="C1266" s="315"/>
      <c r="D1266" s="315"/>
      <c r="E1266" s="315"/>
      <c r="F1266" s="315"/>
      <c r="G1266" s="315"/>
      <c r="H1266" s="315"/>
      <c r="I1266" s="315"/>
      <c r="J1266" s="315"/>
      <c r="K1266" s="315"/>
      <c r="L1266" s="315"/>
    </row>
    <row r="1267" spans="1:12">
      <c r="A1267" s="315"/>
      <c r="B1267" s="315"/>
      <c r="C1267" s="315"/>
      <c r="D1267" s="315"/>
      <c r="E1267" s="315"/>
      <c r="F1267" s="315"/>
      <c r="G1267" s="315"/>
      <c r="H1267" s="315"/>
      <c r="I1267" s="315"/>
      <c r="J1267" s="315"/>
      <c r="K1267" s="315"/>
      <c r="L1267" s="315"/>
    </row>
    <row r="1268" spans="1:12">
      <c r="A1268" s="315"/>
      <c r="B1268" s="315"/>
      <c r="C1268" s="315"/>
      <c r="D1268" s="315"/>
      <c r="E1268" s="315"/>
      <c r="F1268" s="315"/>
      <c r="G1268" s="315"/>
      <c r="H1268" s="315"/>
      <c r="I1268" s="315"/>
      <c r="J1268" s="315"/>
      <c r="K1268" s="315"/>
      <c r="L1268" s="315"/>
    </row>
    <row r="1269" spans="1:12">
      <c r="A1269" s="315"/>
      <c r="B1269" s="315"/>
      <c r="C1269" s="315"/>
      <c r="D1269" s="315"/>
      <c r="E1269" s="315"/>
      <c r="F1269" s="315"/>
      <c r="G1269" s="315"/>
      <c r="H1269" s="315"/>
      <c r="I1269" s="315"/>
      <c r="J1269" s="315"/>
      <c r="K1269" s="315"/>
      <c r="L1269" s="315"/>
    </row>
    <row r="1270" spans="1:12">
      <c r="A1270" s="315"/>
      <c r="B1270" s="315"/>
      <c r="C1270" s="315"/>
      <c r="D1270" s="315"/>
      <c r="E1270" s="315"/>
      <c r="F1270" s="315"/>
      <c r="G1270" s="315"/>
      <c r="H1270" s="315"/>
      <c r="I1270" s="315"/>
      <c r="J1270" s="315"/>
      <c r="K1270" s="315"/>
      <c r="L1270" s="315"/>
    </row>
    <row r="1271" spans="1:12">
      <c r="A1271" s="315"/>
      <c r="B1271" s="315"/>
      <c r="C1271" s="315"/>
      <c r="D1271" s="315"/>
      <c r="E1271" s="315"/>
      <c r="F1271" s="315"/>
      <c r="G1271" s="315"/>
      <c r="H1271" s="315"/>
      <c r="I1271" s="315"/>
      <c r="J1271" s="315"/>
      <c r="K1271" s="315"/>
      <c r="L1271" s="315"/>
    </row>
    <row r="1272" spans="1:12">
      <c r="A1272" s="315"/>
      <c r="B1272" s="315"/>
      <c r="C1272" s="315"/>
      <c r="D1272" s="315"/>
      <c r="E1272" s="315"/>
      <c r="F1272" s="315"/>
      <c r="G1272" s="315"/>
      <c r="H1272" s="315"/>
      <c r="I1272" s="315"/>
      <c r="J1272" s="315"/>
      <c r="K1272" s="315"/>
      <c r="L1272" s="315"/>
    </row>
    <row r="1273" spans="1:12">
      <c r="A1273" s="315"/>
      <c r="B1273" s="315"/>
      <c r="C1273" s="315"/>
      <c r="D1273" s="315"/>
      <c r="E1273" s="315"/>
      <c r="F1273" s="315"/>
      <c r="G1273" s="315"/>
      <c r="H1273" s="315"/>
      <c r="I1273" s="315"/>
      <c r="J1273" s="315"/>
      <c r="K1273" s="315"/>
      <c r="L1273" s="315"/>
    </row>
    <row r="1274" spans="1:12">
      <c r="A1274" s="315"/>
      <c r="B1274" s="315"/>
      <c r="C1274" s="315"/>
      <c r="D1274" s="315"/>
      <c r="E1274" s="315"/>
      <c r="F1274" s="315"/>
      <c r="G1274" s="315"/>
      <c r="H1274" s="315"/>
      <c r="I1274" s="315"/>
      <c r="J1274" s="315"/>
      <c r="K1274" s="315"/>
      <c r="L1274" s="315"/>
    </row>
    <row r="1275" spans="1:12">
      <c r="A1275" s="315"/>
      <c r="B1275" s="315"/>
      <c r="C1275" s="315"/>
      <c r="D1275" s="315"/>
      <c r="E1275" s="315"/>
      <c r="F1275" s="315"/>
      <c r="G1275" s="315"/>
      <c r="H1275" s="315"/>
      <c r="I1275" s="315"/>
      <c r="J1275" s="315"/>
      <c r="K1275" s="315"/>
      <c r="L1275" s="315"/>
    </row>
    <row r="1276" spans="1:12">
      <c r="A1276" s="315"/>
      <c r="B1276" s="315"/>
      <c r="C1276" s="315"/>
      <c r="D1276" s="315"/>
      <c r="E1276" s="315"/>
      <c r="F1276" s="315"/>
      <c r="G1276" s="315"/>
      <c r="H1276" s="315"/>
      <c r="I1276" s="315"/>
      <c r="J1276" s="315"/>
      <c r="K1276" s="315"/>
      <c r="L1276" s="315"/>
    </row>
    <row r="1277" spans="1:12">
      <c r="A1277" s="315"/>
      <c r="B1277" s="315"/>
      <c r="C1277" s="315"/>
      <c r="D1277" s="315"/>
      <c r="E1277" s="315"/>
      <c r="F1277" s="315"/>
      <c r="G1277" s="315"/>
      <c r="H1277" s="315"/>
      <c r="I1277" s="315"/>
      <c r="J1277" s="315"/>
      <c r="K1277" s="315"/>
      <c r="L1277" s="315"/>
    </row>
    <row r="1278" spans="1:12">
      <c r="A1278" s="315"/>
      <c r="B1278" s="315"/>
      <c r="C1278" s="315"/>
      <c r="D1278" s="315"/>
      <c r="E1278" s="315"/>
      <c r="F1278" s="315"/>
      <c r="G1278" s="315"/>
      <c r="H1278" s="315"/>
      <c r="I1278" s="315"/>
      <c r="J1278" s="315"/>
      <c r="K1278" s="315"/>
      <c r="L1278" s="315"/>
    </row>
    <row r="1279" spans="1:12">
      <c r="A1279" s="315"/>
      <c r="B1279" s="315"/>
      <c r="C1279" s="315"/>
      <c r="D1279" s="315"/>
      <c r="E1279" s="315"/>
      <c r="F1279" s="315"/>
      <c r="G1279" s="315"/>
      <c r="H1279" s="315"/>
      <c r="I1279" s="315"/>
      <c r="J1279" s="315"/>
      <c r="K1279" s="315"/>
      <c r="L1279" s="315"/>
    </row>
    <row r="1280" spans="1:12">
      <c r="A1280" s="315"/>
      <c r="B1280" s="315"/>
      <c r="C1280" s="315"/>
      <c r="D1280" s="315"/>
      <c r="E1280" s="315"/>
      <c r="F1280" s="315"/>
      <c r="G1280" s="315"/>
      <c r="H1280" s="315"/>
      <c r="I1280" s="315"/>
      <c r="J1280" s="315"/>
      <c r="K1280" s="315"/>
      <c r="L1280" s="315"/>
    </row>
    <row r="1281" spans="1:12">
      <c r="A1281" s="315"/>
      <c r="B1281" s="315"/>
      <c r="C1281" s="315"/>
      <c r="D1281" s="315"/>
      <c r="E1281" s="315"/>
      <c r="F1281" s="315"/>
      <c r="G1281" s="315"/>
      <c r="H1281" s="315"/>
      <c r="I1281" s="315"/>
      <c r="J1281" s="315"/>
      <c r="K1281" s="315"/>
      <c r="L1281" s="315"/>
    </row>
    <row r="1282" spans="1:12">
      <c r="A1282" s="315"/>
      <c r="B1282" s="315"/>
      <c r="C1282" s="315"/>
      <c r="D1282" s="315"/>
      <c r="E1282" s="315"/>
      <c r="F1282" s="315"/>
      <c r="G1282" s="315"/>
      <c r="H1282" s="315"/>
      <c r="I1282" s="315"/>
      <c r="J1282" s="315"/>
      <c r="K1282" s="315"/>
      <c r="L1282" s="315"/>
    </row>
    <row r="1283" spans="1:12">
      <c r="A1283" s="315"/>
      <c r="B1283" s="315"/>
      <c r="C1283" s="315"/>
      <c r="D1283" s="315"/>
      <c r="E1283" s="315"/>
      <c r="F1283" s="315"/>
      <c r="G1283" s="315"/>
      <c r="H1283" s="315"/>
      <c r="I1283" s="315"/>
      <c r="J1283" s="315"/>
      <c r="K1283" s="315"/>
      <c r="L1283" s="315"/>
    </row>
    <row r="1284" spans="1:12">
      <c r="A1284" s="315"/>
      <c r="B1284" s="315"/>
      <c r="C1284" s="315"/>
      <c r="D1284" s="315"/>
      <c r="E1284" s="315"/>
      <c r="F1284" s="315"/>
      <c r="G1284" s="315"/>
      <c r="H1284" s="315"/>
      <c r="I1284" s="315"/>
      <c r="J1284" s="315"/>
      <c r="K1284" s="315"/>
      <c r="L1284" s="315"/>
    </row>
    <row r="1285" spans="1:12">
      <c r="A1285" s="315"/>
      <c r="B1285" s="315"/>
      <c r="C1285" s="315"/>
      <c r="D1285" s="315"/>
      <c r="E1285" s="315"/>
      <c r="F1285" s="315"/>
      <c r="G1285" s="315"/>
      <c r="H1285" s="315"/>
      <c r="I1285" s="315"/>
      <c r="J1285" s="315"/>
      <c r="K1285" s="315"/>
      <c r="L1285" s="315"/>
    </row>
    <row r="1286" spans="1:12">
      <c r="A1286" s="315"/>
      <c r="B1286" s="315"/>
      <c r="C1286" s="315"/>
      <c r="D1286" s="315"/>
      <c r="E1286" s="315"/>
      <c r="F1286" s="315"/>
      <c r="G1286" s="315"/>
      <c r="H1286" s="315"/>
      <c r="I1286" s="315"/>
      <c r="J1286" s="315"/>
      <c r="K1286" s="315"/>
      <c r="L1286" s="315"/>
    </row>
    <row r="1287" spans="1:12">
      <c r="A1287" s="315"/>
      <c r="B1287" s="315"/>
      <c r="C1287" s="315"/>
      <c r="D1287" s="315"/>
      <c r="E1287" s="315"/>
      <c r="F1287" s="315"/>
      <c r="G1287" s="315"/>
      <c r="H1287" s="315"/>
      <c r="I1287" s="315"/>
      <c r="J1287" s="315"/>
      <c r="K1287" s="315"/>
      <c r="L1287" s="315"/>
    </row>
    <row r="1288" spans="1:12">
      <c r="A1288" s="315"/>
      <c r="B1288" s="315"/>
      <c r="C1288" s="315"/>
      <c r="D1288" s="315"/>
      <c r="E1288" s="315"/>
      <c r="F1288" s="315"/>
      <c r="G1288" s="315"/>
      <c r="H1288" s="315"/>
      <c r="I1288" s="315"/>
      <c r="J1288" s="315"/>
      <c r="K1288" s="315"/>
      <c r="L1288" s="315"/>
    </row>
    <row r="1289" spans="1:12">
      <c r="A1289" s="315"/>
      <c r="B1289" s="315"/>
      <c r="C1289" s="315"/>
      <c r="D1289" s="315"/>
      <c r="E1289" s="315"/>
      <c r="F1289" s="315"/>
      <c r="G1289" s="315"/>
      <c r="H1289" s="315"/>
      <c r="I1289" s="315"/>
      <c r="J1289" s="315"/>
      <c r="K1289" s="315"/>
      <c r="L1289" s="315"/>
    </row>
    <row r="1290" spans="1:12">
      <c r="A1290" s="315"/>
      <c r="B1290" s="315"/>
      <c r="C1290" s="315"/>
      <c r="D1290" s="315"/>
      <c r="E1290" s="315"/>
      <c r="F1290" s="315"/>
      <c r="G1290" s="315"/>
      <c r="H1290" s="315"/>
      <c r="I1290" s="315"/>
      <c r="J1290" s="315"/>
      <c r="K1290" s="315"/>
      <c r="L1290" s="315"/>
    </row>
    <row r="1291" spans="1:12">
      <c r="A1291" s="315"/>
      <c r="B1291" s="315"/>
      <c r="C1291" s="315"/>
      <c r="D1291" s="315"/>
      <c r="E1291" s="315"/>
      <c r="F1291" s="315"/>
      <c r="G1291" s="315"/>
      <c r="H1291" s="315"/>
      <c r="I1291" s="315"/>
      <c r="J1291" s="315"/>
      <c r="K1291" s="315"/>
      <c r="L1291" s="315"/>
    </row>
    <row r="1292" spans="1:12">
      <c r="A1292" s="315"/>
      <c r="B1292" s="315"/>
      <c r="C1292" s="315"/>
      <c r="D1292" s="315"/>
      <c r="E1292" s="315"/>
      <c r="F1292" s="315"/>
      <c r="G1292" s="315"/>
      <c r="H1292" s="315"/>
      <c r="I1292" s="315"/>
      <c r="J1292" s="315"/>
      <c r="K1292" s="315"/>
      <c r="L1292" s="315"/>
    </row>
    <row r="1293" spans="1:12">
      <c r="A1293" s="315"/>
      <c r="B1293" s="315"/>
      <c r="C1293" s="315"/>
      <c r="D1293" s="315"/>
      <c r="E1293" s="315"/>
      <c r="F1293" s="315"/>
      <c r="G1293" s="315"/>
      <c r="H1293" s="315"/>
      <c r="I1293" s="315"/>
      <c r="J1293" s="315"/>
      <c r="K1293" s="315"/>
      <c r="L1293" s="315"/>
    </row>
    <row r="1294" spans="1:12">
      <c r="A1294" s="315"/>
      <c r="B1294" s="315"/>
      <c r="C1294" s="315"/>
      <c r="D1294" s="315"/>
      <c r="E1294" s="315"/>
      <c r="F1294" s="315"/>
      <c r="G1294" s="315"/>
      <c r="H1294" s="315"/>
      <c r="I1294" s="315"/>
      <c r="J1294" s="315"/>
      <c r="K1294" s="315"/>
      <c r="L1294" s="315"/>
    </row>
    <row r="1295" spans="1:12">
      <c r="A1295" s="315"/>
      <c r="B1295" s="315"/>
      <c r="C1295" s="315"/>
      <c r="D1295" s="315"/>
      <c r="E1295" s="315"/>
      <c r="F1295" s="315"/>
      <c r="G1295" s="315"/>
      <c r="H1295" s="315"/>
      <c r="I1295" s="315"/>
      <c r="J1295" s="315"/>
      <c r="K1295" s="315"/>
      <c r="L1295" s="315"/>
    </row>
    <row r="1296" spans="1:12">
      <c r="A1296" s="315"/>
      <c r="B1296" s="315"/>
      <c r="C1296" s="315"/>
      <c r="D1296" s="315"/>
      <c r="E1296" s="315"/>
      <c r="F1296" s="315"/>
      <c r="G1296" s="315"/>
      <c r="H1296" s="315"/>
      <c r="I1296" s="315"/>
      <c r="J1296" s="315"/>
      <c r="K1296" s="315"/>
      <c r="L1296" s="315"/>
    </row>
    <row r="1297" spans="1:12">
      <c r="A1297" s="315"/>
      <c r="B1297" s="315"/>
      <c r="C1297" s="315"/>
      <c r="D1297" s="315"/>
      <c r="E1297" s="315"/>
      <c r="F1297" s="315"/>
      <c r="G1297" s="315"/>
      <c r="H1297" s="315"/>
      <c r="I1297" s="315"/>
      <c r="J1297" s="315"/>
      <c r="K1297" s="315"/>
      <c r="L1297" s="315"/>
    </row>
    <row r="1298" spans="1:12">
      <c r="A1298" s="315"/>
      <c r="B1298" s="315"/>
      <c r="C1298" s="315"/>
      <c r="D1298" s="315"/>
      <c r="E1298" s="315"/>
      <c r="F1298" s="315"/>
      <c r="G1298" s="315"/>
      <c r="H1298" s="315"/>
      <c r="I1298" s="315"/>
      <c r="J1298" s="315"/>
      <c r="K1298" s="315"/>
      <c r="L1298" s="315"/>
    </row>
    <row r="1299" spans="1:12">
      <c r="A1299" s="315"/>
      <c r="B1299" s="315"/>
      <c r="C1299" s="315"/>
      <c r="D1299" s="315"/>
      <c r="E1299" s="315"/>
      <c r="F1299" s="315"/>
      <c r="G1299" s="315"/>
      <c r="H1299" s="315"/>
      <c r="I1299" s="315"/>
      <c r="J1299" s="315"/>
      <c r="K1299" s="315"/>
      <c r="L1299" s="315"/>
    </row>
    <row r="1300" spans="1:12">
      <c r="A1300" s="315"/>
      <c r="B1300" s="315"/>
      <c r="C1300" s="315"/>
      <c r="D1300" s="315"/>
      <c r="E1300" s="315"/>
      <c r="F1300" s="315"/>
      <c r="G1300" s="315"/>
      <c r="H1300" s="315"/>
      <c r="I1300" s="315"/>
      <c r="J1300" s="315"/>
      <c r="K1300" s="315"/>
      <c r="L1300" s="315"/>
    </row>
    <row r="1301" spans="1:12">
      <c r="A1301" s="315"/>
      <c r="B1301" s="315"/>
      <c r="C1301" s="315"/>
      <c r="D1301" s="315"/>
      <c r="E1301" s="315"/>
      <c r="F1301" s="315"/>
      <c r="G1301" s="315"/>
      <c r="H1301" s="315"/>
      <c r="I1301" s="315"/>
      <c r="J1301" s="315"/>
      <c r="K1301" s="315"/>
      <c r="L1301" s="315"/>
    </row>
    <row r="1302" spans="1:12">
      <c r="A1302" s="315"/>
      <c r="B1302" s="315"/>
      <c r="C1302" s="315"/>
      <c r="D1302" s="315"/>
      <c r="E1302" s="315"/>
      <c r="F1302" s="315"/>
      <c r="G1302" s="315"/>
      <c r="H1302" s="315"/>
      <c r="I1302" s="315"/>
      <c r="J1302" s="315"/>
      <c r="K1302" s="315"/>
      <c r="L1302" s="315"/>
    </row>
    <row r="1303" spans="1:12">
      <c r="A1303" s="315"/>
      <c r="B1303" s="315"/>
      <c r="C1303" s="315"/>
      <c r="D1303" s="315"/>
      <c r="E1303" s="315"/>
      <c r="F1303" s="315"/>
      <c r="G1303" s="315"/>
      <c r="H1303" s="315"/>
      <c r="I1303" s="315"/>
      <c r="J1303" s="315"/>
      <c r="K1303" s="315"/>
      <c r="L1303" s="315"/>
    </row>
    <row r="1304" spans="1:12">
      <c r="A1304" s="315"/>
      <c r="B1304" s="315"/>
      <c r="C1304" s="315"/>
      <c r="D1304" s="315"/>
      <c r="E1304" s="315"/>
      <c r="F1304" s="315"/>
      <c r="G1304" s="315"/>
      <c r="H1304" s="315"/>
      <c r="I1304" s="315"/>
      <c r="J1304" s="315"/>
      <c r="K1304" s="315"/>
      <c r="L1304" s="315"/>
    </row>
    <row r="1305" spans="1:12">
      <c r="A1305" s="315"/>
      <c r="B1305" s="315"/>
      <c r="C1305" s="315"/>
      <c r="D1305" s="315"/>
      <c r="E1305" s="315"/>
      <c r="F1305" s="315"/>
      <c r="G1305" s="315"/>
      <c r="H1305" s="315"/>
      <c r="I1305" s="315"/>
      <c r="J1305" s="315"/>
      <c r="K1305" s="315"/>
      <c r="L1305" s="315"/>
    </row>
    <row r="1306" spans="1:12">
      <c r="A1306" s="315"/>
      <c r="B1306" s="315"/>
      <c r="C1306" s="315"/>
      <c r="D1306" s="315"/>
      <c r="E1306" s="315"/>
      <c r="F1306" s="315"/>
      <c r="G1306" s="315"/>
      <c r="H1306" s="315"/>
      <c r="I1306" s="315"/>
      <c r="J1306" s="315"/>
      <c r="K1306" s="315"/>
      <c r="L1306" s="315"/>
    </row>
    <row r="1307" spans="1:12">
      <c r="A1307" s="315"/>
      <c r="B1307" s="315"/>
      <c r="C1307" s="315"/>
      <c r="D1307" s="315"/>
      <c r="E1307" s="315"/>
      <c r="F1307" s="315"/>
      <c r="G1307" s="315"/>
      <c r="H1307" s="315"/>
      <c r="I1307" s="315"/>
      <c r="J1307" s="315"/>
      <c r="K1307" s="315"/>
      <c r="L1307" s="315"/>
    </row>
    <row r="1308" spans="1:12">
      <c r="A1308" s="315"/>
      <c r="B1308" s="315"/>
      <c r="C1308" s="315"/>
      <c r="D1308" s="315"/>
      <c r="E1308" s="315"/>
      <c r="F1308" s="315"/>
      <c r="G1308" s="315"/>
      <c r="H1308" s="315"/>
      <c r="I1308" s="315"/>
      <c r="J1308" s="315"/>
      <c r="K1308" s="315"/>
      <c r="L1308" s="315"/>
    </row>
    <row r="1309" spans="1:12">
      <c r="A1309" s="315"/>
      <c r="B1309" s="315"/>
      <c r="C1309" s="315"/>
      <c r="D1309" s="315"/>
      <c r="E1309" s="315"/>
      <c r="F1309" s="315"/>
      <c r="G1309" s="315"/>
      <c r="H1309" s="315"/>
      <c r="I1309" s="315"/>
      <c r="J1309" s="315"/>
      <c r="K1309" s="315"/>
      <c r="L1309" s="315"/>
    </row>
    <row r="1310" spans="1:12">
      <c r="A1310" s="315"/>
      <c r="B1310" s="315"/>
      <c r="C1310" s="315"/>
      <c r="D1310" s="315"/>
      <c r="E1310" s="315"/>
      <c r="F1310" s="315"/>
      <c r="G1310" s="315"/>
      <c r="H1310" s="315"/>
      <c r="I1310" s="315"/>
      <c r="J1310" s="315"/>
      <c r="K1310" s="315"/>
      <c r="L1310" s="315"/>
    </row>
    <row r="1311" spans="1:12">
      <c r="A1311" s="315"/>
      <c r="B1311" s="315"/>
      <c r="C1311" s="315"/>
      <c r="D1311" s="315"/>
      <c r="E1311" s="315"/>
      <c r="F1311" s="315"/>
      <c r="G1311" s="315"/>
      <c r="H1311" s="315"/>
      <c r="I1311" s="315"/>
      <c r="J1311" s="315"/>
      <c r="K1311" s="315"/>
      <c r="L1311" s="315"/>
    </row>
    <row r="1312" spans="1:12">
      <c r="A1312" s="315"/>
      <c r="B1312" s="315"/>
      <c r="C1312" s="315"/>
      <c r="D1312" s="315"/>
      <c r="E1312" s="315"/>
      <c r="F1312" s="315"/>
      <c r="G1312" s="315"/>
      <c r="H1312" s="315"/>
      <c r="I1312" s="315"/>
      <c r="J1312" s="315"/>
      <c r="K1312" s="315"/>
      <c r="L1312" s="315"/>
    </row>
    <row r="1313" spans="1:12">
      <c r="A1313" s="315"/>
      <c r="B1313" s="315"/>
      <c r="C1313" s="315"/>
      <c r="D1313" s="315"/>
      <c r="E1313" s="315"/>
      <c r="F1313" s="315"/>
      <c r="G1313" s="315"/>
      <c r="H1313" s="315"/>
      <c r="I1313" s="315"/>
      <c r="J1313" s="315"/>
      <c r="K1313" s="315"/>
      <c r="L1313" s="315"/>
    </row>
    <row r="1314" spans="1:12">
      <c r="A1314" s="315"/>
      <c r="B1314" s="315"/>
      <c r="C1314" s="315"/>
      <c r="D1314" s="315"/>
      <c r="E1314" s="315"/>
      <c r="F1314" s="315"/>
      <c r="G1314" s="315"/>
      <c r="H1314" s="315"/>
      <c r="I1314" s="315"/>
      <c r="J1314" s="315"/>
      <c r="K1314" s="315"/>
      <c r="L1314" s="315"/>
    </row>
    <row r="1315" spans="1:12">
      <c r="A1315" s="315"/>
      <c r="B1315" s="315"/>
      <c r="C1315" s="315"/>
      <c r="D1315" s="315"/>
      <c r="E1315" s="315"/>
      <c r="F1315" s="315"/>
      <c r="G1315" s="315"/>
      <c r="H1315" s="315"/>
      <c r="I1315" s="315"/>
      <c r="J1315" s="315"/>
      <c r="K1315" s="315"/>
      <c r="L1315" s="315"/>
    </row>
    <row r="1316" spans="1:12">
      <c r="A1316" s="315"/>
      <c r="B1316" s="315"/>
      <c r="C1316" s="315"/>
      <c r="D1316" s="315"/>
      <c r="E1316" s="315"/>
      <c r="F1316" s="315"/>
      <c r="G1316" s="315"/>
      <c r="H1316" s="315"/>
      <c r="I1316" s="315"/>
      <c r="J1316" s="315"/>
      <c r="K1316" s="315"/>
      <c r="L1316" s="315"/>
    </row>
    <row r="1317" spans="1:12">
      <c r="A1317" s="315"/>
      <c r="B1317" s="315"/>
      <c r="C1317" s="315"/>
      <c r="D1317" s="315"/>
      <c r="E1317" s="315"/>
      <c r="F1317" s="315"/>
      <c r="G1317" s="315"/>
      <c r="H1317" s="315"/>
      <c r="I1317" s="315"/>
      <c r="J1317" s="315"/>
      <c r="K1317" s="315"/>
      <c r="L1317" s="315"/>
    </row>
    <row r="1318" spans="1:12">
      <c r="A1318" s="315"/>
      <c r="B1318" s="315"/>
      <c r="C1318" s="315"/>
      <c r="D1318" s="315"/>
      <c r="E1318" s="315"/>
      <c r="F1318" s="315"/>
      <c r="G1318" s="315"/>
      <c r="H1318" s="315"/>
      <c r="I1318" s="315"/>
      <c r="J1318" s="315"/>
      <c r="K1318" s="315"/>
      <c r="L1318" s="315"/>
    </row>
    <row r="1319" spans="1:12">
      <c r="A1319" s="315"/>
      <c r="B1319" s="315"/>
      <c r="C1319" s="315"/>
      <c r="D1319" s="315"/>
      <c r="E1319" s="315"/>
      <c r="F1319" s="315"/>
      <c r="G1319" s="315"/>
      <c r="H1319" s="315"/>
      <c r="I1319" s="315"/>
      <c r="J1319" s="315"/>
      <c r="K1319" s="315"/>
      <c r="L1319" s="315"/>
    </row>
    <row r="1320" spans="1:12">
      <c r="A1320" s="315"/>
      <c r="B1320" s="315"/>
      <c r="C1320" s="315"/>
      <c r="D1320" s="315"/>
      <c r="E1320" s="315"/>
      <c r="F1320" s="315"/>
      <c r="G1320" s="315"/>
      <c r="H1320" s="315"/>
      <c r="I1320" s="315"/>
      <c r="J1320" s="315"/>
      <c r="K1320" s="315"/>
      <c r="L1320" s="315"/>
    </row>
    <row r="1321" spans="1:12">
      <c r="A1321" s="315"/>
      <c r="B1321" s="315"/>
      <c r="C1321" s="315"/>
      <c r="D1321" s="315"/>
      <c r="E1321" s="315"/>
      <c r="F1321" s="315"/>
      <c r="G1321" s="315"/>
      <c r="H1321" s="315"/>
      <c r="I1321" s="315"/>
      <c r="J1321" s="315"/>
      <c r="K1321" s="315"/>
      <c r="L1321" s="315"/>
    </row>
    <row r="1322" spans="1:12">
      <c r="A1322" s="315"/>
      <c r="B1322" s="315"/>
      <c r="C1322" s="315"/>
      <c r="D1322" s="315"/>
      <c r="E1322" s="315"/>
      <c r="F1322" s="315"/>
      <c r="G1322" s="315"/>
      <c r="H1322" s="315"/>
      <c r="I1322" s="315"/>
      <c r="J1322" s="315"/>
      <c r="K1322" s="315"/>
      <c r="L1322" s="315"/>
    </row>
    <row r="1323" spans="1:12">
      <c r="A1323" s="315"/>
      <c r="B1323" s="315"/>
      <c r="C1323" s="315"/>
      <c r="D1323" s="315"/>
      <c r="E1323" s="315"/>
      <c r="F1323" s="315"/>
      <c r="G1323" s="315"/>
      <c r="H1323" s="315"/>
      <c r="I1323" s="315"/>
      <c r="J1323" s="315"/>
      <c r="K1323" s="315"/>
      <c r="L1323" s="315"/>
    </row>
    <row r="1324" spans="1:12">
      <c r="A1324" s="315"/>
      <c r="B1324" s="315"/>
      <c r="C1324" s="315"/>
      <c r="D1324" s="315"/>
      <c r="E1324" s="315"/>
      <c r="F1324" s="315"/>
      <c r="G1324" s="315"/>
      <c r="H1324" s="315"/>
      <c r="I1324" s="315"/>
      <c r="J1324" s="315"/>
      <c r="K1324" s="315"/>
      <c r="L1324" s="315"/>
    </row>
    <row r="1325" spans="1:12">
      <c r="A1325" s="315"/>
      <c r="B1325" s="315"/>
      <c r="C1325" s="315"/>
      <c r="D1325" s="315"/>
      <c r="E1325" s="315"/>
      <c r="F1325" s="315"/>
      <c r="G1325" s="315"/>
      <c r="H1325" s="315"/>
      <c r="I1325" s="315"/>
      <c r="J1325" s="315"/>
      <c r="K1325" s="315"/>
      <c r="L1325" s="315"/>
    </row>
    <row r="1326" spans="1:12">
      <c r="A1326" s="315"/>
      <c r="B1326" s="315"/>
      <c r="C1326" s="315"/>
      <c r="D1326" s="315"/>
      <c r="E1326" s="315"/>
      <c r="F1326" s="315"/>
      <c r="G1326" s="315"/>
      <c r="H1326" s="315"/>
      <c r="I1326" s="315"/>
      <c r="J1326" s="315"/>
      <c r="K1326" s="315"/>
      <c r="L1326" s="315"/>
    </row>
    <row r="1327" spans="1:12">
      <c r="A1327" s="315"/>
      <c r="B1327" s="315"/>
      <c r="C1327" s="315"/>
      <c r="D1327" s="315"/>
      <c r="E1327" s="315"/>
      <c r="F1327" s="315"/>
      <c r="G1327" s="315"/>
      <c r="H1327" s="315"/>
      <c r="I1327" s="315"/>
      <c r="J1327" s="315"/>
      <c r="K1327" s="315"/>
      <c r="L1327" s="315"/>
    </row>
    <row r="1328" spans="1:12">
      <c r="A1328" s="315"/>
      <c r="B1328" s="315"/>
      <c r="C1328" s="315"/>
      <c r="D1328" s="315"/>
      <c r="E1328" s="315"/>
      <c r="F1328" s="315"/>
      <c r="G1328" s="315"/>
      <c r="H1328" s="315"/>
      <c r="I1328" s="315"/>
      <c r="J1328" s="315"/>
      <c r="K1328" s="315"/>
      <c r="L1328" s="315"/>
    </row>
    <row r="1329" spans="1:12">
      <c r="A1329" s="315"/>
      <c r="B1329" s="315"/>
      <c r="C1329" s="315"/>
      <c r="D1329" s="315"/>
      <c r="E1329" s="315"/>
      <c r="F1329" s="315"/>
      <c r="G1329" s="315"/>
      <c r="H1329" s="315"/>
      <c r="I1329" s="315"/>
      <c r="J1329" s="315"/>
      <c r="K1329" s="315"/>
      <c r="L1329" s="315"/>
    </row>
    <row r="1330" spans="1:12">
      <c r="A1330" s="315"/>
      <c r="B1330" s="315"/>
      <c r="C1330" s="315"/>
      <c r="D1330" s="315"/>
      <c r="E1330" s="315"/>
      <c r="F1330" s="315"/>
      <c r="G1330" s="315"/>
      <c r="H1330" s="315"/>
      <c r="I1330" s="315"/>
      <c r="J1330" s="315"/>
      <c r="K1330" s="315"/>
      <c r="L1330" s="315"/>
    </row>
    <row r="1331" spans="1:12">
      <c r="A1331" s="315"/>
      <c r="B1331" s="315"/>
      <c r="C1331" s="315"/>
      <c r="D1331" s="315"/>
      <c r="E1331" s="315"/>
      <c r="F1331" s="315"/>
      <c r="G1331" s="315"/>
      <c r="H1331" s="315"/>
      <c r="I1331" s="315"/>
      <c r="J1331" s="315"/>
      <c r="K1331" s="315"/>
      <c r="L1331" s="315"/>
    </row>
    <row r="1332" spans="1:12">
      <c r="A1332" s="315"/>
      <c r="B1332" s="315"/>
      <c r="C1332" s="315"/>
      <c r="D1332" s="315"/>
      <c r="E1332" s="315"/>
      <c r="F1332" s="315"/>
      <c r="G1332" s="315"/>
      <c r="H1332" s="315"/>
      <c r="I1332" s="315"/>
      <c r="J1332" s="315"/>
      <c r="K1332" s="315"/>
      <c r="L1332" s="315"/>
    </row>
    <row r="1333" spans="1:12">
      <c r="A1333" s="315"/>
      <c r="B1333" s="315"/>
      <c r="C1333" s="315"/>
      <c r="D1333" s="315"/>
      <c r="E1333" s="315"/>
      <c r="F1333" s="315"/>
      <c r="G1333" s="315"/>
      <c r="H1333" s="315"/>
      <c r="I1333" s="315"/>
      <c r="J1333" s="315"/>
      <c r="K1333" s="315"/>
      <c r="L1333" s="315"/>
    </row>
    <row r="1334" spans="1:12">
      <c r="A1334" s="315"/>
      <c r="B1334" s="315"/>
      <c r="C1334" s="315"/>
      <c r="D1334" s="315"/>
      <c r="E1334" s="315"/>
      <c r="F1334" s="315"/>
      <c r="G1334" s="315"/>
      <c r="H1334" s="315"/>
      <c r="I1334" s="315"/>
      <c r="J1334" s="315"/>
      <c r="K1334" s="315"/>
      <c r="L1334" s="315"/>
    </row>
    <row r="1335" spans="1:12">
      <c r="A1335" s="315"/>
      <c r="B1335" s="315"/>
      <c r="C1335" s="315"/>
      <c r="D1335" s="315"/>
      <c r="E1335" s="315"/>
      <c r="F1335" s="315"/>
      <c r="G1335" s="315"/>
      <c r="H1335" s="315"/>
      <c r="I1335" s="315"/>
      <c r="J1335" s="315"/>
      <c r="K1335" s="315"/>
      <c r="L1335" s="315"/>
    </row>
    <row r="1336" spans="1:12">
      <c r="A1336" s="315"/>
      <c r="B1336" s="315"/>
      <c r="C1336" s="315"/>
      <c r="D1336" s="315"/>
      <c r="E1336" s="315"/>
      <c r="F1336" s="315"/>
      <c r="G1336" s="315"/>
      <c r="H1336" s="315"/>
      <c r="I1336" s="315"/>
      <c r="J1336" s="315"/>
      <c r="K1336" s="315"/>
      <c r="L1336" s="315"/>
    </row>
    <row r="1337" spans="1:12">
      <c r="A1337" s="315"/>
      <c r="B1337" s="315"/>
      <c r="C1337" s="315"/>
      <c r="D1337" s="315"/>
      <c r="E1337" s="315"/>
      <c r="F1337" s="315"/>
      <c r="G1337" s="315"/>
      <c r="H1337" s="315"/>
      <c r="I1337" s="315"/>
      <c r="J1337" s="315"/>
      <c r="K1337" s="315"/>
      <c r="L1337" s="315"/>
    </row>
    <row r="1338" spans="1:12">
      <c r="A1338" s="315"/>
      <c r="B1338" s="315"/>
      <c r="C1338" s="315"/>
      <c r="D1338" s="315"/>
      <c r="E1338" s="315"/>
      <c r="F1338" s="315"/>
      <c r="G1338" s="315"/>
      <c r="H1338" s="315"/>
      <c r="I1338" s="315"/>
      <c r="J1338" s="315"/>
      <c r="K1338" s="315"/>
      <c r="L1338" s="315"/>
    </row>
    <row r="1339" spans="1:12">
      <c r="A1339" s="315"/>
      <c r="B1339" s="315"/>
      <c r="C1339" s="315"/>
      <c r="D1339" s="315"/>
      <c r="E1339" s="315"/>
      <c r="F1339" s="315"/>
      <c r="G1339" s="315"/>
      <c r="H1339" s="315"/>
      <c r="I1339" s="315"/>
      <c r="J1339" s="315"/>
      <c r="K1339" s="315"/>
      <c r="L1339" s="315"/>
    </row>
    <row r="1340" spans="1:12">
      <c r="A1340" s="315"/>
      <c r="B1340" s="315"/>
      <c r="C1340" s="315"/>
      <c r="D1340" s="315"/>
      <c r="E1340" s="315"/>
      <c r="F1340" s="315"/>
      <c r="G1340" s="315"/>
      <c r="H1340" s="315"/>
      <c r="I1340" s="315"/>
      <c r="J1340" s="315"/>
      <c r="K1340" s="315"/>
      <c r="L1340" s="315"/>
    </row>
    <row r="1341" spans="1:12">
      <c r="A1341" s="315"/>
      <c r="B1341" s="315"/>
      <c r="C1341" s="315"/>
      <c r="D1341" s="315"/>
      <c r="E1341" s="315"/>
      <c r="F1341" s="315"/>
      <c r="G1341" s="315"/>
      <c r="H1341" s="315"/>
      <c r="I1341" s="315"/>
      <c r="J1341" s="315"/>
      <c r="K1341" s="315"/>
      <c r="L1341" s="315"/>
    </row>
    <row r="1342" spans="1:12">
      <c r="A1342" s="315"/>
      <c r="B1342" s="315"/>
      <c r="C1342" s="315"/>
      <c r="D1342" s="315"/>
      <c r="E1342" s="315"/>
      <c r="F1342" s="315"/>
      <c r="G1342" s="315"/>
      <c r="H1342" s="315"/>
      <c r="I1342" s="315"/>
      <c r="J1342" s="315"/>
      <c r="K1342" s="315"/>
      <c r="L1342" s="315"/>
    </row>
    <row r="1343" spans="1:12">
      <c r="A1343" s="315"/>
      <c r="B1343" s="315"/>
      <c r="C1343" s="315"/>
      <c r="D1343" s="315"/>
      <c r="E1343" s="315"/>
      <c r="F1343" s="315"/>
      <c r="G1343" s="315"/>
      <c r="H1343" s="315"/>
      <c r="I1343" s="315"/>
      <c r="J1343" s="315"/>
      <c r="K1343" s="315"/>
      <c r="L1343" s="315"/>
    </row>
    <row r="1344" spans="1:12">
      <c r="A1344" s="315"/>
      <c r="B1344" s="315"/>
      <c r="C1344" s="315"/>
      <c r="D1344" s="315"/>
      <c r="E1344" s="315"/>
      <c r="F1344" s="315"/>
      <c r="G1344" s="315"/>
      <c r="H1344" s="315"/>
      <c r="I1344" s="315"/>
      <c r="J1344" s="315"/>
      <c r="K1344" s="315"/>
      <c r="L1344" s="315"/>
    </row>
    <row r="1345" spans="1:12">
      <c r="A1345" s="315"/>
      <c r="B1345" s="315"/>
      <c r="C1345" s="315"/>
      <c r="D1345" s="315"/>
      <c r="E1345" s="315"/>
      <c r="F1345" s="315"/>
      <c r="G1345" s="315"/>
      <c r="H1345" s="315"/>
      <c r="I1345" s="315"/>
      <c r="J1345" s="315"/>
      <c r="K1345" s="315"/>
      <c r="L1345" s="315"/>
    </row>
    <row r="1346" spans="1:12">
      <c r="A1346" s="315"/>
      <c r="B1346" s="315"/>
      <c r="C1346" s="315"/>
      <c r="D1346" s="315"/>
      <c r="E1346" s="315"/>
      <c r="F1346" s="315"/>
      <c r="G1346" s="315"/>
      <c r="H1346" s="315"/>
      <c r="I1346" s="315"/>
      <c r="J1346" s="315"/>
      <c r="K1346" s="315"/>
      <c r="L1346" s="315"/>
    </row>
    <row r="1347" spans="1:12">
      <c r="A1347" s="315"/>
      <c r="B1347" s="315"/>
      <c r="C1347" s="315"/>
      <c r="D1347" s="315"/>
      <c r="E1347" s="315"/>
      <c r="F1347" s="315"/>
      <c r="G1347" s="315"/>
      <c r="H1347" s="315"/>
      <c r="I1347" s="315"/>
      <c r="J1347" s="315"/>
      <c r="K1347" s="315"/>
      <c r="L1347" s="315"/>
    </row>
    <row r="1348" spans="1:12">
      <c r="A1348" s="315"/>
      <c r="B1348" s="315"/>
      <c r="C1348" s="315"/>
      <c r="D1348" s="315"/>
      <c r="E1348" s="315"/>
      <c r="F1348" s="315"/>
      <c r="G1348" s="315"/>
      <c r="H1348" s="315"/>
      <c r="I1348" s="315"/>
      <c r="J1348" s="315"/>
      <c r="K1348" s="315"/>
      <c r="L1348" s="315"/>
    </row>
    <row r="1349" spans="1:12">
      <c r="A1349" s="315"/>
      <c r="B1349" s="315"/>
      <c r="C1349" s="315"/>
      <c r="D1349" s="315"/>
      <c r="E1349" s="315"/>
      <c r="F1349" s="315"/>
      <c r="G1349" s="315"/>
      <c r="H1349" s="315"/>
      <c r="I1349" s="315"/>
      <c r="J1349" s="315"/>
      <c r="K1349" s="315"/>
      <c r="L1349" s="315"/>
    </row>
    <row r="1350" spans="1:12">
      <c r="A1350" s="315"/>
      <c r="B1350" s="315"/>
      <c r="C1350" s="315"/>
      <c r="D1350" s="315"/>
      <c r="E1350" s="315"/>
      <c r="F1350" s="315"/>
      <c r="G1350" s="315"/>
      <c r="H1350" s="315"/>
      <c r="I1350" s="315"/>
      <c r="J1350" s="315"/>
      <c r="K1350" s="315"/>
      <c r="L1350" s="315"/>
    </row>
    <row r="1351" spans="1:12">
      <c r="A1351" s="315"/>
      <c r="B1351" s="315"/>
      <c r="C1351" s="315"/>
      <c r="D1351" s="315"/>
      <c r="E1351" s="315"/>
      <c r="F1351" s="315"/>
      <c r="G1351" s="315"/>
      <c r="H1351" s="315"/>
      <c r="I1351" s="315"/>
      <c r="J1351" s="315"/>
      <c r="K1351" s="315"/>
      <c r="L1351" s="315"/>
    </row>
    <row r="1352" spans="1:12">
      <c r="A1352" s="315"/>
      <c r="B1352" s="315"/>
      <c r="C1352" s="315"/>
      <c r="D1352" s="315"/>
      <c r="E1352" s="315"/>
      <c r="F1352" s="315"/>
      <c r="G1352" s="315"/>
      <c r="H1352" s="315"/>
      <c r="I1352" s="315"/>
      <c r="J1352" s="315"/>
      <c r="K1352" s="315"/>
      <c r="L1352" s="315"/>
    </row>
    <row r="1353" spans="1:12">
      <c r="A1353" s="315"/>
      <c r="B1353" s="315"/>
      <c r="C1353" s="315"/>
      <c r="D1353" s="315"/>
      <c r="E1353" s="315"/>
      <c r="F1353" s="315"/>
      <c r="G1353" s="315"/>
      <c r="H1353" s="315"/>
      <c r="I1353" s="315"/>
      <c r="J1353" s="315"/>
      <c r="K1353" s="315"/>
      <c r="L1353" s="315"/>
    </row>
    <row r="1354" spans="1:12">
      <c r="A1354" s="315"/>
      <c r="B1354" s="315"/>
      <c r="C1354" s="315"/>
      <c r="D1354" s="315"/>
      <c r="E1354" s="315"/>
      <c r="F1354" s="315"/>
      <c r="G1354" s="315"/>
      <c r="H1354" s="315"/>
      <c r="I1354" s="315"/>
      <c r="J1354" s="315"/>
      <c r="K1354" s="315"/>
      <c r="L1354" s="315"/>
    </row>
    <row r="1355" spans="1:12">
      <c r="A1355" s="315"/>
      <c r="B1355" s="315"/>
      <c r="C1355" s="315"/>
      <c r="D1355" s="315"/>
      <c r="E1355" s="315"/>
      <c r="F1355" s="315"/>
      <c r="G1355" s="315"/>
      <c r="H1355" s="315"/>
      <c r="I1355" s="315"/>
      <c r="J1355" s="315"/>
      <c r="K1355" s="315"/>
      <c r="L1355" s="315"/>
    </row>
    <row r="1356" spans="1:12">
      <c r="A1356" s="315"/>
      <c r="B1356" s="315"/>
      <c r="C1356" s="315"/>
      <c r="D1356" s="315"/>
      <c r="E1356" s="315"/>
      <c r="F1356" s="315"/>
      <c r="G1356" s="315"/>
      <c r="H1356" s="315"/>
      <c r="I1356" s="315"/>
      <c r="J1356" s="315"/>
      <c r="K1356" s="315"/>
      <c r="L1356" s="315"/>
    </row>
    <row r="1357" spans="1:12">
      <c r="A1357" s="315"/>
      <c r="B1357" s="315"/>
      <c r="C1357" s="315"/>
      <c r="D1357" s="315"/>
      <c r="E1357" s="315"/>
      <c r="F1357" s="315"/>
      <c r="G1357" s="315"/>
      <c r="H1357" s="315"/>
      <c r="I1357" s="315"/>
      <c r="J1357" s="315"/>
      <c r="K1357" s="315"/>
      <c r="L1357" s="315"/>
    </row>
    <row r="1358" spans="1:12">
      <c r="A1358" s="315"/>
      <c r="B1358" s="315"/>
      <c r="C1358" s="315"/>
      <c r="D1358" s="315"/>
      <c r="E1358" s="315"/>
      <c r="F1358" s="315"/>
      <c r="G1358" s="315"/>
      <c r="H1358" s="315"/>
      <c r="I1358" s="315"/>
      <c r="J1358" s="315"/>
      <c r="K1358" s="315"/>
      <c r="L1358" s="315"/>
    </row>
    <row r="1359" spans="1:12">
      <c r="A1359" s="315"/>
      <c r="B1359" s="315"/>
      <c r="C1359" s="315"/>
      <c r="D1359" s="315"/>
      <c r="E1359" s="315"/>
      <c r="F1359" s="315"/>
      <c r="G1359" s="315"/>
      <c r="H1359" s="315"/>
      <c r="I1359" s="315"/>
      <c r="J1359" s="315"/>
      <c r="K1359" s="315"/>
      <c r="L1359" s="315"/>
    </row>
    <row r="1360" spans="1:12">
      <c r="A1360" s="315"/>
      <c r="B1360" s="315"/>
      <c r="C1360" s="315"/>
      <c r="D1360" s="315"/>
      <c r="E1360" s="315"/>
      <c r="F1360" s="315"/>
      <c r="G1360" s="315"/>
      <c r="H1360" s="315"/>
      <c r="I1360" s="315"/>
      <c r="J1360" s="315"/>
      <c r="K1360" s="315"/>
      <c r="L1360" s="315"/>
    </row>
    <row r="1361" spans="1:12">
      <c r="A1361" s="315"/>
      <c r="B1361" s="315"/>
      <c r="C1361" s="315"/>
      <c r="D1361" s="315"/>
      <c r="E1361" s="315"/>
      <c r="F1361" s="315"/>
      <c r="G1361" s="315"/>
      <c r="H1361" s="315"/>
      <c r="I1361" s="315"/>
      <c r="J1361" s="315"/>
      <c r="K1361" s="315"/>
      <c r="L1361" s="315"/>
    </row>
    <row r="1362" spans="1:12">
      <c r="A1362" s="315"/>
      <c r="B1362" s="315"/>
      <c r="C1362" s="315"/>
      <c r="D1362" s="315"/>
      <c r="E1362" s="315"/>
      <c r="F1362" s="315"/>
      <c r="G1362" s="315"/>
      <c r="H1362" s="315"/>
      <c r="I1362" s="315"/>
      <c r="J1362" s="315"/>
      <c r="K1362" s="315"/>
      <c r="L1362" s="315"/>
    </row>
    <row r="1363" spans="1:12">
      <c r="A1363" s="315"/>
      <c r="B1363" s="315"/>
      <c r="C1363" s="315"/>
      <c r="D1363" s="315"/>
      <c r="E1363" s="315"/>
      <c r="F1363" s="315"/>
      <c r="G1363" s="315"/>
      <c r="H1363" s="315"/>
      <c r="I1363" s="315"/>
      <c r="J1363" s="315"/>
      <c r="K1363" s="315"/>
      <c r="L1363" s="315"/>
    </row>
    <row r="1364" spans="1:12">
      <c r="A1364" s="315"/>
      <c r="B1364" s="315"/>
      <c r="C1364" s="315"/>
      <c r="D1364" s="315"/>
      <c r="E1364" s="315"/>
      <c r="F1364" s="315"/>
      <c r="G1364" s="315"/>
      <c r="H1364" s="315"/>
      <c r="I1364" s="315"/>
      <c r="J1364" s="315"/>
      <c r="K1364" s="315"/>
      <c r="L1364" s="315"/>
    </row>
    <row r="1365" spans="1:12">
      <c r="A1365" s="315"/>
      <c r="B1365" s="315"/>
      <c r="C1365" s="315"/>
      <c r="D1365" s="315"/>
      <c r="E1365" s="315"/>
      <c r="F1365" s="315"/>
      <c r="G1365" s="315"/>
      <c r="H1365" s="315"/>
      <c r="I1365" s="315"/>
      <c r="J1365" s="315"/>
      <c r="K1365" s="315"/>
      <c r="L1365" s="315"/>
    </row>
    <row r="1366" spans="1:12">
      <c r="A1366" s="315"/>
      <c r="B1366" s="315"/>
      <c r="C1366" s="315"/>
      <c r="D1366" s="315"/>
      <c r="E1366" s="315"/>
      <c r="F1366" s="315"/>
      <c r="G1366" s="315"/>
      <c r="H1366" s="315"/>
      <c r="I1366" s="315"/>
      <c r="J1366" s="315"/>
      <c r="K1366" s="315"/>
      <c r="L1366" s="315"/>
    </row>
    <row r="1367" spans="1:12">
      <c r="A1367" s="315"/>
      <c r="B1367" s="315"/>
      <c r="C1367" s="315"/>
      <c r="D1367" s="315"/>
      <c r="E1367" s="315"/>
      <c r="F1367" s="315"/>
      <c r="G1367" s="315"/>
      <c r="H1367" s="315"/>
      <c r="I1367" s="315"/>
      <c r="J1367" s="315"/>
      <c r="K1367" s="315"/>
      <c r="L1367" s="315"/>
    </row>
    <row r="1368" spans="1:12">
      <c r="A1368" s="315"/>
      <c r="B1368" s="315"/>
      <c r="C1368" s="315"/>
      <c r="D1368" s="315"/>
      <c r="E1368" s="315"/>
      <c r="F1368" s="315"/>
      <c r="G1368" s="315"/>
      <c r="H1368" s="315"/>
      <c r="I1368" s="315"/>
      <c r="J1368" s="315"/>
      <c r="K1368" s="315"/>
      <c r="L1368" s="315"/>
    </row>
    <row r="1369" spans="1:12">
      <c r="A1369" s="315"/>
      <c r="B1369" s="315"/>
      <c r="C1369" s="315"/>
      <c r="D1369" s="315"/>
      <c r="E1369" s="315"/>
      <c r="F1369" s="315"/>
      <c r="G1369" s="315"/>
      <c r="H1369" s="315"/>
      <c r="I1369" s="315"/>
      <c r="J1369" s="315"/>
      <c r="K1369" s="315"/>
      <c r="L1369" s="315"/>
    </row>
    <row r="1370" spans="1:12">
      <c r="A1370" s="315"/>
      <c r="B1370" s="315"/>
      <c r="C1370" s="315"/>
      <c r="D1370" s="315"/>
      <c r="E1370" s="315"/>
      <c r="F1370" s="315"/>
      <c r="G1370" s="315"/>
      <c r="H1370" s="315"/>
      <c r="I1370" s="315"/>
      <c r="J1370" s="315"/>
      <c r="K1370" s="315"/>
      <c r="L1370" s="315"/>
    </row>
    <row r="1371" spans="1:12">
      <c r="A1371" s="315"/>
      <c r="B1371" s="315"/>
      <c r="C1371" s="315"/>
      <c r="D1371" s="315"/>
      <c r="E1371" s="315"/>
      <c r="F1371" s="315"/>
      <c r="G1371" s="315"/>
      <c r="H1371" s="315"/>
      <c r="I1371" s="315"/>
      <c r="J1371" s="315"/>
      <c r="K1371" s="315"/>
      <c r="L1371" s="315"/>
    </row>
    <row r="1372" spans="1:12">
      <c r="A1372" s="315"/>
      <c r="B1372" s="315"/>
      <c r="C1372" s="315"/>
      <c r="D1372" s="315"/>
      <c r="E1372" s="315"/>
      <c r="F1372" s="315"/>
      <c r="G1372" s="315"/>
      <c r="H1372" s="315"/>
      <c r="I1372" s="315"/>
      <c r="J1372" s="315"/>
      <c r="K1372" s="315"/>
      <c r="L1372" s="315"/>
    </row>
    <row r="1373" spans="1:12">
      <c r="A1373" s="315"/>
      <c r="B1373" s="315"/>
      <c r="C1373" s="315"/>
      <c r="D1373" s="315"/>
      <c r="E1373" s="315"/>
      <c r="F1373" s="315"/>
      <c r="G1373" s="315"/>
      <c r="H1373" s="315"/>
      <c r="I1373" s="315"/>
      <c r="J1373" s="315"/>
      <c r="K1373" s="315"/>
      <c r="L1373" s="315"/>
    </row>
    <row r="1374" spans="1:12">
      <c r="A1374" s="315"/>
      <c r="B1374" s="315"/>
      <c r="C1374" s="315"/>
      <c r="D1374" s="315"/>
      <c r="E1374" s="315"/>
      <c r="F1374" s="315"/>
      <c r="G1374" s="315"/>
      <c r="H1374" s="315"/>
      <c r="I1374" s="315"/>
      <c r="J1374" s="315"/>
      <c r="K1374" s="315"/>
      <c r="L1374" s="315"/>
    </row>
    <row r="1375" spans="1:12">
      <c r="A1375" s="315"/>
      <c r="B1375" s="315"/>
      <c r="C1375" s="315"/>
      <c r="D1375" s="315"/>
      <c r="E1375" s="315"/>
      <c r="F1375" s="315"/>
      <c r="G1375" s="315"/>
      <c r="H1375" s="315"/>
      <c r="I1375" s="315"/>
      <c r="J1375" s="315"/>
      <c r="K1375" s="315"/>
      <c r="L1375" s="315"/>
    </row>
    <row r="1376" spans="1:12">
      <c r="A1376" s="315"/>
      <c r="B1376" s="315"/>
      <c r="C1376" s="315"/>
      <c r="D1376" s="315"/>
      <c r="E1376" s="315"/>
      <c r="F1376" s="315"/>
      <c r="G1376" s="315"/>
      <c r="H1376" s="315"/>
      <c r="I1376" s="315"/>
      <c r="J1376" s="315"/>
      <c r="K1376" s="315"/>
      <c r="L1376" s="315"/>
    </row>
    <row r="1377" spans="1:12">
      <c r="A1377" s="315"/>
      <c r="B1377" s="315"/>
      <c r="C1377" s="315"/>
      <c r="D1377" s="315"/>
      <c r="E1377" s="315"/>
      <c r="F1377" s="315"/>
      <c r="G1377" s="315"/>
      <c r="H1377" s="315"/>
      <c r="I1377" s="315"/>
      <c r="J1377" s="315"/>
      <c r="K1377" s="315"/>
      <c r="L1377" s="315"/>
    </row>
    <row r="1378" spans="1:12">
      <c r="A1378" s="315"/>
      <c r="B1378" s="315"/>
      <c r="C1378" s="315"/>
      <c r="D1378" s="315"/>
      <c r="E1378" s="315"/>
      <c r="F1378" s="315"/>
      <c r="G1378" s="315"/>
      <c r="H1378" s="315"/>
      <c r="I1378" s="315"/>
      <c r="J1378" s="315"/>
      <c r="K1378" s="315"/>
      <c r="L1378" s="315"/>
    </row>
    <row r="1379" spans="1:12">
      <c r="A1379" s="315"/>
      <c r="B1379" s="315"/>
      <c r="C1379" s="315"/>
      <c r="D1379" s="315"/>
      <c r="E1379" s="315"/>
      <c r="F1379" s="315"/>
      <c r="G1379" s="315"/>
      <c r="H1379" s="315"/>
      <c r="I1379" s="315"/>
      <c r="J1379" s="315"/>
      <c r="K1379" s="315"/>
      <c r="L1379" s="315"/>
    </row>
    <row r="1380" spans="1:12">
      <c r="A1380" s="315"/>
      <c r="B1380" s="315"/>
      <c r="C1380" s="315"/>
      <c r="D1380" s="315"/>
      <c r="E1380" s="315"/>
      <c r="F1380" s="315"/>
      <c r="G1380" s="315"/>
      <c r="H1380" s="315"/>
      <c r="I1380" s="315"/>
      <c r="J1380" s="315"/>
      <c r="K1380" s="315"/>
      <c r="L1380" s="315"/>
    </row>
    <row r="1381" spans="1:12">
      <c r="A1381" s="315"/>
      <c r="B1381" s="315"/>
      <c r="C1381" s="315"/>
      <c r="D1381" s="315"/>
      <c r="E1381" s="315"/>
      <c r="F1381" s="315"/>
      <c r="G1381" s="315"/>
      <c r="H1381" s="315"/>
      <c r="I1381" s="315"/>
      <c r="J1381" s="315"/>
      <c r="K1381" s="315"/>
      <c r="L1381" s="315"/>
    </row>
    <row r="1382" spans="1:12">
      <c r="A1382" s="315"/>
      <c r="B1382" s="315"/>
      <c r="C1382" s="315"/>
      <c r="D1382" s="315"/>
      <c r="E1382" s="315"/>
      <c r="F1382" s="315"/>
      <c r="G1382" s="315"/>
      <c r="H1382" s="315"/>
      <c r="I1382" s="315"/>
      <c r="J1382" s="315"/>
      <c r="K1382" s="315"/>
      <c r="L1382" s="315"/>
    </row>
    <row r="1383" spans="1:12">
      <c r="A1383" s="315"/>
      <c r="B1383" s="315"/>
      <c r="C1383" s="315"/>
      <c r="D1383" s="315"/>
      <c r="E1383" s="315"/>
      <c r="F1383" s="315"/>
      <c r="G1383" s="315"/>
      <c r="H1383" s="315"/>
      <c r="I1383" s="315"/>
      <c r="J1383" s="315"/>
      <c r="K1383" s="315"/>
      <c r="L1383" s="315"/>
    </row>
    <row r="1384" spans="1:12">
      <c r="A1384" s="315"/>
      <c r="B1384" s="315"/>
      <c r="C1384" s="315"/>
      <c r="D1384" s="315"/>
      <c r="E1384" s="315"/>
      <c r="F1384" s="315"/>
      <c r="G1384" s="315"/>
      <c r="H1384" s="315"/>
      <c r="I1384" s="315"/>
      <c r="J1384" s="315"/>
      <c r="K1384" s="315"/>
      <c r="L1384" s="315"/>
    </row>
    <row r="1385" spans="1:12">
      <c r="A1385" s="315"/>
      <c r="B1385" s="315"/>
      <c r="C1385" s="315"/>
      <c r="D1385" s="315"/>
      <c r="E1385" s="315"/>
      <c r="F1385" s="315"/>
      <c r="G1385" s="315"/>
      <c r="H1385" s="315"/>
      <c r="I1385" s="315"/>
      <c r="J1385" s="315"/>
      <c r="K1385" s="315"/>
      <c r="L1385" s="315"/>
    </row>
    <row r="1386" spans="1:12">
      <c r="A1386" s="315"/>
      <c r="B1386" s="315"/>
      <c r="C1386" s="315"/>
      <c r="D1386" s="315"/>
      <c r="E1386" s="315"/>
      <c r="F1386" s="315"/>
      <c r="G1386" s="315"/>
      <c r="H1386" s="315"/>
      <c r="I1386" s="315"/>
      <c r="J1386" s="315"/>
      <c r="K1386" s="315"/>
      <c r="L1386" s="315"/>
    </row>
    <row r="1387" spans="1:12">
      <c r="A1387" s="315"/>
      <c r="B1387" s="315"/>
      <c r="C1387" s="315"/>
      <c r="D1387" s="315"/>
      <c r="E1387" s="315"/>
      <c r="F1387" s="315"/>
      <c r="G1387" s="315"/>
      <c r="H1387" s="315"/>
      <c r="I1387" s="315"/>
      <c r="J1387" s="315"/>
      <c r="K1387" s="315"/>
      <c r="L1387" s="315"/>
    </row>
    <row r="1388" spans="1:12">
      <c r="A1388" s="315"/>
      <c r="B1388" s="315"/>
      <c r="C1388" s="315"/>
      <c r="D1388" s="315"/>
      <c r="E1388" s="315"/>
      <c r="F1388" s="315"/>
      <c r="G1388" s="315"/>
      <c r="H1388" s="315"/>
      <c r="I1388" s="315"/>
      <c r="J1388" s="315"/>
      <c r="K1388" s="315"/>
      <c r="L1388" s="315"/>
    </row>
    <row r="1389" spans="1:12">
      <c r="A1389" s="315"/>
      <c r="B1389" s="315"/>
      <c r="C1389" s="315"/>
      <c r="D1389" s="315"/>
      <c r="E1389" s="315"/>
      <c r="F1389" s="315"/>
      <c r="G1389" s="315"/>
      <c r="H1389" s="315"/>
      <c r="I1389" s="315"/>
      <c r="J1389" s="315"/>
      <c r="K1389" s="315"/>
      <c r="L1389" s="315"/>
    </row>
    <row r="1390" spans="1:12">
      <c r="A1390" s="315"/>
      <c r="B1390" s="315"/>
      <c r="C1390" s="315"/>
      <c r="D1390" s="315"/>
      <c r="E1390" s="315"/>
      <c r="F1390" s="315"/>
      <c r="G1390" s="315"/>
      <c r="H1390" s="315"/>
      <c r="I1390" s="315"/>
      <c r="J1390" s="315"/>
      <c r="K1390" s="315"/>
      <c r="L1390" s="315"/>
    </row>
    <row r="1391" spans="1:12">
      <c r="A1391" s="315"/>
      <c r="B1391" s="315"/>
      <c r="C1391" s="315"/>
      <c r="D1391" s="315"/>
      <c r="E1391" s="315"/>
      <c r="F1391" s="315"/>
      <c r="G1391" s="315"/>
      <c r="H1391" s="315"/>
      <c r="I1391" s="315"/>
      <c r="J1391" s="315"/>
      <c r="K1391" s="315"/>
      <c r="L1391" s="315"/>
    </row>
    <row r="1392" spans="1:12">
      <c r="A1392" s="315"/>
      <c r="B1392" s="315"/>
      <c r="C1392" s="315"/>
      <c r="D1392" s="315"/>
      <c r="E1392" s="315"/>
      <c r="F1392" s="315"/>
      <c r="G1392" s="315"/>
      <c r="H1392" s="315"/>
      <c r="I1392" s="315"/>
      <c r="J1392" s="315"/>
      <c r="K1392" s="315"/>
      <c r="L1392" s="315"/>
    </row>
    <row r="1393" spans="1:12">
      <c r="A1393" s="315"/>
      <c r="B1393" s="315"/>
      <c r="C1393" s="315"/>
      <c r="D1393" s="315"/>
      <c r="E1393" s="315"/>
      <c r="F1393" s="315"/>
      <c r="G1393" s="315"/>
      <c r="H1393" s="315"/>
      <c r="I1393" s="315"/>
      <c r="J1393" s="315"/>
      <c r="K1393" s="315"/>
      <c r="L1393" s="315"/>
    </row>
    <row r="1394" spans="1:12">
      <c r="A1394" s="315"/>
      <c r="B1394" s="315"/>
      <c r="C1394" s="315"/>
      <c r="D1394" s="315"/>
      <c r="E1394" s="315"/>
      <c r="F1394" s="315"/>
      <c r="G1394" s="315"/>
      <c r="H1394" s="315"/>
      <c r="I1394" s="315"/>
      <c r="J1394" s="315"/>
      <c r="K1394" s="315"/>
      <c r="L1394" s="315"/>
    </row>
    <row r="1395" spans="1:12">
      <c r="A1395" s="315"/>
      <c r="B1395" s="315"/>
      <c r="C1395" s="315"/>
      <c r="D1395" s="315"/>
      <c r="E1395" s="315"/>
      <c r="F1395" s="315"/>
      <c r="G1395" s="315"/>
      <c r="H1395" s="315"/>
      <c r="I1395" s="315"/>
      <c r="J1395" s="315"/>
      <c r="K1395" s="315"/>
      <c r="L1395" s="315"/>
    </row>
    <row r="1396" spans="1:12">
      <c r="A1396" s="315"/>
      <c r="B1396" s="315"/>
      <c r="C1396" s="315"/>
      <c r="D1396" s="315"/>
      <c r="E1396" s="315"/>
      <c r="F1396" s="315"/>
      <c r="G1396" s="315"/>
      <c r="H1396" s="315"/>
      <c r="I1396" s="315"/>
      <c r="J1396" s="315"/>
      <c r="K1396" s="315"/>
      <c r="L1396" s="315"/>
    </row>
    <row r="1397" spans="1:12">
      <c r="A1397" s="315"/>
      <c r="B1397" s="315"/>
      <c r="C1397" s="315"/>
      <c r="D1397" s="315"/>
      <c r="E1397" s="315"/>
      <c r="F1397" s="315"/>
      <c r="G1397" s="315"/>
      <c r="H1397" s="315"/>
      <c r="I1397" s="315"/>
      <c r="J1397" s="315"/>
      <c r="K1397" s="315"/>
      <c r="L1397" s="315"/>
    </row>
    <row r="1398" spans="1:12">
      <c r="A1398" s="315"/>
      <c r="B1398" s="315"/>
      <c r="C1398" s="315"/>
      <c r="D1398" s="315"/>
      <c r="E1398" s="315"/>
      <c r="F1398" s="315"/>
      <c r="G1398" s="315"/>
      <c r="H1398" s="315"/>
      <c r="I1398" s="315"/>
      <c r="J1398" s="315"/>
      <c r="K1398" s="315"/>
      <c r="L1398" s="315"/>
    </row>
    <row r="1399" spans="1:12">
      <c r="A1399" s="315"/>
      <c r="B1399" s="315"/>
      <c r="C1399" s="315"/>
      <c r="D1399" s="315"/>
      <c r="E1399" s="315"/>
      <c r="F1399" s="315"/>
      <c r="G1399" s="315"/>
      <c r="H1399" s="315"/>
      <c r="I1399" s="315"/>
      <c r="J1399" s="315"/>
      <c r="K1399" s="315"/>
      <c r="L1399" s="315"/>
    </row>
    <row r="1400" spans="1:12">
      <c r="A1400" s="315"/>
      <c r="B1400" s="315"/>
      <c r="C1400" s="315"/>
      <c r="D1400" s="315"/>
      <c r="E1400" s="315"/>
      <c r="F1400" s="315"/>
      <c r="G1400" s="315"/>
      <c r="H1400" s="315"/>
      <c r="I1400" s="315"/>
      <c r="J1400" s="315"/>
      <c r="K1400" s="315"/>
      <c r="L1400" s="315"/>
    </row>
    <row r="1401" spans="1:12">
      <c r="A1401" s="315"/>
      <c r="B1401" s="315"/>
      <c r="C1401" s="315"/>
      <c r="D1401" s="315"/>
      <c r="E1401" s="315"/>
      <c r="F1401" s="315"/>
      <c r="G1401" s="315"/>
      <c r="H1401" s="315"/>
      <c r="I1401" s="315"/>
      <c r="J1401" s="315"/>
      <c r="K1401" s="315"/>
      <c r="L1401" s="315"/>
    </row>
    <row r="1402" spans="1:12">
      <c r="A1402" s="315"/>
      <c r="B1402" s="315"/>
      <c r="C1402" s="315"/>
      <c r="D1402" s="315"/>
      <c r="E1402" s="315"/>
      <c r="F1402" s="315"/>
      <c r="G1402" s="315"/>
      <c r="H1402" s="315"/>
      <c r="I1402" s="315"/>
      <c r="J1402" s="315"/>
      <c r="K1402" s="315"/>
      <c r="L1402" s="315"/>
    </row>
    <row r="1403" spans="1:12">
      <c r="A1403" s="315"/>
      <c r="B1403" s="315"/>
      <c r="C1403" s="315"/>
      <c r="D1403" s="315"/>
      <c r="E1403" s="315"/>
      <c r="F1403" s="315"/>
      <c r="G1403" s="315"/>
      <c r="H1403" s="315"/>
      <c r="I1403" s="315"/>
      <c r="J1403" s="315"/>
      <c r="K1403" s="315"/>
      <c r="L1403" s="315"/>
    </row>
    <row r="1404" spans="1:12">
      <c r="A1404" s="315"/>
      <c r="B1404" s="315"/>
      <c r="C1404" s="315"/>
      <c r="D1404" s="315"/>
      <c r="E1404" s="315"/>
      <c r="F1404" s="315"/>
      <c r="G1404" s="315"/>
      <c r="H1404" s="315"/>
      <c r="I1404" s="315"/>
      <c r="J1404" s="315"/>
      <c r="K1404" s="315"/>
      <c r="L1404" s="315"/>
    </row>
    <row r="1405" spans="1:12">
      <c r="A1405" s="315"/>
      <c r="B1405" s="315"/>
      <c r="C1405" s="315"/>
      <c r="D1405" s="315"/>
      <c r="E1405" s="315"/>
      <c r="F1405" s="315"/>
      <c r="G1405" s="315"/>
      <c r="H1405" s="315"/>
      <c r="I1405" s="315"/>
      <c r="J1405" s="315"/>
      <c r="K1405" s="315"/>
      <c r="L1405" s="315"/>
    </row>
    <row r="1406" spans="1:12">
      <c r="A1406" s="315"/>
      <c r="B1406" s="315"/>
      <c r="C1406" s="315"/>
      <c r="D1406" s="315"/>
      <c r="E1406" s="315"/>
      <c r="F1406" s="315"/>
      <c r="G1406" s="315"/>
      <c r="H1406" s="315"/>
      <c r="I1406" s="315"/>
      <c r="J1406" s="315"/>
      <c r="K1406" s="315"/>
      <c r="L1406" s="315"/>
    </row>
    <row r="1407" spans="1:12">
      <c r="A1407" s="315"/>
      <c r="B1407" s="315"/>
      <c r="C1407" s="315"/>
      <c r="D1407" s="315"/>
      <c r="E1407" s="315"/>
      <c r="F1407" s="315"/>
      <c r="G1407" s="315"/>
      <c r="H1407" s="315"/>
      <c r="I1407" s="315"/>
      <c r="J1407" s="315"/>
      <c r="K1407" s="315"/>
      <c r="L1407" s="315"/>
    </row>
    <row r="1408" spans="1:12">
      <c r="A1408" s="315"/>
      <c r="B1408" s="315"/>
      <c r="C1408" s="315"/>
      <c r="D1408" s="315"/>
      <c r="E1408" s="315"/>
      <c r="F1408" s="315"/>
      <c r="G1408" s="315"/>
      <c r="H1408" s="315"/>
      <c r="I1408" s="315"/>
      <c r="J1408" s="315"/>
      <c r="K1408" s="315"/>
      <c r="L1408" s="315"/>
    </row>
    <row r="1409" spans="1:12">
      <c r="A1409" s="315"/>
      <c r="B1409" s="315"/>
      <c r="C1409" s="315"/>
      <c r="D1409" s="315"/>
      <c r="E1409" s="315"/>
      <c r="F1409" s="315"/>
      <c r="G1409" s="315"/>
      <c r="H1409" s="315"/>
      <c r="I1409" s="315"/>
      <c r="J1409" s="315"/>
      <c r="K1409" s="315"/>
      <c r="L1409" s="315"/>
    </row>
    <row r="1410" spans="1:12">
      <c r="A1410" s="315"/>
      <c r="B1410" s="315"/>
      <c r="C1410" s="315"/>
      <c r="D1410" s="315"/>
      <c r="E1410" s="315"/>
      <c r="F1410" s="315"/>
      <c r="G1410" s="315"/>
      <c r="H1410" s="315"/>
      <c r="I1410" s="315"/>
      <c r="J1410" s="315"/>
      <c r="K1410" s="315"/>
      <c r="L1410" s="315"/>
    </row>
    <row r="1411" spans="1:12">
      <c r="A1411" s="315"/>
      <c r="B1411" s="315"/>
      <c r="C1411" s="315"/>
      <c r="D1411" s="315"/>
      <c r="E1411" s="315"/>
      <c r="F1411" s="315"/>
      <c r="G1411" s="315"/>
      <c r="H1411" s="315"/>
      <c r="I1411" s="315"/>
      <c r="J1411" s="315"/>
      <c r="K1411" s="315"/>
      <c r="L1411" s="315"/>
    </row>
    <row r="1412" spans="1:12">
      <c r="A1412" s="315"/>
      <c r="B1412" s="315"/>
      <c r="C1412" s="315"/>
      <c r="D1412" s="315"/>
      <c r="E1412" s="315"/>
      <c r="F1412" s="315"/>
      <c r="G1412" s="315"/>
      <c r="H1412" s="315"/>
      <c r="I1412" s="315"/>
      <c r="J1412" s="315"/>
      <c r="K1412" s="315"/>
      <c r="L1412" s="315"/>
    </row>
    <row r="1413" spans="1:12">
      <c r="A1413" s="315"/>
      <c r="B1413" s="315"/>
      <c r="C1413" s="315"/>
      <c r="D1413" s="315"/>
      <c r="E1413" s="315"/>
      <c r="F1413" s="315"/>
      <c r="G1413" s="315"/>
      <c r="H1413" s="315"/>
      <c r="I1413" s="315"/>
      <c r="J1413" s="315"/>
      <c r="K1413" s="315"/>
      <c r="L1413" s="315"/>
    </row>
    <row r="1414" spans="1:12">
      <c r="A1414" s="315"/>
      <c r="B1414" s="315"/>
      <c r="C1414" s="315"/>
      <c r="D1414" s="315"/>
      <c r="E1414" s="315"/>
      <c r="F1414" s="315"/>
      <c r="G1414" s="315"/>
      <c r="H1414" s="315"/>
      <c r="I1414" s="315"/>
      <c r="J1414" s="315"/>
      <c r="K1414" s="315"/>
      <c r="L1414" s="315"/>
    </row>
    <row r="1415" spans="1:12">
      <c r="A1415" s="315"/>
      <c r="B1415" s="315"/>
      <c r="C1415" s="315"/>
      <c r="D1415" s="315"/>
      <c r="E1415" s="315"/>
      <c r="F1415" s="315"/>
      <c r="G1415" s="315"/>
      <c r="H1415" s="315"/>
      <c r="I1415" s="315"/>
      <c r="J1415" s="315"/>
      <c r="K1415" s="315"/>
      <c r="L1415" s="315"/>
    </row>
    <row r="1416" spans="1:12">
      <c r="A1416" s="315"/>
      <c r="B1416" s="315"/>
      <c r="C1416" s="315"/>
      <c r="D1416" s="315"/>
      <c r="E1416" s="315"/>
      <c r="F1416" s="315"/>
      <c r="G1416" s="315"/>
      <c r="H1416" s="315"/>
      <c r="I1416" s="315"/>
      <c r="J1416" s="315"/>
      <c r="K1416" s="315"/>
      <c r="L1416" s="315"/>
    </row>
    <row r="1417" spans="1:12">
      <c r="A1417" s="315"/>
      <c r="B1417" s="315"/>
      <c r="C1417" s="315"/>
      <c r="D1417" s="315"/>
      <c r="E1417" s="315"/>
      <c r="F1417" s="315"/>
      <c r="G1417" s="315"/>
      <c r="H1417" s="315"/>
      <c r="I1417" s="315"/>
      <c r="J1417" s="315"/>
      <c r="K1417" s="315"/>
      <c r="L1417" s="315"/>
    </row>
    <row r="1418" spans="1:12">
      <c r="A1418" s="315"/>
      <c r="B1418" s="315"/>
      <c r="C1418" s="315"/>
      <c r="D1418" s="315"/>
      <c r="E1418" s="315"/>
      <c r="F1418" s="315"/>
      <c r="G1418" s="315"/>
      <c r="H1418" s="315"/>
      <c r="I1418" s="315"/>
      <c r="J1418" s="315"/>
      <c r="K1418" s="315"/>
      <c r="L1418" s="315"/>
    </row>
    <row r="1419" spans="1:12">
      <c r="A1419" s="315"/>
      <c r="B1419" s="315"/>
      <c r="C1419" s="315"/>
      <c r="D1419" s="315"/>
      <c r="E1419" s="315"/>
      <c r="F1419" s="315"/>
      <c r="G1419" s="315"/>
      <c r="H1419" s="315"/>
      <c r="I1419" s="315"/>
      <c r="J1419" s="315"/>
      <c r="K1419" s="315"/>
      <c r="L1419" s="315"/>
    </row>
    <row r="1420" spans="1:12">
      <c r="A1420" s="315"/>
      <c r="B1420" s="315"/>
      <c r="C1420" s="315"/>
      <c r="D1420" s="315"/>
      <c r="E1420" s="315"/>
      <c r="F1420" s="315"/>
      <c r="G1420" s="315"/>
      <c r="H1420" s="315"/>
      <c r="I1420" s="315"/>
      <c r="J1420" s="315"/>
      <c r="K1420" s="315"/>
      <c r="L1420" s="315"/>
    </row>
    <row r="1421" spans="1:12">
      <c r="A1421" s="315"/>
      <c r="B1421" s="315"/>
      <c r="C1421" s="315"/>
      <c r="D1421" s="315"/>
      <c r="E1421" s="315"/>
      <c r="F1421" s="315"/>
      <c r="G1421" s="315"/>
      <c r="H1421" s="315"/>
      <c r="I1421" s="315"/>
      <c r="J1421" s="315"/>
      <c r="K1421" s="315"/>
      <c r="L1421" s="315"/>
    </row>
    <row r="1422" spans="1:12">
      <c r="A1422" s="315"/>
      <c r="B1422" s="315"/>
      <c r="C1422" s="315"/>
      <c r="D1422" s="315"/>
      <c r="E1422" s="315"/>
      <c r="F1422" s="315"/>
      <c r="G1422" s="315"/>
      <c r="H1422" s="315"/>
      <c r="I1422" s="315"/>
      <c r="J1422" s="315"/>
      <c r="K1422" s="315"/>
      <c r="L1422" s="315"/>
    </row>
    <row r="1423" spans="1:12">
      <c r="A1423" s="315"/>
      <c r="B1423" s="315"/>
      <c r="C1423" s="315"/>
      <c r="D1423" s="315"/>
      <c r="E1423" s="315"/>
      <c r="F1423" s="315"/>
      <c r="G1423" s="315"/>
      <c r="H1423" s="315"/>
      <c r="I1423" s="315"/>
      <c r="J1423" s="315"/>
      <c r="K1423" s="315"/>
      <c r="L1423" s="315"/>
    </row>
    <row r="1424" spans="1:12">
      <c r="A1424" s="315"/>
      <c r="B1424" s="315"/>
      <c r="C1424" s="315"/>
      <c r="D1424" s="315"/>
      <c r="E1424" s="315"/>
      <c r="F1424" s="315"/>
      <c r="G1424" s="315"/>
      <c r="H1424" s="315"/>
      <c r="I1424" s="315"/>
      <c r="J1424" s="315"/>
      <c r="K1424" s="315"/>
      <c r="L1424" s="315"/>
    </row>
    <row r="1425" spans="1:12">
      <c r="A1425" s="315"/>
      <c r="B1425" s="315"/>
      <c r="C1425" s="315"/>
      <c r="D1425" s="315"/>
      <c r="E1425" s="315"/>
      <c r="F1425" s="315"/>
      <c r="G1425" s="315"/>
      <c r="H1425" s="315"/>
      <c r="I1425" s="315"/>
      <c r="J1425" s="315"/>
      <c r="K1425" s="315"/>
      <c r="L1425" s="315"/>
    </row>
    <row r="1426" spans="1:12">
      <c r="A1426" s="315"/>
      <c r="B1426" s="315"/>
      <c r="C1426" s="315"/>
      <c r="D1426" s="315"/>
      <c r="E1426" s="315"/>
      <c r="F1426" s="315"/>
      <c r="G1426" s="315"/>
      <c r="H1426" s="315"/>
      <c r="I1426" s="315"/>
      <c r="J1426" s="315"/>
      <c r="K1426" s="315"/>
      <c r="L1426" s="315"/>
    </row>
    <row r="1427" spans="1:12">
      <c r="A1427" s="315"/>
      <c r="B1427" s="315"/>
      <c r="C1427" s="315"/>
      <c r="D1427" s="315"/>
      <c r="E1427" s="315"/>
      <c r="F1427" s="315"/>
      <c r="G1427" s="315"/>
      <c r="H1427" s="315"/>
      <c r="I1427" s="315"/>
      <c r="J1427" s="315"/>
      <c r="K1427" s="315"/>
      <c r="L1427" s="315"/>
    </row>
    <row r="1428" spans="1:12">
      <c r="A1428" s="315"/>
      <c r="B1428" s="315"/>
      <c r="C1428" s="315"/>
      <c r="D1428" s="315"/>
      <c r="E1428" s="315"/>
      <c r="F1428" s="315"/>
      <c r="G1428" s="315"/>
      <c r="H1428" s="315"/>
      <c r="I1428" s="315"/>
      <c r="J1428" s="315"/>
      <c r="K1428" s="315"/>
      <c r="L1428" s="315"/>
    </row>
    <row r="1429" spans="1:12">
      <c r="A1429" s="315"/>
      <c r="B1429" s="315"/>
      <c r="C1429" s="315"/>
      <c r="D1429" s="315"/>
      <c r="E1429" s="315"/>
      <c r="F1429" s="315"/>
      <c r="G1429" s="315"/>
      <c r="H1429" s="315"/>
      <c r="I1429" s="315"/>
      <c r="J1429" s="315"/>
      <c r="K1429" s="315"/>
      <c r="L1429" s="315"/>
    </row>
    <row r="1430" spans="1:12">
      <c r="A1430" s="315"/>
      <c r="B1430" s="315"/>
      <c r="C1430" s="315"/>
      <c r="D1430" s="315"/>
      <c r="E1430" s="315"/>
      <c r="F1430" s="315"/>
      <c r="G1430" s="315"/>
      <c r="H1430" s="315"/>
      <c r="I1430" s="315"/>
      <c r="J1430" s="315"/>
      <c r="K1430" s="315"/>
      <c r="L1430" s="315"/>
    </row>
    <row r="1431" spans="1:12">
      <c r="A1431" s="315"/>
      <c r="B1431" s="315"/>
      <c r="C1431" s="315"/>
      <c r="D1431" s="315"/>
      <c r="E1431" s="315"/>
      <c r="F1431" s="315"/>
      <c r="G1431" s="315"/>
      <c r="H1431" s="315"/>
      <c r="I1431" s="315"/>
      <c r="J1431" s="315"/>
      <c r="K1431" s="315"/>
      <c r="L1431" s="315"/>
    </row>
    <row r="1432" spans="1:12">
      <c r="A1432" s="315"/>
      <c r="B1432" s="315"/>
      <c r="C1432" s="315"/>
      <c r="D1432" s="315"/>
      <c r="E1432" s="315"/>
      <c r="F1432" s="315"/>
      <c r="G1432" s="315"/>
      <c r="H1432" s="315"/>
      <c r="I1432" s="315"/>
      <c r="J1432" s="315"/>
      <c r="K1432" s="315"/>
      <c r="L1432" s="315"/>
    </row>
    <row r="1433" spans="1:12">
      <c r="A1433" s="315"/>
      <c r="B1433" s="315"/>
      <c r="C1433" s="315"/>
      <c r="D1433" s="315"/>
      <c r="E1433" s="315"/>
      <c r="F1433" s="315"/>
      <c r="G1433" s="315"/>
      <c r="H1433" s="315"/>
      <c r="I1433" s="315"/>
      <c r="J1433" s="315"/>
      <c r="K1433" s="315"/>
      <c r="L1433" s="315"/>
    </row>
    <row r="1434" spans="1:12">
      <c r="A1434" s="315"/>
      <c r="B1434" s="315"/>
      <c r="C1434" s="315"/>
      <c r="D1434" s="315"/>
      <c r="E1434" s="315"/>
      <c r="F1434" s="315"/>
      <c r="G1434" s="315"/>
      <c r="H1434" s="315"/>
      <c r="I1434" s="315"/>
      <c r="J1434" s="315"/>
      <c r="K1434" s="315"/>
      <c r="L1434" s="315"/>
    </row>
    <row r="1435" spans="1:12">
      <c r="A1435" s="315"/>
      <c r="B1435" s="315"/>
      <c r="C1435" s="315"/>
      <c r="D1435" s="315"/>
      <c r="E1435" s="315"/>
      <c r="F1435" s="315"/>
      <c r="G1435" s="315"/>
      <c r="H1435" s="315"/>
      <c r="I1435" s="315"/>
      <c r="J1435" s="315"/>
      <c r="K1435" s="315"/>
      <c r="L1435" s="315"/>
    </row>
    <row r="1436" spans="1:12">
      <c r="A1436" s="315"/>
      <c r="B1436" s="315"/>
      <c r="C1436" s="315"/>
      <c r="D1436" s="315"/>
      <c r="E1436" s="315"/>
      <c r="F1436" s="315"/>
      <c r="G1436" s="315"/>
      <c r="H1436" s="315"/>
      <c r="I1436" s="315"/>
      <c r="J1436" s="315"/>
      <c r="K1436" s="315"/>
      <c r="L1436" s="315"/>
    </row>
    <row r="1437" spans="1:12">
      <c r="A1437" s="315"/>
      <c r="B1437" s="315"/>
      <c r="C1437" s="315"/>
      <c r="D1437" s="315"/>
      <c r="E1437" s="315"/>
      <c r="F1437" s="315"/>
      <c r="G1437" s="315"/>
      <c r="H1437" s="315"/>
      <c r="I1437" s="315"/>
      <c r="J1437" s="315"/>
      <c r="K1437" s="315"/>
      <c r="L1437" s="315"/>
    </row>
    <row r="1438" spans="1:12">
      <c r="A1438" s="315"/>
      <c r="B1438" s="315"/>
      <c r="C1438" s="315"/>
      <c r="D1438" s="315"/>
      <c r="E1438" s="315"/>
      <c r="F1438" s="315"/>
      <c r="G1438" s="315"/>
      <c r="H1438" s="315"/>
      <c r="I1438" s="315"/>
      <c r="J1438" s="315"/>
      <c r="K1438" s="315"/>
      <c r="L1438" s="315"/>
    </row>
    <row r="1439" spans="1:12">
      <c r="A1439" s="315"/>
      <c r="B1439" s="315"/>
      <c r="C1439" s="315"/>
      <c r="D1439" s="315"/>
      <c r="E1439" s="315"/>
      <c r="F1439" s="315"/>
      <c r="G1439" s="315"/>
      <c r="H1439" s="315"/>
      <c r="I1439" s="315"/>
      <c r="J1439" s="315"/>
      <c r="K1439" s="315"/>
      <c r="L1439" s="315"/>
    </row>
    <row r="1440" spans="1:12">
      <c r="A1440" s="315"/>
      <c r="B1440" s="315"/>
      <c r="C1440" s="315"/>
      <c r="D1440" s="315"/>
      <c r="E1440" s="315"/>
      <c r="F1440" s="315"/>
      <c r="G1440" s="315"/>
      <c r="H1440" s="315"/>
      <c r="I1440" s="315"/>
      <c r="J1440" s="315"/>
      <c r="K1440" s="315"/>
      <c r="L1440" s="315"/>
    </row>
    <row r="1441" spans="1:12">
      <c r="A1441" s="315"/>
      <c r="B1441" s="315"/>
      <c r="C1441" s="315"/>
      <c r="D1441" s="315"/>
      <c r="E1441" s="315"/>
      <c r="F1441" s="315"/>
      <c r="G1441" s="315"/>
      <c r="H1441" s="315"/>
      <c r="I1441" s="315"/>
      <c r="J1441" s="315"/>
      <c r="K1441" s="315"/>
      <c r="L1441" s="315"/>
    </row>
    <row r="1442" spans="1:12">
      <c r="A1442" s="315"/>
      <c r="B1442" s="315"/>
      <c r="C1442" s="315"/>
      <c r="D1442" s="315"/>
      <c r="E1442" s="315"/>
      <c r="F1442" s="315"/>
      <c r="G1442" s="315"/>
      <c r="H1442" s="315"/>
      <c r="I1442" s="315"/>
      <c r="J1442" s="315"/>
      <c r="K1442" s="315"/>
      <c r="L1442" s="315"/>
    </row>
    <row r="1443" spans="1:12">
      <c r="A1443" s="315"/>
      <c r="B1443" s="315"/>
      <c r="C1443" s="315"/>
      <c r="D1443" s="315"/>
      <c r="E1443" s="315"/>
      <c r="F1443" s="315"/>
      <c r="G1443" s="315"/>
      <c r="H1443" s="315"/>
      <c r="I1443" s="315"/>
      <c r="J1443" s="315"/>
      <c r="K1443" s="315"/>
      <c r="L1443" s="315"/>
    </row>
    <row r="1444" spans="1:12">
      <c r="A1444" s="315"/>
      <c r="B1444" s="315"/>
      <c r="C1444" s="315"/>
      <c r="D1444" s="315"/>
      <c r="E1444" s="315"/>
      <c r="F1444" s="315"/>
      <c r="G1444" s="315"/>
      <c r="H1444" s="315"/>
      <c r="I1444" s="315"/>
      <c r="J1444" s="315"/>
      <c r="K1444" s="315"/>
      <c r="L1444" s="315"/>
    </row>
    <row r="1445" spans="1:12">
      <c r="A1445" s="315"/>
      <c r="B1445" s="315"/>
      <c r="C1445" s="315"/>
      <c r="D1445" s="315"/>
      <c r="E1445" s="315"/>
      <c r="F1445" s="315"/>
      <c r="G1445" s="315"/>
      <c r="H1445" s="315"/>
      <c r="I1445" s="315"/>
      <c r="J1445" s="315"/>
      <c r="K1445" s="315"/>
      <c r="L1445" s="315"/>
    </row>
    <row r="1446" spans="1:12">
      <c r="A1446" s="315"/>
      <c r="B1446" s="315"/>
      <c r="C1446" s="315"/>
      <c r="D1446" s="315"/>
      <c r="E1446" s="315"/>
      <c r="F1446" s="315"/>
      <c r="G1446" s="315"/>
      <c r="H1446" s="315"/>
      <c r="I1446" s="315"/>
      <c r="J1446" s="315"/>
      <c r="K1446" s="315"/>
      <c r="L1446" s="315"/>
    </row>
    <row r="1447" spans="1:12">
      <c r="A1447" s="315"/>
      <c r="B1447" s="315"/>
      <c r="C1447" s="315"/>
      <c r="D1447" s="315"/>
      <c r="E1447" s="315"/>
      <c r="F1447" s="315"/>
      <c r="G1447" s="315"/>
      <c r="H1447" s="315"/>
      <c r="I1447" s="315"/>
      <c r="J1447" s="315"/>
      <c r="K1447" s="315"/>
      <c r="L1447" s="315"/>
    </row>
    <row r="1448" spans="1:12">
      <c r="A1448" s="315"/>
      <c r="B1448" s="315"/>
      <c r="C1448" s="315"/>
      <c r="D1448" s="315"/>
      <c r="E1448" s="315"/>
      <c r="F1448" s="315"/>
      <c r="G1448" s="315"/>
      <c r="H1448" s="315"/>
      <c r="I1448" s="315"/>
      <c r="J1448" s="315"/>
      <c r="K1448" s="315"/>
      <c r="L1448" s="315"/>
    </row>
    <row r="1449" spans="1:12">
      <c r="A1449" s="315"/>
      <c r="B1449" s="315"/>
      <c r="C1449" s="315"/>
      <c r="D1449" s="315"/>
      <c r="E1449" s="315"/>
      <c r="F1449" s="315"/>
      <c r="G1449" s="315"/>
      <c r="H1449" s="315"/>
      <c r="I1449" s="315"/>
      <c r="J1449" s="315"/>
      <c r="K1449" s="315"/>
      <c r="L1449" s="315"/>
    </row>
    <row r="1450" spans="1:12">
      <c r="A1450" s="315"/>
      <c r="B1450" s="315"/>
      <c r="C1450" s="315"/>
      <c r="D1450" s="315"/>
      <c r="E1450" s="315"/>
      <c r="F1450" s="315"/>
      <c r="G1450" s="315"/>
      <c r="H1450" s="315"/>
      <c r="I1450" s="315"/>
      <c r="J1450" s="315"/>
      <c r="K1450" s="315"/>
      <c r="L1450" s="315"/>
    </row>
    <row r="1451" spans="1:12">
      <c r="A1451" s="315"/>
      <c r="B1451" s="315"/>
      <c r="C1451" s="315"/>
      <c r="D1451" s="315"/>
      <c r="E1451" s="315"/>
      <c r="F1451" s="315"/>
      <c r="G1451" s="315"/>
      <c r="H1451" s="315"/>
      <c r="I1451" s="315"/>
      <c r="J1451" s="315"/>
      <c r="K1451" s="315"/>
      <c r="L1451" s="315"/>
    </row>
    <row r="1452" spans="1:12">
      <c r="A1452" s="315"/>
      <c r="B1452" s="315"/>
      <c r="C1452" s="315"/>
      <c r="D1452" s="315"/>
      <c r="E1452" s="315"/>
      <c r="F1452" s="315"/>
      <c r="G1452" s="315"/>
      <c r="H1452" s="315"/>
      <c r="I1452" s="315"/>
      <c r="J1452" s="315"/>
      <c r="K1452" s="315"/>
      <c r="L1452" s="315"/>
    </row>
    <row r="1453" spans="1:12">
      <c r="A1453" s="315"/>
      <c r="B1453" s="315"/>
      <c r="C1453" s="315"/>
      <c r="D1453" s="315"/>
      <c r="E1453" s="315"/>
      <c r="F1453" s="315"/>
      <c r="G1453" s="315"/>
      <c r="H1453" s="315"/>
      <c r="I1453" s="315"/>
      <c r="J1453" s="315"/>
      <c r="K1453" s="315"/>
      <c r="L1453" s="315"/>
    </row>
    <row r="1454" spans="1:12">
      <c r="A1454" s="315"/>
      <c r="B1454" s="315"/>
      <c r="C1454" s="315"/>
      <c r="D1454" s="315"/>
      <c r="E1454" s="315"/>
      <c r="F1454" s="315"/>
      <c r="G1454" s="315"/>
      <c r="H1454" s="315"/>
      <c r="I1454" s="315"/>
      <c r="J1454" s="315"/>
      <c r="K1454" s="315"/>
      <c r="L1454" s="315"/>
    </row>
    <row r="1455" spans="1:12">
      <c r="A1455" s="315"/>
      <c r="B1455" s="315"/>
      <c r="C1455" s="315"/>
      <c r="D1455" s="315"/>
      <c r="E1455" s="315"/>
      <c r="F1455" s="315"/>
      <c r="G1455" s="315"/>
      <c r="H1455" s="315"/>
      <c r="I1455" s="315"/>
      <c r="J1455" s="315"/>
      <c r="K1455" s="315"/>
      <c r="L1455" s="315"/>
    </row>
    <row r="1456" spans="1:12">
      <c r="A1456" s="315"/>
      <c r="B1456" s="315"/>
      <c r="C1456" s="315"/>
      <c r="D1456" s="315"/>
      <c r="E1456" s="315"/>
      <c r="F1456" s="315"/>
      <c r="G1456" s="315"/>
      <c r="H1456" s="315"/>
      <c r="I1456" s="315"/>
      <c r="J1456" s="315"/>
      <c r="K1456" s="315"/>
      <c r="L1456" s="315"/>
    </row>
    <row r="1457" spans="1:12">
      <c r="A1457" s="315"/>
      <c r="B1457" s="315"/>
      <c r="C1457" s="315"/>
      <c r="D1457" s="315"/>
      <c r="E1457" s="315"/>
      <c r="F1457" s="315"/>
      <c r="G1457" s="315"/>
      <c r="H1457" s="315"/>
      <c r="I1457" s="315"/>
      <c r="J1457" s="315"/>
      <c r="K1457" s="315"/>
      <c r="L1457" s="315"/>
    </row>
    <row r="1458" spans="1:12">
      <c r="A1458" s="315"/>
      <c r="B1458" s="315"/>
      <c r="C1458" s="315"/>
      <c r="D1458" s="315"/>
      <c r="E1458" s="315"/>
      <c r="F1458" s="315"/>
      <c r="G1458" s="315"/>
      <c r="H1458" s="315"/>
      <c r="I1458" s="315"/>
      <c r="J1458" s="315"/>
      <c r="K1458" s="315"/>
      <c r="L1458" s="315"/>
    </row>
    <row r="1459" spans="1:12">
      <c r="A1459" s="315"/>
      <c r="B1459" s="315"/>
      <c r="C1459" s="315"/>
      <c r="D1459" s="315"/>
      <c r="E1459" s="315"/>
      <c r="F1459" s="315"/>
      <c r="G1459" s="315"/>
      <c r="H1459" s="315"/>
      <c r="I1459" s="315"/>
      <c r="J1459" s="315"/>
      <c r="K1459" s="315"/>
      <c r="L1459" s="315"/>
    </row>
    <row r="1460" spans="1:12">
      <c r="A1460" s="315"/>
      <c r="B1460" s="315"/>
      <c r="C1460" s="315"/>
      <c r="D1460" s="315"/>
      <c r="E1460" s="315"/>
      <c r="F1460" s="315"/>
      <c r="G1460" s="315"/>
      <c r="H1460" s="315"/>
      <c r="I1460" s="315"/>
      <c r="J1460" s="315"/>
      <c r="K1460" s="315"/>
      <c r="L1460" s="315"/>
    </row>
    <row r="1461" spans="1:12">
      <c r="A1461" s="315"/>
      <c r="B1461" s="315"/>
      <c r="C1461" s="315"/>
      <c r="D1461" s="315"/>
      <c r="E1461" s="315"/>
      <c r="F1461" s="315"/>
      <c r="G1461" s="315"/>
      <c r="H1461" s="315"/>
      <c r="I1461" s="315"/>
      <c r="J1461" s="315"/>
      <c r="K1461" s="315"/>
      <c r="L1461" s="315"/>
    </row>
    <row r="1462" spans="1:12">
      <c r="A1462" s="315"/>
      <c r="B1462" s="315"/>
      <c r="C1462" s="315"/>
      <c r="D1462" s="315"/>
      <c r="E1462" s="315"/>
      <c r="F1462" s="315"/>
      <c r="G1462" s="315"/>
      <c r="H1462" s="315"/>
      <c r="I1462" s="315"/>
      <c r="J1462" s="315"/>
      <c r="K1462" s="315"/>
      <c r="L1462" s="315"/>
    </row>
    <row r="1463" spans="1:12">
      <c r="A1463" s="315"/>
      <c r="B1463" s="315"/>
      <c r="C1463" s="315"/>
      <c r="D1463" s="315"/>
      <c r="E1463" s="315"/>
      <c r="F1463" s="315"/>
      <c r="G1463" s="315"/>
      <c r="H1463" s="315"/>
      <c r="I1463" s="315"/>
      <c r="J1463" s="315"/>
      <c r="K1463" s="315"/>
      <c r="L1463" s="315"/>
    </row>
    <row r="1464" spans="1:12">
      <c r="A1464" s="315"/>
      <c r="B1464" s="315"/>
      <c r="C1464" s="315"/>
      <c r="D1464" s="315"/>
      <c r="E1464" s="315"/>
      <c r="F1464" s="315"/>
      <c r="G1464" s="315"/>
      <c r="H1464" s="315"/>
      <c r="I1464" s="315"/>
      <c r="J1464" s="315"/>
      <c r="K1464" s="315"/>
      <c r="L1464" s="315"/>
    </row>
    <row r="1465" spans="1:12">
      <c r="A1465" s="315"/>
      <c r="B1465" s="315"/>
      <c r="C1465" s="315"/>
      <c r="D1465" s="315"/>
      <c r="E1465" s="315"/>
      <c r="F1465" s="315"/>
      <c r="G1465" s="315"/>
      <c r="H1465" s="315"/>
      <c r="I1465" s="315"/>
      <c r="J1465" s="315"/>
      <c r="K1465" s="315"/>
      <c r="L1465" s="315"/>
    </row>
    <row r="1466" spans="1:12">
      <c r="A1466" s="315"/>
      <c r="B1466" s="315"/>
      <c r="C1466" s="315"/>
      <c r="D1466" s="315"/>
      <c r="E1466" s="315"/>
      <c r="F1466" s="315"/>
      <c r="G1466" s="315"/>
      <c r="H1466" s="315"/>
      <c r="I1466" s="315"/>
      <c r="J1466" s="315"/>
      <c r="K1466" s="315"/>
      <c r="L1466" s="315"/>
    </row>
    <row r="1467" spans="1:12">
      <c r="A1467" s="315"/>
      <c r="B1467" s="315"/>
      <c r="C1467" s="315"/>
      <c r="D1467" s="315"/>
      <c r="E1467" s="315"/>
      <c r="F1467" s="315"/>
      <c r="G1467" s="315"/>
      <c r="H1467" s="315"/>
      <c r="I1467" s="315"/>
      <c r="J1467" s="315"/>
      <c r="K1467" s="315"/>
      <c r="L1467" s="315"/>
    </row>
    <row r="1468" spans="1:12">
      <c r="A1468" s="315"/>
      <c r="B1468" s="315"/>
      <c r="C1468" s="315"/>
      <c r="D1468" s="315"/>
      <c r="E1468" s="315"/>
      <c r="F1468" s="315"/>
      <c r="G1468" s="315"/>
      <c r="H1468" s="315"/>
      <c r="I1468" s="315"/>
      <c r="J1468" s="315"/>
      <c r="K1468" s="315"/>
      <c r="L1468" s="315"/>
    </row>
    <row r="1469" spans="1:12">
      <c r="A1469" s="315"/>
      <c r="B1469" s="315"/>
      <c r="C1469" s="315"/>
      <c r="D1469" s="315"/>
      <c r="E1469" s="315"/>
      <c r="F1469" s="315"/>
      <c r="G1469" s="315"/>
      <c r="H1469" s="315"/>
      <c r="I1469" s="315"/>
      <c r="J1469" s="315"/>
      <c r="K1469" s="315"/>
      <c r="L1469" s="315"/>
    </row>
    <row r="1470" spans="1:12">
      <c r="A1470" s="315"/>
      <c r="B1470" s="315"/>
      <c r="C1470" s="315"/>
      <c r="D1470" s="315"/>
      <c r="E1470" s="315"/>
      <c r="F1470" s="315"/>
      <c r="G1470" s="315"/>
      <c r="H1470" s="315"/>
      <c r="I1470" s="315"/>
      <c r="J1470" s="315"/>
      <c r="K1470" s="315"/>
      <c r="L1470" s="315"/>
    </row>
    <row r="1471" spans="1:12">
      <c r="A1471" s="315"/>
      <c r="B1471" s="315"/>
      <c r="C1471" s="315"/>
      <c r="D1471" s="315"/>
      <c r="E1471" s="315"/>
      <c r="F1471" s="315"/>
      <c r="G1471" s="315"/>
      <c r="H1471" s="315"/>
      <c r="I1471" s="315"/>
      <c r="J1471" s="315"/>
      <c r="K1471" s="315"/>
      <c r="L1471" s="315"/>
    </row>
    <row r="1472" spans="1:12">
      <c r="A1472" s="315"/>
      <c r="B1472" s="315"/>
      <c r="C1472" s="315"/>
      <c r="D1472" s="315"/>
      <c r="E1472" s="315"/>
      <c r="F1472" s="315"/>
      <c r="G1472" s="315"/>
      <c r="H1472" s="315"/>
      <c r="I1472" s="315"/>
      <c r="J1472" s="315"/>
      <c r="K1472" s="315"/>
      <c r="L1472" s="315"/>
    </row>
    <row r="1473" spans="1:12">
      <c r="A1473" s="315"/>
      <c r="B1473" s="315"/>
      <c r="C1473" s="315"/>
      <c r="D1473" s="315"/>
      <c r="E1473" s="315"/>
      <c r="F1473" s="315"/>
      <c r="G1473" s="315"/>
      <c r="H1473" s="315"/>
      <c r="I1473" s="315"/>
      <c r="J1473" s="315"/>
      <c r="K1473" s="315"/>
      <c r="L1473" s="315"/>
    </row>
    <row r="1474" spans="1:12">
      <c r="A1474" s="315"/>
      <c r="B1474" s="315"/>
      <c r="C1474" s="315"/>
      <c r="D1474" s="315"/>
      <c r="E1474" s="315"/>
      <c r="F1474" s="315"/>
      <c r="G1474" s="315"/>
      <c r="H1474" s="315"/>
      <c r="I1474" s="315"/>
      <c r="J1474" s="315"/>
      <c r="K1474" s="315"/>
      <c r="L1474" s="315"/>
    </row>
    <row r="1475" spans="1:12">
      <c r="A1475" s="315"/>
      <c r="B1475" s="315"/>
      <c r="C1475" s="315"/>
      <c r="D1475" s="315"/>
      <c r="E1475" s="315"/>
      <c r="F1475" s="315"/>
      <c r="G1475" s="315"/>
      <c r="H1475" s="315"/>
      <c r="I1475" s="315"/>
      <c r="J1475" s="315"/>
      <c r="K1475" s="315"/>
      <c r="L1475" s="315"/>
    </row>
    <row r="1476" spans="1:12">
      <c r="A1476" s="315"/>
      <c r="B1476" s="315"/>
      <c r="C1476" s="315"/>
      <c r="D1476" s="315"/>
      <c r="E1476" s="315"/>
      <c r="F1476" s="315"/>
      <c r="G1476" s="315"/>
      <c r="H1476" s="315"/>
      <c r="I1476" s="315"/>
      <c r="J1476" s="315"/>
      <c r="K1476" s="315"/>
      <c r="L1476" s="315"/>
    </row>
    <row r="1477" spans="1:12">
      <c r="A1477" s="315"/>
      <c r="B1477" s="315"/>
      <c r="C1477" s="315"/>
      <c r="D1477" s="315"/>
      <c r="E1477" s="315"/>
      <c r="F1477" s="315"/>
      <c r="G1477" s="315"/>
      <c r="H1477" s="315"/>
      <c r="I1477" s="315"/>
      <c r="J1477" s="315"/>
      <c r="K1477" s="315"/>
      <c r="L1477" s="315"/>
    </row>
    <row r="1478" spans="1:12">
      <c r="A1478" s="315"/>
      <c r="B1478" s="315"/>
      <c r="C1478" s="315"/>
      <c r="D1478" s="315"/>
      <c r="E1478" s="315"/>
      <c r="F1478" s="315"/>
      <c r="G1478" s="315"/>
      <c r="H1478" s="315"/>
      <c r="I1478" s="315"/>
      <c r="J1478" s="315"/>
      <c r="K1478" s="315"/>
      <c r="L1478" s="315"/>
    </row>
    <row r="1479" spans="1:12">
      <c r="A1479" s="315"/>
      <c r="B1479" s="315"/>
      <c r="C1479" s="315"/>
      <c r="D1479" s="315"/>
      <c r="E1479" s="315"/>
      <c r="F1479" s="315"/>
      <c r="G1479" s="315"/>
      <c r="H1479" s="315"/>
      <c r="I1479" s="315"/>
      <c r="J1479" s="315"/>
      <c r="K1479" s="315"/>
      <c r="L1479" s="315"/>
    </row>
    <row r="1480" spans="1:12">
      <c r="A1480" s="315"/>
      <c r="B1480" s="315"/>
      <c r="C1480" s="315"/>
      <c r="D1480" s="315"/>
      <c r="E1480" s="315"/>
      <c r="F1480" s="315"/>
      <c r="G1480" s="315"/>
      <c r="H1480" s="315"/>
      <c r="I1480" s="315"/>
      <c r="J1480" s="315"/>
      <c r="K1480" s="315"/>
      <c r="L1480" s="315"/>
    </row>
    <row r="1481" spans="1:12">
      <c r="A1481" s="315"/>
      <c r="B1481" s="315"/>
      <c r="C1481" s="315"/>
      <c r="D1481" s="315"/>
      <c r="E1481" s="315"/>
      <c r="F1481" s="315"/>
      <c r="G1481" s="315"/>
      <c r="H1481" s="315"/>
      <c r="I1481" s="315"/>
      <c r="J1481" s="315"/>
      <c r="K1481" s="315"/>
      <c r="L1481" s="315"/>
    </row>
    <row r="1482" spans="1:12">
      <c r="A1482" s="315"/>
      <c r="B1482" s="315"/>
      <c r="C1482" s="315"/>
      <c r="D1482" s="315"/>
      <c r="E1482" s="315"/>
      <c r="F1482" s="315"/>
      <c r="G1482" s="315"/>
      <c r="H1482" s="315"/>
      <c r="I1482" s="315"/>
      <c r="J1482" s="315"/>
      <c r="K1482" s="315"/>
      <c r="L1482" s="315"/>
    </row>
    <row r="1483" spans="1:12">
      <c r="A1483" s="315"/>
      <c r="B1483" s="315"/>
      <c r="C1483" s="315"/>
      <c r="D1483" s="315"/>
      <c r="E1483" s="315"/>
      <c r="F1483" s="315"/>
      <c r="G1483" s="315"/>
      <c r="H1483" s="315"/>
      <c r="I1483" s="315"/>
      <c r="J1483" s="315"/>
      <c r="K1483" s="315"/>
      <c r="L1483" s="315"/>
    </row>
    <row r="1484" spans="1:12">
      <c r="A1484" s="315"/>
      <c r="B1484" s="315"/>
      <c r="C1484" s="315"/>
      <c r="D1484" s="315"/>
      <c r="E1484" s="315"/>
      <c r="F1484" s="315"/>
      <c r="G1484" s="315"/>
      <c r="H1484" s="315"/>
      <c r="I1484" s="315"/>
      <c r="J1484" s="315"/>
      <c r="K1484" s="315"/>
      <c r="L1484" s="315"/>
    </row>
    <row r="1485" spans="1:12">
      <c r="A1485" s="315"/>
      <c r="B1485" s="315"/>
      <c r="C1485" s="315"/>
      <c r="D1485" s="315"/>
      <c r="E1485" s="315"/>
      <c r="F1485" s="315"/>
      <c r="G1485" s="315"/>
      <c r="H1485" s="315"/>
      <c r="I1485" s="315"/>
      <c r="J1485" s="315"/>
      <c r="K1485" s="315"/>
      <c r="L1485" s="315"/>
    </row>
    <row r="1486" spans="1:12">
      <c r="A1486" s="315"/>
      <c r="B1486" s="315"/>
      <c r="C1486" s="315"/>
      <c r="D1486" s="315"/>
      <c r="E1486" s="315"/>
      <c r="F1486" s="315"/>
      <c r="G1486" s="315"/>
      <c r="H1486" s="315"/>
      <c r="I1486" s="315"/>
      <c r="J1486" s="315"/>
      <c r="K1486" s="315"/>
      <c r="L1486" s="315"/>
    </row>
    <row r="1487" spans="1:12">
      <c r="A1487" s="315"/>
      <c r="B1487" s="315"/>
      <c r="C1487" s="315"/>
      <c r="D1487" s="315"/>
      <c r="E1487" s="315"/>
      <c r="F1487" s="315"/>
      <c r="G1487" s="315"/>
      <c r="H1487" s="315"/>
      <c r="I1487" s="315"/>
      <c r="J1487" s="315"/>
      <c r="K1487" s="315"/>
      <c r="L1487" s="315"/>
    </row>
    <row r="1488" spans="1:12">
      <c r="A1488" s="315"/>
      <c r="B1488" s="315"/>
      <c r="C1488" s="315"/>
      <c r="D1488" s="315"/>
      <c r="E1488" s="315"/>
      <c r="F1488" s="315"/>
      <c r="G1488" s="315"/>
      <c r="H1488" s="315"/>
      <c r="I1488" s="315"/>
      <c r="J1488" s="315"/>
      <c r="K1488" s="315"/>
      <c r="L1488" s="315"/>
    </row>
    <row r="1489" spans="1:12">
      <c r="A1489" s="315"/>
      <c r="B1489" s="315"/>
      <c r="C1489" s="315"/>
      <c r="D1489" s="315"/>
      <c r="E1489" s="315"/>
      <c r="F1489" s="315"/>
      <c r="G1489" s="315"/>
      <c r="H1489" s="315"/>
      <c r="I1489" s="315"/>
      <c r="J1489" s="315"/>
      <c r="K1489" s="315"/>
      <c r="L1489" s="315"/>
    </row>
    <row r="1490" spans="1:12">
      <c r="A1490" s="315"/>
      <c r="B1490" s="315"/>
      <c r="C1490" s="315"/>
      <c r="D1490" s="315"/>
      <c r="E1490" s="315"/>
      <c r="F1490" s="315"/>
      <c r="G1490" s="315"/>
      <c r="H1490" s="315"/>
      <c r="I1490" s="315"/>
      <c r="J1490" s="315"/>
      <c r="K1490" s="315"/>
      <c r="L1490" s="315"/>
    </row>
    <row r="1491" spans="1:12">
      <c r="A1491" s="315"/>
      <c r="B1491" s="315"/>
      <c r="C1491" s="315"/>
      <c r="D1491" s="315"/>
      <c r="E1491" s="315"/>
      <c r="F1491" s="315"/>
      <c r="G1491" s="315"/>
      <c r="H1491" s="315"/>
      <c r="I1491" s="315"/>
      <c r="J1491" s="315"/>
      <c r="K1491" s="315"/>
      <c r="L1491" s="315"/>
    </row>
    <row r="1492" spans="1:12">
      <c r="A1492" s="315"/>
      <c r="B1492" s="315"/>
      <c r="C1492" s="315"/>
      <c r="D1492" s="315"/>
      <c r="E1492" s="315"/>
      <c r="F1492" s="315"/>
      <c r="G1492" s="315"/>
      <c r="H1492" s="315"/>
      <c r="I1492" s="315"/>
      <c r="J1492" s="315"/>
      <c r="K1492" s="315"/>
      <c r="L1492" s="315"/>
    </row>
    <row r="1493" spans="1:12">
      <c r="A1493" s="315"/>
      <c r="B1493" s="315"/>
      <c r="C1493" s="315"/>
      <c r="D1493" s="315"/>
      <c r="E1493" s="315"/>
      <c r="F1493" s="315"/>
      <c r="G1493" s="315"/>
      <c r="H1493" s="315"/>
      <c r="I1493" s="315"/>
      <c r="J1493" s="315"/>
      <c r="K1493" s="315"/>
      <c r="L1493" s="315"/>
    </row>
    <row r="1494" spans="1:12">
      <c r="A1494" s="315"/>
      <c r="B1494" s="315"/>
      <c r="C1494" s="315"/>
      <c r="D1494" s="315"/>
      <c r="E1494" s="315"/>
      <c r="F1494" s="315"/>
      <c r="G1494" s="315"/>
      <c r="H1494" s="315"/>
      <c r="I1494" s="315"/>
      <c r="J1494" s="315"/>
      <c r="K1494" s="315"/>
      <c r="L1494" s="315"/>
    </row>
    <row r="1495" spans="1:12">
      <c r="A1495" s="315"/>
      <c r="B1495" s="315"/>
      <c r="C1495" s="315"/>
      <c r="D1495" s="315"/>
      <c r="E1495" s="315"/>
      <c r="F1495" s="315"/>
      <c r="G1495" s="315"/>
      <c r="H1495" s="315"/>
      <c r="I1495" s="315"/>
      <c r="J1495" s="315"/>
      <c r="K1495" s="315"/>
      <c r="L1495" s="315"/>
    </row>
    <row r="1496" spans="1:12">
      <c r="A1496" s="315"/>
      <c r="B1496" s="315"/>
      <c r="C1496" s="315"/>
      <c r="D1496" s="315"/>
      <c r="E1496" s="315"/>
      <c r="F1496" s="315"/>
      <c r="G1496" s="315"/>
      <c r="H1496" s="315"/>
      <c r="I1496" s="315"/>
      <c r="J1496" s="315"/>
      <c r="K1496" s="315"/>
      <c r="L1496" s="315"/>
    </row>
    <row r="1497" spans="1:12">
      <c r="A1497" s="315"/>
      <c r="B1497" s="315"/>
      <c r="C1497" s="315"/>
      <c r="D1497" s="315"/>
      <c r="E1497" s="315"/>
      <c r="F1497" s="315"/>
      <c r="G1497" s="315"/>
      <c r="H1497" s="315"/>
      <c r="I1497" s="315"/>
      <c r="J1497" s="315"/>
      <c r="K1497" s="315"/>
      <c r="L1497" s="315"/>
    </row>
    <row r="1498" spans="1:12">
      <c r="A1498" s="315"/>
      <c r="B1498" s="315"/>
      <c r="C1498" s="315"/>
      <c r="D1498" s="315"/>
      <c r="E1498" s="315"/>
      <c r="F1498" s="315"/>
      <c r="G1498" s="315"/>
      <c r="H1498" s="315"/>
      <c r="I1498" s="315"/>
      <c r="J1498" s="315"/>
      <c r="K1498" s="315"/>
      <c r="L1498" s="315"/>
    </row>
    <row r="1499" spans="1:12">
      <c r="A1499" s="315"/>
      <c r="B1499" s="315"/>
      <c r="C1499" s="315"/>
      <c r="D1499" s="315"/>
      <c r="E1499" s="315"/>
      <c r="F1499" s="315"/>
      <c r="G1499" s="315"/>
      <c r="H1499" s="315"/>
      <c r="I1499" s="315"/>
      <c r="J1499" s="315"/>
      <c r="K1499" s="315"/>
      <c r="L1499" s="315"/>
    </row>
    <row r="1500" spans="1:12">
      <c r="A1500" s="315"/>
      <c r="B1500" s="315"/>
      <c r="C1500" s="315"/>
      <c r="D1500" s="315"/>
      <c r="E1500" s="315"/>
      <c r="F1500" s="315"/>
      <c r="G1500" s="315"/>
      <c r="H1500" s="315"/>
      <c r="I1500" s="315"/>
      <c r="J1500" s="315"/>
      <c r="K1500" s="315"/>
      <c r="L1500" s="315"/>
    </row>
    <row r="1501" spans="1:12">
      <c r="A1501" s="315"/>
      <c r="B1501" s="315"/>
      <c r="C1501" s="315"/>
      <c r="D1501" s="315"/>
      <c r="E1501" s="315"/>
      <c r="F1501" s="315"/>
      <c r="G1501" s="315"/>
      <c r="H1501" s="315"/>
      <c r="I1501" s="315"/>
      <c r="J1501" s="315"/>
      <c r="K1501" s="315"/>
      <c r="L1501" s="315"/>
    </row>
    <row r="1502" spans="1:12">
      <c r="A1502" s="315"/>
      <c r="B1502" s="315"/>
      <c r="C1502" s="315"/>
      <c r="D1502" s="315"/>
      <c r="E1502" s="315"/>
      <c r="F1502" s="315"/>
      <c r="G1502" s="315"/>
      <c r="H1502" s="315"/>
      <c r="I1502" s="315"/>
      <c r="J1502" s="315"/>
      <c r="K1502" s="315"/>
      <c r="L1502" s="315"/>
    </row>
    <row r="1503" spans="1:12">
      <c r="A1503" s="315"/>
      <c r="B1503" s="315"/>
      <c r="C1503" s="315"/>
      <c r="D1503" s="315"/>
      <c r="E1503" s="315"/>
      <c r="F1503" s="315"/>
      <c r="G1503" s="315"/>
      <c r="H1503" s="315"/>
      <c r="I1503" s="315"/>
      <c r="J1503" s="315"/>
      <c r="K1503" s="315"/>
      <c r="L1503" s="315"/>
    </row>
    <row r="1504" spans="1:12">
      <c r="A1504" s="315"/>
      <c r="B1504" s="315"/>
      <c r="C1504" s="315"/>
      <c r="D1504" s="315"/>
      <c r="E1504" s="315"/>
      <c r="F1504" s="315"/>
      <c r="G1504" s="315"/>
      <c r="H1504" s="315"/>
      <c r="I1504" s="315"/>
      <c r="J1504" s="315"/>
      <c r="K1504" s="315"/>
      <c r="L1504" s="315"/>
    </row>
    <row r="1505" spans="1:12">
      <c r="A1505" s="315"/>
      <c r="B1505" s="315"/>
      <c r="C1505" s="315"/>
      <c r="D1505" s="315"/>
      <c r="E1505" s="315"/>
      <c r="F1505" s="315"/>
      <c r="G1505" s="315"/>
      <c r="H1505" s="315"/>
      <c r="I1505" s="315"/>
      <c r="J1505" s="315"/>
      <c r="K1505" s="315"/>
      <c r="L1505" s="315"/>
    </row>
    <row r="1506" spans="1:12">
      <c r="A1506" s="315"/>
      <c r="B1506" s="315"/>
      <c r="C1506" s="315"/>
      <c r="D1506" s="315"/>
      <c r="E1506" s="315"/>
      <c r="F1506" s="315"/>
      <c r="G1506" s="315"/>
      <c r="H1506" s="315"/>
      <c r="I1506" s="315"/>
      <c r="J1506" s="315"/>
      <c r="K1506" s="315"/>
      <c r="L1506" s="315"/>
    </row>
    <row r="1507" spans="1:12">
      <c r="A1507" s="315"/>
      <c r="B1507" s="315"/>
      <c r="C1507" s="315"/>
      <c r="D1507" s="315"/>
      <c r="E1507" s="315"/>
      <c r="F1507" s="315"/>
      <c r="G1507" s="315"/>
      <c r="H1507" s="315"/>
      <c r="I1507" s="315"/>
      <c r="J1507" s="315"/>
      <c r="K1507" s="315"/>
      <c r="L1507" s="315"/>
    </row>
    <row r="1508" spans="1:12">
      <c r="A1508" s="315"/>
      <c r="B1508" s="315"/>
      <c r="C1508" s="315"/>
      <c r="D1508" s="315"/>
      <c r="E1508" s="315"/>
      <c r="F1508" s="315"/>
      <c r="G1508" s="315"/>
      <c r="H1508" s="315"/>
      <c r="I1508" s="315"/>
      <c r="J1508" s="315"/>
      <c r="K1508" s="315"/>
      <c r="L1508" s="315"/>
    </row>
    <row r="1509" spans="1:12">
      <c r="A1509" s="315"/>
      <c r="B1509" s="315"/>
      <c r="C1509" s="315"/>
      <c r="D1509" s="315"/>
      <c r="E1509" s="315"/>
      <c r="F1509" s="315"/>
      <c r="G1509" s="315"/>
      <c r="H1509" s="315"/>
      <c r="I1509" s="315"/>
      <c r="J1509" s="315"/>
      <c r="K1509" s="315"/>
      <c r="L1509" s="315"/>
    </row>
    <row r="1510" spans="1:12">
      <c r="A1510" s="315"/>
      <c r="B1510" s="315"/>
      <c r="C1510" s="315"/>
      <c r="D1510" s="315"/>
      <c r="E1510" s="315"/>
      <c r="F1510" s="315"/>
      <c r="G1510" s="315"/>
      <c r="H1510" s="315"/>
      <c r="I1510" s="315"/>
      <c r="J1510" s="315"/>
      <c r="K1510" s="315"/>
      <c r="L1510" s="315"/>
    </row>
    <row r="1511" spans="1:12">
      <c r="A1511" s="315"/>
      <c r="B1511" s="315"/>
      <c r="C1511" s="315"/>
      <c r="D1511" s="315"/>
      <c r="E1511" s="315"/>
      <c r="F1511" s="315"/>
      <c r="G1511" s="315"/>
      <c r="H1511" s="315"/>
      <c r="I1511" s="315"/>
      <c r="J1511" s="315"/>
      <c r="K1511" s="315"/>
      <c r="L1511" s="315"/>
    </row>
    <row r="1512" spans="1:12">
      <c r="A1512" s="315"/>
      <c r="B1512" s="315"/>
      <c r="C1512" s="315"/>
      <c r="D1512" s="315"/>
      <c r="E1512" s="315"/>
      <c r="F1512" s="315"/>
      <c r="G1512" s="315"/>
      <c r="H1512" s="315"/>
      <c r="I1512" s="315"/>
      <c r="J1512" s="315"/>
      <c r="K1512" s="315"/>
      <c r="L1512" s="315"/>
    </row>
    <row r="1513" spans="1:12">
      <c r="A1513" s="315"/>
      <c r="B1513" s="315"/>
      <c r="C1513" s="315"/>
      <c r="D1513" s="315"/>
      <c r="E1513" s="315"/>
      <c r="F1513" s="315"/>
      <c r="G1513" s="315"/>
      <c r="H1513" s="315"/>
      <c r="I1513" s="315"/>
      <c r="J1513" s="315"/>
      <c r="K1513" s="315"/>
      <c r="L1513" s="315"/>
    </row>
    <row r="1514" spans="1:12">
      <c r="A1514" s="315"/>
      <c r="B1514" s="315"/>
      <c r="C1514" s="315"/>
      <c r="D1514" s="315"/>
      <c r="E1514" s="315"/>
      <c r="F1514" s="315"/>
      <c r="G1514" s="315"/>
      <c r="H1514" s="315"/>
      <c r="I1514" s="315"/>
      <c r="J1514" s="315"/>
      <c r="K1514" s="315"/>
      <c r="L1514" s="315"/>
    </row>
    <row r="1515" spans="1:12">
      <c r="A1515" s="315"/>
      <c r="B1515" s="315"/>
      <c r="C1515" s="315"/>
      <c r="D1515" s="315"/>
      <c r="E1515" s="315"/>
      <c r="F1515" s="315"/>
      <c r="G1515" s="315"/>
      <c r="H1515" s="315"/>
      <c r="I1515" s="315"/>
      <c r="J1515" s="315"/>
      <c r="K1515" s="315"/>
      <c r="L1515" s="315"/>
    </row>
    <row r="1516" spans="1:12">
      <c r="A1516" s="315"/>
      <c r="B1516" s="315"/>
      <c r="C1516" s="315"/>
      <c r="D1516" s="315"/>
      <c r="E1516" s="315"/>
      <c r="F1516" s="315"/>
      <c r="G1516" s="315"/>
      <c r="H1516" s="315"/>
      <c r="I1516" s="315"/>
      <c r="J1516" s="315"/>
      <c r="K1516" s="315"/>
      <c r="L1516" s="315"/>
    </row>
    <row r="1517" spans="1:12">
      <c r="A1517" s="315"/>
      <c r="B1517" s="315"/>
      <c r="C1517" s="315"/>
      <c r="D1517" s="315"/>
      <c r="E1517" s="315"/>
      <c r="F1517" s="315"/>
      <c r="G1517" s="315"/>
      <c r="H1517" s="315"/>
      <c r="I1517" s="315"/>
      <c r="J1517" s="315"/>
      <c r="K1517" s="315"/>
      <c r="L1517" s="315"/>
    </row>
    <row r="1518" spans="1:12">
      <c r="A1518" s="315"/>
      <c r="B1518" s="315"/>
      <c r="C1518" s="315"/>
      <c r="D1518" s="315"/>
      <c r="E1518" s="315"/>
      <c r="F1518" s="315"/>
      <c r="G1518" s="315"/>
      <c r="H1518" s="315"/>
      <c r="I1518" s="315"/>
      <c r="J1518" s="315"/>
      <c r="K1518" s="315"/>
      <c r="L1518" s="315"/>
    </row>
    <row r="1519" spans="1:12">
      <c r="A1519" s="315"/>
      <c r="B1519" s="315"/>
      <c r="C1519" s="315"/>
      <c r="D1519" s="315"/>
      <c r="E1519" s="315"/>
      <c r="F1519" s="315"/>
      <c r="G1519" s="315"/>
      <c r="H1519" s="315"/>
      <c r="I1519" s="315"/>
      <c r="J1519" s="315"/>
      <c r="K1519" s="315"/>
      <c r="L1519" s="315"/>
    </row>
    <row r="1520" spans="1:12">
      <c r="A1520" s="315"/>
      <c r="B1520" s="315"/>
      <c r="C1520" s="315"/>
      <c r="D1520" s="315"/>
      <c r="E1520" s="315"/>
      <c r="F1520" s="315"/>
      <c r="G1520" s="315"/>
      <c r="H1520" s="315"/>
      <c r="I1520" s="315"/>
      <c r="J1520" s="315"/>
      <c r="K1520" s="315"/>
      <c r="L1520" s="315"/>
    </row>
    <row r="1521" spans="1:12">
      <c r="A1521" s="315"/>
      <c r="B1521" s="315"/>
      <c r="C1521" s="315"/>
      <c r="D1521" s="315"/>
      <c r="E1521" s="315"/>
      <c r="F1521" s="315"/>
      <c r="G1521" s="315"/>
      <c r="H1521" s="315"/>
      <c r="I1521" s="315"/>
      <c r="J1521" s="315"/>
      <c r="K1521" s="315"/>
      <c r="L1521" s="315"/>
    </row>
    <row r="1522" spans="1:12">
      <c r="A1522" s="315"/>
      <c r="B1522" s="315"/>
      <c r="C1522" s="315"/>
      <c r="D1522" s="315"/>
      <c r="E1522" s="315"/>
      <c r="F1522" s="315"/>
      <c r="G1522" s="315"/>
      <c r="H1522" s="315"/>
      <c r="I1522" s="315"/>
      <c r="J1522" s="315"/>
      <c r="K1522" s="315"/>
      <c r="L1522" s="315"/>
    </row>
    <row r="1523" spans="1:12">
      <c r="A1523" s="315"/>
      <c r="B1523" s="315"/>
      <c r="C1523" s="315"/>
      <c r="D1523" s="315"/>
      <c r="E1523" s="315"/>
      <c r="F1523" s="315"/>
      <c r="G1523" s="315"/>
      <c r="H1523" s="315"/>
      <c r="I1523" s="315"/>
      <c r="J1523" s="315"/>
      <c r="K1523" s="315"/>
      <c r="L1523" s="315"/>
    </row>
    <row r="1524" spans="1:12">
      <c r="A1524" s="315"/>
      <c r="B1524" s="315"/>
      <c r="C1524" s="315"/>
      <c r="D1524" s="315"/>
      <c r="E1524" s="315"/>
      <c r="F1524" s="315"/>
      <c r="G1524" s="315"/>
      <c r="H1524" s="315"/>
      <c r="I1524" s="315"/>
      <c r="J1524" s="315"/>
      <c r="K1524" s="315"/>
      <c r="L1524" s="315"/>
    </row>
    <row r="1525" spans="1:12">
      <c r="A1525" s="315"/>
      <c r="B1525" s="315"/>
      <c r="C1525" s="315"/>
      <c r="D1525" s="315"/>
      <c r="E1525" s="315"/>
      <c r="F1525" s="315"/>
      <c r="G1525" s="315"/>
      <c r="H1525" s="315"/>
      <c r="I1525" s="315"/>
      <c r="J1525" s="315"/>
      <c r="K1525" s="315"/>
      <c r="L1525" s="315"/>
    </row>
    <row r="1526" spans="1:12">
      <c r="A1526" s="315"/>
      <c r="B1526" s="315"/>
      <c r="C1526" s="315"/>
      <c r="D1526" s="315"/>
      <c r="E1526" s="315"/>
      <c r="F1526" s="315"/>
      <c r="G1526" s="315"/>
      <c r="H1526" s="315"/>
      <c r="I1526" s="315"/>
      <c r="J1526" s="315"/>
      <c r="K1526" s="315"/>
      <c r="L1526" s="315"/>
    </row>
    <row r="1527" spans="1:12">
      <c r="A1527" s="315"/>
      <c r="B1527" s="315"/>
      <c r="C1527" s="315"/>
      <c r="D1527" s="315"/>
      <c r="E1527" s="315"/>
      <c r="F1527" s="315"/>
      <c r="G1527" s="315"/>
      <c r="H1527" s="315"/>
      <c r="I1527" s="315"/>
      <c r="J1527" s="315"/>
      <c r="K1527" s="315"/>
      <c r="L1527" s="315"/>
    </row>
    <row r="1528" spans="1:12">
      <c r="A1528" s="315"/>
      <c r="B1528" s="315"/>
      <c r="C1528" s="315"/>
      <c r="D1528" s="315"/>
      <c r="E1528" s="315"/>
      <c r="F1528" s="315"/>
      <c r="G1528" s="315"/>
      <c r="H1528" s="315"/>
      <c r="I1528" s="315"/>
      <c r="J1528" s="315"/>
      <c r="K1528" s="315"/>
      <c r="L1528" s="315"/>
    </row>
    <row r="1529" spans="1:12">
      <c r="A1529" s="315"/>
      <c r="B1529" s="315"/>
      <c r="C1529" s="315"/>
      <c r="D1529" s="315"/>
      <c r="E1529" s="315"/>
      <c r="F1529" s="315"/>
      <c r="G1529" s="315"/>
      <c r="H1529" s="315"/>
      <c r="I1529" s="315"/>
      <c r="J1529" s="315"/>
      <c r="K1529" s="315"/>
      <c r="L1529" s="315"/>
    </row>
    <row r="1530" spans="1:12">
      <c r="A1530" s="315"/>
      <c r="B1530" s="315"/>
      <c r="C1530" s="315"/>
      <c r="D1530" s="315"/>
      <c r="E1530" s="315"/>
      <c r="F1530" s="315"/>
      <c r="G1530" s="315"/>
      <c r="H1530" s="315"/>
      <c r="I1530" s="315"/>
      <c r="J1530" s="315"/>
      <c r="K1530" s="315"/>
      <c r="L1530" s="315"/>
    </row>
    <row r="1531" spans="1:12">
      <c r="A1531" s="315"/>
      <c r="B1531" s="315"/>
      <c r="C1531" s="315"/>
      <c r="D1531" s="315"/>
      <c r="E1531" s="315"/>
      <c r="F1531" s="315"/>
      <c r="G1531" s="315"/>
      <c r="H1531" s="315"/>
      <c r="I1531" s="315"/>
      <c r="J1531" s="315"/>
      <c r="K1531" s="315"/>
      <c r="L1531" s="315"/>
    </row>
    <row r="1532" spans="1:12">
      <c r="A1532" s="315"/>
      <c r="B1532" s="315"/>
      <c r="C1532" s="315"/>
      <c r="D1532" s="315"/>
      <c r="E1532" s="315"/>
      <c r="F1532" s="315"/>
      <c r="G1532" s="315"/>
      <c r="H1532" s="315"/>
      <c r="I1532" s="315"/>
      <c r="J1532" s="315"/>
      <c r="K1532" s="315"/>
      <c r="L1532" s="315"/>
    </row>
    <row r="1533" spans="1:12">
      <c r="A1533" s="315"/>
      <c r="B1533" s="315"/>
      <c r="C1533" s="315"/>
      <c r="D1533" s="315"/>
      <c r="E1533" s="315"/>
      <c r="F1533" s="315"/>
      <c r="G1533" s="315"/>
      <c r="H1533" s="315"/>
      <c r="I1533" s="315"/>
      <c r="J1533" s="315"/>
      <c r="K1533" s="315"/>
      <c r="L1533" s="315"/>
    </row>
    <row r="1534" spans="1:12">
      <c r="A1534" s="315"/>
      <c r="B1534" s="315"/>
      <c r="C1534" s="315"/>
      <c r="D1534" s="315"/>
      <c r="E1534" s="315"/>
      <c r="F1534" s="315"/>
      <c r="G1534" s="315"/>
      <c r="H1534" s="315"/>
      <c r="I1534" s="315"/>
      <c r="J1534" s="315"/>
      <c r="K1534" s="315"/>
      <c r="L1534" s="315"/>
    </row>
    <row r="1535" spans="1:12">
      <c r="A1535" s="315"/>
      <c r="B1535" s="315"/>
      <c r="C1535" s="315"/>
      <c r="D1535" s="315"/>
      <c r="E1535" s="315"/>
      <c r="F1535" s="315"/>
      <c r="G1535" s="315"/>
      <c r="H1535" s="315"/>
      <c r="I1535" s="315"/>
      <c r="J1535" s="315"/>
      <c r="K1535" s="315"/>
      <c r="L1535" s="315"/>
    </row>
    <row r="1536" spans="1:12">
      <c r="A1536" s="315"/>
      <c r="B1536" s="315"/>
      <c r="C1536" s="315"/>
      <c r="D1536" s="315"/>
      <c r="E1536" s="315"/>
      <c r="F1536" s="315"/>
      <c r="G1536" s="315"/>
      <c r="H1536" s="315"/>
      <c r="I1536" s="315"/>
      <c r="J1536" s="315"/>
      <c r="K1536" s="315"/>
      <c r="L1536" s="315"/>
    </row>
    <row r="1537" spans="1:12">
      <c r="A1537" s="315"/>
      <c r="B1537" s="315"/>
      <c r="C1537" s="315"/>
      <c r="D1537" s="315"/>
      <c r="E1537" s="315"/>
      <c r="F1537" s="315"/>
      <c r="G1537" s="315"/>
      <c r="H1537" s="315"/>
      <c r="I1537" s="315"/>
      <c r="J1537" s="315"/>
      <c r="K1537" s="315"/>
      <c r="L1537" s="315"/>
    </row>
    <row r="1538" spans="1:12">
      <c r="A1538" s="315"/>
      <c r="B1538" s="315"/>
      <c r="C1538" s="315"/>
      <c r="D1538" s="315"/>
      <c r="E1538" s="315"/>
      <c r="F1538" s="315"/>
      <c r="G1538" s="315"/>
      <c r="H1538" s="315"/>
      <c r="I1538" s="315"/>
      <c r="J1538" s="315"/>
      <c r="K1538" s="315"/>
      <c r="L1538" s="315"/>
    </row>
    <row r="1539" spans="1:12">
      <c r="A1539" s="315"/>
      <c r="B1539" s="315"/>
      <c r="C1539" s="315"/>
      <c r="D1539" s="315"/>
      <c r="E1539" s="315"/>
      <c r="F1539" s="315"/>
      <c r="G1539" s="315"/>
      <c r="H1539" s="315"/>
      <c r="I1539" s="315"/>
      <c r="J1539" s="315"/>
      <c r="K1539" s="315"/>
      <c r="L1539" s="315"/>
    </row>
    <row r="1540" spans="1:12">
      <c r="A1540" s="315"/>
      <c r="B1540" s="315"/>
      <c r="C1540" s="315"/>
      <c r="D1540" s="315"/>
      <c r="E1540" s="315"/>
      <c r="F1540" s="315"/>
      <c r="G1540" s="315"/>
      <c r="H1540" s="315"/>
      <c r="I1540" s="315"/>
      <c r="J1540" s="315"/>
      <c r="K1540" s="315"/>
      <c r="L1540" s="315"/>
    </row>
    <row r="1541" spans="1:12">
      <c r="A1541" s="315"/>
      <c r="B1541" s="315"/>
      <c r="C1541" s="315"/>
      <c r="D1541" s="315"/>
      <c r="E1541" s="315"/>
      <c r="F1541" s="315"/>
      <c r="G1541" s="315"/>
      <c r="H1541" s="315"/>
      <c r="I1541" s="315"/>
      <c r="J1541" s="315"/>
      <c r="K1541" s="315"/>
      <c r="L1541" s="315"/>
    </row>
    <row r="1542" spans="1:12">
      <c r="A1542" s="315"/>
      <c r="B1542" s="315"/>
      <c r="C1542" s="315"/>
      <c r="D1542" s="315"/>
      <c r="E1542" s="315"/>
      <c r="F1542" s="315"/>
      <c r="G1542" s="315"/>
      <c r="H1542" s="315"/>
      <c r="I1542" s="315"/>
      <c r="J1542" s="315"/>
      <c r="K1542" s="315"/>
      <c r="L1542" s="315"/>
    </row>
    <row r="1543" spans="1:12">
      <c r="A1543" s="315"/>
      <c r="B1543" s="315"/>
      <c r="C1543" s="315"/>
      <c r="D1543" s="315"/>
      <c r="E1543" s="315"/>
      <c r="F1543" s="315"/>
      <c r="G1543" s="315"/>
      <c r="H1543" s="315"/>
      <c r="I1543" s="315"/>
      <c r="J1543" s="315"/>
      <c r="K1543" s="315"/>
      <c r="L1543" s="315"/>
    </row>
    <row r="1544" spans="1:12">
      <c r="A1544" s="315"/>
      <c r="B1544" s="315"/>
      <c r="C1544" s="315"/>
      <c r="D1544" s="315"/>
      <c r="E1544" s="315"/>
      <c r="F1544" s="315"/>
      <c r="G1544" s="315"/>
      <c r="H1544" s="315"/>
      <c r="I1544" s="315"/>
      <c r="J1544" s="315"/>
      <c r="K1544" s="315"/>
      <c r="L1544" s="315"/>
    </row>
    <row r="1545" spans="1:12">
      <c r="A1545" s="315"/>
      <c r="B1545" s="315"/>
      <c r="C1545" s="315"/>
      <c r="D1545" s="315"/>
      <c r="E1545" s="315"/>
      <c r="F1545" s="315"/>
      <c r="G1545" s="315"/>
      <c r="H1545" s="315"/>
      <c r="I1545" s="315"/>
      <c r="J1545" s="315"/>
      <c r="K1545" s="315"/>
      <c r="L1545" s="315"/>
    </row>
    <row r="1546" spans="1:12">
      <c r="A1546" s="315"/>
      <c r="B1546" s="315"/>
      <c r="C1546" s="315"/>
      <c r="D1546" s="315"/>
      <c r="E1546" s="315"/>
      <c r="F1546" s="315"/>
      <c r="G1546" s="315"/>
      <c r="H1546" s="315"/>
      <c r="I1546" s="315"/>
      <c r="J1546" s="315"/>
      <c r="K1546" s="315"/>
      <c r="L1546" s="315"/>
    </row>
    <row r="1547" spans="1:12">
      <c r="A1547" s="315"/>
      <c r="B1547" s="315"/>
      <c r="C1547" s="315"/>
      <c r="D1547" s="315"/>
      <c r="E1547" s="315"/>
      <c r="F1547" s="315"/>
      <c r="G1547" s="315"/>
      <c r="H1547" s="315"/>
      <c r="I1547" s="315"/>
      <c r="J1547" s="315"/>
      <c r="K1547" s="315"/>
      <c r="L1547" s="315"/>
    </row>
    <row r="1548" spans="1:12">
      <c r="A1548" s="315"/>
      <c r="B1548" s="315"/>
      <c r="C1548" s="315"/>
      <c r="D1548" s="315"/>
      <c r="E1548" s="315"/>
      <c r="F1548" s="315"/>
      <c r="G1548" s="315"/>
      <c r="H1548" s="315"/>
      <c r="I1548" s="315"/>
      <c r="J1548" s="315"/>
      <c r="K1548" s="315"/>
      <c r="L1548" s="315"/>
    </row>
    <row r="1549" spans="1:12">
      <c r="A1549" s="315"/>
      <c r="B1549" s="315"/>
      <c r="C1549" s="315"/>
      <c r="D1549" s="315"/>
      <c r="E1549" s="315"/>
      <c r="F1549" s="315"/>
      <c r="G1549" s="315"/>
      <c r="H1549" s="315"/>
      <c r="I1549" s="315"/>
      <c r="J1549" s="315"/>
      <c r="K1549" s="315"/>
      <c r="L1549" s="315"/>
    </row>
    <row r="1550" spans="1:12">
      <c r="A1550" s="315"/>
      <c r="B1550" s="315"/>
      <c r="C1550" s="315"/>
      <c r="D1550" s="315"/>
      <c r="E1550" s="315"/>
      <c r="F1550" s="315"/>
      <c r="G1550" s="315"/>
      <c r="H1550" s="315"/>
      <c r="I1550" s="315"/>
      <c r="J1550" s="315"/>
      <c r="K1550" s="315"/>
      <c r="L1550" s="315"/>
    </row>
    <row r="1551" spans="1:12">
      <c r="A1551" s="315"/>
      <c r="B1551" s="315"/>
      <c r="C1551" s="315"/>
      <c r="D1551" s="315"/>
      <c r="E1551" s="315"/>
      <c r="F1551" s="315"/>
      <c r="G1551" s="315"/>
      <c r="H1551" s="315"/>
      <c r="I1551" s="315"/>
      <c r="J1551" s="315"/>
      <c r="K1551" s="315"/>
      <c r="L1551" s="315"/>
    </row>
    <row r="1552" spans="1:12">
      <c r="A1552" s="315"/>
      <c r="B1552" s="315"/>
      <c r="C1552" s="315"/>
      <c r="D1552" s="315"/>
      <c r="E1552" s="315"/>
      <c r="F1552" s="315"/>
      <c r="G1552" s="315"/>
      <c r="H1552" s="315"/>
      <c r="I1552" s="315"/>
      <c r="J1552" s="315"/>
      <c r="K1552" s="315"/>
      <c r="L1552" s="315"/>
    </row>
    <row r="1553" spans="1:12">
      <c r="A1553" s="315"/>
      <c r="B1553" s="315"/>
      <c r="C1553" s="315"/>
      <c r="D1553" s="315"/>
      <c r="E1553" s="315"/>
      <c r="F1553" s="315"/>
      <c r="G1553" s="315"/>
      <c r="H1553" s="315"/>
      <c r="I1553" s="315"/>
      <c r="J1553" s="315"/>
      <c r="K1553" s="315"/>
      <c r="L1553" s="315"/>
    </row>
    <row r="1554" spans="1:12">
      <c r="A1554" s="315"/>
      <c r="B1554" s="315"/>
      <c r="C1554" s="315"/>
      <c r="D1554" s="315"/>
      <c r="E1554" s="315"/>
      <c r="F1554" s="315"/>
      <c r="G1554" s="315"/>
      <c r="H1554" s="315"/>
      <c r="I1554" s="315"/>
      <c r="J1554" s="315"/>
      <c r="K1554" s="315"/>
      <c r="L1554" s="315"/>
    </row>
    <row r="1555" spans="1:12">
      <c r="A1555" s="315"/>
      <c r="B1555" s="315"/>
      <c r="C1555" s="315"/>
      <c r="D1555" s="315"/>
      <c r="E1555" s="315"/>
      <c r="F1555" s="315"/>
      <c r="G1555" s="315"/>
      <c r="H1555" s="315"/>
      <c r="I1555" s="315"/>
      <c r="J1555" s="315"/>
      <c r="K1555" s="315"/>
      <c r="L1555" s="315"/>
    </row>
    <row r="1556" spans="1:12">
      <c r="A1556" s="315"/>
      <c r="B1556" s="315"/>
      <c r="C1556" s="315"/>
      <c r="D1556" s="315"/>
      <c r="E1556" s="315"/>
      <c r="F1556" s="315"/>
      <c r="G1556" s="315"/>
      <c r="H1556" s="315"/>
      <c r="I1556" s="315"/>
      <c r="J1556" s="315"/>
      <c r="K1556" s="315"/>
      <c r="L1556" s="315"/>
    </row>
    <row r="1557" spans="1:12">
      <c r="A1557" s="315"/>
      <c r="B1557" s="315"/>
      <c r="C1557" s="315"/>
      <c r="D1557" s="315"/>
      <c r="E1557" s="315"/>
      <c r="F1557" s="315"/>
      <c r="G1557" s="315"/>
      <c r="H1557" s="315"/>
      <c r="I1557" s="315"/>
      <c r="J1557" s="315"/>
      <c r="K1557" s="315"/>
      <c r="L1557" s="315"/>
    </row>
    <row r="1558" spans="1:12">
      <c r="A1558" s="315"/>
      <c r="B1558" s="315"/>
      <c r="C1558" s="315"/>
      <c r="D1558" s="315"/>
      <c r="E1558" s="315"/>
      <c r="F1558" s="315"/>
      <c r="G1558" s="315"/>
      <c r="H1558" s="315"/>
      <c r="I1558" s="315"/>
      <c r="J1558" s="315"/>
      <c r="K1558" s="315"/>
      <c r="L1558" s="315"/>
    </row>
    <row r="1559" spans="1:12">
      <c r="A1559" s="315"/>
      <c r="B1559" s="315"/>
      <c r="C1559" s="315"/>
      <c r="D1559" s="315"/>
      <c r="E1559" s="315"/>
      <c r="F1559" s="315"/>
      <c r="G1559" s="315"/>
      <c r="H1559" s="315"/>
      <c r="I1559" s="315"/>
      <c r="J1559" s="315"/>
      <c r="K1559" s="315"/>
      <c r="L1559" s="315"/>
    </row>
    <row r="1560" spans="1:12">
      <c r="A1560" s="315"/>
      <c r="B1560" s="315"/>
      <c r="C1560" s="315"/>
      <c r="D1560" s="315"/>
      <c r="E1560" s="315"/>
      <c r="F1560" s="315"/>
      <c r="G1560" s="315"/>
      <c r="H1560" s="315"/>
      <c r="I1560" s="315"/>
      <c r="J1560" s="315"/>
      <c r="K1560" s="315"/>
      <c r="L1560" s="315"/>
    </row>
    <row r="1561" spans="1:12">
      <c r="A1561" s="315"/>
      <c r="B1561" s="315"/>
      <c r="C1561" s="315"/>
      <c r="D1561" s="315"/>
      <c r="E1561" s="315"/>
      <c r="F1561" s="315"/>
      <c r="G1561" s="315"/>
      <c r="H1561" s="315"/>
      <c r="I1561" s="315"/>
      <c r="J1561" s="315"/>
      <c r="K1561" s="315"/>
      <c r="L1561" s="315"/>
    </row>
    <row r="1562" spans="1:12">
      <c r="A1562" s="315"/>
      <c r="B1562" s="315"/>
      <c r="C1562" s="315"/>
      <c r="D1562" s="315"/>
      <c r="E1562" s="315"/>
      <c r="F1562" s="315"/>
      <c r="G1562" s="315"/>
      <c r="H1562" s="315"/>
      <c r="I1562" s="315"/>
      <c r="J1562" s="315"/>
      <c r="K1562" s="315"/>
      <c r="L1562" s="315"/>
    </row>
    <row r="1563" spans="1:12">
      <c r="A1563" s="315"/>
      <c r="B1563" s="315"/>
      <c r="C1563" s="315"/>
      <c r="D1563" s="315"/>
      <c r="E1563" s="315"/>
      <c r="F1563" s="315"/>
      <c r="G1563" s="315"/>
      <c r="H1563" s="315"/>
      <c r="I1563" s="315"/>
      <c r="J1563" s="315"/>
      <c r="K1563" s="315"/>
      <c r="L1563" s="315"/>
    </row>
    <row r="1564" spans="1:12">
      <c r="A1564" s="315"/>
      <c r="B1564" s="315"/>
      <c r="C1564" s="315"/>
      <c r="D1564" s="315"/>
      <c r="E1564" s="315"/>
      <c r="F1564" s="315"/>
      <c r="G1564" s="315"/>
      <c r="H1564" s="315"/>
      <c r="I1564" s="315"/>
      <c r="J1564" s="315"/>
      <c r="K1564" s="315"/>
      <c r="L1564" s="315"/>
    </row>
    <row r="1565" spans="1:12">
      <c r="A1565" s="315"/>
      <c r="B1565" s="315"/>
      <c r="C1565" s="315"/>
      <c r="D1565" s="315"/>
      <c r="E1565" s="315"/>
      <c r="F1565" s="315"/>
      <c r="G1565" s="315"/>
      <c r="H1565" s="315"/>
      <c r="I1565" s="315"/>
      <c r="J1565" s="315"/>
      <c r="K1565" s="315"/>
      <c r="L1565" s="315"/>
    </row>
    <row r="1566" spans="1:12">
      <c r="A1566" s="315"/>
      <c r="B1566" s="315"/>
      <c r="C1566" s="315"/>
      <c r="D1566" s="315"/>
      <c r="E1566" s="315"/>
      <c r="F1566" s="315"/>
      <c r="G1566" s="315"/>
      <c r="H1566" s="315"/>
      <c r="I1566" s="315"/>
      <c r="J1566" s="315"/>
      <c r="K1566" s="315"/>
      <c r="L1566" s="315"/>
    </row>
    <row r="1567" spans="1:12">
      <c r="A1567" s="315"/>
      <c r="B1567" s="315"/>
      <c r="C1567" s="315"/>
      <c r="D1567" s="315"/>
      <c r="E1567" s="315"/>
      <c r="F1567" s="315"/>
      <c r="G1567" s="315"/>
      <c r="H1567" s="315"/>
      <c r="I1567" s="315"/>
      <c r="J1567" s="315"/>
      <c r="K1567" s="315"/>
      <c r="L1567" s="315"/>
    </row>
    <row r="1568" spans="1:12">
      <c r="A1568" s="315"/>
      <c r="B1568" s="315"/>
      <c r="C1568" s="315"/>
      <c r="D1568" s="315"/>
      <c r="E1568" s="315"/>
      <c r="F1568" s="315"/>
      <c r="G1568" s="315"/>
      <c r="H1568" s="315"/>
      <c r="I1568" s="315"/>
      <c r="J1568" s="315"/>
      <c r="K1568" s="315"/>
      <c r="L1568" s="315"/>
    </row>
    <row r="1569" spans="1:12">
      <c r="A1569" s="315"/>
      <c r="B1569" s="315"/>
      <c r="C1569" s="315"/>
      <c r="D1569" s="315"/>
      <c r="E1569" s="315"/>
      <c r="F1569" s="315"/>
      <c r="G1569" s="315"/>
      <c r="H1569" s="315"/>
      <c r="I1569" s="315"/>
      <c r="J1569" s="315"/>
      <c r="K1569" s="315"/>
      <c r="L1569" s="315"/>
    </row>
    <row r="1570" spans="1:12">
      <c r="A1570" s="315"/>
      <c r="B1570" s="315"/>
      <c r="C1570" s="315"/>
      <c r="D1570" s="315"/>
      <c r="E1570" s="315"/>
      <c r="F1570" s="315"/>
      <c r="G1570" s="315"/>
      <c r="H1570" s="315"/>
      <c r="I1570" s="315"/>
      <c r="J1570" s="315"/>
      <c r="K1570" s="315"/>
      <c r="L1570" s="315"/>
    </row>
    <row r="1571" spans="1:12">
      <c r="A1571" s="315"/>
      <c r="B1571" s="315"/>
      <c r="C1571" s="315"/>
      <c r="D1571" s="315"/>
      <c r="E1571" s="315"/>
      <c r="F1571" s="315"/>
      <c r="G1571" s="315"/>
      <c r="H1571" s="315"/>
      <c r="I1571" s="315"/>
      <c r="J1571" s="315"/>
      <c r="K1571" s="315"/>
      <c r="L1571" s="315"/>
    </row>
    <row r="1572" spans="1:12">
      <c r="A1572" s="315"/>
      <c r="B1572" s="315"/>
      <c r="C1572" s="315"/>
      <c r="D1572" s="315"/>
      <c r="E1572" s="315"/>
      <c r="F1572" s="315"/>
      <c r="G1572" s="315"/>
      <c r="H1572" s="315"/>
      <c r="I1572" s="315"/>
      <c r="J1572" s="315"/>
      <c r="K1572" s="315"/>
      <c r="L1572" s="315"/>
    </row>
    <row r="1573" spans="1:12">
      <c r="A1573" s="315"/>
      <c r="B1573" s="315"/>
      <c r="C1573" s="315"/>
      <c r="D1573" s="315"/>
      <c r="E1573" s="315"/>
      <c r="F1573" s="315"/>
      <c r="G1573" s="315"/>
      <c r="H1573" s="315"/>
      <c r="I1573" s="315"/>
      <c r="J1573" s="315"/>
      <c r="K1573" s="315"/>
      <c r="L1573" s="315"/>
    </row>
    <row r="1574" spans="1:12">
      <c r="A1574" s="315"/>
      <c r="B1574" s="315"/>
      <c r="C1574" s="315"/>
      <c r="D1574" s="315"/>
      <c r="E1574" s="315"/>
      <c r="F1574" s="315"/>
      <c r="G1574" s="315"/>
      <c r="H1574" s="315"/>
      <c r="I1574" s="315"/>
      <c r="J1574" s="315"/>
      <c r="K1574" s="315"/>
      <c r="L1574" s="315"/>
    </row>
    <row r="1575" spans="1:12">
      <c r="A1575" s="315"/>
      <c r="B1575" s="315"/>
      <c r="C1575" s="315"/>
      <c r="D1575" s="315"/>
      <c r="E1575" s="315"/>
      <c r="F1575" s="315"/>
      <c r="G1575" s="315"/>
      <c r="H1575" s="315"/>
      <c r="I1575" s="315"/>
      <c r="J1575" s="315"/>
      <c r="K1575" s="315"/>
      <c r="L1575" s="315"/>
    </row>
    <row r="1576" spans="1:12">
      <c r="A1576" s="315"/>
      <c r="B1576" s="315"/>
      <c r="C1576" s="315"/>
      <c r="D1576" s="315"/>
      <c r="E1576" s="315"/>
      <c r="F1576" s="315"/>
      <c r="G1576" s="315"/>
      <c r="H1576" s="315"/>
      <c r="I1576" s="315"/>
      <c r="J1576" s="315"/>
      <c r="K1576" s="315"/>
      <c r="L1576" s="315"/>
    </row>
    <row r="1577" spans="1:12">
      <c r="A1577" s="315"/>
      <c r="B1577" s="315"/>
      <c r="C1577" s="315"/>
      <c r="D1577" s="315"/>
      <c r="E1577" s="315"/>
      <c r="F1577" s="315"/>
      <c r="G1577" s="315"/>
      <c r="H1577" s="315"/>
      <c r="I1577" s="315"/>
      <c r="J1577" s="315"/>
      <c r="K1577" s="315"/>
      <c r="L1577" s="315"/>
    </row>
    <row r="1578" spans="1:12">
      <c r="A1578" s="315"/>
      <c r="B1578" s="315"/>
      <c r="C1578" s="315"/>
      <c r="D1578" s="315"/>
      <c r="E1578" s="315"/>
      <c r="F1578" s="315"/>
      <c r="G1578" s="315"/>
      <c r="H1578" s="315"/>
      <c r="I1578" s="315"/>
      <c r="J1578" s="315"/>
      <c r="K1578" s="315"/>
      <c r="L1578" s="315"/>
    </row>
    <row r="1579" spans="1:12">
      <c r="A1579" s="315"/>
      <c r="B1579" s="315"/>
      <c r="C1579" s="315"/>
      <c r="D1579" s="315"/>
      <c r="E1579" s="315"/>
      <c r="F1579" s="315"/>
      <c r="G1579" s="315"/>
      <c r="H1579" s="315"/>
      <c r="I1579" s="315"/>
      <c r="J1579" s="315"/>
      <c r="K1579" s="315"/>
      <c r="L1579" s="315"/>
    </row>
    <row r="1580" spans="1:12">
      <c r="A1580" s="315"/>
      <c r="B1580" s="315"/>
      <c r="C1580" s="315"/>
      <c r="D1580" s="315"/>
      <c r="E1580" s="315"/>
      <c r="F1580" s="315"/>
      <c r="G1580" s="315"/>
      <c r="H1580" s="315"/>
      <c r="I1580" s="315"/>
      <c r="J1580" s="315"/>
      <c r="K1580" s="315"/>
      <c r="L1580" s="315"/>
    </row>
    <row r="1581" spans="1:12">
      <c r="A1581" s="315"/>
      <c r="B1581" s="315"/>
      <c r="C1581" s="315"/>
      <c r="D1581" s="315"/>
      <c r="E1581" s="315"/>
      <c r="F1581" s="315"/>
      <c r="G1581" s="315"/>
      <c r="H1581" s="315"/>
      <c r="I1581" s="315"/>
      <c r="J1581" s="315"/>
      <c r="K1581" s="315"/>
      <c r="L1581" s="315"/>
    </row>
    <row r="1582" spans="1:12">
      <c r="A1582" s="315"/>
      <c r="B1582" s="315"/>
      <c r="C1582" s="315"/>
      <c r="D1582" s="315"/>
      <c r="E1582" s="315"/>
      <c r="F1582" s="315"/>
      <c r="G1582" s="315"/>
      <c r="H1582" s="315"/>
      <c r="I1582" s="315"/>
      <c r="J1582" s="315"/>
      <c r="K1582" s="315"/>
      <c r="L1582" s="315"/>
    </row>
    <row r="1583" spans="1:12">
      <c r="A1583" s="315"/>
      <c r="B1583" s="315"/>
      <c r="C1583" s="315"/>
      <c r="D1583" s="315"/>
      <c r="E1583" s="315"/>
      <c r="F1583" s="315"/>
      <c r="G1583" s="315"/>
      <c r="H1583" s="315"/>
      <c r="I1583" s="315"/>
      <c r="J1583" s="315"/>
      <c r="K1583" s="315"/>
      <c r="L1583" s="315"/>
    </row>
    <row r="1584" spans="1:12">
      <c r="A1584" s="315"/>
      <c r="B1584" s="315"/>
      <c r="C1584" s="315"/>
      <c r="D1584" s="315"/>
      <c r="E1584" s="315"/>
      <c r="F1584" s="315"/>
      <c r="G1584" s="315"/>
      <c r="H1584" s="315"/>
      <c r="I1584" s="315"/>
      <c r="J1584" s="315"/>
      <c r="K1584" s="315"/>
      <c r="L1584" s="315"/>
    </row>
    <row r="1585" spans="1:12">
      <c r="A1585" s="315"/>
      <c r="B1585" s="315"/>
      <c r="C1585" s="315"/>
      <c r="D1585" s="315"/>
      <c r="E1585" s="315"/>
      <c r="F1585" s="315"/>
      <c r="G1585" s="315"/>
      <c r="H1585" s="315"/>
      <c r="I1585" s="315"/>
      <c r="J1585" s="315"/>
      <c r="K1585" s="315"/>
      <c r="L1585" s="315"/>
    </row>
    <row r="1586" spans="1:12">
      <c r="A1586" s="315"/>
      <c r="B1586" s="315"/>
      <c r="C1586" s="315"/>
      <c r="D1586" s="315"/>
      <c r="E1586" s="315"/>
      <c r="F1586" s="315"/>
      <c r="G1586" s="315"/>
      <c r="H1586" s="315"/>
      <c r="I1586" s="315"/>
      <c r="J1586" s="315"/>
      <c r="K1586" s="315"/>
      <c r="L1586" s="315"/>
    </row>
    <row r="1587" spans="1:12">
      <c r="A1587" s="315"/>
      <c r="B1587" s="315"/>
      <c r="C1587" s="315"/>
      <c r="D1587" s="315"/>
      <c r="E1587" s="315"/>
      <c r="F1587" s="315"/>
      <c r="G1587" s="315"/>
      <c r="H1587" s="315"/>
      <c r="I1587" s="315"/>
      <c r="J1587" s="315"/>
      <c r="K1587" s="315"/>
      <c r="L1587" s="315"/>
    </row>
    <row r="1588" spans="1:12">
      <c r="A1588" s="315"/>
      <c r="B1588" s="315"/>
      <c r="C1588" s="315"/>
      <c r="D1588" s="315"/>
      <c r="E1588" s="315"/>
      <c r="F1588" s="315"/>
      <c r="G1588" s="315"/>
      <c r="H1588" s="315"/>
      <c r="I1588" s="315"/>
      <c r="J1588" s="315"/>
      <c r="K1588" s="315"/>
      <c r="L1588" s="315"/>
    </row>
    <row r="1589" spans="1:12">
      <c r="A1589" s="315"/>
      <c r="B1589" s="315"/>
      <c r="C1589" s="315"/>
      <c r="D1589" s="315"/>
      <c r="E1589" s="315"/>
      <c r="F1589" s="315"/>
      <c r="G1589" s="315"/>
      <c r="H1589" s="315"/>
      <c r="I1589" s="315"/>
      <c r="J1589" s="315"/>
      <c r="K1589" s="315"/>
      <c r="L1589" s="315"/>
    </row>
    <row r="1590" spans="1:12">
      <c r="A1590" s="315"/>
      <c r="B1590" s="315"/>
      <c r="C1590" s="315"/>
      <c r="D1590" s="315"/>
      <c r="E1590" s="315"/>
      <c r="F1590" s="315"/>
      <c r="G1590" s="315"/>
      <c r="H1590" s="315"/>
      <c r="I1590" s="315"/>
      <c r="J1590" s="315"/>
      <c r="K1590" s="315"/>
      <c r="L1590" s="315"/>
    </row>
    <row r="1591" spans="1:12">
      <c r="A1591" s="315"/>
      <c r="B1591" s="315"/>
      <c r="C1591" s="315"/>
      <c r="D1591" s="315"/>
      <c r="E1591" s="315"/>
      <c r="F1591" s="315"/>
      <c r="G1591" s="315"/>
      <c r="H1591" s="315"/>
      <c r="I1591" s="315"/>
      <c r="J1591" s="315"/>
      <c r="K1591" s="315"/>
      <c r="L1591" s="315"/>
    </row>
    <row r="1592" spans="1:12">
      <c r="A1592" s="315"/>
      <c r="B1592" s="315"/>
      <c r="C1592" s="315"/>
      <c r="D1592" s="315"/>
      <c r="E1592" s="315"/>
      <c r="F1592" s="315"/>
      <c r="G1592" s="315"/>
      <c r="H1592" s="315"/>
      <c r="I1592" s="315"/>
      <c r="J1592" s="315"/>
      <c r="K1592" s="315"/>
      <c r="L1592" s="315"/>
    </row>
    <row r="1593" spans="1:12">
      <c r="A1593" s="315"/>
      <c r="B1593" s="315"/>
      <c r="C1593" s="315"/>
      <c r="D1593" s="315"/>
      <c r="E1593" s="315"/>
      <c r="F1593" s="315"/>
      <c r="G1593" s="315"/>
      <c r="H1593" s="315"/>
      <c r="I1593" s="315"/>
      <c r="J1593" s="315"/>
      <c r="K1593" s="315"/>
      <c r="L1593" s="315"/>
    </row>
    <row r="1594" spans="1:12">
      <c r="A1594" s="315"/>
      <c r="B1594" s="315"/>
      <c r="C1594" s="315"/>
      <c r="D1594" s="315"/>
      <c r="E1594" s="315"/>
      <c r="F1594" s="315"/>
      <c r="G1594" s="315"/>
      <c r="H1594" s="315"/>
      <c r="I1594" s="315"/>
      <c r="J1594" s="315"/>
      <c r="K1594" s="315"/>
      <c r="L1594" s="315"/>
    </row>
    <row r="1595" spans="1:12">
      <c r="A1595" s="315"/>
      <c r="B1595" s="315"/>
      <c r="C1595" s="315"/>
      <c r="D1595" s="315"/>
      <c r="E1595" s="315"/>
      <c r="F1595" s="315"/>
      <c r="G1595" s="315"/>
      <c r="H1595" s="315"/>
      <c r="I1595" s="315"/>
      <c r="J1595" s="315"/>
      <c r="K1595" s="315"/>
      <c r="L1595" s="315"/>
    </row>
    <row r="1596" spans="1:12">
      <c r="A1596" s="315"/>
      <c r="B1596" s="315"/>
      <c r="C1596" s="315"/>
      <c r="D1596" s="315"/>
      <c r="E1596" s="315"/>
      <c r="F1596" s="315"/>
      <c r="G1596" s="315"/>
      <c r="H1596" s="315"/>
      <c r="I1596" s="315"/>
      <c r="J1596" s="315"/>
      <c r="K1596" s="315"/>
      <c r="L1596" s="315"/>
    </row>
    <row r="1597" spans="1:12">
      <c r="A1597" s="315"/>
      <c r="B1597" s="315"/>
      <c r="C1597" s="315"/>
      <c r="D1597" s="315"/>
      <c r="E1597" s="315"/>
      <c r="F1597" s="315"/>
      <c r="G1597" s="315"/>
      <c r="H1597" s="315"/>
      <c r="I1597" s="315"/>
      <c r="J1597" s="315"/>
      <c r="K1597" s="315"/>
      <c r="L1597" s="315"/>
    </row>
    <row r="1598" spans="1:12">
      <c r="A1598" s="315"/>
      <c r="B1598" s="315"/>
      <c r="C1598" s="315"/>
      <c r="D1598" s="315"/>
      <c r="E1598" s="315"/>
      <c r="F1598" s="315"/>
      <c r="G1598" s="315"/>
      <c r="H1598" s="315"/>
      <c r="I1598" s="315"/>
      <c r="J1598" s="315"/>
      <c r="K1598" s="315"/>
      <c r="L1598" s="315"/>
    </row>
    <row r="1599" spans="1:12">
      <c r="A1599" s="315"/>
      <c r="B1599" s="315"/>
      <c r="C1599" s="315"/>
      <c r="D1599" s="315"/>
      <c r="E1599" s="315"/>
      <c r="F1599" s="315"/>
      <c r="G1599" s="315"/>
      <c r="H1599" s="315"/>
      <c r="I1599" s="315"/>
      <c r="J1599" s="315"/>
      <c r="K1599" s="315"/>
      <c r="L1599" s="315"/>
    </row>
    <row r="1600" spans="1:12">
      <c r="A1600" s="315"/>
      <c r="B1600" s="315"/>
      <c r="C1600" s="315"/>
      <c r="D1600" s="315"/>
      <c r="E1600" s="315"/>
      <c r="F1600" s="315"/>
      <c r="G1600" s="315"/>
      <c r="H1600" s="315"/>
      <c r="I1600" s="315"/>
      <c r="J1600" s="315"/>
      <c r="K1600" s="315"/>
      <c r="L1600" s="315"/>
    </row>
    <row r="1601" spans="1:12">
      <c r="A1601" s="315"/>
      <c r="B1601" s="315"/>
      <c r="C1601" s="315"/>
      <c r="D1601" s="315"/>
      <c r="E1601" s="315"/>
      <c r="F1601" s="315"/>
      <c r="G1601" s="315"/>
      <c r="H1601" s="315"/>
      <c r="I1601" s="315"/>
      <c r="J1601" s="315"/>
      <c r="K1601" s="315"/>
      <c r="L1601" s="315"/>
    </row>
    <row r="1602" spans="1:12">
      <c r="A1602" s="315"/>
      <c r="B1602" s="315"/>
      <c r="C1602" s="315"/>
      <c r="D1602" s="315"/>
      <c r="E1602" s="315"/>
      <c r="F1602" s="315"/>
      <c r="G1602" s="315"/>
      <c r="H1602" s="315"/>
      <c r="I1602" s="315"/>
      <c r="J1602" s="315"/>
      <c r="K1602" s="315"/>
      <c r="L1602" s="315"/>
    </row>
    <row r="1603" spans="1:12">
      <c r="A1603" s="315"/>
      <c r="B1603" s="315"/>
      <c r="C1603" s="315"/>
      <c r="D1603" s="315"/>
      <c r="E1603" s="315"/>
      <c r="F1603" s="315"/>
      <c r="G1603" s="315"/>
      <c r="H1603" s="315"/>
      <c r="I1603" s="315"/>
      <c r="J1603" s="315"/>
      <c r="K1603" s="315"/>
      <c r="L1603" s="315"/>
    </row>
    <row r="1604" spans="1:12">
      <c r="A1604" s="315"/>
      <c r="B1604" s="315"/>
      <c r="C1604" s="315"/>
      <c r="D1604" s="315"/>
      <c r="E1604" s="315"/>
      <c r="F1604" s="315"/>
      <c r="G1604" s="315"/>
      <c r="H1604" s="315"/>
      <c r="I1604" s="315"/>
      <c r="J1604" s="315"/>
      <c r="K1604" s="315"/>
      <c r="L1604" s="315"/>
    </row>
    <row r="1605" spans="1:12">
      <c r="A1605" s="315"/>
      <c r="B1605" s="315"/>
      <c r="C1605" s="315"/>
      <c r="D1605" s="315"/>
      <c r="E1605" s="315"/>
      <c r="F1605" s="315"/>
      <c r="G1605" s="315"/>
      <c r="H1605" s="315"/>
      <c r="I1605" s="315"/>
      <c r="J1605" s="315"/>
      <c r="K1605" s="315"/>
      <c r="L1605" s="315"/>
    </row>
    <row r="1606" spans="1:12">
      <c r="A1606" s="315"/>
      <c r="B1606" s="315"/>
      <c r="C1606" s="315"/>
      <c r="D1606" s="315"/>
      <c r="E1606" s="315"/>
      <c r="F1606" s="315"/>
      <c r="G1606" s="315"/>
      <c r="H1606" s="315"/>
      <c r="I1606" s="315"/>
      <c r="J1606" s="315"/>
      <c r="K1606" s="315"/>
      <c r="L1606" s="315"/>
    </row>
    <row r="1607" spans="1:12">
      <c r="A1607" s="315"/>
      <c r="B1607" s="315"/>
      <c r="C1607" s="315"/>
      <c r="D1607" s="315"/>
      <c r="E1607" s="315"/>
      <c r="F1607" s="315"/>
      <c r="G1607" s="315"/>
      <c r="H1607" s="315"/>
      <c r="I1607" s="315"/>
      <c r="J1607" s="315"/>
      <c r="K1607" s="315"/>
      <c r="L1607" s="315"/>
    </row>
    <row r="1608" spans="1:12">
      <c r="A1608" s="315"/>
      <c r="B1608" s="315"/>
      <c r="C1608" s="315"/>
      <c r="D1608" s="315"/>
      <c r="E1608" s="315"/>
      <c r="F1608" s="315"/>
      <c r="G1608" s="315"/>
      <c r="H1608" s="315"/>
      <c r="I1608" s="315"/>
      <c r="J1608" s="315"/>
      <c r="K1608" s="315"/>
      <c r="L1608" s="315"/>
    </row>
    <row r="1609" spans="1:12">
      <c r="A1609" s="315"/>
      <c r="B1609" s="315"/>
      <c r="C1609" s="315"/>
      <c r="D1609" s="315"/>
      <c r="E1609" s="315"/>
      <c r="F1609" s="315"/>
      <c r="G1609" s="315"/>
      <c r="H1609" s="315"/>
      <c r="I1609" s="315"/>
      <c r="J1609" s="315"/>
      <c r="K1609" s="315"/>
      <c r="L1609" s="315"/>
    </row>
    <row r="1610" spans="1:12">
      <c r="A1610" s="315"/>
      <c r="B1610" s="315"/>
      <c r="C1610" s="315"/>
      <c r="D1610" s="315"/>
      <c r="E1610" s="315"/>
      <c r="F1610" s="315"/>
      <c r="G1610" s="315"/>
      <c r="H1610" s="315"/>
      <c r="I1610" s="315"/>
      <c r="J1610" s="315"/>
      <c r="K1610" s="315"/>
      <c r="L1610" s="315"/>
    </row>
    <row r="1611" spans="1:12">
      <c r="A1611" s="315"/>
      <c r="B1611" s="315"/>
      <c r="C1611" s="315"/>
      <c r="D1611" s="315"/>
      <c r="E1611" s="315"/>
      <c r="F1611" s="315"/>
      <c r="G1611" s="315"/>
      <c r="H1611" s="315"/>
      <c r="I1611" s="315"/>
      <c r="J1611" s="315"/>
      <c r="K1611" s="315"/>
      <c r="L1611" s="315"/>
    </row>
    <row r="1612" spans="1:12">
      <c r="A1612" s="315"/>
      <c r="B1612" s="315"/>
      <c r="C1612" s="315"/>
      <c r="D1612" s="315"/>
      <c r="E1612" s="315"/>
      <c r="F1612" s="315"/>
      <c r="G1612" s="315"/>
      <c r="H1612" s="315"/>
      <c r="I1612" s="315"/>
      <c r="J1612" s="315"/>
      <c r="K1612" s="315"/>
      <c r="L1612" s="315"/>
    </row>
    <row r="1613" spans="1:12">
      <c r="A1613" s="315"/>
      <c r="B1613" s="315"/>
      <c r="C1613" s="315"/>
      <c r="D1613" s="315"/>
      <c r="E1613" s="315"/>
      <c r="F1613" s="315"/>
      <c r="G1613" s="315"/>
      <c r="H1613" s="315"/>
      <c r="I1613" s="315"/>
      <c r="J1613" s="315"/>
      <c r="K1613" s="315"/>
      <c r="L1613" s="315"/>
    </row>
    <row r="1614" spans="1:12">
      <c r="A1614" s="315"/>
      <c r="B1614" s="315"/>
      <c r="C1614" s="315"/>
      <c r="D1614" s="315"/>
      <c r="E1614" s="315"/>
      <c r="F1614" s="315"/>
      <c r="G1614" s="315"/>
      <c r="H1614" s="315"/>
      <c r="I1614" s="315"/>
      <c r="J1614" s="315"/>
      <c r="K1614" s="315"/>
      <c r="L1614" s="315"/>
    </row>
    <row r="1615" spans="1:12">
      <c r="A1615" s="315"/>
      <c r="B1615" s="315"/>
      <c r="C1615" s="315"/>
      <c r="D1615" s="315"/>
      <c r="E1615" s="315"/>
      <c r="F1615" s="315"/>
      <c r="G1615" s="315"/>
      <c r="H1615" s="315"/>
      <c r="I1615" s="315"/>
      <c r="J1615" s="315"/>
      <c r="K1615" s="315"/>
      <c r="L1615" s="315"/>
    </row>
    <row r="1616" spans="1:12">
      <c r="A1616" s="315"/>
      <c r="B1616" s="315"/>
      <c r="C1616" s="315"/>
      <c r="D1616" s="315"/>
      <c r="E1616" s="315"/>
      <c r="F1616" s="315"/>
      <c r="G1616" s="315"/>
      <c r="H1616" s="315"/>
      <c r="I1616" s="315"/>
      <c r="J1616" s="315"/>
      <c r="K1616" s="315"/>
      <c r="L1616" s="315"/>
    </row>
    <row r="1617" spans="1:12">
      <c r="A1617" s="315"/>
      <c r="B1617" s="315"/>
      <c r="C1617" s="315"/>
      <c r="D1617" s="315"/>
      <c r="E1617" s="315"/>
      <c r="F1617" s="315"/>
      <c r="G1617" s="315"/>
      <c r="H1617" s="315"/>
      <c r="I1617" s="315"/>
      <c r="J1617" s="315"/>
      <c r="K1617" s="315"/>
      <c r="L1617" s="315"/>
    </row>
    <row r="1618" spans="1:12">
      <c r="A1618" s="315"/>
      <c r="B1618" s="315"/>
      <c r="C1618" s="315"/>
      <c r="D1618" s="315"/>
      <c r="E1618" s="315"/>
      <c r="F1618" s="315"/>
      <c r="G1618" s="315"/>
      <c r="H1618" s="315"/>
      <c r="I1618" s="315"/>
      <c r="J1618" s="315"/>
      <c r="K1618" s="315"/>
      <c r="L1618" s="315"/>
    </row>
    <row r="1619" spans="1:12">
      <c r="A1619" s="315"/>
      <c r="B1619" s="315"/>
      <c r="C1619" s="315"/>
      <c r="D1619" s="315"/>
      <c r="E1619" s="315"/>
      <c r="F1619" s="315"/>
      <c r="G1619" s="315"/>
      <c r="H1619" s="315"/>
      <c r="I1619" s="315"/>
      <c r="J1619" s="315"/>
      <c r="K1619" s="315"/>
      <c r="L1619" s="315"/>
    </row>
    <row r="1620" spans="1:12">
      <c r="A1620" s="315"/>
      <c r="B1620" s="315"/>
      <c r="C1620" s="315"/>
      <c r="D1620" s="315"/>
      <c r="E1620" s="315"/>
      <c r="F1620" s="315"/>
      <c r="G1620" s="315"/>
      <c r="H1620" s="315"/>
      <c r="I1620" s="315"/>
      <c r="J1620" s="315"/>
      <c r="K1620" s="315"/>
      <c r="L1620" s="315"/>
    </row>
    <row r="1621" spans="1:12">
      <c r="A1621" s="315"/>
      <c r="B1621" s="315"/>
      <c r="C1621" s="315"/>
      <c r="D1621" s="315"/>
      <c r="E1621" s="315"/>
      <c r="F1621" s="315"/>
      <c r="G1621" s="315"/>
      <c r="H1621" s="315"/>
      <c r="I1621" s="315"/>
      <c r="J1621" s="315"/>
      <c r="K1621" s="315"/>
      <c r="L1621" s="315"/>
    </row>
    <row r="1622" spans="1:12">
      <c r="A1622" s="315"/>
      <c r="B1622" s="315"/>
      <c r="C1622" s="315"/>
      <c r="D1622" s="315"/>
      <c r="E1622" s="315"/>
      <c r="F1622" s="315"/>
      <c r="G1622" s="315"/>
      <c r="H1622" s="315"/>
      <c r="I1622" s="315"/>
      <c r="J1622" s="315"/>
      <c r="K1622" s="315"/>
      <c r="L1622" s="315"/>
    </row>
    <row r="1623" spans="1:12">
      <c r="A1623" s="315"/>
      <c r="B1623" s="315"/>
      <c r="C1623" s="315"/>
      <c r="D1623" s="315"/>
      <c r="E1623" s="315"/>
      <c r="F1623" s="315"/>
      <c r="G1623" s="315"/>
      <c r="H1623" s="315"/>
      <c r="I1623" s="315"/>
      <c r="J1623" s="315"/>
      <c r="K1623" s="315"/>
      <c r="L1623" s="315"/>
    </row>
    <row r="1624" spans="1:12">
      <c r="A1624" s="315"/>
      <c r="B1624" s="315"/>
      <c r="C1624" s="315"/>
      <c r="D1624" s="315"/>
      <c r="E1624" s="315"/>
      <c r="F1624" s="315"/>
      <c r="G1624" s="315"/>
      <c r="H1624" s="315"/>
      <c r="I1624" s="315"/>
      <c r="J1624" s="315"/>
      <c r="K1624" s="315"/>
      <c r="L1624" s="315"/>
    </row>
    <row r="1625" spans="1:12">
      <c r="A1625" s="315"/>
      <c r="B1625" s="315"/>
      <c r="C1625" s="315"/>
      <c r="D1625" s="315"/>
      <c r="E1625" s="315"/>
      <c r="F1625" s="315"/>
      <c r="G1625" s="315"/>
      <c r="H1625" s="315"/>
      <c r="I1625" s="315"/>
      <c r="J1625" s="315"/>
      <c r="K1625" s="315"/>
      <c r="L1625" s="315"/>
    </row>
    <row r="1626" spans="1:12">
      <c r="A1626" s="315"/>
      <c r="B1626" s="315"/>
      <c r="C1626" s="315"/>
      <c r="D1626" s="315"/>
      <c r="E1626" s="315"/>
      <c r="F1626" s="315"/>
      <c r="G1626" s="315"/>
      <c r="H1626" s="315"/>
      <c r="I1626" s="315"/>
      <c r="J1626" s="315"/>
      <c r="K1626" s="315"/>
      <c r="L1626" s="315"/>
    </row>
    <row r="1627" spans="1:12">
      <c r="A1627" s="315"/>
      <c r="B1627" s="315"/>
      <c r="C1627" s="315"/>
      <c r="D1627" s="315"/>
      <c r="E1627" s="315"/>
      <c r="F1627" s="315"/>
      <c r="G1627" s="315"/>
      <c r="H1627" s="315"/>
      <c r="I1627" s="315"/>
      <c r="J1627" s="315"/>
      <c r="K1627" s="315"/>
      <c r="L1627" s="315"/>
    </row>
    <row r="1628" spans="1:12">
      <c r="A1628" s="315"/>
      <c r="B1628" s="315"/>
      <c r="C1628" s="315"/>
      <c r="D1628" s="315"/>
      <c r="E1628" s="315"/>
      <c r="F1628" s="315"/>
      <c r="G1628" s="315"/>
      <c r="H1628" s="315"/>
      <c r="I1628" s="315"/>
      <c r="J1628" s="315"/>
      <c r="K1628" s="315"/>
      <c r="L1628" s="315"/>
    </row>
    <row r="1629" spans="1:12">
      <c r="A1629" s="315"/>
      <c r="B1629" s="315"/>
      <c r="C1629" s="315"/>
      <c r="D1629" s="315"/>
      <c r="E1629" s="315"/>
      <c r="F1629" s="315"/>
      <c r="G1629" s="315"/>
      <c r="H1629" s="315"/>
      <c r="I1629" s="315"/>
      <c r="J1629" s="315"/>
      <c r="K1629" s="315"/>
      <c r="L1629" s="315"/>
    </row>
    <row r="1630" spans="1:12">
      <c r="A1630" s="315"/>
      <c r="B1630" s="315"/>
      <c r="C1630" s="315"/>
      <c r="D1630" s="315"/>
      <c r="E1630" s="315"/>
      <c r="F1630" s="315"/>
      <c r="G1630" s="315"/>
      <c r="H1630" s="315"/>
      <c r="I1630" s="315"/>
      <c r="J1630" s="315"/>
      <c r="K1630" s="315"/>
      <c r="L1630" s="315"/>
    </row>
    <row r="1631" spans="1:12">
      <c r="A1631" s="315"/>
      <c r="B1631" s="315"/>
      <c r="C1631" s="315"/>
      <c r="D1631" s="315"/>
      <c r="E1631" s="315"/>
      <c r="F1631" s="315"/>
      <c r="G1631" s="315"/>
      <c r="H1631" s="315"/>
      <c r="I1631" s="315"/>
      <c r="J1631" s="315"/>
      <c r="K1631" s="315"/>
      <c r="L1631" s="315"/>
    </row>
    <row r="1632" spans="1:12">
      <c r="A1632" s="315"/>
      <c r="B1632" s="315"/>
      <c r="C1632" s="315"/>
      <c r="D1632" s="315"/>
      <c r="E1632" s="315"/>
      <c r="F1632" s="315"/>
      <c r="G1632" s="315"/>
      <c r="H1632" s="315"/>
      <c r="I1632" s="315"/>
      <c r="J1632" s="315"/>
      <c r="K1632" s="315"/>
      <c r="L1632" s="315"/>
    </row>
    <row r="1633" spans="1:12">
      <c r="A1633" s="315"/>
      <c r="B1633" s="315"/>
      <c r="C1633" s="315"/>
      <c r="D1633" s="315"/>
      <c r="E1633" s="315"/>
      <c r="F1633" s="315"/>
      <c r="G1633" s="315"/>
      <c r="H1633" s="315"/>
      <c r="I1633" s="315"/>
      <c r="J1633" s="315"/>
      <c r="K1633" s="315"/>
      <c r="L1633" s="315"/>
    </row>
    <row r="1634" spans="1:12">
      <c r="A1634" s="315"/>
      <c r="B1634" s="315"/>
      <c r="C1634" s="315"/>
      <c r="D1634" s="315"/>
      <c r="E1634" s="315"/>
      <c r="F1634" s="315"/>
      <c r="G1634" s="315"/>
      <c r="H1634" s="315"/>
      <c r="I1634" s="315"/>
      <c r="J1634" s="315"/>
      <c r="K1634" s="315"/>
      <c r="L1634" s="315"/>
    </row>
    <row r="1635" spans="1:12">
      <c r="A1635" s="315"/>
      <c r="B1635" s="315"/>
      <c r="C1635" s="315"/>
      <c r="D1635" s="315"/>
      <c r="E1635" s="315"/>
      <c r="F1635" s="315"/>
      <c r="G1635" s="315"/>
      <c r="H1635" s="315"/>
      <c r="I1635" s="315"/>
      <c r="J1635" s="315"/>
      <c r="K1635" s="315"/>
      <c r="L1635" s="315"/>
    </row>
    <row r="1636" spans="1:12">
      <c r="A1636" s="315"/>
      <c r="B1636" s="315"/>
      <c r="C1636" s="315"/>
      <c r="D1636" s="315"/>
      <c r="E1636" s="315"/>
      <c r="F1636" s="315"/>
      <c r="G1636" s="315"/>
      <c r="H1636" s="315"/>
      <c r="I1636" s="315"/>
      <c r="J1636" s="315"/>
      <c r="K1636" s="315"/>
      <c r="L1636" s="315"/>
    </row>
    <row r="1637" spans="1:12">
      <c r="A1637" s="315"/>
      <c r="B1637" s="315"/>
      <c r="C1637" s="315"/>
      <c r="D1637" s="315"/>
      <c r="E1637" s="315"/>
      <c r="F1637" s="315"/>
      <c r="G1637" s="315"/>
      <c r="H1637" s="315"/>
      <c r="I1637" s="315"/>
      <c r="J1637" s="315"/>
      <c r="K1637" s="315"/>
      <c r="L1637" s="315"/>
    </row>
    <row r="1638" spans="1:12">
      <c r="A1638" s="315"/>
      <c r="B1638" s="315"/>
      <c r="C1638" s="315"/>
      <c r="D1638" s="315"/>
      <c r="E1638" s="315"/>
      <c r="F1638" s="315"/>
      <c r="G1638" s="315"/>
      <c r="H1638" s="315"/>
      <c r="I1638" s="315"/>
      <c r="J1638" s="315"/>
      <c r="K1638" s="315"/>
      <c r="L1638" s="315"/>
    </row>
    <row r="1639" spans="1:12">
      <c r="A1639" s="315"/>
      <c r="B1639" s="315"/>
      <c r="C1639" s="315"/>
      <c r="D1639" s="315"/>
      <c r="E1639" s="315"/>
      <c r="F1639" s="315"/>
      <c r="G1639" s="315"/>
      <c r="H1639" s="315"/>
      <c r="I1639" s="315"/>
      <c r="J1639" s="315"/>
      <c r="K1639" s="315"/>
      <c r="L1639" s="315"/>
    </row>
    <row r="1640" spans="1:12">
      <c r="A1640" s="315"/>
      <c r="B1640" s="315"/>
      <c r="C1640" s="315"/>
      <c r="D1640" s="315"/>
      <c r="E1640" s="315"/>
      <c r="F1640" s="315"/>
      <c r="G1640" s="315"/>
      <c r="H1640" s="315"/>
      <c r="I1640" s="315"/>
      <c r="J1640" s="315"/>
      <c r="K1640" s="315"/>
      <c r="L1640" s="315"/>
    </row>
    <row r="1641" spans="1:12">
      <c r="A1641" s="315"/>
      <c r="B1641" s="315"/>
      <c r="C1641" s="315"/>
      <c r="D1641" s="315"/>
      <c r="E1641" s="315"/>
      <c r="F1641" s="315"/>
      <c r="G1641" s="315"/>
      <c r="H1641" s="315"/>
      <c r="I1641" s="315"/>
      <c r="J1641" s="315"/>
      <c r="K1641" s="315"/>
      <c r="L1641" s="315"/>
    </row>
    <row r="1642" spans="1:12">
      <c r="A1642" s="315"/>
      <c r="B1642" s="315"/>
      <c r="C1642" s="315"/>
      <c r="D1642" s="315"/>
      <c r="E1642" s="315"/>
      <c r="F1642" s="315"/>
      <c r="G1642" s="315"/>
      <c r="H1642" s="315"/>
      <c r="I1642" s="315"/>
      <c r="J1642" s="315"/>
      <c r="K1642" s="315"/>
      <c r="L1642" s="315"/>
    </row>
    <row r="1643" spans="1:12">
      <c r="A1643" s="315"/>
      <c r="B1643" s="315"/>
      <c r="C1643" s="315"/>
      <c r="D1643" s="315"/>
      <c r="E1643" s="315"/>
      <c r="F1643" s="315"/>
      <c r="G1643" s="315"/>
      <c r="H1643" s="315"/>
      <c r="I1643" s="315"/>
      <c r="J1643" s="315"/>
      <c r="K1643" s="315"/>
      <c r="L1643" s="315"/>
    </row>
    <row r="1644" spans="1:12">
      <c r="A1644" s="315"/>
      <c r="B1644" s="315"/>
      <c r="C1644" s="315"/>
      <c r="D1644" s="315"/>
      <c r="E1644" s="315"/>
      <c r="F1644" s="315"/>
      <c r="G1644" s="315"/>
      <c r="H1644" s="315"/>
      <c r="I1644" s="315"/>
      <c r="J1644" s="315"/>
      <c r="K1644" s="315"/>
      <c r="L1644" s="315"/>
    </row>
    <row r="1645" spans="1:12">
      <c r="A1645" s="315"/>
      <c r="B1645" s="315"/>
      <c r="C1645" s="315"/>
      <c r="D1645" s="315"/>
      <c r="E1645" s="315"/>
      <c r="F1645" s="315"/>
      <c r="G1645" s="315"/>
      <c r="H1645" s="315"/>
      <c r="I1645" s="315"/>
      <c r="J1645" s="315"/>
      <c r="K1645" s="315"/>
      <c r="L1645" s="315"/>
    </row>
    <row r="1646" spans="1:12">
      <c r="A1646" s="315"/>
      <c r="B1646" s="315"/>
      <c r="C1646" s="315"/>
      <c r="D1646" s="315"/>
      <c r="E1646" s="315"/>
      <c r="F1646" s="315"/>
      <c r="G1646" s="315"/>
      <c r="H1646" s="315"/>
      <c r="I1646" s="315"/>
      <c r="J1646" s="315"/>
      <c r="K1646" s="315"/>
      <c r="L1646" s="315"/>
    </row>
    <row r="1647" spans="1:12">
      <c r="A1647" s="315"/>
      <c r="B1647" s="315"/>
      <c r="C1647" s="315"/>
      <c r="D1647" s="315"/>
      <c r="E1647" s="315"/>
      <c r="F1647" s="315"/>
      <c r="G1647" s="315"/>
      <c r="H1647" s="315"/>
      <c r="I1647" s="315"/>
      <c r="J1647" s="315"/>
      <c r="K1647" s="315"/>
      <c r="L1647" s="315"/>
    </row>
    <row r="1648" spans="1:12">
      <c r="A1648" s="315"/>
      <c r="B1648" s="315"/>
      <c r="C1648" s="315"/>
      <c r="D1648" s="315"/>
      <c r="E1648" s="315"/>
      <c r="F1648" s="315"/>
      <c r="G1648" s="315"/>
      <c r="H1648" s="315"/>
      <c r="I1648" s="315"/>
      <c r="J1648" s="315"/>
      <c r="K1648" s="315"/>
      <c r="L1648" s="315"/>
    </row>
    <row r="1649" spans="1:12">
      <c r="A1649" s="315"/>
      <c r="B1649" s="315"/>
      <c r="C1649" s="315"/>
      <c r="D1649" s="315"/>
      <c r="E1649" s="315"/>
      <c r="F1649" s="315"/>
      <c r="G1649" s="315"/>
      <c r="H1649" s="315"/>
      <c r="I1649" s="315"/>
      <c r="J1649" s="315"/>
      <c r="K1649" s="315"/>
      <c r="L1649" s="315"/>
    </row>
    <row r="1650" spans="1:12">
      <c r="A1650" s="315"/>
      <c r="B1650" s="315"/>
      <c r="C1650" s="315"/>
      <c r="D1650" s="315"/>
      <c r="E1650" s="315"/>
      <c r="F1650" s="315"/>
      <c r="G1650" s="315"/>
      <c r="H1650" s="315"/>
      <c r="I1650" s="315"/>
      <c r="J1650" s="315"/>
      <c r="K1650" s="315"/>
      <c r="L1650" s="315"/>
    </row>
    <row r="1651" spans="1:12">
      <c r="A1651" s="315"/>
      <c r="B1651" s="315"/>
      <c r="C1651" s="315"/>
      <c r="D1651" s="315"/>
      <c r="E1651" s="315"/>
      <c r="F1651" s="315"/>
      <c r="G1651" s="315"/>
      <c r="H1651" s="315"/>
      <c r="I1651" s="315"/>
      <c r="J1651" s="315"/>
      <c r="K1651" s="315"/>
      <c r="L1651" s="315"/>
    </row>
    <row r="1652" spans="1:12">
      <c r="A1652" s="315"/>
      <c r="B1652" s="315"/>
      <c r="C1652" s="315"/>
      <c r="D1652" s="315"/>
      <c r="E1652" s="315"/>
      <c r="F1652" s="315"/>
      <c r="G1652" s="315"/>
      <c r="H1652" s="315"/>
      <c r="I1652" s="315"/>
      <c r="J1652" s="315"/>
      <c r="K1652" s="315"/>
      <c r="L1652" s="315"/>
    </row>
    <row r="1653" spans="1:12">
      <c r="A1653" s="315"/>
      <c r="B1653" s="315"/>
      <c r="C1653" s="315"/>
      <c r="D1653" s="315"/>
      <c r="E1653" s="315"/>
      <c r="F1653" s="315"/>
      <c r="G1653" s="315"/>
      <c r="H1653" s="315"/>
      <c r="I1653" s="315"/>
      <c r="J1653" s="315"/>
      <c r="K1653" s="315"/>
      <c r="L1653" s="315"/>
    </row>
    <row r="1654" spans="1:12">
      <c r="A1654" s="315"/>
      <c r="B1654" s="315"/>
      <c r="C1654" s="315"/>
      <c r="D1654" s="315"/>
      <c r="E1654" s="315"/>
      <c r="F1654" s="315"/>
      <c r="G1654" s="315"/>
      <c r="H1654" s="315"/>
      <c r="I1654" s="315"/>
      <c r="J1654" s="315"/>
      <c r="K1654" s="315"/>
      <c r="L1654" s="315"/>
    </row>
    <row r="1655" spans="1:12">
      <c r="A1655" s="315"/>
      <c r="B1655" s="315"/>
      <c r="C1655" s="315"/>
      <c r="D1655" s="315"/>
      <c r="E1655" s="315"/>
      <c r="F1655" s="315"/>
      <c r="G1655" s="315"/>
      <c r="H1655" s="315"/>
      <c r="I1655" s="315"/>
      <c r="J1655" s="315"/>
      <c r="K1655" s="315"/>
      <c r="L1655" s="315"/>
    </row>
    <row r="1656" spans="1:12">
      <c r="A1656" s="315"/>
      <c r="B1656" s="315"/>
      <c r="C1656" s="315"/>
      <c r="D1656" s="315"/>
      <c r="E1656" s="315"/>
      <c r="F1656" s="315"/>
      <c r="G1656" s="315"/>
      <c r="H1656" s="315"/>
      <c r="I1656" s="315"/>
      <c r="J1656" s="315"/>
      <c r="K1656" s="315"/>
      <c r="L1656" s="315"/>
    </row>
    <row r="1657" spans="1:12">
      <c r="A1657" s="315"/>
      <c r="B1657" s="315"/>
      <c r="C1657" s="315"/>
      <c r="D1657" s="315"/>
      <c r="E1657" s="315"/>
      <c r="F1657" s="315"/>
      <c r="G1657" s="315"/>
      <c r="H1657" s="315"/>
      <c r="I1657" s="315"/>
      <c r="J1657" s="315"/>
      <c r="K1657" s="315"/>
      <c r="L1657" s="315"/>
    </row>
    <row r="1658" spans="1:12">
      <c r="A1658" s="315"/>
      <c r="B1658" s="315"/>
      <c r="C1658" s="315"/>
      <c r="D1658" s="315"/>
      <c r="E1658" s="315"/>
      <c r="F1658" s="315"/>
      <c r="G1658" s="315"/>
      <c r="H1658" s="315"/>
      <c r="I1658" s="315"/>
      <c r="J1658" s="315"/>
      <c r="K1658" s="315"/>
      <c r="L1658" s="315"/>
    </row>
    <row r="1659" spans="1:12">
      <c r="A1659" s="315"/>
      <c r="B1659" s="315"/>
      <c r="C1659" s="315"/>
      <c r="D1659" s="315"/>
      <c r="E1659" s="315"/>
      <c r="F1659" s="315"/>
      <c r="G1659" s="315"/>
      <c r="H1659" s="315"/>
      <c r="I1659" s="315"/>
      <c r="J1659" s="315"/>
      <c r="K1659" s="315"/>
      <c r="L1659" s="315"/>
    </row>
    <row r="1660" spans="1:12">
      <c r="A1660" s="315"/>
      <c r="B1660" s="315"/>
      <c r="C1660" s="315"/>
      <c r="D1660" s="315"/>
      <c r="E1660" s="315"/>
      <c r="F1660" s="315"/>
      <c r="G1660" s="315"/>
      <c r="H1660" s="315"/>
      <c r="I1660" s="315"/>
      <c r="J1660" s="315"/>
      <c r="K1660" s="315"/>
      <c r="L1660" s="315"/>
    </row>
    <row r="1661" spans="1:12">
      <c r="A1661" s="315"/>
      <c r="B1661" s="315"/>
      <c r="C1661" s="315"/>
      <c r="D1661" s="315"/>
      <c r="E1661" s="315"/>
      <c r="F1661" s="315"/>
      <c r="G1661" s="315"/>
      <c r="H1661" s="315"/>
      <c r="I1661" s="315"/>
      <c r="J1661" s="315"/>
      <c r="K1661" s="315"/>
      <c r="L1661" s="315"/>
    </row>
    <row r="1662" spans="1:12">
      <c r="A1662" s="315"/>
      <c r="B1662" s="315"/>
      <c r="C1662" s="315"/>
      <c r="D1662" s="315"/>
      <c r="E1662" s="315"/>
      <c r="F1662" s="315"/>
      <c r="G1662" s="315"/>
      <c r="H1662" s="315"/>
      <c r="I1662" s="315"/>
      <c r="J1662" s="315"/>
      <c r="K1662" s="315"/>
      <c r="L1662" s="315"/>
    </row>
    <row r="1663" spans="1:12">
      <c r="A1663" s="315"/>
      <c r="B1663" s="315"/>
      <c r="C1663" s="315"/>
      <c r="D1663" s="315"/>
      <c r="E1663" s="315"/>
      <c r="F1663" s="315"/>
      <c r="G1663" s="315"/>
      <c r="H1663" s="315"/>
      <c r="I1663" s="315"/>
      <c r="J1663" s="315"/>
      <c r="K1663" s="315"/>
      <c r="L1663" s="315"/>
    </row>
    <row r="1664" spans="1:12">
      <c r="A1664" s="315"/>
      <c r="B1664" s="315"/>
      <c r="C1664" s="315"/>
      <c r="D1664" s="315"/>
      <c r="E1664" s="315"/>
      <c r="F1664" s="315"/>
      <c r="G1664" s="315"/>
      <c r="H1664" s="315"/>
      <c r="I1664" s="315"/>
      <c r="J1664" s="315"/>
      <c r="K1664" s="315"/>
      <c r="L1664" s="315"/>
    </row>
    <row r="1665" spans="1:12">
      <c r="A1665" s="315"/>
      <c r="B1665" s="315"/>
      <c r="C1665" s="315"/>
      <c r="D1665" s="315"/>
      <c r="E1665" s="315"/>
      <c r="F1665" s="315"/>
      <c r="G1665" s="315"/>
      <c r="H1665" s="315"/>
      <c r="I1665" s="315"/>
      <c r="J1665" s="315"/>
      <c r="K1665" s="315"/>
      <c r="L1665" s="315"/>
    </row>
    <row r="1666" spans="1:12">
      <c r="A1666" s="315"/>
      <c r="B1666" s="315"/>
      <c r="C1666" s="315"/>
      <c r="D1666" s="315"/>
      <c r="E1666" s="315"/>
      <c r="F1666" s="315"/>
      <c r="G1666" s="315"/>
      <c r="H1666" s="315"/>
      <c r="I1666" s="315"/>
      <c r="J1666" s="315"/>
      <c r="K1666" s="315"/>
      <c r="L1666" s="315"/>
    </row>
    <row r="1667" spans="1:12">
      <c r="A1667" s="315"/>
      <c r="B1667" s="315"/>
      <c r="C1667" s="315"/>
      <c r="D1667" s="315"/>
      <c r="E1667" s="315"/>
      <c r="F1667" s="315"/>
      <c r="G1667" s="315"/>
      <c r="H1667" s="315"/>
      <c r="I1667" s="315"/>
      <c r="J1667" s="315"/>
      <c r="K1667" s="315"/>
      <c r="L1667" s="315"/>
    </row>
    <row r="1668" spans="1:12">
      <c r="A1668" s="315"/>
      <c r="B1668" s="315"/>
      <c r="C1668" s="315"/>
      <c r="D1668" s="315"/>
      <c r="E1668" s="315"/>
      <c r="F1668" s="315"/>
      <c r="G1668" s="315"/>
      <c r="H1668" s="315"/>
      <c r="I1668" s="315"/>
      <c r="J1668" s="315"/>
      <c r="K1668" s="315"/>
      <c r="L1668" s="315"/>
    </row>
    <row r="1669" spans="1:12">
      <c r="A1669" s="315"/>
      <c r="B1669" s="315"/>
      <c r="C1669" s="315"/>
      <c r="D1669" s="315"/>
      <c r="E1669" s="315"/>
      <c r="F1669" s="315"/>
      <c r="G1669" s="315"/>
      <c r="H1669" s="315"/>
      <c r="I1669" s="315"/>
      <c r="J1669" s="315"/>
      <c r="K1669" s="315"/>
      <c r="L1669" s="315"/>
    </row>
    <row r="1670" spans="1:12">
      <c r="A1670" s="315"/>
      <c r="B1670" s="315"/>
      <c r="C1670" s="315"/>
      <c r="D1670" s="315"/>
      <c r="E1670" s="315"/>
      <c r="F1670" s="315"/>
      <c r="G1670" s="315"/>
      <c r="H1670" s="315"/>
      <c r="I1670" s="315"/>
      <c r="J1670" s="315"/>
      <c r="K1670" s="315"/>
      <c r="L1670" s="315"/>
    </row>
    <row r="1671" spans="1:12">
      <c r="A1671" s="315"/>
      <c r="B1671" s="315"/>
      <c r="C1671" s="315"/>
      <c r="D1671" s="315"/>
      <c r="E1671" s="315"/>
      <c r="F1671" s="315"/>
      <c r="G1671" s="315"/>
      <c r="H1671" s="315"/>
      <c r="I1671" s="315"/>
      <c r="J1671" s="315"/>
      <c r="K1671" s="315"/>
      <c r="L1671" s="315"/>
    </row>
    <row r="1672" spans="1:12">
      <c r="A1672" s="315"/>
      <c r="B1672" s="315"/>
      <c r="C1672" s="315"/>
      <c r="D1672" s="315"/>
      <c r="E1672" s="315"/>
      <c r="F1672" s="315"/>
      <c r="G1672" s="315"/>
      <c r="H1672" s="315"/>
      <c r="I1672" s="315"/>
      <c r="J1672" s="315"/>
      <c r="K1672" s="315"/>
      <c r="L1672" s="315"/>
    </row>
    <row r="1673" spans="1:12">
      <c r="A1673" s="315"/>
      <c r="B1673" s="315"/>
      <c r="C1673" s="315"/>
      <c r="D1673" s="315"/>
      <c r="E1673" s="315"/>
      <c r="F1673" s="315"/>
      <c r="G1673" s="315"/>
      <c r="H1673" s="315"/>
      <c r="I1673" s="315"/>
      <c r="J1673" s="315"/>
      <c r="K1673" s="315"/>
      <c r="L1673" s="315"/>
    </row>
    <row r="1674" spans="1:12">
      <c r="A1674" s="315"/>
      <c r="B1674" s="315"/>
      <c r="C1674" s="315"/>
      <c r="D1674" s="315"/>
      <c r="E1674" s="315"/>
      <c r="F1674" s="315"/>
      <c r="G1674" s="315"/>
      <c r="H1674" s="315"/>
      <c r="I1674" s="315"/>
      <c r="J1674" s="315"/>
      <c r="K1674" s="315"/>
      <c r="L1674" s="315"/>
    </row>
    <row r="1675" spans="1:12">
      <c r="A1675" s="315"/>
      <c r="B1675" s="315"/>
      <c r="C1675" s="315"/>
      <c r="D1675" s="315"/>
      <c r="E1675" s="315"/>
      <c r="F1675" s="315"/>
      <c r="G1675" s="315"/>
      <c r="H1675" s="315"/>
      <c r="I1675" s="315"/>
      <c r="J1675" s="315"/>
      <c r="K1675" s="315"/>
      <c r="L1675" s="315"/>
    </row>
    <row r="1676" spans="1:12">
      <c r="A1676" s="315"/>
      <c r="B1676" s="315"/>
      <c r="C1676" s="315"/>
      <c r="D1676" s="315"/>
      <c r="E1676" s="315"/>
      <c r="F1676" s="315"/>
      <c r="G1676" s="315"/>
      <c r="H1676" s="315"/>
      <c r="I1676" s="315"/>
      <c r="J1676" s="315"/>
      <c r="K1676" s="315"/>
      <c r="L1676" s="315"/>
    </row>
    <row r="1677" spans="1:12">
      <c r="A1677" s="315"/>
      <c r="B1677" s="315"/>
      <c r="C1677" s="315"/>
      <c r="D1677" s="315"/>
      <c r="E1677" s="315"/>
      <c r="F1677" s="315"/>
      <c r="G1677" s="315"/>
      <c r="H1677" s="315"/>
      <c r="I1677" s="315"/>
      <c r="J1677" s="315"/>
      <c r="K1677" s="315"/>
      <c r="L1677" s="315"/>
    </row>
    <row r="1678" spans="1:12">
      <c r="A1678" s="315"/>
      <c r="B1678" s="315"/>
      <c r="C1678" s="315"/>
      <c r="D1678" s="315"/>
      <c r="E1678" s="315"/>
      <c r="F1678" s="315"/>
      <c r="G1678" s="315"/>
      <c r="H1678" s="315"/>
      <c r="I1678" s="315"/>
      <c r="J1678" s="315"/>
      <c r="K1678" s="315"/>
      <c r="L1678" s="315"/>
    </row>
    <row r="1679" spans="1:12">
      <c r="A1679" s="315"/>
      <c r="B1679" s="315"/>
      <c r="C1679" s="315"/>
      <c r="D1679" s="315"/>
      <c r="E1679" s="315"/>
      <c r="F1679" s="315"/>
      <c r="G1679" s="315"/>
      <c r="H1679" s="315"/>
      <c r="I1679" s="315"/>
      <c r="J1679" s="315"/>
      <c r="K1679" s="315"/>
      <c r="L1679" s="315"/>
    </row>
    <row r="1680" spans="1:12">
      <c r="A1680" s="315"/>
      <c r="B1680" s="315"/>
      <c r="C1680" s="315"/>
      <c r="D1680" s="315"/>
      <c r="E1680" s="315"/>
      <c r="F1680" s="315"/>
      <c r="G1680" s="315"/>
      <c r="H1680" s="315"/>
      <c r="I1680" s="315"/>
      <c r="J1680" s="315"/>
      <c r="K1680" s="315"/>
      <c r="L1680" s="315"/>
    </row>
    <row r="1681" spans="1:12">
      <c r="A1681" s="315"/>
      <c r="B1681" s="315"/>
      <c r="C1681" s="315"/>
      <c r="D1681" s="315"/>
      <c r="E1681" s="315"/>
      <c r="F1681" s="315"/>
      <c r="G1681" s="315"/>
      <c r="H1681" s="315"/>
      <c r="I1681" s="315"/>
      <c r="J1681" s="315"/>
      <c r="K1681" s="315"/>
      <c r="L1681" s="315"/>
    </row>
    <row r="1682" spans="1:12">
      <c r="A1682" s="315"/>
      <c r="B1682" s="315"/>
      <c r="C1682" s="315"/>
      <c r="D1682" s="315"/>
      <c r="E1682" s="315"/>
      <c r="F1682" s="315"/>
      <c r="G1682" s="315"/>
      <c r="H1682" s="315"/>
      <c r="I1682" s="315"/>
      <c r="J1682" s="315"/>
      <c r="K1682" s="315"/>
      <c r="L1682" s="315"/>
    </row>
    <row r="1683" spans="1:12">
      <c r="A1683" s="315"/>
      <c r="B1683" s="315"/>
      <c r="C1683" s="315"/>
      <c r="D1683" s="315"/>
      <c r="E1683" s="315"/>
      <c r="F1683" s="315"/>
      <c r="G1683" s="315"/>
      <c r="H1683" s="315"/>
      <c r="I1683" s="315"/>
      <c r="J1683" s="315"/>
      <c r="K1683" s="315"/>
      <c r="L1683" s="315"/>
    </row>
    <row r="1684" spans="1:12">
      <c r="A1684" s="315"/>
      <c r="B1684" s="315"/>
      <c r="C1684" s="315"/>
      <c r="D1684" s="315"/>
      <c r="E1684" s="315"/>
      <c r="F1684" s="315"/>
      <c r="G1684" s="315"/>
      <c r="H1684" s="315"/>
      <c r="I1684" s="315"/>
      <c r="J1684" s="315"/>
      <c r="K1684" s="315"/>
      <c r="L1684" s="315"/>
    </row>
    <row r="1685" spans="1:12">
      <c r="A1685" s="315"/>
      <c r="B1685" s="315"/>
      <c r="C1685" s="315"/>
      <c r="D1685" s="315"/>
      <c r="E1685" s="315"/>
      <c r="F1685" s="315"/>
      <c r="G1685" s="315"/>
      <c r="H1685" s="315"/>
      <c r="I1685" s="315"/>
      <c r="J1685" s="315"/>
      <c r="K1685" s="315"/>
      <c r="L1685" s="315"/>
    </row>
    <row r="1686" spans="1:12">
      <c r="A1686" s="315"/>
      <c r="B1686" s="315"/>
      <c r="C1686" s="315"/>
      <c r="D1686" s="315"/>
      <c r="E1686" s="315"/>
      <c r="F1686" s="315"/>
      <c r="G1686" s="315"/>
      <c r="H1686" s="315"/>
      <c r="I1686" s="315"/>
      <c r="J1686" s="315"/>
      <c r="K1686" s="315"/>
      <c r="L1686" s="315"/>
    </row>
    <row r="1687" spans="1:12">
      <c r="A1687" s="315"/>
      <c r="B1687" s="315"/>
      <c r="C1687" s="315"/>
      <c r="D1687" s="315"/>
      <c r="E1687" s="315"/>
      <c r="F1687" s="315"/>
      <c r="G1687" s="315"/>
      <c r="H1687" s="315"/>
      <c r="I1687" s="315"/>
      <c r="J1687" s="315"/>
      <c r="K1687" s="315"/>
      <c r="L1687" s="315"/>
    </row>
    <row r="1688" spans="1:12">
      <c r="A1688" s="315"/>
      <c r="B1688" s="315"/>
      <c r="C1688" s="315"/>
      <c r="D1688" s="315"/>
      <c r="E1688" s="315"/>
      <c r="F1688" s="315"/>
      <c r="G1688" s="315"/>
      <c r="H1688" s="315"/>
      <c r="I1688" s="315"/>
      <c r="J1688" s="315"/>
      <c r="K1688" s="315"/>
      <c r="L1688" s="315"/>
    </row>
    <row r="1689" spans="1:12">
      <c r="A1689" s="315"/>
      <c r="B1689" s="315"/>
      <c r="C1689" s="315"/>
      <c r="D1689" s="315"/>
      <c r="E1689" s="315"/>
      <c r="F1689" s="315"/>
      <c r="G1689" s="315"/>
      <c r="H1689" s="315"/>
      <c r="I1689" s="315"/>
      <c r="J1689" s="315"/>
      <c r="K1689" s="315"/>
      <c r="L1689" s="315"/>
    </row>
    <row r="1690" spans="1:12">
      <c r="A1690" s="315"/>
      <c r="B1690" s="315"/>
      <c r="C1690" s="315"/>
      <c r="D1690" s="315"/>
      <c r="E1690" s="315"/>
      <c r="F1690" s="315"/>
      <c r="G1690" s="315"/>
      <c r="H1690" s="315"/>
      <c r="I1690" s="315"/>
      <c r="J1690" s="315"/>
      <c r="K1690" s="315"/>
      <c r="L1690" s="315"/>
    </row>
    <row r="1691" spans="1:12">
      <c r="A1691" s="315"/>
      <c r="B1691" s="315"/>
      <c r="C1691" s="315"/>
      <c r="D1691" s="315"/>
      <c r="E1691" s="315"/>
      <c r="F1691" s="315"/>
      <c r="G1691" s="315"/>
      <c r="H1691" s="315"/>
      <c r="I1691" s="315"/>
      <c r="J1691" s="315"/>
      <c r="K1691" s="315"/>
      <c r="L1691" s="315"/>
    </row>
    <row r="1692" spans="1:12">
      <c r="A1692" s="315"/>
      <c r="B1692" s="315"/>
      <c r="C1692" s="315"/>
      <c r="D1692" s="315"/>
      <c r="E1692" s="315"/>
      <c r="F1692" s="315"/>
      <c r="G1692" s="315"/>
      <c r="H1692" s="315"/>
      <c r="I1692" s="315"/>
      <c r="J1692" s="315"/>
      <c r="K1692" s="315"/>
      <c r="L1692" s="315"/>
    </row>
    <row r="1693" spans="1:12">
      <c r="A1693" s="315"/>
      <c r="B1693" s="315"/>
      <c r="C1693" s="315"/>
      <c r="D1693" s="315"/>
      <c r="E1693" s="315"/>
      <c r="F1693" s="315"/>
      <c r="G1693" s="315"/>
      <c r="H1693" s="315"/>
      <c r="I1693" s="315"/>
      <c r="J1693" s="315"/>
      <c r="K1693" s="315"/>
      <c r="L1693" s="315"/>
    </row>
    <row r="1694" spans="1:12">
      <c r="A1694" s="315"/>
      <c r="B1694" s="315"/>
      <c r="C1694" s="315"/>
      <c r="D1694" s="315"/>
      <c r="E1694" s="315"/>
      <c r="F1694" s="315"/>
      <c r="G1694" s="315"/>
      <c r="H1694" s="315"/>
      <c r="I1694" s="315"/>
      <c r="J1694" s="315"/>
      <c r="K1694" s="315"/>
      <c r="L1694" s="315"/>
    </row>
    <row r="1695" spans="1:12">
      <c r="A1695" s="315"/>
      <c r="B1695" s="315"/>
      <c r="C1695" s="315"/>
      <c r="D1695" s="315"/>
      <c r="E1695" s="315"/>
      <c r="F1695" s="315"/>
      <c r="G1695" s="315"/>
      <c r="H1695" s="315"/>
      <c r="I1695" s="315"/>
      <c r="J1695" s="315"/>
      <c r="K1695" s="315"/>
      <c r="L1695" s="315"/>
    </row>
    <row r="1696" spans="1:12">
      <c r="A1696" s="315"/>
      <c r="B1696" s="315"/>
      <c r="C1696" s="315"/>
      <c r="D1696" s="315"/>
      <c r="E1696" s="315"/>
      <c r="F1696" s="315"/>
      <c r="G1696" s="315"/>
      <c r="H1696" s="315"/>
      <c r="I1696" s="315"/>
      <c r="J1696" s="315"/>
      <c r="K1696" s="315"/>
      <c r="L1696" s="315"/>
    </row>
    <row r="1697" spans="1:12">
      <c r="A1697" s="315"/>
      <c r="B1697" s="315"/>
      <c r="C1697" s="315"/>
      <c r="D1697" s="315"/>
      <c r="E1697" s="315"/>
      <c r="F1697" s="315"/>
      <c r="G1697" s="315"/>
      <c r="H1697" s="315"/>
      <c r="I1697" s="315"/>
      <c r="J1697" s="315"/>
      <c r="K1697" s="315"/>
      <c r="L1697" s="315"/>
    </row>
    <row r="1698" spans="1:12">
      <c r="A1698" s="315"/>
      <c r="B1698" s="315"/>
      <c r="C1698" s="315"/>
      <c r="D1698" s="315"/>
      <c r="E1698" s="315"/>
      <c r="F1698" s="315"/>
      <c r="G1698" s="315"/>
      <c r="H1698" s="315"/>
      <c r="I1698" s="315"/>
      <c r="J1698" s="315"/>
      <c r="K1698" s="315"/>
      <c r="L1698" s="315"/>
    </row>
    <row r="1699" spans="1:12">
      <c r="A1699" s="315"/>
      <c r="B1699" s="315"/>
      <c r="C1699" s="315"/>
      <c r="D1699" s="315"/>
      <c r="E1699" s="315"/>
      <c r="F1699" s="315"/>
      <c r="G1699" s="315"/>
      <c r="H1699" s="315"/>
      <c r="I1699" s="315"/>
      <c r="J1699" s="315"/>
      <c r="K1699" s="315"/>
      <c r="L1699" s="315"/>
    </row>
    <row r="1700" spans="1:12">
      <c r="A1700" s="315"/>
      <c r="B1700" s="315"/>
      <c r="C1700" s="315"/>
      <c r="D1700" s="315"/>
      <c r="E1700" s="315"/>
      <c r="F1700" s="315"/>
      <c r="G1700" s="315"/>
      <c r="H1700" s="315"/>
      <c r="I1700" s="315"/>
      <c r="J1700" s="315"/>
      <c r="K1700" s="315"/>
      <c r="L1700" s="315"/>
    </row>
    <row r="1701" spans="1:12">
      <c r="A1701" s="315"/>
      <c r="B1701" s="315"/>
      <c r="C1701" s="315"/>
      <c r="D1701" s="315"/>
      <c r="E1701" s="315"/>
      <c r="F1701" s="315"/>
      <c r="G1701" s="315"/>
      <c r="H1701" s="315"/>
      <c r="I1701" s="315"/>
      <c r="J1701" s="315"/>
      <c r="K1701" s="315"/>
      <c r="L1701" s="315"/>
    </row>
    <row r="1702" spans="1:12">
      <c r="A1702" s="315"/>
      <c r="B1702" s="315"/>
      <c r="C1702" s="315"/>
      <c r="D1702" s="315"/>
      <c r="E1702" s="315"/>
      <c r="F1702" s="315"/>
      <c r="G1702" s="315"/>
      <c r="H1702" s="315"/>
      <c r="I1702" s="315"/>
      <c r="J1702" s="315"/>
      <c r="K1702" s="315"/>
      <c r="L1702" s="315"/>
    </row>
    <row r="1703" spans="1:12">
      <c r="A1703" s="315"/>
      <c r="B1703" s="315"/>
      <c r="C1703" s="315"/>
      <c r="D1703" s="315"/>
      <c r="E1703" s="315"/>
      <c r="F1703" s="315"/>
      <c r="G1703" s="315"/>
      <c r="H1703" s="315"/>
      <c r="I1703" s="315"/>
      <c r="J1703" s="315"/>
      <c r="K1703" s="315"/>
      <c r="L1703" s="315"/>
    </row>
    <row r="1704" spans="1:12">
      <c r="A1704" s="315"/>
      <c r="B1704" s="315"/>
      <c r="C1704" s="315"/>
      <c r="D1704" s="315"/>
      <c r="E1704" s="315"/>
      <c r="F1704" s="315"/>
      <c r="G1704" s="315"/>
      <c r="H1704" s="315"/>
      <c r="I1704" s="315"/>
      <c r="J1704" s="315"/>
      <c r="K1704" s="315"/>
      <c r="L1704" s="315"/>
    </row>
    <row r="1705" spans="1:12">
      <c r="A1705" s="315"/>
      <c r="B1705" s="315"/>
      <c r="C1705" s="315"/>
      <c r="D1705" s="315"/>
      <c r="E1705" s="315"/>
      <c r="F1705" s="315"/>
      <c r="G1705" s="315"/>
      <c r="H1705" s="315"/>
      <c r="I1705" s="315"/>
      <c r="J1705" s="315"/>
      <c r="K1705" s="315"/>
      <c r="L1705" s="315"/>
    </row>
    <row r="1706" spans="1:12">
      <c r="A1706" s="315"/>
      <c r="B1706" s="315"/>
      <c r="C1706" s="315"/>
      <c r="D1706" s="315"/>
      <c r="E1706" s="315"/>
      <c r="F1706" s="315"/>
      <c r="G1706" s="315"/>
      <c r="H1706" s="315"/>
      <c r="I1706" s="315"/>
      <c r="J1706" s="315"/>
      <c r="K1706" s="315"/>
      <c r="L1706" s="315"/>
    </row>
    <row r="1707" spans="1:12">
      <c r="A1707" s="315"/>
      <c r="B1707" s="315"/>
      <c r="C1707" s="315"/>
      <c r="D1707" s="315"/>
      <c r="E1707" s="315"/>
      <c r="F1707" s="315"/>
      <c r="G1707" s="315"/>
      <c r="H1707" s="315"/>
      <c r="I1707" s="315"/>
      <c r="J1707" s="315"/>
      <c r="K1707" s="315"/>
      <c r="L1707" s="315"/>
    </row>
    <row r="1708" spans="1:12">
      <c r="A1708" s="315"/>
      <c r="B1708" s="315"/>
      <c r="C1708" s="315"/>
      <c r="D1708" s="315"/>
      <c r="E1708" s="315"/>
      <c r="F1708" s="315"/>
      <c r="G1708" s="315"/>
      <c r="H1708" s="315"/>
      <c r="I1708" s="315"/>
      <c r="J1708" s="315"/>
      <c r="K1708" s="315"/>
      <c r="L1708" s="315"/>
    </row>
    <row r="1709" spans="1:12">
      <c r="A1709" s="315"/>
      <c r="B1709" s="315"/>
      <c r="C1709" s="315"/>
      <c r="D1709" s="315"/>
      <c r="E1709" s="315"/>
      <c r="F1709" s="315"/>
      <c r="G1709" s="315"/>
      <c r="H1709" s="315"/>
      <c r="I1709" s="315"/>
      <c r="J1709" s="315"/>
      <c r="K1709" s="315"/>
      <c r="L1709" s="315"/>
    </row>
    <row r="1710" spans="1:12">
      <c r="A1710" s="315"/>
      <c r="B1710" s="315"/>
      <c r="C1710" s="315"/>
      <c r="D1710" s="315"/>
      <c r="E1710" s="315"/>
      <c r="F1710" s="315"/>
      <c r="G1710" s="315"/>
      <c r="H1710" s="315"/>
      <c r="I1710" s="315"/>
      <c r="J1710" s="315"/>
      <c r="K1710" s="315"/>
      <c r="L1710" s="315"/>
    </row>
    <row r="1711" spans="1:12">
      <c r="A1711" s="315"/>
      <c r="B1711" s="315"/>
      <c r="C1711" s="315"/>
      <c r="D1711" s="315"/>
      <c r="E1711" s="315"/>
      <c r="F1711" s="315"/>
      <c r="G1711" s="315"/>
      <c r="H1711" s="315"/>
      <c r="I1711" s="315"/>
      <c r="J1711" s="315"/>
      <c r="K1711" s="315"/>
      <c r="L1711" s="315"/>
    </row>
    <row r="1712" spans="1:12">
      <c r="A1712" s="315"/>
      <c r="B1712" s="315"/>
      <c r="C1712" s="315"/>
      <c r="D1712" s="315"/>
      <c r="E1712" s="315"/>
      <c r="F1712" s="315"/>
      <c r="G1712" s="315"/>
      <c r="H1712" s="315"/>
      <c r="I1712" s="315"/>
      <c r="J1712" s="315"/>
      <c r="K1712" s="315"/>
      <c r="L1712" s="315"/>
    </row>
    <row r="1713" spans="1:12">
      <c r="A1713" s="315"/>
      <c r="B1713" s="315"/>
      <c r="C1713" s="315"/>
      <c r="D1713" s="315"/>
      <c r="E1713" s="315"/>
      <c r="F1713" s="315"/>
      <c r="G1713" s="315"/>
      <c r="H1713" s="315"/>
      <c r="I1713" s="315"/>
      <c r="J1713" s="315"/>
      <c r="K1713" s="315"/>
      <c r="L1713" s="315"/>
    </row>
    <row r="1714" spans="1:12">
      <c r="A1714" s="315"/>
      <c r="B1714" s="315"/>
      <c r="C1714" s="315"/>
      <c r="D1714" s="315"/>
      <c r="E1714" s="315"/>
      <c r="F1714" s="315"/>
      <c r="G1714" s="315"/>
      <c r="H1714" s="315"/>
      <c r="I1714" s="315"/>
      <c r="J1714" s="315"/>
      <c r="K1714" s="315"/>
      <c r="L1714" s="315"/>
    </row>
    <row r="1715" spans="1:12">
      <c r="A1715" s="315"/>
      <c r="B1715" s="315"/>
      <c r="C1715" s="315"/>
      <c r="D1715" s="315"/>
      <c r="E1715" s="315"/>
      <c r="F1715" s="315"/>
      <c r="G1715" s="315"/>
      <c r="H1715" s="315"/>
      <c r="I1715" s="315"/>
      <c r="J1715" s="315"/>
      <c r="K1715" s="315"/>
      <c r="L1715" s="315"/>
    </row>
    <row r="1716" spans="1:12">
      <c r="A1716" s="315"/>
      <c r="B1716" s="315"/>
      <c r="C1716" s="315"/>
      <c r="D1716" s="315"/>
      <c r="E1716" s="315"/>
      <c r="F1716" s="315"/>
      <c r="G1716" s="315"/>
      <c r="H1716" s="315"/>
      <c r="I1716" s="315"/>
      <c r="J1716" s="315"/>
      <c r="K1716" s="315"/>
      <c r="L1716" s="315"/>
    </row>
    <row r="1717" spans="1:12">
      <c r="A1717" s="315"/>
      <c r="B1717" s="315"/>
      <c r="C1717" s="315"/>
      <c r="D1717" s="315"/>
      <c r="E1717" s="315"/>
      <c r="F1717" s="315"/>
      <c r="G1717" s="315"/>
      <c r="H1717" s="315"/>
      <c r="I1717" s="315"/>
      <c r="J1717" s="315"/>
      <c r="K1717" s="315"/>
      <c r="L1717" s="315"/>
    </row>
    <row r="1718" spans="1:12">
      <c r="A1718" s="315"/>
      <c r="B1718" s="315"/>
      <c r="C1718" s="315"/>
      <c r="D1718" s="315"/>
      <c r="E1718" s="315"/>
      <c r="F1718" s="315"/>
      <c r="G1718" s="315"/>
      <c r="H1718" s="315"/>
      <c r="I1718" s="315"/>
      <c r="J1718" s="315"/>
      <c r="K1718" s="315"/>
      <c r="L1718" s="315"/>
    </row>
    <row r="1719" spans="1:12">
      <c r="A1719" s="315"/>
      <c r="B1719" s="315"/>
      <c r="C1719" s="315"/>
      <c r="D1719" s="315"/>
      <c r="E1719" s="315"/>
      <c r="F1719" s="315"/>
      <c r="G1719" s="315"/>
      <c r="H1719" s="315"/>
      <c r="I1719" s="315"/>
      <c r="J1719" s="315"/>
      <c r="K1719" s="315"/>
      <c r="L1719" s="315"/>
    </row>
    <row r="1720" spans="1:12">
      <c r="A1720" s="315"/>
      <c r="B1720" s="315"/>
      <c r="C1720" s="315"/>
      <c r="D1720" s="315"/>
      <c r="E1720" s="315"/>
      <c r="F1720" s="315"/>
      <c r="G1720" s="315"/>
      <c r="H1720" s="315"/>
      <c r="I1720" s="315"/>
      <c r="J1720" s="315"/>
      <c r="K1720" s="315"/>
      <c r="L1720" s="315"/>
    </row>
    <row r="1721" spans="1:12">
      <c r="A1721" s="315"/>
      <c r="B1721" s="315"/>
      <c r="C1721" s="315"/>
      <c r="D1721" s="315"/>
      <c r="E1721" s="315"/>
      <c r="F1721" s="315"/>
      <c r="G1721" s="315"/>
      <c r="H1721" s="315"/>
      <c r="I1721" s="315"/>
      <c r="J1721" s="315"/>
      <c r="K1721" s="315"/>
      <c r="L1721" s="315"/>
    </row>
    <row r="1722" spans="1:12">
      <c r="A1722" s="315"/>
      <c r="B1722" s="315"/>
      <c r="C1722" s="315"/>
      <c r="D1722" s="315"/>
      <c r="E1722" s="315"/>
      <c r="F1722" s="315"/>
      <c r="G1722" s="315"/>
      <c r="H1722" s="315"/>
      <c r="I1722" s="315"/>
      <c r="J1722" s="315"/>
      <c r="K1722" s="315"/>
      <c r="L1722" s="315"/>
    </row>
    <row r="1723" spans="1:12">
      <c r="A1723" s="315"/>
      <c r="B1723" s="315"/>
      <c r="C1723" s="315"/>
      <c r="D1723" s="315"/>
      <c r="E1723" s="315"/>
      <c r="F1723" s="315"/>
      <c r="G1723" s="315"/>
      <c r="H1723" s="315"/>
      <c r="I1723" s="315"/>
      <c r="J1723" s="315"/>
      <c r="K1723" s="315"/>
      <c r="L1723" s="315"/>
    </row>
    <row r="1724" spans="1:12">
      <c r="A1724" s="315"/>
      <c r="B1724" s="315"/>
      <c r="C1724" s="315"/>
      <c r="D1724" s="315"/>
      <c r="E1724" s="315"/>
      <c r="F1724" s="315"/>
      <c r="G1724" s="315"/>
      <c r="H1724" s="315"/>
      <c r="I1724" s="315"/>
      <c r="J1724" s="315"/>
      <c r="K1724" s="315"/>
      <c r="L1724" s="315"/>
    </row>
    <row r="1725" spans="1:12">
      <c r="A1725" s="315"/>
      <c r="B1725" s="315"/>
      <c r="C1725" s="315"/>
      <c r="D1725" s="315"/>
      <c r="E1725" s="315"/>
      <c r="F1725" s="315"/>
      <c r="G1725" s="315"/>
      <c r="H1725" s="315"/>
      <c r="I1725" s="315"/>
      <c r="J1725" s="315"/>
      <c r="K1725" s="315"/>
      <c r="L1725" s="315"/>
    </row>
    <row r="1726" spans="1:12">
      <c r="A1726" s="315"/>
      <c r="B1726" s="315"/>
      <c r="C1726" s="315"/>
      <c r="D1726" s="315"/>
      <c r="E1726" s="315"/>
      <c r="F1726" s="315"/>
      <c r="G1726" s="315"/>
      <c r="H1726" s="315"/>
      <c r="I1726" s="315"/>
      <c r="J1726" s="315"/>
      <c r="K1726" s="315"/>
      <c r="L1726" s="315"/>
    </row>
    <row r="1727" spans="1:12">
      <c r="A1727" s="315"/>
      <c r="B1727" s="315"/>
      <c r="C1727" s="315"/>
      <c r="D1727" s="315"/>
      <c r="E1727" s="315"/>
      <c r="F1727" s="315"/>
      <c r="G1727" s="315"/>
      <c r="H1727" s="315"/>
      <c r="I1727" s="315"/>
      <c r="J1727" s="315"/>
      <c r="K1727" s="315"/>
      <c r="L1727" s="315"/>
    </row>
    <row r="1728" spans="1:12">
      <c r="A1728" s="315"/>
      <c r="B1728" s="315"/>
      <c r="C1728" s="315"/>
      <c r="D1728" s="315"/>
      <c r="E1728" s="315"/>
      <c r="F1728" s="315"/>
      <c r="G1728" s="315"/>
      <c r="H1728" s="315"/>
      <c r="I1728" s="315"/>
      <c r="J1728" s="315"/>
      <c r="K1728" s="315"/>
      <c r="L1728" s="315"/>
    </row>
    <row r="1729" spans="1:12">
      <c r="A1729" s="315"/>
      <c r="B1729" s="315"/>
      <c r="C1729" s="315"/>
      <c r="D1729" s="315"/>
      <c r="E1729" s="315"/>
      <c r="F1729" s="315"/>
      <c r="G1729" s="315"/>
      <c r="H1729" s="315"/>
      <c r="I1729" s="315"/>
      <c r="J1729" s="315"/>
      <c r="K1729" s="315"/>
      <c r="L1729" s="315"/>
    </row>
    <row r="1730" spans="1:12">
      <c r="A1730" s="315"/>
      <c r="B1730" s="315"/>
      <c r="C1730" s="315"/>
      <c r="D1730" s="315"/>
      <c r="E1730" s="315"/>
      <c r="F1730" s="315"/>
      <c r="G1730" s="315"/>
      <c r="H1730" s="315"/>
      <c r="I1730" s="315"/>
      <c r="J1730" s="315"/>
      <c r="K1730" s="315"/>
      <c r="L1730" s="315"/>
    </row>
    <row r="1731" spans="1:12">
      <c r="A1731" s="315"/>
      <c r="B1731" s="315"/>
      <c r="C1731" s="315"/>
      <c r="D1731" s="315"/>
      <c r="E1731" s="315"/>
      <c r="F1731" s="315"/>
      <c r="G1731" s="315"/>
      <c r="H1731" s="315"/>
      <c r="I1731" s="315"/>
      <c r="J1731" s="315"/>
      <c r="K1731" s="315"/>
      <c r="L1731" s="315"/>
    </row>
    <row r="1732" spans="1:12">
      <c r="A1732" s="315"/>
      <c r="B1732" s="315"/>
      <c r="C1732" s="315"/>
      <c r="D1732" s="315"/>
      <c r="E1732" s="315"/>
      <c r="F1732" s="315"/>
      <c r="G1732" s="315"/>
      <c r="H1732" s="315"/>
      <c r="I1732" s="315"/>
      <c r="J1732" s="315"/>
      <c r="K1732" s="315"/>
      <c r="L1732" s="315"/>
    </row>
    <row r="1733" spans="1:12">
      <c r="A1733" s="315"/>
      <c r="B1733" s="315"/>
      <c r="C1733" s="315"/>
      <c r="D1733" s="315"/>
      <c r="E1733" s="315"/>
      <c r="F1733" s="315"/>
      <c r="G1733" s="315"/>
      <c r="H1733" s="315"/>
      <c r="I1733" s="315"/>
      <c r="J1733" s="315"/>
      <c r="K1733" s="315"/>
      <c r="L1733" s="315"/>
    </row>
    <row r="1734" spans="1:12">
      <c r="A1734" s="315"/>
      <c r="B1734" s="315"/>
      <c r="C1734" s="315"/>
      <c r="D1734" s="315"/>
      <c r="E1734" s="315"/>
      <c r="F1734" s="315"/>
      <c r="G1734" s="315"/>
      <c r="H1734" s="315"/>
      <c r="I1734" s="315"/>
      <c r="J1734" s="315"/>
      <c r="K1734" s="315"/>
      <c r="L1734" s="315"/>
    </row>
    <row r="1735" spans="1:12">
      <c r="A1735" s="315"/>
      <c r="B1735" s="315"/>
      <c r="C1735" s="315"/>
      <c r="D1735" s="315"/>
      <c r="E1735" s="315"/>
      <c r="F1735" s="315"/>
      <c r="G1735" s="315"/>
      <c r="H1735" s="315"/>
      <c r="I1735" s="315"/>
      <c r="J1735" s="315"/>
      <c r="K1735" s="315"/>
      <c r="L1735" s="315"/>
    </row>
    <row r="1736" spans="1:12">
      <c r="A1736" s="315"/>
      <c r="B1736" s="315"/>
      <c r="C1736" s="315"/>
      <c r="D1736" s="315"/>
      <c r="E1736" s="315"/>
      <c r="F1736" s="315"/>
      <c r="G1736" s="315"/>
      <c r="H1736" s="315"/>
      <c r="I1736" s="315"/>
      <c r="J1736" s="315"/>
      <c r="K1736" s="315"/>
      <c r="L1736" s="315"/>
    </row>
    <row r="1737" spans="1:12">
      <c r="A1737" s="315"/>
      <c r="B1737" s="315"/>
      <c r="C1737" s="315"/>
      <c r="D1737" s="315"/>
      <c r="E1737" s="315"/>
      <c r="F1737" s="315"/>
      <c r="G1737" s="315"/>
      <c r="H1737" s="315"/>
      <c r="I1737" s="315"/>
      <c r="J1737" s="315"/>
      <c r="K1737" s="315"/>
      <c r="L1737" s="315"/>
    </row>
    <row r="1738" spans="1:12">
      <c r="A1738" s="315"/>
      <c r="B1738" s="315"/>
      <c r="C1738" s="315"/>
      <c r="D1738" s="315"/>
      <c r="E1738" s="315"/>
      <c r="F1738" s="315"/>
      <c r="G1738" s="315"/>
      <c r="H1738" s="315"/>
      <c r="I1738" s="315"/>
      <c r="J1738" s="315"/>
      <c r="K1738" s="315"/>
      <c r="L1738" s="315"/>
    </row>
    <row r="1739" spans="1:12">
      <c r="A1739" s="315"/>
      <c r="B1739" s="315"/>
      <c r="C1739" s="315"/>
      <c r="D1739" s="315"/>
      <c r="E1739" s="315"/>
      <c r="F1739" s="315"/>
      <c r="G1739" s="315"/>
      <c r="H1739" s="315"/>
      <c r="I1739" s="315"/>
      <c r="J1739" s="315"/>
      <c r="K1739" s="315"/>
      <c r="L1739" s="315"/>
    </row>
    <row r="1740" spans="1:12">
      <c r="A1740" s="315"/>
      <c r="B1740" s="315"/>
      <c r="C1740" s="315"/>
      <c r="D1740" s="315"/>
      <c r="E1740" s="315"/>
      <c r="F1740" s="315"/>
      <c r="G1740" s="315"/>
      <c r="H1740" s="315"/>
      <c r="I1740" s="315"/>
      <c r="J1740" s="315"/>
      <c r="K1740" s="315"/>
      <c r="L1740" s="315"/>
    </row>
    <row r="1741" spans="1:12">
      <c r="A1741" s="315"/>
      <c r="B1741" s="315"/>
      <c r="C1741" s="315"/>
      <c r="D1741" s="315"/>
      <c r="E1741" s="315"/>
      <c r="F1741" s="315"/>
      <c r="G1741" s="315"/>
      <c r="H1741" s="315"/>
      <c r="I1741" s="315"/>
      <c r="J1741" s="315"/>
      <c r="K1741" s="315"/>
      <c r="L1741" s="315"/>
    </row>
    <row r="1742" spans="1:12">
      <c r="A1742" s="315"/>
      <c r="B1742" s="315"/>
      <c r="C1742" s="315"/>
      <c r="D1742" s="315"/>
      <c r="E1742" s="315"/>
      <c r="F1742" s="315"/>
      <c r="G1742" s="315"/>
      <c r="H1742" s="315"/>
      <c r="I1742" s="315"/>
      <c r="J1742" s="315"/>
      <c r="K1742" s="315"/>
      <c r="L1742" s="315"/>
    </row>
    <row r="1743" spans="1:12">
      <c r="A1743" s="315"/>
      <c r="B1743" s="315"/>
      <c r="C1743" s="315"/>
      <c r="D1743" s="315"/>
      <c r="E1743" s="315"/>
      <c r="F1743" s="315"/>
      <c r="G1743" s="315"/>
      <c r="H1743" s="315"/>
      <c r="I1743" s="315"/>
      <c r="J1743" s="315"/>
      <c r="K1743" s="315"/>
      <c r="L1743" s="315"/>
    </row>
    <row r="1744" spans="1:12">
      <c r="A1744" s="315"/>
      <c r="B1744" s="315"/>
      <c r="C1744" s="315"/>
      <c r="D1744" s="315"/>
      <c r="E1744" s="315"/>
      <c r="F1744" s="315"/>
      <c r="G1744" s="315"/>
      <c r="H1744" s="315"/>
      <c r="I1744" s="315"/>
      <c r="J1744" s="315"/>
      <c r="K1744" s="315"/>
      <c r="L1744" s="315"/>
    </row>
    <row r="1745" spans="1:12">
      <c r="A1745" s="315"/>
      <c r="B1745" s="315"/>
      <c r="C1745" s="315"/>
      <c r="D1745" s="315"/>
      <c r="E1745" s="315"/>
      <c r="F1745" s="315"/>
      <c r="G1745" s="315"/>
      <c r="H1745" s="315"/>
      <c r="I1745" s="315"/>
      <c r="J1745" s="315"/>
      <c r="K1745" s="315"/>
      <c r="L1745" s="315"/>
    </row>
    <row r="1746" spans="1:12">
      <c r="A1746" s="315"/>
      <c r="B1746" s="315"/>
      <c r="C1746" s="315"/>
      <c r="D1746" s="315"/>
      <c r="E1746" s="315"/>
      <c r="F1746" s="315"/>
      <c r="G1746" s="315"/>
      <c r="H1746" s="315"/>
      <c r="I1746" s="315"/>
      <c r="J1746" s="315"/>
      <c r="K1746" s="315"/>
      <c r="L1746" s="315"/>
    </row>
    <row r="1747" spans="1:12">
      <c r="A1747" s="315"/>
      <c r="B1747" s="315"/>
      <c r="C1747" s="315"/>
      <c r="D1747" s="315"/>
      <c r="E1747" s="315"/>
      <c r="F1747" s="315"/>
      <c r="G1747" s="315"/>
      <c r="H1747" s="315"/>
      <c r="I1747" s="315"/>
      <c r="J1747" s="315"/>
      <c r="K1747" s="315"/>
      <c r="L1747" s="315"/>
    </row>
    <row r="1748" spans="1:12">
      <c r="A1748" s="315"/>
      <c r="B1748" s="315"/>
      <c r="C1748" s="315"/>
      <c r="D1748" s="315"/>
      <c r="E1748" s="315"/>
      <c r="F1748" s="315"/>
      <c r="G1748" s="315"/>
      <c r="H1748" s="315"/>
      <c r="I1748" s="315"/>
      <c r="J1748" s="315"/>
      <c r="K1748" s="315"/>
      <c r="L1748" s="315"/>
    </row>
    <row r="1749" spans="1:12">
      <c r="A1749" s="315"/>
      <c r="B1749" s="315"/>
      <c r="C1749" s="315"/>
      <c r="D1749" s="315"/>
      <c r="E1749" s="315"/>
      <c r="F1749" s="315"/>
      <c r="G1749" s="315"/>
      <c r="H1749" s="315"/>
      <c r="I1749" s="315"/>
      <c r="J1749" s="315"/>
      <c r="K1749" s="315"/>
      <c r="L1749" s="315"/>
    </row>
    <row r="1750" spans="1:12">
      <c r="A1750" s="315"/>
      <c r="B1750" s="315"/>
      <c r="C1750" s="315"/>
      <c r="D1750" s="315"/>
      <c r="E1750" s="315"/>
      <c r="F1750" s="315"/>
      <c r="G1750" s="315"/>
      <c r="H1750" s="315"/>
      <c r="I1750" s="315"/>
      <c r="J1750" s="315"/>
      <c r="K1750" s="315"/>
      <c r="L1750" s="315"/>
    </row>
    <row r="1751" spans="1:12">
      <c r="A1751" s="315"/>
      <c r="B1751" s="315"/>
      <c r="C1751" s="315"/>
      <c r="D1751" s="315"/>
      <c r="E1751" s="315"/>
      <c r="F1751" s="315"/>
      <c r="G1751" s="315"/>
      <c r="H1751" s="315"/>
      <c r="I1751" s="315"/>
      <c r="J1751" s="315"/>
      <c r="K1751" s="315"/>
      <c r="L1751" s="315"/>
    </row>
    <row r="1752" spans="1:12">
      <c r="A1752" s="315"/>
      <c r="B1752" s="315"/>
      <c r="C1752" s="315"/>
      <c r="D1752" s="315"/>
      <c r="E1752" s="315"/>
      <c r="F1752" s="315"/>
      <c r="G1752" s="315"/>
      <c r="H1752" s="315"/>
      <c r="I1752" s="315"/>
      <c r="J1752" s="315"/>
      <c r="K1752" s="315"/>
      <c r="L1752" s="315"/>
    </row>
    <row r="1753" spans="1:12">
      <c r="A1753" s="315"/>
      <c r="B1753" s="315"/>
      <c r="C1753" s="315"/>
      <c r="D1753" s="315"/>
      <c r="E1753" s="315"/>
      <c r="F1753" s="315"/>
      <c r="G1753" s="315"/>
      <c r="H1753" s="315"/>
      <c r="I1753" s="315"/>
      <c r="J1753" s="315"/>
      <c r="K1753" s="315"/>
      <c r="L1753" s="315"/>
    </row>
    <row r="1754" spans="1:12">
      <c r="A1754" s="315"/>
      <c r="B1754" s="315"/>
      <c r="C1754" s="315"/>
      <c r="D1754" s="315"/>
      <c r="E1754" s="315"/>
      <c r="F1754" s="315"/>
      <c r="G1754" s="315"/>
      <c r="H1754" s="315"/>
      <c r="I1754" s="315"/>
      <c r="J1754" s="315"/>
      <c r="K1754" s="315"/>
      <c r="L1754" s="315"/>
    </row>
    <row r="1755" spans="1:12">
      <c r="A1755" s="315"/>
      <c r="B1755" s="315"/>
      <c r="C1755" s="315"/>
      <c r="D1755" s="315"/>
      <c r="E1755" s="315"/>
      <c r="F1755" s="315"/>
      <c r="G1755" s="315"/>
      <c r="H1755" s="315"/>
      <c r="I1755" s="315"/>
      <c r="J1755" s="315"/>
      <c r="K1755" s="315"/>
      <c r="L1755" s="315"/>
    </row>
    <row r="1756" spans="1:12">
      <c r="A1756" s="315"/>
      <c r="B1756" s="315"/>
      <c r="C1756" s="315"/>
      <c r="D1756" s="315"/>
      <c r="E1756" s="315"/>
      <c r="F1756" s="315"/>
      <c r="G1756" s="315"/>
      <c r="H1756" s="315"/>
      <c r="I1756" s="315"/>
      <c r="J1756" s="315"/>
      <c r="K1756" s="315"/>
      <c r="L1756" s="315"/>
    </row>
    <row r="1757" spans="1:12">
      <c r="A1757" s="315"/>
      <c r="B1757" s="315"/>
      <c r="C1757" s="315"/>
      <c r="D1757" s="315"/>
      <c r="E1757" s="315"/>
      <c r="F1757" s="315"/>
      <c r="G1757" s="315"/>
      <c r="H1757" s="315"/>
      <c r="I1757" s="315"/>
      <c r="J1757" s="315"/>
      <c r="K1757" s="315"/>
      <c r="L1757" s="315"/>
    </row>
    <row r="1758" spans="1:12">
      <c r="A1758" s="315"/>
      <c r="B1758" s="315"/>
      <c r="C1758" s="315"/>
      <c r="D1758" s="315"/>
      <c r="E1758" s="315"/>
      <c r="F1758" s="315"/>
      <c r="G1758" s="315"/>
      <c r="H1758" s="315"/>
      <c r="I1758" s="315"/>
      <c r="J1758" s="315"/>
      <c r="K1758" s="315"/>
      <c r="L1758" s="315"/>
    </row>
    <row r="1759" spans="1:12">
      <c r="A1759" s="315"/>
      <c r="B1759" s="315"/>
      <c r="C1759" s="315"/>
      <c r="D1759" s="315"/>
      <c r="E1759" s="315"/>
      <c r="F1759" s="315"/>
      <c r="G1759" s="315"/>
      <c r="H1759" s="315"/>
      <c r="I1759" s="315"/>
      <c r="J1759" s="315"/>
      <c r="K1759" s="315"/>
      <c r="L1759" s="315"/>
    </row>
    <row r="1760" spans="1:12">
      <c r="A1760" s="315"/>
      <c r="B1760" s="315"/>
      <c r="C1760" s="315"/>
      <c r="D1760" s="315"/>
      <c r="E1760" s="315"/>
      <c r="F1760" s="315"/>
      <c r="G1760" s="315"/>
      <c r="H1760" s="315"/>
      <c r="I1760" s="315"/>
      <c r="J1760" s="315"/>
      <c r="K1760" s="315"/>
      <c r="L1760" s="315"/>
    </row>
    <row r="1761" spans="1:12">
      <c r="A1761" s="315"/>
      <c r="B1761" s="315"/>
      <c r="C1761" s="315"/>
      <c r="D1761" s="315"/>
      <c r="E1761" s="315"/>
      <c r="F1761" s="315"/>
      <c r="G1761" s="315"/>
      <c r="H1761" s="315"/>
      <c r="I1761" s="315"/>
      <c r="J1761" s="315"/>
      <c r="K1761" s="315"/>
      <c r="L1761" s="315"/>
    </row>
    <row r="1762" spans="1:12">
      <c r="A1762" s="315"/>
      <c r="B1762" s="315"/>
      <c r="C1762" s="315"/>
      <c r="D1762" s="315"/>
      <c r="E1762" s="315"/>
      <c r="F1762" s="315"/>
      <c r="G1762" s="315"/>
      <c r="H1762" s="315"/>
      <c r="I1762" s="315"/>
      <c r="J1762" s="315"/>
      <c r="K1762" s="315"/>
      <c r="L1762" s="315"/>
    </row>
    <row r="1763" spans="1:12">
      <c r="A1763" s="315"/>
      <c r="B1763" s="315"/>
      <c r="C1763" s="315"/>
      <c r="D1763" s="315"/>
      <c r="E1763" s="315"/>
      <c r="F1763" s="315"/>
      <c r="G1763" s="315"/>
      <c r="H1763" s="315"/>
      <c r="I1763" s="315"/>
      <c r="J1763" s="315"/>
      <c r="K1763" s="315"/>
      <c r="L1763" s="315"/>
    </row>
    <row r="1764" spans="1:12">
      <c r="A1764" s="315"/>
      <c r="B1764" s="315"/>
      <c r="C1764" s="315"/>
      <c r="D1764" s="315"/>
      <c r="E1764" s="315"/>
      <c r="F1764" s="315"/>
      <c r="G1764" s="315"/>
      <c r="H1764" s="315"/>
      <c r="I1764" s="315"/>
      <c r="J1764" s="315"/>
      <c r="K1764" s="315"/>
      <c r="L1764" s="315"/>
    </row>
    <row r="1765" spans="1:12">
      <c r="A1765" s="315"/>
      <c r="B1765" s="315"/>
      <c r="C1765" s="315"/>
      <c r="D1765" s="315"/>
      <c r="E1765" s="315"/>
      <c r="F1765" s="315"/>
      <c r="G1765" s="315"/>
      <c r="H1765" s="315"/>
      <c r="I1765" s="315"/>
      <c r="J1765" s="315"/>
      <c r="K1765" s="315"/>
      <c r="L1765" s="315"/>
    </row>
    <row r="1766" spans="1:12">
      <c r="A1766" s="315"/>
      <c r="B1766" s="315"/>
      <c r="C1766" s="315"/>
      <c r="D1766" s="315"/>
      <c r="E1766" s="315"/>
      <c r="F1766" s="315"/>
      <c r="G1766" s="315"/>
      <c r="H1766" s="315"/>
      <c r="I1766" s="315"/>
      <c r="J1766" s="315"/>
      <c r="K1766" s="315"/>
      <c r="L1766" s="315"/>
    </row>
    <row r="1767" spans="1:12">
      <c r="A1767" s="315"/>
      <c r="B1767" s="315"/>
      <c r="C1767" s="315"/>
      <c r="D1767" s="315"/>
      <c r="E1767" s="315"/>
      <c r="F1767" s="315"/>
      <c r="G1767" s="315"/>
      <c r="H1767" s="315"/>
      <c r="I1767" s="315"/>
      <c r="J1767" s="315"/>
      <c r="K1767" s="315"/>
      <c r="L1767" s="315"/>
    </row>
    <row r="1768" spans="1:12">
      <c r="A1768" s="315"/>
      <c r="B1768" s="315"/>
      <c r="C1768" s="315"/>
      <c r="D1768" s="315"/>
      <c r="E1768" s="315"/>
      <c r="F1768" s="315"/>
      <c r="G1768" s="315"/>
      <c r="H1768" s="315"/>
      <c r="I1768" s="315"/>
      <c r="J1768" s="315"/>
      <c r="K1768" s="315"/>
      <c r="L1768" s="315"/>
    </row>
    <row r="1769" spans="1:12">
      <c r="A1769" s="315"/>
      <c r="B1769" s="315"/>
      <c r="C1769" s="315"/>
      <c r="D1769" s="315"/>
      <c r="E1769" s="315"/>
      <c r="F1769" s="315"/>
      <c r="G1769" s="315"/>
      <c r="H1769" s="315"/>
      <c r="I1769" s="315"/>
      <c r="J1769" s="315"/>
      <c r="K1769" s="315"/>
      <c r="L1769" s="315"/>
    </row>
    <row r="1770" spans="1:12">
      <c r="A1770" s="315"/>
      <c r="B1770" s="315"/>
      <c r="C1770" s="315"/>
      <c r="D1770" s="315"/>
      <c r="E1770" s="315"/>
      <c r="F1770" s="315"/>
      <c r="G1770" s="315"/>
      <c r="H1770" s="315"/>
      <c r="I1770" s="315"/>
      <c r="J1770" s="315"/>
      <c r="K1770" s="315"/>
      <c r="L1770" s="315"/>
    </row>
    <row r="1771" spans="1:12">
      <c r="A1771" s="315"/>
      <c r="B1771" s="315"/>
      <c r="C1771" s="315"/>
      <c r="D1771" s="315"/>
      <c r="E1771" s="315"/>
      <c r="F1771" s="315"/>
      <c r="G1771" s="315"/>
      <c r="H1771" s="315"/>
      <c r="I1771" s="315"/>
      <c r="J1771" s="315"/>
      <c r="K1771" s="315"/>
      <c r="L1771" s="315"/>
    </row>
    <row r="1772" spans="1:12">
      <c r="A1772" s="315"/>
      <c r="B1772" s="315"/>
      <c r="C1772" s="315"/>
      <c r="D1772" s="315"/>
      <c r="E1772" s="315"/>
      <c r="F1772" s="315"/>
      <c r="G1772" s="315"/>
      <c r="H1772" s="315"/>
      <c r="I1772" s="315"/>
      <c r="J1772" s="315"/>
      <c r="K1772" s="315"/>
      <c r="L1772" s="315"/>
    </row>
    <row r="1773" spans="1:12">
      <c r="A1773" s="315"/>
      <c r="B1773" s="315"/>
      <c r="C1773" s="315"/>
      <c r="D1773" s="315"/>
      <c r="E1773" s="315"/>
      <c r="F1773" s="315"/>
      <c r="G1773" s="315"/>
      <c r="H1773" s="315"/>
      <c r="I1773" s="315"/>
      <c r="J1773" s="315"/>
      <c r="K1773" s="315"/>
      <c r="L1773" s="315"/>
    </row>
    <row r="1774" spans="1:12">
      <c r="A1774" s="315"/>
      <c r="B1774" s="315"/>
      <c r="C1774" s="315"/>
      <c r="D1774" s="315"/>
      <c r="E1774" s="315"/>
      <c r="F1774" s="315"/>
      <c r="G1774" s="315"/>
      <c r="H1774" s="315"/>
      <c r="I1774" s="315"/>
      <c r="J1774" s="315"/>
      <c r="K1774" s="315"/>
      <c r="L1774" s="315"/>
    </row>
    <row r="1775" spans="1:12">
      <c r="A1775" s="315"/>
      <c r="B1775" s="315"/>
      <c r="C1775" s="315"/>
      <c r="D1775" s="315"/>
      <c r="E1775" s="315"/>
      <c r="F1775" s="315"/>
      <c r="G1775" s="315"/>
      <c r="H1775" s="315"/>
      <c r="I1775" s="315"/>
      <c r="J1775" s="315"/>
      <c r="K1775" s="315"/>
      <c r="L1775" s="315"/>
    </row>
    <row r="1776" spans="1:12">
      <c r="A1776" s="315"/>
      <c r="B1776" s="315"/>
      <c r="C1776" s="315"/>
      <c r="D1776" s="315"/>
      <c r="E1776" s="315"/>
      <c r="F1776" s="315"/>
      <c r="G1776" s="315"/>
      <c r="H1776" s="315"/>
      <c r="I1776" s="315"/>
      <c r="J1776" s="315"/>
      <c r="K1776" s="315"/>
      <c r="L1776" s="315"/>
    </row>
    <row r="1777" spans="1:12">
      <c r="A1777" s="315"/>
      <c r="B1777" s="315"/>
      <c r="C1777" s="315"/>
      <c r="D1777" s="315"/>
      <c r="E1777" s="315"/>
      <c r="F1777" s="315"/>
      <c r="G1777" s="315"/>
      <c r="H1777" s="315"/>
      <c r="I1777" s="315"/>
      <c r="J1777" s="315"/>
      <c r="K1777" s="315"/>
      <c r="L1777" s="315"/>
    </row>
    <row r="1778" spans="1:12">
      <c r="A1778" s="315"/>
      <c r="B1778" s="315"/>
      <c r="C1778" s="315"/>
      <c r="D1778" s="315"/>
      <c r="E1778" s="315"/>
      <c r="F1778" s="315"/>
      <c r="G1778" s="315"/>
      <c r="H1778" s="315"/>
      <c r="I1778" s="315"/>
      <c r="J1778" s="315"/>
      <c r="K1778" s="315"/>
      <c r="L1778" s="315"/>
    </row>
    <row r="1779" spans="1:12">
      <c r="A1779" s="315"/>
      <c r="B1779" s="315"/>
      <c r="C1779" s="315"/>
      <c r="D1779" s="315"/>
      <c r="E1779" s="315"/>
      <c r="F1779" s="315"/>
      <c r="G1779" s="315"/>
      <c r="H1779" s="315"/>
      <c r="I1779" s="315"/>
      <c r="J1779" s="315"/>
      <c r="K1779" s="315"/>
      <c r="L1779" s="315"/>
    </row>
    <row r="1780" spans="1:12">
      <c r="A1780" s="315"/>
      <c r="B1780" s="315"/>
      <c r="C1780" s="315"/>
      <c r="D1780" s="315"/>
      <c r="E1780" s="315"/>
      <c r="F1780" s="315"/>
      <c r="G1780" s="315"/>
      <c r="H1780" s="315"/>
      <c r="I1780" s="315"/>
      <c r="J1780" s="315"/>
      <c r="K1780" s="315"/>
      <c r="L1780" s="315"/>
    </row>
    <row r="1781" spans="1:12">
      <c r="A1781" s="315"/>
      <c r="B1781" s="315"/>
      <c r="C1781" s="315"/>
      <c r="D1781" s="315"/>
      <c r="E1781" s="315"/>
      <c r="F1781" s="315"/>
      <c r="G1781" s="315"/>
      <c r="H1781" s="315"/>
      <c r="I1781" s="315"/>
      <c r="J1781" s="315"/>
      <c r="K1781" s="315"/>
      <c r="L1781" s="315"/>
    </row>
    <row r="1782" spans="1:12">
      <c r="A1782" s="315"/>
      <c r="B1782" s="315"/>
      <c r="C1782" s="315"/>
      <c r="D1782" s="315"/>
      <c r="E1782" s="315"/>
      <c r="F1782" s="315"/>
      <c r="G1782" s="315"/>
      <c r="H1782" s="315"/>
      <c r="I1782" s="315"/>
      <c r="J1782" s="315"/>
      <c r="K1782" s="315"/>
      <c r="L1782" s="315"/>
    </row>
    <row r="1783" spans="1:12">
      <c r="A1783" s="315"/>
      <c r="B1783" s="315"/>
      <c r="C1783" s="315"/>
      <c r="D1783" s="315"/>
      <c r="E1783" s="315"/>
      <c r="F1783" s="315"/>
      <c r="G1783" s="315"/>
      <c r="H1783" s="315"/>
      <c r="I1783" s="315"/>
      <c r="J1783" s="315"/>
      <c r="K1783" s="315"/>
      <c r="L1783" s="315"/>
    </row>
    <row r="1784" spans="1:12">
      <c r="A1784" s="315"/>
      <c r="B1784" s="315"/>
      <c r="C1784" s="315"/>
      <c r="D1784" s="315"/>
      <c r="E1784" s="315"/>
      <c r="F1784" s="315"/>
      <c r="G1784" s="315"/>
      <c r="H1784" s="315"/>
      <c r="I1784" s="315"/>
      <c r="J1784" s="315"/>
      <c r="K1784" s="315"/>
      <c r="L1784" s="315"/>
    </row>
    <row r="1785" spans="1:12">
      <c r="A1785" s="315"/>
      <c r="B1785" s="315"/>
      <c r="C1785" s="315"/>
      <c r="D1785" s="315"/>
      <c r="E1785" s="315"/>
      <c r="F1785" s="315"/>
      <c r="G1785" s="315"/>
      <c r="H1785" s="315"/>
      <c r="I1785" s="315"/>
      <c r="J1785" s="315"/>
      <c r="K1785" s="315"/>
      <c r="L1785" s="315"/>
    </row>
    <row r="1786" spans="1:12">
      <c r="A1786" s="315"/>
      <c r="B1786" s="315"/>
      <c r="C1786" s="315"/>
      <c r="D1786" s="315"/>
      <c r="E1786" s="315"/>
      <c r="F1786" s="315"/>
      <c r="G1786" s="315"/>
      <c r="H1786" s="315"/>
      <c r="I1786" s="315"/>
      <c r="J1786" s="315"/>
      <c r="K1786" s="315"/>
      <c r="L1786" s="315"/>
    </row>
    <row r="1787" spans="1:12">
      <c r="A1787" s="315"/>
      <c r="B1787" s="315"/>
      <c r="C1787" s="315"/>
      <c r="D1787" s="315"/>
      <c r="E1787" s="315"/>
      <c r="F1787" s="315"/>
      <c r="G1787" s="315"/>
      <c r="H1787" s="315"/>
      <c r="I1787" s="315"/>
      <c r="J1787" s="315"/>
      <c r="K1787" s="315"/>
      <c r="L1787" s="315"/>
    </row>
    <row r="1788" spans="1:12">
      <c r="A1788" s="315"/>
      <c r="B1788" s="315"/>
      <c r="C1788" s="315"/>
      <c r="D1788" s="315"/>
      <c r="E1788" s="315"/>
      <c r="F1788" s="315"/>
      <c r="G1788" s="315"/>
      <c r="H1788" s="315"/>
      <c r="I1788" s="315"/>
      <c r="J1788" s="315"/>
      <c r="K1788" s="315"/>
      <c r="L1788" s="315"/>
    </row>
    <row r="1789" spans="1:12">
      <c r="A1789" s="315"/>
      <c r="B1789" s="315"/>
      <c r="C1789" s="315"/>
      <c r="D1789" s="315"/>
      <c r="E1789" s="315"/>
      <c r="F1789" s="315"/>
      <c r="G1789" s="315"/>
      <c r="H1789" s="315"/>
      <c r="I1789" s="315"/>
      <c r="J1789" s="315"/>
      <c r="K1789" s="315"/>
      <c r="L1789" s="315"/>
    </row>
    <row r="1790" spans="1:12">
      <c r="A1790" s="315"/>
      <c r="B1790" s="315"/>
      <c r="C1790" s="315"/>
      <c r="D1790" s="315"/>
      <c r="E1790" s="315"/>
      <c r="F1790" s="315"/>
      <c r="G1790" s="315"/>
      <c r="H1790" s="315"/>
      <c r="I1790" s="315"/>
      <c r="J1790" s="315"/>
      <c r="K1790" s="315"/>
      <c r="L1790" s="315"/>
    </row>
    <row r="1791" spans="1:12">
      <c r="A1791" s="315"/>
      <c r="B1791" s="315"/>
      <c r="C1791" s="315"/>
      <c r="D1791" s="315"/>
      <c r="E1791" s="315"/>
      <c r="F1791" s="315"/>
      <c r="G1791" s="315"/>
      <c r="H1791" s="315"/>
      <c r="I1791" s="315"/>
      <c r="J1791" s="315"/>
      <c r="K1791" s="315"/>
      <c r="L1791" s="315"/>
    </row>
    <row r="1792" spans="1:12">
      <c r="A1792" s="315"/>
      <c r="B1792" s="315"/>
      <c r="C1792" s="315"/>
      <c r="D1792" s="315"/>
      <c r="E1792" s="315"/>
      <c r="F1792" s="315"/>
      <c r="G1792" s="315"/>
      <c r="H1792" s="315"/>
      <c r="I1792" s="315"/>
      <c r="J1792" s="315"/>
      <c r="K1792" s="315"/>
      <c r="L1792" s="315"/>
    </row>
    <row r="1793" spans="1:12">
      <c r="A1793" s="315"/>
      <c r="B1793" s="315"/>
      <c r="C1793" s="315"/>
      <c r="D1793" s="315"/>
      <c r="E1793" s="315"/>
      <c r="F1793" s="315"/>
      <c r="G1793" s="315"/>
      <c r="H1793" s="315"/>
      <c r="I1793" s="315"/>
      <c r="J1793" s="315"/>
      <c r="K1793" s="315"/>
      <c r="L1793" s="315"/>
    </row>
    <row r="1794" spans="1:12">
      <c r="A1794" s="315"/>
      <c r="B1794" s="315"/>
      <c r="C1794" s="315"/>
      <c r="D1794" s="315"/>
      <c r="E1794" s="315"/>
      <c r="F1794" s="315"/>
      <c r="G1794" s="315"/>
      <c r="H1794" s="315"/>
      <c r="I1794" s="315"/>
      <c r="J1794" s="315"/>
      <c r="K1794" s="315"/>
      <c r="L1794" s="315"/>
    </row>
    <row r="1795" spans="1:12">
      <c r="A1795" s="315"/>
      <c r="B1795" s="315"/>
      <c r="C1795" s="315"/>
      <c r="D1795" s="315"/>
      <c r="E1795" s="315"/>
      <c r="F1795" s="315"/>
      <c r="G1795" s="315"/>
      <c r="H1795" s="315"/>
      <c r="I1795" s="315"/>
      <c r="J1795" s="315"/>
      <c r="K1795" s="315"/>
      <c r="L1795" s="315"/>
    </row>
    <row r="1796" spans="1:12">
      <c r="A1796" s="315"/>
      <c r="B1796" s="315"/>
      <c r="C1796" s="315"/>
      <c r="D1796" s="315"/>
      <c r="E1796" s="315"/>
      <c r="F1796" s="315"/>
      <c r="G1796" s="315"/>
      <c r="H1796" s="315"/>
      <c r="I1796" s="315"/>
      <c r="J1796" s="315"/>
      <c r="K1796" s="315"/>
      <c r="L1796" s="315"/>
    </row>
    <row r="1797" spans="1:12">
      <c r="A1797" s="315"/>
      <c r="B1797" s="315"/>
      <c r="C1797" s="315"/>
      <c r="D1797" s="315"/>
      <c r="E1797" s="315"/>
      <c r="F1797" s="315"/>
      <c r="G1797" s="315"/>
      <c r="H1797" s="315"/>
      <c r="I1797" s="315"/>
      <c r="J1797" s="315"/>
      <c r="K1797" s="315"/>
      <c r="L1797" s="315"/>
    </row>
    <row r="1798" spans="1:12">
      <c r="A1798" s="315"/>
      <c r="B1798" s="315"/>
      <c r="C1798" s="315"/>
      <c r="D1798" s="315"/>
      <c r="E1798" s="315"/>
      <c r="F1798" s="315"/>
      <c r="G1798" s="315"/>
      <c r="H1798" s="315"/>
      <c r="I1798" s="315"/>
      <c r="J1798" s="315"/>
      <c r="K1798" s="315"/>
      <c r="L1798" s="315"/>
    </row>
    <row r="1799" spans="1:12">
      <c r="A1799" s="315"/>
      <c r="B1799" s="315"/>
      <c r="C1799" s="315"/>
      <c r="D1799" s="315"/>
      <c r="E1799" s="315"/>
      <c r="F1799" s="315"/>
      <c r="G1799" s="315"/>
      <c r="H1799" s="315"/>
      <c r="I1799" s="315"/>
      <c r="J1799" s="315"/>
      <c r="K1799" s="315"/>
      <c r="L1799" s="315"/>
    </row>
    <row r="1800" spans="1:12">
      <c r="A1800" s="315"/>
      <c r="B1800" s="315"/>
      <c r="C1800" s="315"/>
      <c r="D1800" s="315"/>
      <c r="E1800" s="315"/>
      <c r="F1800" s="315"/>
      <c r="G1800" s="315"/>
      <c r="H1800" s="315"/>
      <c r="I1800" s="315"/>
      <c r="J1800" s="315"/>
      <c r="K1800" s="315"/>
      <c r="L1800" s="315"/>
    </row>
    <row r="1801" spans="1:12">
      <c r="A1801" s="315"/>
      <c r="B1801" s="315"/>
      <c r="C1801" s="315"/>
      <c r="D1801" s="315"/>
      <c r="E1801" s="315"/>
      <c r="F1801" s="315"/>
      <c r="G1801" s="315"/>
      <c r="H1801" s="315"/>
      <c r="I1801" s="315"/>
      <c r="J1801" s="315"/>
      <c r="K1801" s="315"/>
      <c r="L1801" s="315"/>
    </row>
    <row r="1802" spans="1:12">
      <c r="A1802" s="315"/>
      <c r="B1802" s="315"/>
      <c r="C1802" s="315"/>
      <c r="D1802" s="315"/>
      <c r="E1802" s="315"/>
      <c r="F1802" s="315"/>
      <c r="G1802" s="315"/>
      <c r="H1802" s="315"/>
      <c r="I1802" s="315"/>
      <c r="J1802" s="315"/>
      <c r="K1802" s="315"/>
      <c r="L1802" s="315"/>
    </row>
    <row r="1803" spans="1:12">
      <c r="A1803" s="315"/>
      <c r="B1803" s="315"/>
      <c r="C1803" s="315"/>
      <c r="D1803" s="315"/>
      <c r="E1803" s="315"/>
      <c r="F1803" s="315"/>
      <c r="G1803" s="315"/>
      <c r="H1803" s="315"/>
      <c r="I1803" s="315"/>
      <c r="J1803" s="315"/>
      <c r="K1803" s="315"/>
      <c r="L1803" s="315"/>
    </row>
    <row r="1804" spans="1:12">
      <c r="A1804" s="315"/>
      <c r="B1804" s="315"/>
      <c r="C1804" s="315"/>
      <c r="D1804" s="315"/>
      <c r="E1804" s="315"/>
      <c r="F1804" s="315"/>
      <c r="G1804" s="315"/>
      <c r="H1804" s="315"/>
      <c r="I1804" s="315"/>
      <c r="J1804" s="315"/>
      <c r="K1804" s="315"/>
      <c r="L1804" s="315"/>
    </row>
    <row r="1805" spans="1:12">
      <c r="A1805" s="315"/>
      <c r="B1805" s="315"/>
      <c r="C1805" s="315"/>
      <c r="D1805" s="315"/>
      <c r="E1805" s="315"/>
      <c r="F1805" s="315"/>
      <c r="G1805" s="315"/>
      <c r="H1805" s="315"/>
      <c r="I1805" s="315"/>
      <c r="J1805" s="315"/>
      <c r="K1805" s="315"/>
      <c r="L1805" s="315"/>
    </row>
    <row r="1806" spans="1:12">
      <c r="A1806" s="315"/>
      <c r="B1806" s="315"/>
      <c r="C1806" s="315"/>
      <c r="D1806" s="315"/>
      <c r="E1806" s="315"/>
      <c r="F1806" s="315"/>
      <c r="G1806" s="315"/>
      <c r="H1806" s="315"/>
      <c r="I1806" s="315"/>
      <c r="J1806" s="315"/>
      <c r="K1806" s="315"/>
      <c r="L1806" s="315"/>
    </row>
    <row r="1807" spans="1:12">
      <c r="A1807" s="315"/>
      <c r="B1807" s="315"/>
      <c r="C1807" s="315"/>
      <c r="D1807" s="315"/>
      <c r="E1807" s="315"/>
      <c r="F1807" s="315"/>
      <c r="G1807" s="315"/>
      <c r="H1807" s="315"/>
      <c r="I1807" s="315"/>
      <c r="J1807" s="315"/>
      <c r="K1807" s="315"/>
      <c r="L1807" s="315"/>
    </row>
    <row r="1808" spans="1:12">
      <c r="A1808" s="315"/>
      <c r="B1808" s="315"/>
      <c r="C1808" s="315"/>
      <c r="D1808" s="315"/>
      <c r="E1808" s="315"/>
      <c r="F1808" s="315"/>
      <c r="G1808" s="315"/>
      <c r="H1808" s="315"/>
      <c r="I1808" s="315"/>
      <c r="J1808" s="315"/>
      <c r="K1808" s="315"/>
      <c r="L1808" s="315"/>
    </row>
    <row r="1809" spans="1:12">
      <c r="A1809" s="315"/>
      <c r="B1809" s="315"/>
      <c r="C1809" s="315"/>
      <c r="D1809" s="315"/>
      <c r="E1809" s="315"/>
      <c r="F1809" s="315"/>
      <c r="G1809" s="315"/>
      <c r="H1809" s="315"/>
      <c r="I1809" s="315"/>
      <c r="J1809" s="315"/>
      <c r="K1809" s="315"/>
      <c r="L1809" s="315"/>
    </row>
    <row r="1810" spans="1:12">
      <c r="A1810" s="315"/>
      <c r="B1810" s="315"/>
      <c r="C1810" s="315"/>
      <c r="D1810" s="315"/>
      <c r="E1810" s="315"/>
      <c r="F1810" s="315"/>
      <c r="G1810" s="315"/>
      <c r="H1810" s="315"/>
      <c r="I1810" s="315"/>
      <c r="J1810" s="315"/>
      <c r="K1810" s="315"/>
      <c r="L1810" s="315"/>
    </row>
    <row r="1811" spans="1:12">
      <c r="A1811" s="315"/>
      <c r="B1811" s="315"/>
      <c r="C1811" s="315"/>
      <c r="D1811" s="315"/>
      <c r="E1811" s="315"/>
      <c r="F1811" s="315"/>
      <c r="G1811" s="315"/>
      <c r="H1811" s="315"/>
      <c r="I1811" s="315"/>
      <c r="J1811" s="315"/>
      <c r="K1811" s="315"/>
      <c r="L1811" s="315"/>
    </row>
    <row r="1812" spans="1:12">
      <c r="A1812" s="315"/>
      <c r="B1812" s="315"/>
      <c r="C1812" s="315"/>
      <c r="D1812" s="315"/>
      <c r="E1812" s="315"/>
      <c r="F1812" s="315"/>
      <c r="G1812" s="315"/>
      <c r="H1812" s="315"/>
      <c r="I1812" s="315"/>
      <c r="J1812" s="315"/>
      <c r="K1812" s="315"/>
      <c r="L1812" s="315"/>
    </row>
    <row r="1813" spans="1:12">
      <c r="A1813" s="315"/>
      <c r="B1813" s="315"/>
      <c r="C1813" s="315"/>
      <c r="D1813" s="315"/>
      <c r="E1813" s="315"/>
      <c r="F1813" s="315"/>
      <c r="G1813" s="315"/>
      <c r="H1813" s="315"/>
      <c r="I1813" s="315"/>
      <c r="J1813" s="315"/>
      <c r="K1813" s="315"/>
      <c r="L1813" s="315"/>
    </row>
    <row r="1814" spans="1:12">
      <c r="A1814" s="315"/>
      <c r="B1814" s="315"/>
      <c r="C1814" s="315"/>
      <c r="D1814" s="315"/>
      <c r="E1814" s="315"/>
      <c r="F1814" s="315"/>
      <c r="G1814" s="315"/>
      <c r="H1814" s="315"/>
      <c r="I1814" s="315"/>
      <c r="J1814" s="315"/>
      <c r="K1814" s="315"/>
      <c r="L1814" s="315"/>
    </row>
    <row r="1815" spans="1:12">
      <c r="A1815" s="315"/>
      <c r="B1815" s="315"/>
      <c r="C1815" s="315"/>
      <c r="D1815" s="315"/>
      <c r="E1815" s="315"/>
      <c r="F1815" s="315"/>
      <c r="G1815" s="315"/>
      <c r="H1815" s="315"/>
      <c r="I1815" s="315"/>
      <c r="J1815" s="315"/>
      <c r="K1815" s="315"/>
      <c r="L1815" s="315"/>
    </row>
    <row r="1816" spans="1:12">
      <c r="A1816" s="315"/>
      <c r="B1816" s="315"/>
      <c r="C1816" s="315"/>
      <c r="D1816" s="315"/>
      <c r="E1816" s="315"/>
      <c r="F1816" s="315"/>
      <c r="G1816" s="315"/>
      <c r="H1816" s="315"/>
      <c r="I1816" s="315"/>
      <c r="J1816" s="315"/>
      <c r="K1816" s="315"/>
      <c r="L1816" s="315"/>
    </row>
    <row r="1817" spans="1:12">
      <c r="A1817" s="315"/>
      <c r="B1817" s="315"/>
      <c r="C1817" s="315"/>
      <c r="D1817" s="315"/>
      <c r="E1817" s="315"/>
      <c r="F1817" s="315"/>
      <c r="G1817" s="315"/>
      <c r="H1817" s="315"/>
      <c r="I1817" s="315"/>
      <c r="J1817" s="315"/>
      <c r="K1817" s="315"/>
      <c r="L1817" s="315"/>
    </row>
    <row r="1818" spans="1:12">
      <c r="A1818" s="315"/>
      <c r="B1818" s="315"/>
      <c r="C1818" s="315"/>
      <c r="D1818" s="315"/>
      <c r="E1818" s="315"/>
      <c r="F1818" s="315"/>
      <c r="G1818" s="315"/>
      <c r="H1818" s="315"/>
      <c r="I1818" s="315"/>
      <c r="J1818" s="315"/>
      <c r="K1818" s="315"/>
      <c r="L1818" s="315"/>
    </row>
    <row r="1819" spans="1:12">
      <c r="A1819" s="315"/>
      <c r="B1819" s="315"/>
      <c r="C1819" s="315"/>
      <c r="D1819" s="315"/>
      <c r="E1819" s="315"/>
      <c r="F1819" s="315"/>
      <c r="G1819" s="315"/>
      <c r="H1819" s="315"/>
      <c r="I1819" s="315"/>
      <c r="J1819" s="315"/>
      <c r="K1819" s="315"/>
      <c r="L1819" s="315"/>
    </row>
    <row r="1820" spans="1:12">
      <c r="A1820" s="315"/>
      <c r="B1820" s="315"/>
      <c r="C1820" s="315"/>
      <c r="D1820" s="315"/>
      <c r="E1820" s="315"/>
      <c r="F1820" s="315"/>
      <c r="G1820" s="315"/>
      <c r="H1820" s="315"/>
      <c r="I1820" s="315"/>
      <c r="J1820" s="315"/>
      <c r="K1820" s="315"/>
      <c r="L1820" s="315"/>
    </row>
    <row r="1821" spans="1:12">
      <c r="A1821" s="315"/>
      <c r="B1821" s="315"/>
      <c r="C1821" s="315"/>
      <c r="D1821" s="315"/>
      <c r="E1821" s="315"/>
      <c r="F1821" s="315"/>
      <c r="G1821" s="315"/>
      <c r="H1821" s="315"/>
      <c r="I1821" s="315"/>
      <c r="J1821" s="315"/>
      <c r="K1821" s="315"/>
      <c r="L1821" s="315"/>
    </row>
    <row r="1822" spans="1:12">
      <c r="A1822" s="315"/>
      <c r="B1822" s="315"/>
      <c r="C1822" s="315"/>
      <c r="D1822" s="315"/>
      <c r="E1822" s="315"/>
      <c r="F1822" s="315"/>
      <c r="G1822" s="315"/>
      <c r="H1822" s="315"/>
      <c r="I1822" s="315"/>
      <c r="J1822" s="315"/>
      <c r="K1822" s="315"/>
      <c r="L1822" s="315"/>
    </row>
    <row r="1823" spans="1:12">
      <c r="A1823" s="315"/>
      <c r="B1823" s="315"/>
      <c r="C1823" s="315"/>
      <c r="D1823" s="315"/>
      <c r="E1823" s="315"/>
      <c r="F1823" s="315"/>
      <c r="G1823" s="315"/>
      <c r="H1823" s="315"/>
      <c r="I1823" s="315"/>
      <c r="J1823" s="315"/>
      <c r="K1823" s="315"/>
      <c r="L1823" s="315"/>
    </row>
    <row r="1824" spans="1:12">
      <c r="A1824" s="315"/>
      <c r="B1824" s="315"/>
      <c r="C1824" s="315"/>
      <c r="D1824" s="315"/>
      <c r="E1824" s="315"/>
      <c r="F1824" s="315"/>
      <c r="G1824" s="315"/>
      <c r="H1824" s="315"/>
      <c r="I1824" s="315"/>
      <c r="J1824" s="315"/>
      <c r="K1824" s="315"/>
      <c r="L1824" s="315"/>
    </row>
    <row r="1825" spans="1:12">
      <c r="A1825" s="315"/>
      <c r="B1825" s="315"/>
      <c r="C1825" s="315"/>
      <c r="D1825" s="315"/>
      <c r="E1825" s="315"/>
      <c r="F1825" s="315"/>
      <c r="G1825" s="315"/>
      <c r="H1825" s="315"/>
      <c r="I1825" s="315"/>
      <c r="J1825" s="315"/>
      <c r="K1825" s="315"/>
      <c r="L1825" s="315"/>
    </row>
    <row r="1826" spans="1:12">
      <c r="A1826" s="315"/>
      <c r="B1826" s="315"/>
      <c r="C1826" s="315"/>
      <c r="D1826" s="315"/>
      <c r="E1826" s="315"/>
      <c r="F1826" s="315"/>
      <c r="G1826" s="315"/>
      <c r="H1826" s="315"/>
      <c r="I1826" s="315"/>
      <c r="J1826" s="315"/>
      <c r="K1826" s="315"/>
      <c r="L1826" s="315"/>
    </row>
    <row r="1827" spans="1:12">
      <c r="A1827" s="315"/>
      <c r="B1827" s="315"/>
      <c r="C1827" s="315"/>
      <c r="D1827" s="315"/>
      <c r="E1827" s="315"/>
      <c r="F1827" s="315"/>
      <c r="G1827" s="315"/>
      <c r="H1827" s="315"/>
      <c r="I1827" s="315"/>
      <c r="J1827" s="315"/>
      <c r="K1827" s="315"/>
      <c r="L1827" s="315"/>
    </row>
    <row r="1828" spans="1:12">
      <c r="A1828" s="315"/>
      <c r="B1828" s="315"/>
      <c r="C1828" s="315"/>
      <c r="D1828" s="315"/>
      <c r="E1828" s="315"/>
      <c r="F1828" s="315"/>
      <c r="G1828" s="315"/>
      <c r="H1828" s="315"/>
      <c r="I1828" s="315"/>
      <c r="J1828" s="315"/>
      <c r="K1828" s="315"/>
      <c r="L1828" s="315"/>
    </row>
    <row r="1829" spans="1:12">
      <c r="A1829" s="315"/>
      <c r="B1829" s="315"/>
      <c r="C1829" s="315"/>
      <c r="D1829" s="315"/>
      <c r="E1829" s="315"/>
      <c r="F1829" s="315"/>
      <c r="G1829" s="315"/>
      <c r="H1829" s="315"/>
      <c r="I1829" s="315"/>
      <c r="J1829" s="315"/>
      <c r="K1829" s="315"/>
      <c r="L1829" s="315"/>
    </row>
    <row r="1830" spans="1:12">
      <c r="A1830" s="315"/>
      <c r="B1830" s="315"/>
      <c r="C1830" s="315"/>
      <c r="D1830" s="315"/>
      <c r="E1830" s="315"/>
      <c r="F1830" s="315"/>
      <c r="G1830" s="315"/>
      <c r="H1830" s="315"/>
      <c r="I1830" s="315"/>
      <c r="J1830" s="315"/>
      <c r="K1830" s="315"/>
      <c r="L1830" s="315"/>
    </row>
    <row r="1831" spans="1:12">
      <c r="A1831" s="315"/>
      <c r="B1831" s="315"/>
      <c r="C1831" s="315"/>
      <c r="D1831" s="315"/>
      <c r="E1831" s="315"/>
      <c r="F1831" s="315"/>
      <c r="G1831" s="315"/>
      <c r="H1831" s="315"/>
      <c r="I1831" s="315"/>
      <c r="J1831" s="315"/>
      <c r="K1831" s="315"/>
      <c r="L1831" s="315"/>
    </row>
    <row r="1832" spans="1:12">
      <c r="A1832" s="315"/>
      <c r="B1832" s="315"/>
      <c r="C1832" s="315"/>
      <c r="D1832" s="315"/>
      <c r="E1832" s="315"/>
      <c r="F1832" s="315"/>
      <c r="G1832" s="315"/>
      <c r="H1832" s="315"/>
      <c r="I1832" s="315"/>
      <c r="J1832" s="315"/>
      <c r="K1832" s="315"/>
      <c r="L1832" s="315"/>
    </row>
    <row r="1833" spans="1:12">
      <c r="A1833" s="315"/>
      <c r="B1833" s="315"/>
      <c r="C1833" s="315"/>
      <c r="D1833" s="315"/>
      <c r="E1833" s="315"/>
      <c r="F1833" s="315"/>
      <c r="G1833" s="315"/>
      <c r="H1833" s="315"/>
      <c r="I1833" s="315"/>
      <c r="J1833" s="315"/>
      <c r="K1833" s="315"/>
      <c r="L1833" s="315"/>
    </row>
    <row r="1834" spans="1:12">
      <c r="A1834" s="315"/>
      <c r="B1834" s="315"/>
      <c r="C1834" s="315"/>
      <c r="D1834" s="315"/>
      <c r="E1834" s="315"/>
      <c r="F1834" s="315"/>
      <c r="G1834" s="315"/>
      <c r="H1834" s="315"/>
      <c r="I1834" s="315"/>
      <c r="J1834" s="315"/>
      <c r="K1834" s="315"/>
      <c r="L1834" s="315"/>
    </row>
    <row r="1835" spans="1:12">
      <c r="A1835" s="315"/>
      <c r="B1835" s="315"/>
      <c r="C1835" s="315"/>
      <c r="D1835" s="315"/>
      <c r="E1835" s="315"/>
      <c r="F1835" s="315"/>
      <c r="G1835" s="315"/>
      <c r="H1835" s="315"/>
      <c r="I1835" s="315"/>
      <c r="J1835" s="315"/>
      <c r="K1835" s="315"/>
      <c r="L1835" s="315"/>
    </row>
    <row r="1836" spans="1:12">
      <c r="A1836" s="315"/>
      <c r="B1836" s="315"/>
      <c r="C1836" s="315"/>
      <c r="D1836" s="315"/>
      <c r="E1836" s="315"/>
      <c r="F1836" s="315"/>
      <c r="G1836" s="315"/>
      <c r="H1836" s="315"/>
      <c r="I1836" s="315"/>
      <c r="J1836" s="315"/>
      <c r="K1836" s="315"/>
      <c r="L1836" s="315"/>
    </row>
    <row r="1837" spans="1:12">
      <c r="A1837" s="315"/>
      <c r="B1837" s="315"/>
      <c r="C1837" s="315"/>
      <c r="D1837" s="315"/>
      <c r="E1837" s="315"/>
      <c r="F1837" s="315"/>
      <c r="G1837" s="315"/>
      <c r="H1837" s="315"/>
      <c r="I1837" s="315"/>
      <c r="J1837" s="315"/>
      <c r="K1837" s="315"/>
      <c r="L1837" s="315"/>
    </row>
    <row r="1838" spans="1:12">
      <c r="A1838" s="315"/>
      <c r="B1838" s="315"/>
      <c r="C1838" s="315"/>
      <c r="D1838" s="315"/>
      <c r="E1838" s="315"/>
      <c r="F1838" s="315"/>
      <c r="G1838" s="315"/>
      <c r="H1838" s="315"/>
      <c r="I1838" s="315"/>
      <c r="J1838" s="315"/>
      <c r="K1838" s="315"/>
      <c r="L1838" s="315"/>
    </row>
    <row r="1839" spans="1:12">
      <c r="A1839" s="315"/>
      <c r="B1839" s="315"/>
      <c r="C1839" s="315"/>
      <c r="D1839" s="315"/>
      <c r="E1839" s="315"/>
      <c r="F1839" s="315"/>
      <c r="G1839" s="315"/>
      <c r="H1839" s="315"/>
      <c r="I1839" s="315"/>
      <c r="J1839" s="315"/>
      <c r="K1839" s="315"/>
      <c r="L1839" s="315"/>
    </row>
    <row r="1840" spans="1:12">
      <c r="A1840" s="315"/>
      <c r="B1840" s="315"/>
      <c r="C1840" s="315"/>
      <c r="D1840" s="315"/>
      <c r="E1840" s="315"/>
      <c r="F1840" s="315"/>
      <c r="G1840" s="315"/>
      <c r="H1840" s="315"/>
      <c r="I1840" s="315"/>
      <c r="J1840" s="315"/>
      <c r="K1840" s="315"/>
      <c r="L1840" s="315"/>
    </row>
    <row r="1841" spans="1:12">
      <c r="A1841" s="315"/>
      <c r="B1841" s="315"/>
      <c r="C1841" s="315"/>
      <c r="D1841" s="315"/>
      <c r="E1841" s="315"/>
      <c r="F1841" s="315"/>
      <c r="G1841" s="315"/>
      <c r="H1841" s="315"/>
      <c r="I1841" s="315"/>
      <c r="J1841" s="315"/>
      <c r="K1841" s="315"/>
      <c r="L1841" s="315"/>
    </row>
    <row r="1842" spans="1:12">
      <c r="A1842" s="315"/>
      <c r="B1842" s="315"/>
      <c r="C1842" s="315"/>
      <c r="D1842" s="315"/>
      <c r="E1842" s="315"/>
      <c r="F1842" s="315"/>
      <c r="G1842" s="315"/>
      <c r="H1842" s="315"/>
      <c r="I1842" s="315"/>
      <c r="J1842" s="315"/>
      <c r="K1842" s="315"/>
      <c r="L1842" s="315"/>
    </row>
    <row r="1843" spans="1:12">
      <c r="A1843" s="315"/>
      <c r="B1843" s="315"/>
      <c r="C1843" s="315"/>
      <c r="D1843" s="315"/>
      <c r="E1843" s="315"/>
      <c r="F1843" s="315"/>
      <c r="G1843" s="315"/>
      <c r="H1843" s="315"/>
      <c r="I1843" s="315"/>
      <c r="J1843" s="315"/>
      <c r="K1843" s="315"/>
      <c r="L1843" s="315"/>
    </row>
    <row r="1844" spans="1:12">
      <c r="A1844" s="315"/>
      <c r="B1844" s="315"/>
      <c r="C1844" s="315"/>
      <c r="D1844" s="315"/>
      <c r="E1844" s="315"/>
      <c r="F1844" s="315"/>
      <c r="G1844" s="315"/>
      <c r="H1844" s="315"/>
      <c r="I1844" s="315"/>
      <c r="J1844" s="315"/>
      <c r="K1844" s="315"/>
      <c r="L1844" s="315"/>
    </row>
    <row r="1845" spans="1:12">
      <c r="A1845" s="315"/>
      <c r="B1845" s="315"/>
      <c r="C1845" s="315"/>
      <c r="D1845" s="315"/>
      <c r="E1845" s="315"/>
      <c r="F1845" s="315"/>
      <c r="G1845" s="315"/>
      <c r="H1845" s="315"/>
      <c r="I1845" s="315"/>
      <c r="J1845" s="315"/>
      <c r="K1845" s="315"/>
      <c r="L1845" s="315"/>
    </row>
    <row r="1846" spans="1:12">
      <c r="A1846" s="315"/>
      <c r="B1846" s="315"/>
      <c r="C1846" s="315"/>
      <c r="D1846" s="315"/>
      <c r="E1846" s="315"/>
      <c r="F1846" s="315"/>
      <c r="G1846" s="315"/>
      <c r="H1846" s="315"/>
      <c r="I1846" s="315"/>
      <c r="J1846" s="315"/>
      <c r="K1846" s="315"/>
      <c r="L1846" s="315"/>
    </row>
    <row r="1847" spans="1:12">
      <c r="A1847" s="315"/>
      <c r="B1847" s="315"/>
      <c r="C1847" s="315"/>
      <c r="D1847" s="315"/>
      <c r="E1847" s="315"/>
      <c r="F1847" s="315"/>
      <c r="G1847" s="315"/>
      <c r="H1847" s="315"/>
      <c r="I1847" s="315"/>
      <c r="J1847" s="315"/>
      <c r="K1847" s="315"/>
      <c r="L1847" s="315"/>
    </row>
    <row r="1848" spans="1:12">
      <c r="A1848" s="315"/>
      <c r="B1848" s="315"/>
      <c r="C1848" s="315"/>
      <c r="D1848" s="315"/>
      <c r="E1848" s="315"/>
      <c r="F1848" s="315"/>
      <c r="G1848" s="315"/>
      <c r="H1848" s="315"/>
      <c r="I1848" s="315"/>
      <c r="J1848" s="315"/>
      <c r="K1848" s="315"/>
      <c r="L1848" s="315"/>
    </row>
    <row r="1849" spans="1:12">
      <c r="A1849" s="315"/>
      <c r="B1849" s="315"/>
      <c r="C1849" s="315"/>
      <c r="D1849" s="315"/>
      <c r="E1849" s="315"/>
      <c r="F1849" s="315"/>
      <c r="G1849" s="315"/>
      <c r="H1849" s="315"/>
      <c r="I1849" s="315"/>
      <c r="J1849" s="315"/>
      <c r="K1849" s="315"/>
      <c r="L1849" s="315"/>
    </row>
    <row r="1850" spans="1:12">
      <c r="A1850" s="315"/>
      <c r="B1850" s="315"/>
      <c r="C1850" s="315"/>
      <c r="D1850" s="315"/>
      <c r="E1850" s="315"/>
      <c r="F1850" s="315"/>
      <c r="G1850" s="315"/>
      <c r="H1850" s="315"/>
      <c r="I1850" s="315"/>
      <c r="J1850" s="315"/>
      <c r="K1850" s="315"/>
      <c r="L1850" s="315"/>
    </row>
    <row r="1851" spans="1:12">
      <c r="A1851" s="315"/>
      <c r="B1851" s="315"/>
      <c r="C1851" s="315"/>
      <c r="D1851" s="315"/>
      <c r="E1851" s="315"/>
      <c r="F1851" s="315"/>
      <c r="G1851" s="315"/>
      <c r="H1851" s="315"/>
      <c r="I1851" s="315"/>
      <c r="J1851" s="315"/>
      <c r="K1851" s="315"/>
      <c r="L1851" s="315"/>
    </row>
    <row r="1852" spans="1:12">
      <c r="A1852" s="315"/>
      <c r="B1852" s="315"/>
      <c r="C1852" s="315"/>
      <c r="D1852" s="315"/>
      <c r="E1852" s="315"/>
      <c r="F1852" s="315"/>
      <c r="G1852" s="315"/>
      <c r="H1852" s="315"/>
      <c r="I1852" s="315"/>
      <c r="J1852" s="315"/>
      <c r="K1852" s="315"/>
      <c r="L1852" s="315"/>
    </row>
    <row r="1853" spans="1:12">
      <c r="A1853" s="315"/>
      <c r="B1853" s="315"/>
      <c r="C1853" s="315"/>
      <c r="D1853" s="315"/>
      <c r="E1853" s="315"/>
      <c r="F1853" s="315"/>
      <c r="G1853" s="315"/>
      <c r="H1853" s="315"/>
      <c r="I1853" s="315"/>
      <c r="J1853" s="315"/>
      <c r="K1853" s="315"/>
      <c r="L1853" s="315"/>
    </row>
    <row r="1854" spans="1:12">
      <c r="A1854" s="315"/>
      <c r="B1854" s="315"/>
      <c r="C1854" s="315"/>
      <c r="D1854" s="315"/>
      <c r="E1854" s="315"/>
      <c r="F1854" s="315"/>
      <c r="G1854" s="315"/>
      <c r="H1854" s="315"/>
      <c r="I1854" s="315"/>
      <c r="J1854" s="315"/>
      <c r="K1854" s="315"/>
      <c r="L1854" s="315"/>
    </row>
    <row r="1855" spans="1:12">
      <c r="A1855" s="315"/>
      <c r="B1855" s="315"/>
      <c r="C1855" s="315"/>
      <c r="D1855" s="315"/>
      <c r="E1855" s="315"/>
      <c r="F1855" s="315"/>
      <c r="G1855" s="315"/>
      <c r="H1855" s="315"/>
      <c r="I1855" s="315"/>
      <c r="J1855" s="315"/>
      <c r="K1855" s="315"/>
      <c r="L1855" s="315"/>
    </row>
    <row r="1856" spans="1:12">
      <c r="A1856" s="315"/>
      <c r="B1856" s="315"/>
      <c r="C1856" s="315"/>
      <c r="D1856" s="315"/>
      <c r="E1856" s="315"/>
      <c r="F1856" s="315"/>
      <c r="G1856" s="315"/>
      <c r="H1856" s="315"/>
      <c r="I1856" s="315"/>
      <c r="J1856" s="315"/>
      <c r="K1856" s="315"/>
      <c r="L1856" s="315"/>
    </row>
    <row r="1857" spans="1:12">
      <c r="A1857" s="315"/>
      <c r="B1857" s="315"/>
      <c r="C1857" s="315"/>
      <c r="D1857" s="315"/>
      <c r="E1857" s="315"/>
      <c r="F1857" s="315"/>
      <c r="G1857" s="315"/>
      <c r="H1857" s="315"/>
      <c r="I1857" s="315"/>
      <c r="J1857" s="315"/>
      <c r="K1857" s="315"/>
      <c r="L1857" s="315"/>
    </row>
    <row r="1858" spans="1:12">
      <c r="A1858" s="315"/>
      <c r="B1858" s="315"/>
      <c r="C1858" s="315"/>
      <c r="D1858" s="315"/>
      <c r="E1858" s="315"/>
      <c r="F1858" s="315"/>
      <c r="G1858" s="315"/>
      <c r="H1858" s="315"/>
      <c r="I1858" s="315"/>
      <c r="J1858" s="315"/>
      <c r="K1858" s="315"/>
      <c r="L1858" s="315"/>
    </row>
    <row r="1859" spans="1:12">
      <c r="A1859" s="315"/>
      <c r="B1859" s="315"/>
      <c r="C1859" s="315"/>
      <c r="D1859" s="315"/>
      <c r="E1859" s="315"/>
      <c r="F1859" s="315"/>
      <c r="G1859" s="315"/>
      <c r="H1859" s="315"/>
      <c r="I1859" s="315"/>
      <c r="J1859" s="315"/>
      <c r="K1859" s="315"/>
      <c r="L1859" s="315"/>
    </row>
    <row r="1860" spans="1:12">
      <c r="A1860" s="315"/>
      <c r="B1860" s="315"/>
      <c r="C1860" s="315"/>
      <c r="D1860" s="315"/>
      <c r="E1860" s="315"/>
      <c r="F1860" s="315"/>
      <c r="G1860" s="315"/>
      <c r="H1860" s="315"/>
      <c r="I1860" s="315"/>
      <c r="J1860" s="315"/>
      <c r="K1860" s="315"/>
      <c r="L1860" s="315"/>
    </row>
    <row r="1861" spans="1:12">
      <c r="A1861" s="315"/>
      <c r="B1861" s="315"/>
      <c r="C1861" s="315"/>
      <c r="D1861" s="315"/>
      <c r="E1861" s="315"/>
      <c r="F1861" s="315"/>
      <c r="G1861" s="315"/>
      <c r="H1861" s="315"/>
      <c r="I1861" s="315"/>
      <c r="J1861" s="315"/>
      <c r="K1861" s="315"/>
      <c r="L1861" s="315"/>
    </row>
    <row r="1862" spans="1:12">
      <c r="A1862" s="315"/>
      <c r="B1862" s="315"/>
      <c r="C1862" s="315"/>
      <c r="D1862" s="315"/>
      <c r="E1862" s="315"/>
      <c r="F1862" s="315"/>
      <c r="G1862" s="315"/>
      <c r="H1862" s="315"/>
      <c r="I1862" s="315"/>
      <c r="J1862" s="315"/>
      <c r="K1862" s="315"/>
      <c r="L1862" s="315"/>
    </row>
    <row r="1863" spans="1:12">
      <c r="A1863" s="315"/>
      <c r="B1863" s="315"/>
      <c r="C1863" s="315"/>
      <c r="D1863" s="315"/>
      <c r="E1863" s="315"/>
      <c r="F1863" s="315"/>
      <c r="G1863" s="315"/>
      <c r="H1863" s="315"/>
      <c r="I1863" s="315"/>
      <c r="J1863" s="315"/>
      <c r="K1863" s="315"/>
      <c r="L1863" s="315"/>
    </row>
    <row r="1864" spans="1:12">
      <c r="A1864" s="315"/>
      <c r="B1864" s="315"/>
      <c r="C1864" s="315"/>
      <c r="D1864" s="315"/>
      <c r="E1864" s="315"/>
      <c r="F1864" s="315"/>
      <c r="G1864" s="315"/>
      <c r="H1864" s="315"/>
      <c r="I1864" s="315"/>
      <c r="J1864" s="315"/>
      <c r="K1864" s="315"/>
      <c r="L1864" s="315"/>
    </row>
    <row r="1865" spans="1:12">
      <c r="A1865" s="315"/>
      <c r="B1865" s="315"/>
      <c r="C1865" s="315"/>
      <c r="D1865" s="315"/>
      <c r="E1865" s="315"/>
      <c r="F1865" s="315"/>
      <c r="G1865" s="315"/>
      <c r="H1865" s="315"/>
      <c r="I1865" s="315"/>
      <c r="J1865" s="315"/>
      <c r="K1865" s="315"/>
      <c r="L1865" s="315"/>
    </row>
    <row r="1866" spans="1:12">
      <c r="A1866" s="315"/>
      <c r="B1866" s="315"/>
      <c r="C1866" s="315"/>
      <c r="D1866" s="315"/>
      <c r="E1866" s="315"/>
      <c r="F1866" s="315"/>
      <c r="G1866" s="315"/>
      <c r="H1866" s="315"/>
      <c r="I1866" s="315"/>
      <c r="J1866" s="315"/>
      <c r="K1866" s="315"/>
      <c r="L1866" s="315"/>
    </row>
    <row r="1867" spans="1:12">
      <c r="A1867" s="315"/>
      <c r="B1867" s="315"/>
      <c r="C1867" s="315"/>
      <c r="D1867" s="315"/>
      <c r="E1867" s="315"/>
      <c r="F1867" s="315"/>
      <c r="G1867" s="315"/>
      <c r="H1867" s="315"/>
      <c r="I1867" s="315"/>
      <c r="J1867" s="315"/>
      <c r="K1867" s="315"/>
      <c r="L1867" s="315"/>
    </row>
    <row r="1868" spans="1:12">
      <c r="A1868" s="315"/>
      <c r="B1868" s="315"/>
      <c r="C1868" s="315"/>
      <c r="D1868" s="315"/>
      <c r="E1868" s="315"/>
      <c r="F1868" s="315"/>
      <c r="G1868" s="315"/>
      <c r="H1868" s="315"/>
      <c r="I1868" s="315"/>
      <c r="J1868" s="315"/>
      <c r="K1868" s="315"/>
      <c r="L1868" s="315"/>
    </row>
    <row r="1869" spans="1:12">
      <c r="A1869" s="315"/>
      <c r="B1869" s="315"/>
      <c r="C1869" s="315"/>
      <c r="D1869" s="315"/>
      <c r="E1869" s="315"/>
      <c r="F1869" s="315"/>
      <c r="G1869" s="315"/>
      <c r="H1869" s="315"/>
      <c r="I1869" s="315"/>
      <c r="J1869" s="315"/>
      <c r="K1869" s="315"/>
      <c r="L1869" s="315"/>
    </row>
    <row r="1870" spans="1:12">
      <c r="A1870" s="315"/>
      <c r="B1870" s="315"/>
      <c r="C1870" s="315"/>
      <c r="D1870" s="315"/>
      <c r="E1870" s="315"/>
      <c r="F1870" s="315"/>
      <c r="G1870" s="315"/>
      <c r="H1870" s="315"/>
      <c r="I1870" s="315"/>
      <c r="J1870" s="315"/>
      <c r="K1870" s="315"/>
      <c r="L1870" s="315"/>
    </row>
    <row r="1871" spans="1:12">
      <c r="A1871" s="315"/>
      <c r="B1871" s="315"/>
      <c r="C1871" s="315"/>
      <c r="D1871" s="315"/>
      <c r="E1871" s="315"/>
      <c r="F1871" s="315"/>
      <c r="G1871" s="315"/>
      <c r="H1871" s="315"/>
      <c r="I1871" s="315"/>
      <c r="J1871" s="315"/>
      <c r="K1871" s="315"/>
      <c r="L1871" s="315"/>
    </row>
    <row r="1872" spans="1:12">
      <c r="A1872" s="315"/>
      <c r="B1872" s="315"/>
      <c r="C1872" s="315"/>
      <c r="D1872" s="315"/>
      <c r="E1872" s="315"/>
      <c r="F1872" s="315"/>
      <c r="G1872" s="315"/>
      <c r="H1872" s="315"/>
      <c r="I1872" s="315"/>
      <c r="J1872" s="315"/>
      <c r="K1872" s="315"/>
      <c r="L1872" s="315"/>
    </row>
    <row r="1873" spans="1:12">
      <c r="A1873" s="315"/>
      <c r="B1873" s="315"/>
      <c r="C1873" s="315"/>
      <c r="D1873" s="315"/>
      <c r="E1873" s="315"/>
      <c r="F1873" s="315"/>
      <c r="G1873" s="315"/>
      <c r="H1873" s="315"/>
      <c r="I1873" s="315"/>
      <c r="J1873" s="315"/>
      <c r="K1873" s="315"/>
      <c r="L1873" s="315"/>
    </row>
    <row r="1874" spans="1:12">
      <c r="A1874" s="315"/>
      <c r="B1874" s="315"/>
      <c r="C1874" s="315"/>
      <c r="D1874" s="315"/>
      <c r="E1874" s="315"/>
      <c r="F1874" s="315"/>
      <c r="G1874" s="315"/>
      <c r="H1874" s="315"/>
      <c r="I1874" s="315"/>
      <c r="J1874" s="315"/>
      <c r="K1874" s="315"/>
      <c r="L1874" s="315"/>
    </row>
    <row r="1875" spans="1:12">
      <c r="A1875" s="315"/>
      <c r="B1875" s="315"/>
      <c r="C1875" s="315"/>
      <c r="D1875" s="315"/>
      <c r="E1875" s="315"/>
      <c r="F1875" s="315"/>
      <c r="G1875" s="315"/>
      <c r="H1875" s="315"/>
      <c r="I1875" s="315"/>
      <c r="J1875" s="315"/>
      <c r="K1875" s="315"/>
      <c r="L1875" s="315"/>
    </row>
    <row r="1876" spans="1:12">
      <c r="A1876" s="315"/>
      <c r="B1876" s="315"/>
      <c r="C1876" s="315"/>
      <c r="D1876" s="315"/>
      <c r="E1876" s="315"/>
      <c r="F1876" s="315"/>
      <c r="G1876" s="315"/>
      <c r="H1876" s="315"/>
      <c r="I1876" s="315"/>
      <c r="J1876" s="315"/>
      <c r="K1876" s="315"/>
      <c r="L1876" s="315"/>
    </row>
    <row r="1877" spans="1:12">
      <c r="A1877" s="315"/>
      <c r="B1877" s="315"/>
      <c r="C1877" s="315"/>
      <c r="D1877" s="315"/>
      <c r="E1877" s="315"/>
      <c r="F1877" s="315"/>
      <c r="G1877" s="315"/>
      <c r="H1877" s="315"/>
      <c r="I1877" s="315"/>
      <c r="J1877" s="315"/>
      <c r="K1877" s="315"/>
      <c r="L1877" s="315"/>
    </row>
    <row r="1878" spans="1:12">
      <c r="A1878" s="315"/>
      <c r="B1878" s="315"/>
      <c r="C1878" s="315"/>
      <c r="D1878" s="315"/>
      <c r="E1878" s="315"/>
      <c r="F1878" s="315"/>
      <c r="G1878" s="315"/>
      <c r="H1878" s="315"/>
      <c r="I1878" s="315"/>
      <c r="J1878" s="315"/>
      <c r="K1878" s="315"/>
      <c r="L1878" s="315"/>
    </row>
    <row r="1879" spans="1:12">
      <c r="A1879" s="315"/>
      <c r="B1879" s="315"/>
      <c r="C1879" s="315"/>
      <c r="D1879" s="315"/>
      <c r="E1879" s="315"/>
      <c r="F1879" s="315"/>
      <c r="G1879" s="315"/>
      <c r="H1879" s="315"/>
      <c r="I1879" s="315"/>
      <c r="J1879" s="315"/>
      <c r="K1879" s="315"/>
      <c r="L1879" s="315"/>
    </row>
    <row r="1880" spans="1:12">
      <c r="A1880" s="315"/>
      <c r="B1880" s="315"/>
      <c r="C1880" s="315"/>
      <c r="D1880" s="315"/>
      <c r="E1880" s="315"/>
      <c r="F1880" s="315"/>
      <c r="G1880" s="315"/>
      <c r="H1880" s="315"/>
      <c r="I1880" s="315"/>
      <c r="J1880" s="315"/>
      <c r="K1880" s="315"/>
      <c r="L1880" s="315"/>
    </row>
    <row r="1881" spans="1:12">
      <c r="A1881" s="315"/>
      <c r="B1881" s="315"/>
      <c r="C1881" s="315"/>
      <c r="D1881" s="315"/>
      <c r="E1881" s="315"/>
      <c r="F1881" s="315"/>
      <c r="G1881" s="315"/>
      <c r="H1881" s="315"/>
      <c r="I1881" s="315"/>
      <c r="J1881" s="315"/>
      <c r="K1881" s="315"/>
      <c r="L1881" s="315"/>
    </row>
    <row r="1882" spans="1:12">
      <c r="A1882" s="315"/>
      <c r="B1882" s="315"/>
      <c r="C1882" s="315"/>
      <c r="D1882" s="315"/>
      <c r="E1882" s="315"/>
      <c r="F1882" s="315"/>
      <c r="G1882" s="315"/>
      <c r="H1882" s="315"/>
      <c r="I1882" s="315"/>
      <c r="J1882" s="315"/>
      <c r="K1882" s="315"/>
      <c r="L1882" s="315"/>
    </row>
    <row r="1883" spans="1:12">
      <c r="A1883" s="315"/>
      <c r="B1883" s="315"/>
      <c r="C1883" s="315"/>
      <c r="D1883" s="315"/>
      <c r="E1883" s="315"/>
      <c r="F1883" s="315"/>
      <c r="G1883" s="315"/>
      <c r="H1883" s="315"/>
      <c r="I1883" s="315"/>
      <c r="J1883" s="315"/>
      <c r="K1883" s="315"/>
      <c r="L1883" s="315"/>
    </row>
    <row r="1884" spans="1:12">
      <c r="A1884" s="315"/>
      <c r="B1884" s="315"/>
      <c r="C1884" s="315"/>
      <c r="D1884" s="315"/>
      <c r="E1884" s="315"/>
      <c r="F1884" s="315"/>
      <c r="G1884" s="315"/>
      <c r="H1884" s="315"/>
      <c r="I1884" s="315"/>
      <c r="J1884" s="315"/>
      <c r="K1884" s="315"/>
      <c r="L1884" s="315"/>
    </row>
    <row r="1885" spans="1:12">
      <c r="A1885" s="315"/>
      <c r="B1885" s="315"/>
      <c r="C1885" s="315"/>
      <c r="D1885" s="315"/>
      <c r="E1885" s="315"/>
      <c r="F1885" s="315"/>
      <c r="G1885" s="315"/>
      <c r="H1885" s="315"/>
      <c r="I1885" s="315"/>
      <c r="J1885" s="315"/>
      <c r="K1885" s="315"/>
      <c r="L1885" s="315"/>
    </row>
    <row r="1886" spans="1:12">
      <c r="A1886" s="315"/>
      <c r="B1886" s="315"/>
      <c r="C1886" s="315"/>
      <c r="D1886" s="315"/>
      <c r="E1886" s="315"/>
      <c r="F1886" s="315"/>
      <c r="G1886" s="315"/>
      <c r="H1886" s="315"/>
      <c r="I1886" s="315"/>
      <c r="J1886" s="315"/>
      <c r="K1886" s="315"/>
      <c r="L1886" s="315"/>
    </row>
    <row r="1887" spans="1:12">
      <c r="A1887" s="315"/>
      <c r="B1887" s="315"/>
      <c r="C1887" s="315"/>
      <c r="D1887" s="315"/>
      <c r="E1887" s="315"/>
      <c r="F1887" s="315"/>
      <c r="G1887" s="315"/>
      <c r="H1887" s="315"/>
      <c r="I1887" s="315"/>
      <c r="J1887" s="315"/>
      <c r="K1887" s="315"/>
      <c r="L1887" s="315"/>
    </row>
    <row r="1888" spans="1:12">
      <c r="A1888" s="315"/>
      <c r="B1888" s="315"/>
      <c r="C1888" s="315"/>
      <c r="D1888" s="315"/>
      <c r="E1888" s="315"/>
      <c r="F1888" s="315"/>
      <c r="G1888" s="315"/>
      <c r="H1888" s="315"/>
      <c r="I1888" s="315"/>
      <c r="J1888" s="315"/>
      <c r="K1888" s="315"/>
      <c r="L1888" s="315"/>
    </row>
    <row r="1889" spans="1:12">
      <c r="A1889" s="315"/>
      <c r="B1889" s="315"/>
      <c r="C1889" s="315"/>
      <c r="D1889" s="315"/>
      <c r="E1889" s="315"/>
      <c r="F1889" s="315"/>
      <c r="G1889" s="315"/>
      <c r="H1889" s="315"/>
      <c r="I1889" s="315"/>
      <c r="J1889" s="315"/>
      <c r="K1889" s="315"/>
      <c r="L1889" s="315"/>
    </row>
    <row r="1890" spans="1:12">
      <c r="A1890" s="315"/>
      <c r="B1890" s="315"/>
      <c r="C1890" s="315"/>
      <c r="D1890" s="315"/>
      <c r="E1890" s="315"/>
      <c r="F1890" s="315"/>
      <c r="G1890" s="315"/>
      <c r="H1890" s="315"/>
      <c r="I1890" s="315"/>
      <c r="J1890" s="315"/>
      <c r="K1890" s="315"/>
      <c r="L1890" s="315"/>
    </row>
    <row r="1891" spans="1:12">
      <c r="A1891" s="315"/>
      <c r="B1891" s="315"/>
      <c r="C1891" s="315"/>
      <c r="D1891" s="315"/>
      <c r="E1891" s="315"/>
      <c r="F1891" s="315"/>
      <c r="G1891" s="315"/>
      <c r="H1891" s="315"/>
      <c r="I1891" s="315"/>
      <c r="J1891" s="315"/>
      <c r="K1891" s="315"/>
      <c r="L1891" s="315"/>
    </row>
    <row r="1892" spans="1:12">
      <c r="A1892" s="315"/>
      <c r="B1892" s="315"/>
      <c r="C1892" s="315"/>
      <c r="D1892" s="315"/>
      <c r="E1892" s="315"/>
      <c r="F1892" s="315"/>
      <c r="G1892" s="315"/>
      <c r="H1892" s="315"/>
      <c r="I1892" s="315"/>
      <c r="J1892" s="315"/>
      <c r="K1892" s="315"/>
      <c r="L1892" s="315"/>
    </row>
    <row r="1893" spans="1:12">
      <c r="A1893" s="315"/>
      <c r="B1893" s="315"/>
      <c r="C1893" s="315"/>
      <c r="D1893" s="315"/>
      <c r="E1893" s="315"/>
      <c r="F1893" s="315"/>
      <c r="G1893" s="315"/>
      <c r="H1893" s="315"/>
      <c r="I1893" s="315"/>
      <c r="J1893" s="315"/>
      <c r="K1893" s="315"/>
      <c r="L1893" s="315"/>
    </row>
    <row r="1894" spans="1:12">
      <c r="A1894" s="315"/>
      <c r="B1894" s="315"/>
      <c r="C1894" s="315"/>
      <c r="D1894" s="315"/>
      <c r="E1894" s="315"/>
      <c r="F1894" s="315"/>
      <c r="G1894" s="315"/>
      <c r="H1894" s="315"/>
      <c r="I1894" s="315"/>
      <c r="J1894" s="315"/>
      <c r="K1894" s="315"/>
      <c r="L1894" s="315"/>
    </row>
    <row r="1895" spans="1:12">
      <c r="A1895" s="315"/>
      <c r="B1895" s="315"/>
      <c r="C1895" s="315"/>
      <c r="D1895" s="315"/>
      <c r="E1895" s="315"/>
      <c r="F1895" s="315"/>
      <c r="G1895" s="315"/>
      <c r="H1895" s="315"/>
      <c r="I1895" s="315"/>
      <c r="J1895" s="315"/>
      <c r="K1895" s="315"/>
      <c r="L1895" s="315"/>
    </row>
    <row r="1896" spans="1:12">
      <c r="A1896" s="315"/>
      <c r="B1896" s="315"/>
      <c r="C1896" s="315"/>
      <c r="D1896" s="315"/>
      <c r="E1896" s="315"/>
      <c r="F1896" s="315"/>
      <c r="G1896" s="315"/>
      <c r="H1896" s="315"/>
      <c r="I1896" s="315"/>
      <c r="J1896" s="315"/>
      <c r="K1896" s="315"/>
      <c r="L1896" s="315"/>
    </row>
    <row r="1897" spans="1:12">
      <c r="A1897" s="315"/>
      <c r="B1897" s="315"/>
      <c r="C1897" s="315"/>
      <c r="D1897" s="315"/>
      <c r="E1897" s="315"/>
      <c r="F1897" s="315"/>
      <c r="G1897" s="315"/>
      <c r="H1897" s="315"/>
      <c r="I1897" s="315"/>
      <c r="J1897" s="315"/>
      <c r="K1897" s="315"/>
      <c r="L1897" s="315"/>
    </row>
    <row r="1898" spans="1:12">
      <c r="A1898" s="315"/>
      <c r="B1898" s="315"/>
      <c r="C1898" s="315"/>
      <c r="D1898" s="315"/>
      <c r="E1898" s="315"/>
      <c r="F1898" s="315"/>
      <c r="G1898" s="315"/>
      <c r="H1898" s="315"/>
      <c r="I1898" s="315"/>
      <c r="J1898" s="315"/>
      <c r="K1898" s="315"/>
      <c r="L1898" s="315"/>
    </row>
    <row r="1899" spans="1:12">
      <c r="A1899" s="315"/>
      <c r="B1899" s="315"/>
      <c r="C1899" s="315"/>
      <c r="D1899" s="315"/>
      <c r="E1899" s="315"/>
      <c r="F1899" s="315"/>
      <c r="G1899" s="315"/>
      <c r="H1899" s="315"/>
      <c r="I1899" s="315"/>
      <c r="J1899" s="315"/>
      <c r="K1899" s="315"/>
      <c r="L1899" s="315"/>
    </row>
    <row r="1900" spans="1:12">
      <c r="A1900" s="315"/>
      <c r="B1900" s="315"/>
      <c r="C1900" s="315"/>
      <c r="D1900" s="315"/>
      <c r="E1900" s="315"/>
      <c r="F1900" s="315"/>
      <c r="G1900" s="315"/>
      <c r="H1900" s="315"/>
      <c r="I1900" s="315"/>
      <c r="J1900" s="315"/>
      <c r="K1900" s="315"/>
      <c r="L1900" s="315"/>
    </row>
    <row r="1901" spans="1:12">
      <c r="A1901" s="315"/>
      <c r="B1901" s="315"/>
      <c r="C1901" s="315"/>
      <c r="D1901" s="315"/>
      <c r="E1901" s="315"/>
      <c r="F1901" s="315"/>
      <c r="G1901" s="315"/>
      <c r="H1901" s="315"/>
      <c r="I1901" s="315"/>
      <c r="J1901" s="315"/>
      <c r="K1901" s="315"/>
      <c r="L1901" s="315"/>
    </row>
    <row r="1902" spans="1:12">
      <c r="A1902" s="315"/>
      <c r="B1902" s="315"/>
      <c r="C1902" s="315"/>
      <c r="D1902" s="315"/>
      <c r="E1902" s="315"/>
      <c r="F1902" s="315"/>
      <c r="G1902" s="315"/>
      <c r="H1902" s="315"/>
      <c r="I1902" s="315"/>
      <c r="J1902" s="315"/>
      <c r="K1902" s="315"/>
      <c r="L1902" s="315"/>
    </row>
    <row r="1903" spans="1:12">
      <c r="A1903" s="315"/>
      <c r="B1903" s="315"/>
      <c r="C1903" s="315"/>
      <c r="D1903" s="315"/>
      <c r="E1903" s="315"/>
      <c r="F1903" s="315"/>
      <c r="G1903" s="315"/>
      <c r="H1903" s="315"/>
      <c r="I1903" s="315"/>
      <c r="J1903" s="315"/>
      <c r="K1903" s="315"/>
      <c r="L1903" s="315"/>
    </row>
    <row r="1904" spans="1:12">
      <c r="A1904" s="315"/>
      <c r="B1904" s="315"/>
      <c r="C1904" s="315"/>
      <c r="D1904" s="315"/>
      <c r="E1904" s="315"/>
      <c r="F1904" s="315"/>
      <c r="G1904" s="315"/>
      <c r="H1904" s="315"/>
      <c r="I1904" s="315"/>
      <c r="J1904" s="315"/>
      <c r="K1904" s="315"/>
      <c r="L1904" s="315"/>
    </row>
    <row r="1905" spans="1:12">
      <c r="A1905" s="315"/>
      <c r="B1905" s="315"/>
      <c r="C1905" s="315"/>
      <c r="D1905" s="315"/>
      <c r="E1905" s="315"/>
      <c r="F1905" s="315"/>
      <c r="G1905" s="315"/>
      <c r="H1905" s="315"/>
      <c r="I1905" s="315"/>
      <c r="J1905" s="315"/>
      <c r="K1905" s="315"/>
      <c r="L1905" s="315"/>
    </row>
    <row r="1906" spans="1:12">
      <c r="A1906" s="315"/>
      <c r="B1906" s="315"/>
      <c r="C1906" s="315"/>
      <c r="D1906" s="315"/>
      <c r="E1906" s="315"/>
      <c r="F1906" s="315"/>
      <c r="G1906" s="315"/>
      <c r="H1906" s="315"/>
      <c r="I1906" s="315"/>
      <c r="J1906" s="315"/>
      <c r="K1906" s="315"/>
      <c r="L1906" s="315"/>
    </row>
    <row r="1907" spans="1:12">
      <c r="A1907" s="315"/>
      <c r="B1907" s="315"/>
      <c r="C1907" s="315"/>
      <c r="D1907" s="315"/>
      <c r="E1907" s="315"/>
      <c r="F1907" s="315"/>
      <c r="G1907" s="315"/>
      <c r="H1907" s="315"/>
      <c r="I1907" s="315"/>
      <c r="J1907" s="315"/>
      <c r="K1907" s="315"/>
      <c r="L1907" s="315"/>
    </row>
    <row r="1908" spans="1:12">
      <c r="A1908" s="315"/>
      <c r="B1908" s="315"/>
      <c r="C1908" s="315"/>
      <c r="D1908" s="315"/>
      <c r="E1908" s="315"/>
      <c r="F1908" s="315"/>
      <c r="G1908" s="315"/>
      <c r="H1908" s="315"/>
      <c r="I1908" s="315"/>
      <c r="J1908" s="315"/>
      <c r="K1908" s="315"/>
      <c r="L1908" s="315"/>
    </row>
    <row r="1909" spans="1:12">
      <c r="A1909" s="315"/>
      <c r="B1909" s="315"/>
      <c r="C1909" s="315"/>
      <c r="D1909" s="315"/>
      <c r="E1909" s="315"/>
      <c r="F1909" s="315"/>
      <c r="G1909" s="315"/>
      <c r="H1909" s="315"/>
      <c r="I1909" s="315"/>
      <c r="J1909" s="315"/>
      <c r="K1909" s="315"/>
      <c r="L1909" s="315"/>
    </row>
    <row r="1910" spans="1:12">
      <c r="A1910" s="315"/>
      <c r="B1910" s="315"/>
      <c r="C1910" s="315"/>
      <c r="D1910" s="315"/>
      <c r="E1910" s="315"/>
      <c r="F1910" s="315"/>
      <c r="G1910" s="315"/>
      <c r="H1910" s="315"/>
      <c r="I1910" s="315"/>
      <c r="J1910" s="315"/>
      <c r="K1910" s="315"/>
      <c r="L1910" s="315"/>
    </row>
    <row r="1911" spans="1:12">
      <c r="A1911" s="315"/>
      <c r="B1911" s="315"/>
      <c r="C1911" s="315"/>
      <c r="D1911" s="315"/>
      <c r="E1911" s="315"/>
      <c r="F1911" s="315"/>
      <c r="G1911" s="315"/>
      <c r="H1911" s="315"/>
      <c r="I1911" s="315"/>
      <c r="J1911" s="315"/>
      <c r="K1911" s="315"/>
      <c r="L1911" s="315"/>
    </row>
    <row r="1912" spans="1:12">
      <c r="A1912" s="315"/>
      <c r="B1912" s="315"/>
      <c r="C1912" s="315"/>
      <c r="D1912" s="315"/>
      <c r="E1912" s="315"/>
      <c r="F1912" s="315"/>
      <c r="G1912" s="315"/>
      <c r="H1912" s="315"/>
      <c r="I1912" s="315"/>
      <c r="J1912" s="315"/>
      <c r="K1912" s="315"/>
      <c r="L1912" s="315"/>
    </row>
    <row r="1913" spans="1:12">
      <c r="A1913" s="315"/>
      <c r="B1913" s="315"/>
      <c r="C1913" s="315"/>
      <c r="D1913" s="315"/>
      <c r="E1913" s="315"/>
      <c r="F1913" s="315"/>
      <c r="G1913" s="315"/>
      <c r="H1913" s="315"/>
      <c r="I1913" s="315"/>
      <c r="J1913" s="315"/>
      <c r="K1913" s="315"/>
      <c r="L1913" s="315"/>
    </row>
    <row r="1914" spans="1:12">
      <c r="A1914" s="315"/>
      <c r="B1914" s="315"/>
      <c r="C1914" s="315"/>
      <c r="D1914" s="315"/>
      <c r="E1914" s="315"/>
      <c r="F1914" s="315"/>
      <c r="G1914" s="315"/>
      <c r="H1914" s="315"/>
      <c r="I1914" s="315"/>
      <c r="J1914" s="315"/>
      <c r="K1914" s="315"/>
      <c r="L1914" s="315"/>
    </row>
    <row r="1915" spans="1:12">
      <c r="A1915" s="315"/>
      <c r="B1915" s="315"/>
      <c r="C1915" s="315"/>
      <c r="D1915" s="315"/>
      <c r="E1915" s="315"/>
      <c r="F1915" s="315"/>
      <c r="G1915" s="315"/>
      <c r="H1915" s="315"/>
      <c r="I1915" s="315"/>
      <c r="J1915" s="315"/>
      <c r="K1915" s="315"/>
      <c r="L1915" s="315"/>
    </row>
    <row r="1916" spans="1:12">
      <c r="A1916" s="315"/>
      <c r="B1916" s="315"/>
      <c r="C1916" s="315"/>
      <c r="D1916" s="315"/>
      <c r="E1916" s="315"/>
      <c r="F1916" s="315"/>
      <c r="G1916" s="315"/>
      <c r="H1916" s="315"/>
      <c r="I1916" s="315"/>
      <c r="J1916" s="315"/>
      <c r="K1916" s="315"/>
      <c r="L1916" s="315"/>
    </row>
    <row r="1917" spans="1:12">
      <c r="A1917" s="315"/>
      <c r="B1917" s="315"/>
      <c r="C1917" s="315"/>
      <c r="D1917" s="315"/>
      <c r="E1917" s="315"/>
      <c r="F1917" s="315"/>
      <c r="G1917" s="315"/>
      <c r="H1917" s="315"/>
      <c r="I1917" s="315"/>
      <c r="J1917" s="315"/>
      <c r="K1917" s="315"/>
      <c r="L1917" s="315"/>
    </row>
    <row r="1918" spans="1:12">
      <c r="A1918" s="315"/>
      <c r="B1918" s="315"/>
      <c r="C1918" s="315"/>
      <c r="D1918" s="315"/>
      <c r="E1918" s="315"/>
      <c r="F1918" s="315"/>
      <c r="G1918" s="315"/>
      <c r="H1918" s="315"/>
      <c r="I1918" s="315"/>
      <c r="J1918" s="315"/>
      <c r="K1918" s="315"/>
      <c r="L1918" s="315"/>
    </row>
    <row r="1919" spans="1:12">
      <c r="A1919" s="315"/>
      <c r="B1919" s="315"/>
      <c r="C1919" s="315"/>
      <c r="D1919" s="315"/>
      <c r="E1919" s="315"/>
      <c r="F1919" s="315"/>
      <c r="G1919" s="315"/>
      <c r="H1919" s="315"/>
      <c r="I1919" s="315"/>
      <c r="J1919" s="315"/>
      <c r="K1919" s="315"/>
      <c r="L1919" s="315"/>
    </row>
    <row r="1920" spans="1:12">
      <c r="A1920" s="315"/>
      <c r="B1920" s="315"/>
      <c r="C1920" s="315"/>
      <c r="D1920" s="315"/>
      <c r="E1920" s="315"/>
      <c r="F1920" s="315"/>
      <c r="G1920" s="315"/>
      <c r="H1920" s="315"/>
      <c r="I1920" s="315"/>
      <c r="J1920" s="315"/>
      <c r="K1920" s="315"/>
      <c r="L1920" s="315"/>
    </row>
    <row r="1921" spans="1:12">
      <c r="A1921" s="315"/>
      <c r="B1921" s="315"/>
      <c r="C1921" s="315"/>
      <c r="D1921" s="315"/>
      <c r="E1921" s="315"/>
      <c r="F1921" s="315"/>
      <c r="G1921" s="315"/>
      <c r="H1921" s="315"/>
      <c r="I1921" s="315"/>
      <c r="J1921" s="315"/>
      <c r="K1921" s="315"/>
      <c r="L1921" s="315"/>
    </row>
    <row r="1922" spans="1:12">
      <c r="A1922" s="315"/>
      <c r="B1922" s="315"/>
      <c r="C1922" s="315"/>
      <c r="D1922" s="315"/>
      <c r="E1922" s="315"/>
      <c r="F1922" s="315"/>
      <c r="G1922" s="315"/>
      <c r="H1922" s="315"/>
      <c r="I1922" s="315"/>
      <c r="J1922" s="315"/>
      <c r="K1922" s="315"/>
      <c r="L1922" s="315"/>
    </row>
    <row r="1923" spans="1:12">
      <c r="A1923" s="315"/>
      <c r="B1923" s="315"/>
      <c r="C1923" s="315"/>
      <c r="D1923" s="315"/>
      <c r="E1923" s="315"/>
      <c r="F1923" s="315"/>
      <c r="G1923" s="315"/>
      <c r="H1923" s="315"/>
      <c r="I1923" s="315"/>
      <c r="J1923" s="315"/>
      <c r="K1923" s="315"/>
      <c r="L1923" s="315"/>
    </row>
    <row r="1924" spans="1:12">
      <c r="A1924" s="315"/>
      <c r="B1924" s="315"/>
      <c r="C1924" s="315"/>
      <c r="D1924" s="315"/>
      <c r="E1924" s="315"/>
      <c r="F1924" s="315"/>
      <c r="G1924" s="315"/>
      <c r="H1924" s="315"/>
      <c r="I1924" s="315"/>
      <c r="J1924" s="315"/>
      <c r="K1924" s="315"/>
      <c r="L1924" s="315"/>
    </row>
    <row r="1925" spans="1:12">
      <c r="A1925" s="315"/>
      <c r="B1925" s="315"/>
      <c r="C1925" s="315"/>
      <c r="D1925" s="315"/>
      <c r="E1925" s="315"/>
      <c r="F1925" s="315"/>
      <c r="G1925" s="315"/>
      <c r="H1925" s="315"/>
      <c r="I1925" s="315"/>
      <c r="J1925" s="315"/>
      <c r="K1925" s="315"/>
      <c r="L1925" s="315"/>
    </row>
    <row r="1926" spans="1:12">
      <c r="A1926" s="315"/>
      <c r="B1926" s="315"/>
      <c r="C1926" s="315"/>
      <c r="D1926" s="315"/>
      <c r="E1926" s="315"/>
      <c r="F1926" s="315"/>
      <c r="G1926" s="315"/>
      <c r="H1926" s="315"/>
      <c r="I1926" s="315"/>
      <c r="J1926" s="315"/>
      <c r="K1926" s="315"/>
      <c r="L1926" s="315"/>
    </row>
    <row r="1927" spans="1:12">
      <c r="A1927" s="315"/>
      <c r="B1927" s="315"/>
      <c r="C1927" s="315"/>
      <c r="D1927" s="315"/>
      <c r="E1927" s="315"/>
      <c r="F1927" s="315"/>
      <c r="G1927" s="315"/>
      <c r="H1927" s="315"/>
      <c r="I1927" s="315"/>
      <c r="J1927" s="315"/>
      <c r="K1927" s="315"/>
      <c r="L1927" s="315"/>
    </row>
    <row r="1928" spans="1:12">
      <c r="A1928" s="315"/>
      <c r="B1928" s="315"/>
      <c r="C1928" s="315"/>
      <c r="D1928" s="315"/>
      <c r="E1928" s="315"/>
      <c r="F1928" s="315"/>
      <c r="G1928" s="315"/>
      <c r="H1928" s="315"/>
      <c r="I1928" s="315"/>
      <c r="J1928" s="315"/>
      <c r="K1928" s="315"/>
      <c r="L1928" s="315"/>
    </row>
    <row r="1929" spans="1:12">
      <c r="A1929" s="315"/>
      <c r="B1929" s="315"/>
      <c r="C1929" s="315"/>
      <c r="D1929" s="315"/>
      <c r="E1929" s="315"/>
      <c r="F1929" s="315"/>
      <c r="G1929" s="315"/>
      <c r="H1929" s="315"/>
      <c r="I1929" s="315"/>
      <c r="J1929" s="315"/>
      <c r="K1929" s="315"/>
      <c r="L1929" s="315"/>
    </row>
    <row r="1930" spans="1:12">
      <c r="A1930" s="315"/>
      <c r="B1930" s="315"/>
      <c r="C1930" s="315"/>
      <c r="D1930" s="315"/>
      <c r="E1930" s="315"/>
      <c r="F1930" s="315"/>
      <c r="G1930" s="315"/>
      <c r="H1930" s="315"/>
      <c r="I1930" s="315"/>
      <c r="J1930" s="315"/>
      <c r="K1930" s="315"/>
      <c r="L1930" s="315"/>
    </row>
    <row r="1931" spans="1:12">
      <c r="A1931" s="315"/>
      <c r="B1931" s="315"/>
      <c r="C1931" s="315"/>
      <c r="D1931" s="315"/>
      <c r="E1931" s="315"/>
      <c r="F1931" s="315"/>
      <c r="G1931" s="315"/>
      <c r="H1931" s="315"/>
      <c r="I1931" s="315"/>
      <c r="J1931" s="315"/>
      <c r="K1931" s="315"/>
      <c r="L1931" s="315"/>
    </row>
    <row r="1932" spans="1:12">
      <c r="A1932" s="315"/>
      <c r="B1932" s="315"/>
      <c r="C1932" s="315"/>
      <c r="D1932" s="315"/>
      <c r="E1932" s="315"/>
      <c r="F1932" s="315"/>
      <c r="G1932" s="315"/>
      <c r="H1932" s="315"/>
      <c r="I1932" s="315"/>
      <c r="J1932" s="315"/>
      <c r="K1932" s="315"/>
      <c r="L1932" s="315"/>
    </row>
    <row r="1933" spans="1:12">
      <c r="A1933" s="315"/>
      <c r="B1933" s="315"/>
      <c r="C1933" s="315"/>
      <c r="D1933" s="315"/>
      <c r="E1933" s="315"/>
      <c r="F1933" s="315"/>
      <c r="G1933" s="315"/>
      <c r="H1933" s="315"/>
      <c r="I1933" s="315"/>
      <c r="J1933" s="315"/>
      <c r="K1933" s="315"/>
      <c r="L1933" s="315"/>
    </row>
    <row r="1934" spans="1:12">
      <c r="A1934" s="315"/>
      <c r="B1934" s="315"/>
      <c r="C1934" s="315"/>
      <c r="D1934" s="315"/>
      <c r="E1934" s="315"/>
      <c r="F1934" s="315"/>
      <c r="G1934" s="315"/>
      <c r="H1934" s="315"/>
      <c r="I1934" s="315"/>
      <c r="J1934" s="315"/>
      <c r="K1934" s="315"/>
      <c r="L1934" s="315"/>
    </row>
    <row r="1935" spans="1:12">
      <c r="A1935" s="315"/>
      <c r="B1935" s="315"/>
      <c r="C1935" s="315"/>
      <c r="D1935" s="315"/>
      <c r="E1935" s="315"/>
      <c r="F1935" s="315"/>
      <c r="G1935" s="315"/>
      <c r="H1935" s="315"/>
      <c r="I1935" s="315"/>
      <c r="J1935" s="315"/>
      <c r="K1935" s="315"/>
      <c r="L1935" s="315"/>
    </row>
    <row r="1936" spans="1:12">
      <c r="A1936" s="315"/>
      <c r="B1936" s="315"/>
      <c r="C1936" s="315"/>
      <c r="D1936" s="315"/>
      <c r="E1936" s="315"/>
      <c r="F1936" s="315"/>
      <c r="G1936" s="315"/>
      <c r="H1936" s="315"/>
      <c r="I1936" s="315"/>
      <c r="J1936" s="315"/>
      <c r="K1936" s="315"/>
      <c r="L1936" s="315"/>
    </row>
    <row r="1937" spans="1:12">
      <c r="A1937" s="315"/>
      <c r="B1937" s="315"/>
      <c r="C1937" s="315"/>
      <c r="D1937" s="315"/>
      <c r="E1937" s="315"/>
      <c r="F1937" s="315"/>
      <c r="G1937" s="315"/>
      <c r="H1937" s="315"/>
      <c r="I1937" s="315"/>
      <c r="J1937" s="315"/>
      <c r="K1937" s="315"/>
      <c r="L1937" s="315"/>
    </row>
    <row r="1938" spans="1:12">
      <c r="A1938" s="315"/>
      <c r="B1938" s="315"/>
      <c r="C1938" s="315"/>
      <c r="D1938" s="315"/>
      <c r="E1938" s="315"/>
      <c r="F1938" s="315"/>
      <c r="G1938" s="315"/>
      <c r="H1938" s="315"/>
      <c r="I1938" s="315"/>
      <c r="J1938" s="315"/>
      <c r="K1938" s="315"/>
      <c r="L1938" s="315"/>
    </row>
    <row r="1939" spans="1:12">
      <c r="A1939" s="315"/>
      <c r="B1939" s="315"/>
      <c r="C1939" s="315"/>
      <c r="D1939" s="315"/>
      <c r="E1939" s="315"/>
      <c r="F1939" s="315"/>
      <c r="G1939" s="315"/>
      <c r="H1939" s="315"/>
      <c r="I1939" s="315"/>
      <c r="J1939" s="315"/>
      <c r="K1939" s="315"/>
      <c r="L1939" s="315"/>
    </row>
    <row r="1940" spans="1:12">
      <c r="A1940" s="315"/>
      <c r="B1940" s="315"/>
      <c r="C1940" s="315"/>
      <c r="D1940" s="315"/>
      <c r="E1940" s="315"/>
      <c r="F1940" s="315"/>
      <c r="G1940" s="315"/>
      <c r="H1940" s="315"/>
      <c r="I1940" s="315"/>
      <c r="J1940" s="315"/>
      <c r="K1940" s="315"/>
      <c r="L1940" s="315"/>
    </row>
    <row r="1941" spans="1:12">
      <c r="A1941" s="315"/>
      <c r="B1941" s="315"/>
      <c r="C1941" s="315"/>
      <c r="D1941" s="315"/>
      <c r="E1941" s="315"/>
      <c r="F1941" s="315"/>
      <c r="G1941" s="315"/>
      <c r="H1941" s="315"/>
      <c r="I1941" s="315"/>
      <c r="J1941" s="315"/>
      <c r="K1941" s="315"/>
      <c r="L1941" s="315"/>
    </row>
    <row r="1942" spans="1:12">
      <c r="A1942" s="315"/>
      <c r="B1942" s="315"/>
      <c r="C1942" s="315"/>
      <c r="D1942" s="315"/>
      <c r="E1942" s="315"/>
      <c r="F1942" s="315"/>
      <c r="G1942" s="315"/>
      <c r="H1942" s="315"/>
      <c r="I1942" s="315"/>
      <c r="J1942" s="315"/>
      <c r="K1942" s="315"/>
      <c r="L1942" s="315"/>
    </row>
    <row r="1943" spans="1:12">
      <c r="A1943" s="315"/>
      <c r="B1943" s="315"/>
      <c r="C1943" s="315"/>
      <c r="D1943" s="315"/>
      <c r="E1943" s="315"/>
      <c r="F1943" s="315"/>
      <c r="G1943" s="315"/>
      <c r="H1943" s="315"/>
      <c r="I1943" s="315"/>
      <c r="J1943" s="315"/>
      <c r="K1943" s="315"/>
      <c r="L1943" s="315"/>
    </row>
    <row r="1944" spans="1:12">
      <c r="A1944" s="315"/>
      <c r="B1944" s="315"/>
      <c r="C1944" s="315"/>
      <c r="D1944" s="315"/>
      <c r="E1944" s="315"/>
      <c r="F1944" s="315"/>
      <c r="G1944" s="315"/>
      <c r="H1944" s="315"/>
      <c r="I1944" s="315"/>
      <c r="J1944" s="315"/>
      <c r="K1944" s="315"/>
      <c r="L1944" s="315"/>
    </row>
    <row r="1945" spans="1:12">
      <c r="A1945" s="315"/>
      <c r="B1945" s="315"/>
      <c r="C1945" s="315"/>
      <c r="D1945" s="315"/>
      <c r="E1945" s="315"/>
      <c r="F1945" s="315"/>
      <c r="G1945" s="315"/>
      <c r="H1945" s="315"/>
      <c r="I1945" s="315"/>
      <c r="J1945" s="315"/>
      <c r="K1945" s="315"/>
      <c r="L1945" s="315"/>
    </row>
    <row r="1946" spans="1:12">
      <c r="A1946" s="315"/>
      <c r="B1946" s="315"/>
      <c r="C1946" s="315"/>
      <c r="D1946" s="315"/>
      <c r="E1946" s="315"/>
      <c r="F1946" s="315"/>
      <c r="G1946" s="315"/>
      <c r="H1946" s="315"/>
      <c r="I1946" s="315"/>
      <c r="J1946" s="315"/>
      <c r="K1946" s="315"/>
      <c r="L1946" s="315"/>
    </row>
    <row r="1947" spans="1:12">
      <c r="A1947" s="315"/>
      <c r="B1947" s="315"/>
      <c r="C1947" s="315"/>
      <c r="D1947" s="315"/>
      <c r="E1947" s="315"/>
      <c r="F1947" s="315"/>
      <c r="G1947" s="315"/>
      <c r="H1947" s="315"/>
      <c r="I1947" s="315"/>
      <c r="J1947" s="315"/>
      <c r="K1947" s="315"/>
      <c r="L1947" s="315"/>
    </row>
    <row r="1948" spans="1:12">
      <c r="A1948" s="315"/>
      <c r="B1948" s="315"/>
      <c r="C1948" s="315"/>
      <c r="D1948" s="315"/>
      <c r="E1948" s="315"/>
      <c r="F1948" s="315"/>
      <c r="G1948" s="315"/>
      <c r="H1948" s="315"/>
      <c r="I1948" s="315"/>
      <c r="J1948" s="315"/>
      <c r="K1948" s="315"/>
      <c r="L1948" s="315"/>
    </row>
    <row r="1949" spans="1:12">
      <c r="A1949" s="315"/>
      <c r="B1949" s="315"/>
      <c r="C1949" s="315"/>
      <c r="D1949" s="315"/>
      <c r="E1949" s="315"/>
      <c r="F1949" s="315"/>
      <c r="G1949" s="315"/>
      <c r="H1949" s="315"/>
      <c r="I1949" s="315"/>
      <c r="J1949" s="315"/>
      <c r="K1949" s="315"/>
      <c r="L1949" s="315"/>
    </row>
    <row r="1950" spans="1:12">
      <c r="A1950" s="315"/>
      <c r="B1950" s="315"/>
      <c r="C1950" s="315"/>
      <c r="D1950" s="315"/>
      <c r="E1950" s="315"/>
      <c r="F1950" s="315"/>
      <c r="G1950" s="315"/>
      <c r="H1950" s="315"/>
      <c r="I1950" s="315"/>
      <c r="J1950" s="315"/>
      <c r="K1950" s="315"/>
      <c r="L1950" s="315"/>
    </row>
    <row r="1951" spans="1:12">
      <c r="A1951" s="315"/>
      <c r="B1951" s="315"/>
      <c r="C1951" s="315"/>
      <c r="D1951" s="315"/>
      <c r="E1951" s="315"/>
      <c r="F1951" s="315"/>
      <c r="G1951" s="315"/>
      <c r="H1951" s="315"/>
      <c r="I1951" s="315"/>
      <c r="J1951" s="315"/>
      <c r="K1951" s="315"/>
      <c r="L1951" s="315"/>
    </row>
    <row r="1952" spans="1:12">
      <c r="A1952" s="315"/>
      <c r="B1952" s="315"/>
      <c r="C1952" s="315"/>
      <c r="D1952" s="315"/>
      <c r="E1952" s="315"/>
      <c r="F1952" s="315"/>
      <c r="G1952" s="315"/>
      <c r="H1952" s="315"/>
      <c r="I1952" s="315"/>
      <c r="J1952" s="315"/>
      <c r="K1952" s="315"/>
      <c r="L1952" s="315"/>
    </row>
    <row r="1953" spans="1:12">
      <c r="A1953" s="315"/>
      <c r="B1953" s="315"/>
      <c r="C1953" s="315"/>
      <c r="D1953" s="315"/>
      <c r="E1953" s="315"/>
      <c r="F1953" s="315"/>
      <c r="G1953" s="315"/>
      <c r="H1953" s="315"/>
      <c r="I1953" s="315"/>
      <c r="J1953" s="315"/>
      <c r="K1953" s="315"/>
      <c r="L1953" s="315"/>
    </row>
    <row r="1954" spans="1:12">
      <c r="A1954" s="315"/>
      <c r="B1954" s="315"/>
      <c r="C1954" s="315"/>
      <c r="D1954" s="315"/>
      <c r="E1954" s="315"/>
      <c r="F1954" s="315"/>
      <c r="G1954" s="315"/>
      <c r="H1954" s="315"/>
      <c r="I1954" s="315"/>
      <c r="J1954" s="315"/>
      <c r="K1954" s="315"/>
      <c r="L1954" s="315"/>
    </row>
    <row r="1955" spans="1:12">
      <c r="A1955" s="315"/>
      <c r="B1955" s="315"/>
      <c r="C1955" s="315"/>
      <c r="D1955" s="315"/>
      <c r="E1955" s="315"/>
      <c r="F1955" s="315"/>
      <c r="G1955" s="315"/>
      <c r="H1955" s="315"/>
      <c r="I1955" s="315"/>
      <c r="J1955" s="315"/>
      <c r="K1955" s="315"/>
      <c r="L1955" s="315"/>
    </row>
    <row r="1956" spans="1:12">
      <c r="A1956" s="315"/>
      <c r="B1956" s="315"/>
      <c r="C1956" s="315"/>
      <c r="D1956" s="315"/>
      <c r="E1956" s="315"/>
      <c r="F1956" s="315"/>
      <c r="G1956" s="315"/>
      <c r="H1956" s="315"/>
      <c r="I1956" s="315"/>
      <c r="J1956" s="315"/>
      <c r="K1956" s="315"/>
      <c r="L1956" s="315"/>
    </row>
    <row r="1957" spans="1:12">
      <c r="A1957" s="315"/>
      <c r="B1957" s="315"/>
      <c r="C1957" s="315"/>
      <c r="D1957" s="315"/>
      <c r="E1957" s="315"/>
      <c r="F1957" s="315"/>
      <c r="G1957" s="315"/>
      <c r="H1957" s="315"/>
      <c r="I1957" s="315"/>
      <c r="J1957" s="315"/>
      <c r="K1957" s="315"/>
      <c r="L1957" s="315"/>
    </row>
    <row r="1958" spans="1:12">
      <c r="A1958" s="315"/>
      <c r="B1958" s="315"/>
      <c r="C1958" s="315"/>
      <c r="D1958" s="315"/>
      <c r="E1958" s="315"/>
      <c r="F1958" s="315"/>
      <c r="G1958" s="315"/>
      <c r="H1958" s="315"/>
      <c r="I1958" s="315"/>
      <c r="J1958" s="315"/>
      <c r="K1958" s="315"/>
      <c r="L1958" s="315"/>
    </row>
    <row r="1959" spans="1:12">
      <c r="A1959" s="315"/>
      <c r="B1959" s="315"/>
      <c r="C1959" s="315"/>
      <c r="D1959" s="315"/>
      <c r="E1959" s="315"/>
      <c r="F1959" s="315"/>
      <c r="G1959" s="315"/>
      <c r="H1959" s="315"/>
      <c r="I1959" s="315"/>
      <c r="J1959" s="315"/>
      <c r="K1959" s="315"/>
      <c r="L1959" s="315"/>
    </row>
    <row r="1960" spans="1:12">
      <c r="A1960" s="315"/>
      <c r="B1960" s="315"/>
      <c r="C1960" s="315"/>
      <c r="D1960" s="315"/>
      <c r="E1960" s="315"/>
      <c r="F1960" s="315"/>
      <c r="G1960" s="315"/>
      <c r="H1960" s="315"/>
      <c r="I1960" s="315"/>
      <c r="J1960" s="315"/>
      <c r="K1960" s="315"/>
      <c r="L1960" s="315"/>
    </row>
    <row r="1961" spans="1:12">
      <c r="A1961" s="315"/>
      <c r="B1961" s="315"/>
      <c r="C1961" s="315"/>
      <c r="D1961" s="315"/>
      <c r="E1961" s="315"/>
      <c r="F1961" s="315"/>
      <c r="G1961" s="315"/>
      <c r="H1961" s="315"/>
      <c r="I1961" s="315"/>
      <c r="J1961" s="315"/>
      <c r="K1961" s="315"/>
      <c r="L1961" s="315"/>
    </row>
    <row r="1962" spans="1:12">
      <c r="A1962" s="315"/>
      <c r="B1962" s="315"/>
      <c r="C1962" s="315"/>
      <c r="D1962" s="315"/>
      <c r="E1962" s="315"/>
      <c r="F1962" s="315"/>
      <c r="G1962" s="315"/>
      <c r="H1962" s="315"/>
      <c r="I1962" s="315"/>
      <c r="J1962" s="315"/>
      <c r="K1962" s="315"/>
      <c r="L1962" s="315"/>
    </row>
    <row r="1963" spans="1:12">
      <c r="A1963" s="315"/>
      <c r="B1963" s="315"/>
      <c r="C1963" s="315"/>
      <c r="D1963" s="315"/>
      <c r="E1963" s="315"/>
      <c r="F1963" s="315"/>
      <c r="G1963" s="315"/>
      <c r="H1963" s="315"/>
      <c r="I1963" s="315"/>
      <c r="J1963" s="315"/>
      <c r="K1963" s="315"/>
      <c r="L1963" s="315"/>
    </row>
    <row r="1964" spans="1:12">
      <c r="A1964" s="315"/>
      <c r="B1964" s="315"/>
      <c r="C1964" s="315"/>
      <c r="D1964" s="315"/>
      <c r="E1964" s="315"/>
      <c r="F1964" s="315"/>
      <c r="G1964" s="315"/>
      <c r="H1964" s="315"/>
      <c r="I1964" s="315"/>
      <c r="J1964" s="315"/>
      <c r="K1964" s="315"/>
      <c r="L1964" s="315"/>
    </row>
    <row r="1965" spans="1:12">
      <c r="A1965" s="315"/>
      <c r="B1965" s="315"/>
      <c r="C1965" s="315"/>
      <c r="D1965" s="315"/>
      <c r="E1965" s="315"/>
      <c r="F1965" s="315"/>
      <c r="G1965" s="315"/>
      <c r="H1965" s="315"/>
      <c r="I1965" s="315"/>
      <c r="J1965" s="315"/>
      <c r="K1965" s="315"/>
      <c r="L1965" s="315"/>
    </row>
    <row r="1966" spans="1:12">
      <c r="A1966" s="315"/>
      <c r="B1966" s="315"/>
      <c r="C1966" s="315"/>
      <c r="D1966" s="315"/>
      <c r="E1966" s="315"/>
      <c r="F1966" s="315"/>
      <c r="G1966" s="315"/>
      <c r="H1966" s="315"/>
      <c r="I1966" s="315"/>
      <c r="J1966" s="315"/>
      <c r="K1966" s="315"/>
      <c r="L1966" s="315"/>
    </row>
    <row r="1967" spans="1:12">
      <c r="A1967" s="315"/>
      <c r="B1967" s="315"/>
      <c r="C1967" s="315"/>
      <c r="D1967" s="315"/>
      <c r="E1967" s="315"/>
      <c r="F1967" s="315"/>
      <c r="G1967" s="315"/>
      <c r="H1967" s="315"/>
      <c r="I1967" s="315"/>
      <c r="J1967" s="315"/>
      <c r="K1967" s="315"/>
      <c r="L1967" s="315"/>
    </row>
    <row r="1968" spans="1:12">
      <c r="A1968" s="315"/>
      <c r="B1968" s="315"/>
      <c r="C1968" s="315"/>
      <c r="D1968" s="315"/>
      <c r="E1968" s="315"/>
      <c r="F1968" s="315"/>
      <c r="G1968" s="315"/>
      <c r="H1968" s="315"/>
      <c r="I1968" s="315"/>
      <c r="J1968" s="315"/>
      <c r="K1968" s="315"/>
      <c r="L1968" s="315"/>
    </row>
    <row r="1969" spans="1:12">
      <c r="A1969" s="315"/>
      <c r="B1969" s="315"/>
      <c r="C1969" s="315"/>
      <c r="D1969" s="315"/>
      <c r="E1969" s="315"/>
      <c r="F1969" s="315"/>
      <c r="G1969" s="315"/>
      <c r="H1969" s="315"/>
      <c r="I1969" s="315"/>
      <c r="J1969" s="315"/>
      <c r="K1969" s="315"/>
      <c r="L1969" s="315"/>
    </row>
    <row r="1970" spans="1:12">
      <c r="A1970" s="315"/>
      <c r="B1970" s="315"/>
      <c r="C1970" s="315"/>
      <c r="D1970" s="315"/>
      <c r="E1970" s="315"/>
      <c r="F1970" s="315"/>
      <c r="G1970" s="315"/>
      <c r="H1970" s="315"/>
      <c r="I1970" s="315"/>
      <c r="J1970" s="315"/>
      <c r="K1970" s="315"/>
      <c r="L1970" s="315"/>
    </row>
    <row r="1971" spans="1:12">
      <c r="A1971" s="315"/>
      <c r="B1971" s="315"/>
      <c r="C1971" s="315"/>
      <c r="D1971" s="315"/>
      <c r="E1971" s="315"/>
      <c r="F1971" s="315"/>
      <c r="G1971" s="315"/>
      <c r="H1971" s="315"/>
      <c r="I1971" s="315"/>
      <c r="J1971" s="315"/>
      <c r="K1971" s="315"/>
      <c r="L1971" s="315"/>
    </row>
    <row r="1972" spans="1:12">
      <c r="A1972" s="315"/>
      <c r="B1972" s="315"/>
      <c r="C1972" s="315"/>
      <c r="D1972" s="315"/>
      <c r="E1972" s="315"/>
      <c r="F1972" s="315"/>
      <c r="G1972" s="315"/>
      <c r="H1972" s="315"/>
      <c r="I1972" s="315"/>
      <c r="J1972" s="315"/>
      <c r="K1972" s="315"/>
      <c r="L1972" s="315"/>
    </row>
    <row r="1973" spans="1:12">
      <c r="A1973" s="315"/>
      <c r="B1973" s="315"/>
      <c r="C1973" s="315"/>
      <c r="D1973" s="315"/>
      <c r="E1973" s="315"/>
      <c r="F1973" s="315"/>
      <c r="G1973" s="315"/>
      <c r="H1973" s="315"/>
      <c r="I1973" s="315"/>
      <c r="J1973" s="315"/>
      <c r="K1973" s="315"/>
      <c r="L1973" s="315"/>
    </row>
    <row r="1974" spans="1:12">
      <c r="A1974" s="315"/>
      <c r="B1974" s="315"/>
      <c r="C1974" s="315"/>
      <c r="D1974" s="315"/>
      <c r="E1974" s="315"/>
      <c r="F1974" s="315"/>
      <c r="G1974" s="315"/>
      <c r="H1974" s="315"/>
      <c r="I1974" s="315"/>
      <c r="J1974" s="315"/>
      <c r="K1974" s="315"/>
      <c r="L1974" s="315"/>
    </row>
    <row r="1975" spans="1:12">
      <c r="A1975" s="315"/>
      <c r="B1975" s="315"/>
      <c r="C1975" s="315"/>
      <c r="D1975" s="315"/>
      <c r="E1975" s="315"/>
      <c r="F1975" s="315"/>
      <c r="G1975" s="315"/>
      <c r="H1975" s="315"/>
      <c r="I1975" s="315"/>
      <c r="J1975" s="315"/>
      <c r="K1975" s="315"/>
      <c r="L1975" s="315"/>
    </row>
    <row r="1976" spans="1:12">
      <c r="A1976" s="315"/>
      <c r="B1976" s="315"/>
      <c r="C1976" s="315"/>
      <c r="D1976" s="315"/>
      <c r="E1976" s="315"/>
      <c r="F1976" s="315"/>
      <c r="G1976" s="315"/>
      <c r="H1976" s="315"/>
      <c r="I1976" s="315"/>
      <c r="J1976" s="315"/>
      <c r="K1976" s="315"/>
      <c r="L1976" s="315"/>
    </row>
    <row r="1977" spans="1:12">
      <c r="A1977" s="315"/>
      <c r="B1977" s="315"/>
      <c r="C1977" s="315"/>
      <c r="D1977" s="315"/>
      <c r="E1977" s="315"/>
      <c r="F1977" s="315"/>
      <c r="G1977" s="315"/>
      <c r="H1977" s="315"/>
      <c r="I1977" s="315"/>
      <c r="J1977" s="315"/>
      <c r="K1977" s="315"/>
      <c r="L1977" s="315"/>
    </row>
    <row r="1978" spans="1:12">
      <c r="A1978" s="315"/>
      <c r="B1978" s="315"/>
      <c r="C1978" s="315"/>
      <c r="D1978" s="315"/>
      <c r="E1978" s="315"/>
      <c r="F1978" s="315"/>
      <c r="G1978" s="315"/>
      <c r="H1978" s="315"/>
      <c r="I1978" s="315"/>
      <c r="J1978" s="315"/>
      <c r="K1978" s="315"/>
      <c r="L1978" s="315"/>
    </row>
    <row r="1979" spans="1:12">
      <c r="A1979" s="315"/>
      <c r="B1979" s="315"/>
      <c r="C1979" s="315"/>
      <c r="D1979" s="315"/>
      <c r="E1979" s="315"/>
      <c r="F1979" s="315"/>
      <c r="G1979" s="315"/>
      <c r="H1979" s="315"/>
      <c r="I1979" s="315"/>
      <c r="J1979" s="315"/>
      <c r="K1979" s="315"/>
      <c r="L1979" s="315"/>
    </row>
    <row r="1980" spans="1:12">
      <c r="A1980" s="315"/>
      <c r="B1980" s="315"/>
      <c r="C1980" s="315"/>
      <c r="D1980" s="315"/>
      <c r="E1980" s="315"/>
      <c r="F1980" s="315"/>
      <c r="G1980" s="315"/>
      <c r="H1980" s="315"/>
      <c r="I1980" s="315"/>
      <c r="J1980" s="315"/>
      <c r="K1980" s="315"/>
      <c r="L1980" s="315"/>
    </row>
    <row r="1981" spans="1:12">
      <c r="A1981" s="315"/>
      <c r="B1981" s="315"/>
      <c r="C1981" s="315"/>
      <c r="D1981" s="315"/>
      <c r="E1981" s="315"/>
      <c r="F1981" s="315"/>
      <c r="G1981" s="315"/>
      <c r="H1981" s="315"/>
      <c r="I1981" s="315"/>
      <c r="J1981" s="315"/>
      <c r="K1981" s="315"/>
      <c r="L1981" s="315"/>
    </row>
    <row r="1982" spans="1:12">
      <c r="A1982" s="315"/>
      <c r="B1982" s="315"/>
      <c r="C1982" s="315"/>
      <c r="D1982" s="315"/>
      <c r="E1982" s="315"/>
      <c r="F1982" s="315"/>
      <c r="G1982" s="315"/>
      <c r="H1982" s="315"/>
      <c r="I1982" s="315"/>
      <c r="J1982" s="315"/>
      <c r="K1982" s="315"/>
      <c r="L1982" s="315"/>
    </row>
    <row r="1983" spans="1:12">
      <c r="A1983" s="315"/>
      <c r="B1983" s="315"/>
      <c r="C1983" s="315"/>
      <c r="D1983" s="315"/>
      <c r="E1983" s="315"/>
      <c r="F1983" s="315"/>
      <c r="G1983" s="315"/>
      <c r="H1983" s="315"/>
      <c r="I1983" s="315"/>
      <c r="J1983" s="315"/>
      <c r="K1983" s="315"/>
      <c r="L1983" s="315"/>
    </row>
    <row r="1984" spans="1:12">
      <c r="A1984" s="315"/>
      <c r="B1984" s="315"/>
      <c r="C1984" s="315"/>
      <c r="D1984" s="315"/>
      <c r="E1984" s="315"/>
      <c r="F1984" s="315"/>
      <c r="G1984" s="315"/>
      <c r="H1984" s="315"/>
      <c r="I1984" s="315"/>
      <c r="J1984" s="315"/>
      <c r="K1984" s="315"/>
      <c r="L1984" s="315"/>
    </row>
    <row r="1985" spans="1:12">
      <c r="A1985" s="315"/>
      <c r="B1985" s="315"/>
      <c r="C1985" s="315"/>
      <c r="D1985" s="315"/>
      <c r="E1985" s="315"/>
      <c r="F1985" s="315"/>
      <c r="G1985" s="315"/>
      <c r="H1985" s="315"/>
      <c r="I1985" s="315"/>
      <c r="J1985" s="315"/>
      <c r="K1985" s="315"/>
      <c r="L1985" s="315"/>
    </row>
    <row r="1986" spans="1:12">
      <c r="A1986" s="315"/>
      <c r="B1986" s="315"/>
      <c r="C1986" s="315"/>
      <c r="D1986" s="315"/>
      <c r="E1986" s="315"/>
      <c r="F1986" s="315"/>
      <c r="G1986" s="315"/>
      <c r="H1986" s="315"/>
      <c r="I1986" s="315"/>
      <c r="J1986" s="315"/>
      <c r="K1986" s="315"/>
      <c r="L1986" s="315"/>
    </row>
    <row r="1987" spans="1:12">
      <c r="A1987" s="315"/>
      <c r="B1987" s="315"/>
      <c r="C1987" s="315"/>
      <c r="D1987" s="315"/>
      <c r="E1987" s="315"/>
      <c r="F1987" s="315"/>
      <c r="G1987" s="315"/>
      <c r="H1987" s="315"/>
      <c r="I1987" s="315"/>
      <c r="J1987" s="315"/>
      <c r="K1987" s="315"/>
      <c r="L1987" s="315"/>
    </row>
    <row r="1988" spans="1:12">
      <c r="A1988" s="315"/>
      <c r="B1988" s="315"/>
      <c r="C1988" s="315"/>
      <c r="D1988" s="315"/>
      <c r="E1988" s="315"/>
      <c r="F1988" s="315"/>
      <c r="G1988" s="315"/>
      <c r="H1988" s="315"/>
      <c r="I1988" s="315"/>
      <c r="J1988" s="315"/>
      <c r="K1988" s="315"/>
      <c r="L1988" s="315"/>
    </row>
    <row r="1989" spans="1:12">
      <c r="A1989" s="315"/>
      <c r="B1989" s="315"/>
      <c r="C1989" s="315"/>
      <c r="D1989" s="315"/>
      <c r="E1989" s="315"/>
      <c r="F1989" s="315"/>
      <c r="G1989" s="315"/>
      <c r="H1989" s="315"/>
      <c r="I1989" s="315"/>
      <c r="J1989" s="315"/>
      <c r="K1989" s="315"/>
      <c r="L1989" s="315"/>
    </row>
    <row r="1990" spans="1:12">
      <c r="A1990" s="315"/>
      <c r="B1990" s="315"/>
      <c r="C1990" s="315"/>
      <c r="D1990" s="315"/>
      <c r="E1990" s="315"/>
      <c r="F1990" s="315"/>
      <c r="G1990" s="315"/>
      <c r="H1990" s="315"/>
      <c r="I1990" s="315"/>
      <c r="J1990" s="315"/>
      <c r="K1990" s="315"/>
      <c r="L1990" s="315"/>
    </row>
    <row r="1991" spans="1:12">
      <c r="A1991" s="315"/>
      <c r="B1991" s="315"/>
      <c r="C1991" s="315"/>
      <c r="D1991" s="315"/>
      <c r="E1991" s="315"/>
      <c r="F1991" s="315"/>
      <c r="G1991" s="315"/>
      <c r="H1991" s="315"/>
      <c r="I1991" s="315"/>
      <c r="J1991" s="315"/>
      <c r="K1991" s="315"/>
      <c r="L1991" s="315"/>
    </row>
    <row r="1992" spans="1:12">
      <c r="A1992" s="315"/>
      <c r="B1992" s="315"/>
      <c r="C1992" s="315"/>
      <c r="D1992" s="315"/>
      <c r="E1992" s="315"/>
      <c r="F1992" s="315"/>
      <c r="G1992" s="315"/>
      <c r="H1992" s="315"/>
      <c r="I1992" s="315"/>
      <c r="J1992" s="315"/>
      <c r="K1992" s="315"/>
      <c r="L1992" s="315"/>
    </row>
    <row r="1993" spans="1:12">
      <c r="A1993" s="315"/>
      <c r="B1993" s="315"/>
      <c r="C1993" s="315"/>
      <c r="D1993" s="315"/>
      <c r="E1993" s="315"/>
      <c r="F1993" s="315"/>
      <c r="G1993" s="315"/>
      <c r="H1993" s="315"/>
      <c r="I1993" s="315"/>
      <c r="J1993" s="315"/>
      <c r="K1993" s="315"/>
      <c r="L1993" s="315"/>
    </row>
    <row r="1994" spans="1:12">
      <c r="A1994" s="315"/>
      <c r="B1994" s="315"/>
      <c r="C1994" s="315"/>
      <c r="D1994" s="315"/>
      <c r="E1994" s="315"/>
      <c r="F1994" s="315"/>
      <c r="G1994" s="315"/>
      <c r="H1994" s="315"/>
      <c r="I1994" s="315"/>
      <c r="J1994" s="315"/>
      <c r="K1994" s="315"/>
      <c r="L1994" s="315"/>
    </row>
    <row r="1995" spans="1:12">
      <c r="A1995" s="315"/>
      <c r="B1995" s="315"/>
      <c r="C1995" s="315"/>
      <c r="D1995" s="315"/>
      <c r="E1995" s="315"/>
      <c r="F1995" s="315"/>
      <c r="G1995" s="315"/>
      <c r="H1995" s="315"/>
      <c r="I1995" s="315"/>
      <c r="J1995" s="315"/>
      <c r="K1995" s="315"/>
      <c r="L1995" s="315"/>
    </row>
    <row r="1996" spans="1:12">
      <c r="A1996" s="315"/>
      <c r="B1996" s="315"/>
      <c r="C1996" s="315"/>
      <c r="D1996" s="315"/>
      <c r="E1996" s="315"/>
      <c r="F1996" s="315"/>
      <c r="G1996" s="315"/>
      <c r="H1996" s="315"/>
      <c r="I1996" s="315"/>
      <c r="J1996" s="315"/>
      <c r="K1996" s="315"/>
      <c r="L1996" s="315"/>
    </row>
    <row r="1997" spans="1:12">
      <c r="A1997" s="315"/>
      <c r="B1997" s="315"/>
      <c r="C1997" s="315"/>
      <c r="D1997" s="315"/>
      <c r="E1997" s="315"/>
      <c r="F1997" s="315"/>
      <c r="G1997" s="315"/>
      <c r="H1997" s="315"/>
      <c r="I1997" s="315"/>
      <c r="J1997" s="315"/>
      <c r="K1997" s="315"/>
      <c r="L1997" s="315"/>
    </row>
    <row r="1998" spans="1:12">
      <c r="A1998" s="315"/>
      <c r="B1998" s="315"/>
      <c r="C1998" s="315"/>
      <c r="D1998" s="315"/>
      <c r="E1998" s="315"/>
      <c r="F1998" s="315"/>
      <c r="G1998" s="315"/>
      <c r="H1998" s="315"/>
      <c r="I1998" s="315"/>
      <c r="J1998" s="315"/>
      <c r="K1998" s="315"/>
      <c r="L1998" s="315"/>
    </row>
    <row r="1999" spans="1:12">
      <c r="A1999" s="315"/>
      <c r="B1999" s="315"/>
      <c r="C1999" s="315"/>
      <c r="D1999" s="315"/>
      <c r="E1999" s="315"/>
      <c r="F1999" s="315"/>
      <c r="G1999" s="315"/>
      <c r="H1999" s="315"/>
      <c r="I1999" s="315"/>
      <c r="J1999" s="315"/>
      <c r="K1999" s="315"/>
      <c r="L1999" s="315"/>
    </row>
    <row r="2000" spans="1:12">
      <c r="A2000" s="315"/>
      <c r="B2000" s="315"/>
      <c r="C2000" s="315"/>
      <c r="D2000" s="315"/>
      <c r="E2000" s="315"/>
      <c r="F2000" s="315"/>
      <c r="G2000" s="315"/>
      <c r="H2000" s="315"/>
      <c r="I2000" s="315"/>
      <c r="J2000" s="315"/>
      <c r="K2000" s="315"/>
      <c r="L2000" s="315"/>
    </row>
    <row r="2001" spans="1:12">
      <c r="A2001" s="315"/>
      <c r="B2001" s="315"/>
      <c r="C2001" s="315"/>
      <c r="D2001" s="315"/>
      <c r="E2001" s="315"/>
      <c r="F2001" s="315"/>
      <c r="G2001" s="315"/>
      <c r="H2001" s="315"/>
      <c r="I2001" s="315"/>
      <c r="J2001" s="315"/>
      <c r="K2001" s="315"/>
      <c r="L2001" s="315"/>
    </row>
    <row r="2002" spans="1:12">
      <c r="A2002" s="315"/>
      <c r="B2002" s="315"/>
      <c r="C2002" s="315"/>
      <c r="D2002" s="315"/>
      <c r="E2002" s="315"/>
      <c r="F2002" s="315"/>
      <c r="G2002" s="315"/>
      <c r="H2002" s="315"/>
      <c r="I2002" s="315"/>
      <c r="J2002" s="315"/>
      <c r="K2002" s="315"/>
      <c r="L2002" s="315"/>
    </row>
    <row r="2003" spans="1:12">
      <c r="A2003" s="315"/>
      <c r="B2003" s="315"/>
      <c r="C2003" s="315"/>
      <c r="D2003" s="315"/>
      <c r="E2003" s="315"/>
      <c r="F2003" s="315"/>
      <c r="G2003" s="315"/>
      <c r="H2003" s="315"/>
      <c r="I2003" s="315"/>
      <c r="J2003" s="315"/>
      <c r="K2003" s="315"/>
      <c r="L2003" s="315"/>
    </row>
    <row r="2004" spans="1:12">
      <c r="A2004" s="315"/>
      <c r="B2004" s="315"/>
      <c r="C2004" s="315"/>
      <c r="D2004" s="315"/>
      <c r="E2004" s="315"/>
      <c r="F2004" s="315"/>
      <c r="G2004" s="315"/>
      <c r="H2004" s="315"/>
      <c r="I2004" s="315"/>
      <c r="J2004" s="315"/>
      <c r="K2004" s="315"/>
      <c r="L2004" s="315"/>
    </row>
    <row r="2005" spans="1:12">
      <c r="A2005" s="315"/>
      <c r="B2005" s="315"/>
      <c r="C2005" s="315"/>
      <c r="D2005" s="315"/>
      <c r="E2005" s="315"/>
      <c r="F2005" s="315"/>
      <c r="G2005" s="315"/>
      <c r="H2005" s="315"/>
      <c r="I2005" s="315"/>
      <c r="J2005" s="315"/>
      <c r="K2005" s="315"/>
      <c r="L2005" s="315"/>
    </row>
    <row r="2006" spans="1:12">
      <c r="A2006" s="315"/>
      <c r="B2006" s="315"/>
      <c r="C2006" s="315"/>
      <c r="D2006" s="315"/>
      <c r="E2006" s="315"/>
      <c r="F2006" s="315"/>
      <c r="G2006" s="315"/>
      <c r="H2006" s="315"/>
      <c r="I2006" s="315"/>
      <c r="J2006" s="315"/>
      <c r="K2006" s="315"/>
      <c r="L2006" s="315"/>
    </row>
    <row r="2007" spans="1:12">
      <c r="A2007" s="315"/>
      <c r="B2007" s="315"/>
      <c r="C2007" s="315"/>
      <c r="D2007" s="315"/>
      <c r="E2007" s="315"/>
      <c r="F2007" s="315"/>
      <c r="G2007" s="315"/>
      <c r="H2007" s="315"/>
      <c r="I2007" s="315"/>
      <c r="J2007" s="315"/>
      <c r="K2007" s="315"/>
      <c r="L2007" s="315"/>
    </row>
    <row r="2008" spans="1:12">
      <c r="A2008" s="315"/>
      <c r="B2008" s="315"/>
      <c r="C2008" s="315"/>
      <c r="D2008" s="315"/>
      <c r="E2008" s="315"/>
      <c r="F2008" s="315"/>
      <c r="G2008" s="315"/>
      <c r="H2008" s="315"/>
      <c r="I2008" s="315"/>
      <c r="J2008" s="315"/>
      <c r="K2008" s="315"/>
      <c r="L2008" s="315"/>
    </row>
    <row r="2009" spans="1:12">
      <c r="A2009" s="315"/>
      <c r="B2009" s="315"/>
      <c r="C2009" s="315"/>
      <c r="D2009" s="315"/>
      <c r="E2009" s="315"/>
      <c r="F2009" s="315"/>
      <c r="G2009" s="315"/>
      <c r="H2009" s="315"/>
      <c r="I2009" s="315"/>
      <c r="J2009" s="315"/>
      <c r="K2009" s="315"/>
      <c r="L2009" s="315"/>
    </row>
    <row r="2010" spans="1:12">
      <c r="A2010" s="315"/>
      <c r="B2010" s="315"/>
      <c r="C2010" s="315"/>
      <c r="D2010" s="315"/>
      <c r="E2010" s="315"/>
      <c r="F2010" s="315"/>
      <c r="G2010" s="315"/>
      <c r="H2010" s="315"/>
      <c r="I2010" s="315"/>
      <c r="J2010" s="315"/>
      <c r="K2010" s="315"/>
      <c r="L2010" s="315"/>
    </row>
    <row r="2011" spans="1:12">
      <c r="A2011" s="315"/>
      <c r="B2011" s="315"/>
      <c r="C2011" s="315"/>
      <c r="D2011" s="315"/>
      <c r="E2011" s="315"/>
      <c r="F2011" s="315"/>
      <c r="G2011" s="315"/>
      <c r="H2011" s="315"/>
      <c r="I2011" s="315"/>
      <c r="J2011" s="315"/>
      <c r="K2011" s="315"/>
      <c r="L2011" s="315"/>
    </row>
    <row r="2012" spans="1:12">
      <c r="A2012" s="315"/>
      <c r="B2012" s="315"/>
      <c r="C2012" s="315"/>
      <c r="D2012" s="315"/>
      <c r="E2012" s="315"/>
      <c r="F2012" s="315"/>
      <c r="G2012" s="315"/>
      <c r="H2012" s="315"/>
      <c r="I2012" s="315"/>
      <c r="J2012" s="315"/>
      <c r="K2012" s="315"/>
      <c r="L2012" s="315"/>
    </row>
    <row r="2013" spans="1:12">
      <c r="A2013" s="315"/>
      <c r="B2013" s="315"/>
      <c r="C2013" s="315"/>
      <c r="D2013" s="315"/>
      <c r="E2013" s="315"/>
      <c r="F2013" s="315"/>
      <c r="G2013" s="315"/>
      <c r="H2013" s="315"/>
      <c r="I2013" s="315"/>
      <c r="J2013" s="315"/>
      <c r="K2013" s="315"/>
      <c r="L2013" s="315"/>
    </row>
    <row r="2014" spans="1:12">
      <c r="A2014" s="315"/>
      <c r="B2014" s="315"/>
      <c r="C2014" s="315"/>
      <c r="D2014" s="315"/>
      <c r="E2014" s="315"/>
      <c r="F2014" s="315"/>
      <c r="G2014" s="315"/>
      <c r="H2014" s="315"/>
      <c r="I2014" s="315"/>
      <c r="J2014" s="315"/>
      <c r="K2014" s="315"/>
      <c r="L2014" s="315"/>
    </row>
    <row r="2015" spans="1:12">
      <c r="A2015" s="315"/>
      <c r="B2015" s="315"/>
      <c r="C2015" s="315"/>
      <c r="D2015" s="315"/>
      <c r="E2015" s="315"/>
      <c r="F2015" s="315"/>
      <c r="G2015" s="315"/>
      <c r="H2015" s="315"/>
      <c r="I2015" s="315"/>
      <c r="J2015" s="315"/>
      <c r="K2015" s="315"/>
      <c r="L2015" s="315"/>
    </row>
    <row r="2016" spans="1:12">
      <c r="A2016" s="315"/>
      <c r="B2016" s="315"/>
      <c r="C2016" s="315"/>
      <c r="D2016" s="315"/>
      <c r="E2016" s="315"/>
      <c r="F2016" s="315"/>
      <c r="G2016" s="315"/>
      <c r="H2016" s="315"/>
      <c r="I2016" s="315"/>
      <c r="J2016" s="315"/>
      <c r="K2016" s="315"/>
      <c r="L2016" s="315"/>
    </row>
    <row r="2017" spans="1:12">
      <c r="A2017" s="315"/>
      <c r="B2017" s="315"/>
      <c r="C2017" s="315"/>
      <c r="D2017" s="315"/>
      <c r="E2017" s="315"/>
      <c r="F2017" s="315"/>
      <c r="G2017" s="315"/>
      <c r="H2017" s="315"/>
      <c r="I2017" s="315"/>
      <c r="J2017" s="315"/>
      <c r="K2017" s="315"/>
      <c r="L2017" s="315"/>
    </row>
    <row r="2018" spans="1:12">
      <c r="A2018" s="315"/>
      <c r="B2018" s="315"/>
      <c r="C2018" s="315"/>
      <c r="D2018" s="315"/>
      <c r="E2018" s="315"/>
      <c r="F2018" s="315"/>
      <c r="G2018" s="315"/>
      <c r="H2018" s="315"/>
      <c r="I2018" s="315"/>
      <c r="J2018" s="315"/>
      <c r="K2018" s="315"/>
      <c r="L2018" s="315"/>
    </row>
    <row r="2019" spans="1:12">
      <c r="A2019" s="315"/>
      <c r="B2019" s="315"/>
      <c r="C2019" s="315"/>
      <c r="D2019" s="315"/>
      <c r="E2019" s="315"/>
      <c r="F2019" s="315"/>
      <c r="G2019" s="315"/>
      <c r="H2019" s="315"/>
      <c r="I2019" s="315"/>
      <c r="J2019" s="315"/>
      <c r="K2019" s="315"/>
      <c r="L2019" s="315"/>
    </row>
    <row r="2020" spans="1:12">
      <c r="A2020" s="315"/>
      <c r="B2020" s="315"/>
      <c r="C2020" s="315"/>
      <c r="D2020" s="315"/>
      <c r="E2020" s="315"/>
      <c r="F2020" s="315"/>
      <c r="G2020" s="315"/>
      <c r="H2020" s="315"/>
      <c r="I2020" s="315"/>
      <c r="J2020" s="315"/>
      <c r="K2020" s="315"/>
      <c r="L2020" s="315"/>
    </row>
    <row r="2021" spans="1:12">
      <c r="A2021" s="315"/>
      <c r="B2021" s="315"/>
      <c r="C2021" s="315"/>
      <c r="D2021" s="315"/>
      <c r="E2021" s="315"/>
      <c r="F2021" s="315"/>
      <c r="G2021" s="315"/>
      <c r="H2021" s="315"/>
      <c r="I2021" s="315"/>
      <c r="J2021" s="315"/>
      <c r="K2021" s="315"/>
      <c r="L2021" s="315"/>
    </row>
    <row r="2022" spans="1:12">
      <c r="A2022" s="315"/>
      <c r="B2022" s="315"/>
      <c r="C2022" s="315"/>
      <c r="D2022" s="315"/>
      <c r="E2022" s="315"/>
      <c r="F2022" s="315"/>
      <c r="G2022" s="315"/>
      <c r="H2022" s="315"/>
      <c r="I2022" s="315"/>
      <c r="J2022" s="315"/>
      <c r="K2022" s="315"/>
      <c r="L2022" s="315"/>
    </row>
    <row r="2023" spans="1:12">
      <c r="A2023" s="315"/>
      <c r="B2023" s="315"/>
      <c r="C2023" s="315"/>
      <c r="D2023" s="315"/>
      <c r="E2023" s="315"/>
      <c r="F2023" s="315"/>
      <c r="G2023" s="315"/>
      <c r="H2023" s="315"/>
      <c r="I2023" s="315"/>
      <c r="J2023" s="315"/>
      <c r="K2023" s="315"/>
      <c r="L2023" s="315"/>
    </row>
    <row r="2024" spans="1:12">
      <c r="A2024" s="315"/>
      <c r="B2024" s="315"/>
      <c r="C2024" s="315"/>
      <c r="D2024" s="315"/>
      <c r="E2024" s="315"/>
      <c r="F2024" s="315"/>
      <c r="G2024" s="315"/>
      <c r="H2024" s="315"/>
      <c r="I2024" s="315"/>
      <c r="J2024" s="315"/>
      <c r="K2024" s="315"/>
      <c r="L2024" s="315"/>
    </row>
    <row r="2025" spans="1:12">
      <c r="A2025" s="315"/>
      <c r="B2025" s="315"/>
      <c r="C2025" s="315"/>
      <c r="D2025" s="315"/>
      <c r="E2025" s="315"/>
      <c r="F2025" s="315"/>
      <c r="G2025" s="315"/>
      <c r="H2025" s="315"/>
      <c r="I2025" s="315"/>
      <c r="J2025" s="315"/>
      <c r="K2025" s="315"/>
      <c r="L2025" s="315"/>
    </row>
    <row r="2026" spans="1:12">
      <c r="A2026" s="315"/>
      <c r="B2026" s="315"/>
      <c r="C2026" s="315"/>
      <c r="D2026" s="315"/>
      <c r="E2026" s="315"/>
      <c r="F2026" s="315"/>
      <c r="G2026" s="315"/>
      <c r="H2026" s="315"/>
      <c r="I2026" s="315"/>
      <c r="J2026" s="315"/>
      <c r="K2026" s="315"/>
      <c r="L2026" s="315"/>
    </row>
    <row r="2027" spans="1:12">
      <c r="A2027" s="315"/>
      <c r="B2027" s="315"/>
      <c r="C2027" s="315"/>
      <c r="D2027" s="315"/>
      <c r="E2027" s="315"/>
      <c r="F2027" s="315"/>
      <c r="G2027" s="315"/>
      <c r="H2027" s="315"/>
      <c r="I2027" s="315"/>
      <c r="J2027" s="315"/>
      <c r="K2027" s="315"/>
      <c r="L2027" s="315"/>
    </row>
    <row r="2028" spans="1:12">
      <c r="A2028" s="315"/>
      <c r="B2028" s="315"/>
      <c r="C2028" s="315"/>
      <c r="D2028" s="315"/>
      <c r="E2028" s="315"/>
      <c r="F2028" s="315"/>
      <c r="G2028" s="315"/>
      <c r="H2028" s="315"/>
      <c r="I2028" s="315"/>
      <c r="J2028" s="315"/>
      <c r="K2028" s="315"/>
      <c r="L2028" s="315"/>
    </row>
    <row r="2029" spans="1:12">
      <c r="A2029" s="315"/>
      <c r="B2029" s="315"/>
      <c r="C2029" s="315"/>
      <c r="D2029" s="315"/>
      <c r="E2029" s="315"/>
      <c r="F2029" s="315"/>
      <c r="G2029" s="315"/>
      <c r="H2029" s="315"/>
      <c r="I2029" s="315"/>
      <c r="J2029" s="315"/>
      <c r="K2029" s="315"/>
      <c r="L2029" s="315"/>
    </row>
    <row r="2030" spans="1:12">
      <c r="A2030" s="315"/>
      <c r="B2030" s="315"/>
      <c r="C2030" s="315"/>
      <c r="D2030" s="315"/>
      <c r="E2030" s="315"/>
      <c r="F2030" s="315"/>
      <c r="G2030" s="315"/>
      <c r="H2030" s="315"/>
      <c r="I2030" s="315"/>
      <c r="J2030" s="315"/>
      <c r="K2030" s="315"/>
      <c r="L2030" s="315"/>
    </row>
    <row r="2031" spans="1:12">
      <c r="A2031" s="315"/>
      <c r="B2031" s="315"/>
      <c r="C2031" s="315"/>
      <c r="D2031" s="315"/>
      <c r="E2031" s="315"/>
      <c r="F2031" s="315"/>
      <c r="G2031" s="315"/>
      <c r="H2031" s="315"/>
      <c r="I2031" s="315"/>
      <c r="J2031" s="315"/>
      <c r="K2031" s="315"/>
      <c r="L2031" s="315"/>
    </row>
    <row r="2032" spans="1:12">
      <c r="A2032" s="315"/>
      <c r="B2032" s="315"/>
      <c r="C2032" s="315"/>
      <c r="D2032" s="315"/>
      <c r="E2032" s="315"/>
      <c r="F2032" s="315"/>
      <c r="G2032" s="315"/>
      <c r="H2032" s="315"/>
      <c r="I2032" s="315"/>
      <c r="J2032" s="315"/>
      <c r="K2032" s="315"/>
      <c r="L2032" s="315"/>
    </row>
    <row r="2033" spans="1:12">
      <c r="A2033" s="315"/>
      <c r="B2033" s="315"/>
      <c r="C2033" s="315"/>
      <c r="D2033" s="315"/>
      <c r="E2033" s="315"/>
      <c r="F2033" s="315"/>
      <c r="G2033" s="315"/>
      <c r="H2033" s="315"/>
      <c r="I2033" s="315"/>
      <c r="J2033" s="315"/>
      <c r="K2033" s="315"/>
      <c r="L2033" s="315"/>
    </row>
    <row r="2034" spans="1:12">
      <c r="A2034" s="315"/>
      <c r="B2034" s="315"/>
      <c r="C2034" s="315"/>
      <c r="D2034" s="315"/>
      <c r="E2034" s="315"/>
      <c r="F2034" s="315"/>
      <c r="G2034" s="315"/>
      <c r="H2034" s="315"/>
      <c r="I2034" s="315"/>
      <c r="J2034" s="315"/>
      <c r="K2034" s="315"/>
      <c r="L2034" s="315"/>
    </row>
    <row r="2035" spans="1:12">
      <c r="A2035" s="315"/>
      <c r="B2035" s="315"/>
      <c r="C2035" s="315"/>
      <c r="D2035" s="315"/>
      <c r="E2035" s="315"/>
      <c r="F2035" s="315"/>
      <c r="G2035" s="315"/>
      <c r="H2035" s="315"/>
      <c r="I2035" s="315"/>
      <c r="J2035" s="315"/>
      <c r="K2035" s="315"/>
      <c r="L2035" s="315"/>
    </row>
    <row r="2036" spans="1:12">
      <c r="A2036" s="315"/>
      <c r="B2036" s="315"/>
      <c r="C2036" s="315"/>
      <c r="D2036" s="315"/>
      <c r="E2036" s="315"/>
      <c r="F2036" s="315"/>
      <c r="G2036" s="315"/>
      <c r="H2036" s="315"/>
      <c r="I2036" s="315"/>
      <c r="J2036" s="315"/>
      <c r="K2036" s="315"/>
      <c r="L2036" s="315"/>
    </row>
    <row r="2037" spans="1:12">
      <c r="A2037" s="315"/>
      <c r="B2037" s="315"/>
      <c r="C2037" s="315"/>
      <c r="D2037" s="315"/>
      <c r="E2037" s="315"/>
      <c r="F2037" s="315"/>
      <c r="G2037" s="315"/>
      <c r="H2037" s="315"/>
      <c r="I2037" s="315"/>
      <c r="J2037" s="315"/>
      <c r="K2037" s="315"/>
      <c r="L2037" s="315"/>
    </row>
    <row r="2038" spans="1:12">
      <c r="A2038" s="315"/>
      <c r="B2038" s="315"/>
      <c r="C2038" s="315"/>
      <c r="D2038" s="315"/>
      <c r="E2038" s="315"/>
      <c r="F2038" s="315"/>
      <c r="G2038" s="315"/>
      <c r="H2038" s="315"/>
      <c r="I2038" s="315"/>
      <c r="J2038" s="315"/>
      <c r="K2038" s="315"/>
      <c r="L2038" s="315"/>
    </row>
    <row r="2039" spans="1:12">
      <c r="A2039" s="315"/>
      <c r="B2039" s="315"/>
      <c r="C2039" s="315"/>
      <c r="D2039" s="315"/>
      <c r="E2039" s="315"/>
      <c r="F2039" s="315"/>
      <c r="G2039" s="315"/>
      <c r="H2039" s="315"/>
      <c r="I2039" s="315"/>
      <c r="J2039" s="315"/>
      <c r="K2039" s="315"/>
      <c r="L2039" s="315"/>
    </row>
    <row r="2040" spans="1:12">
      <c r="A2040" s="315"/>
      <c r="B2040" s="315"/>
      <c r="C2040" s="315"/>
      <c r="D2040" s="315"/>
      <c r="E2040" s="315"/>
      <c r="F2040" s="315"/>
      <c r="G2040" s="315"/>
      <c r="H2040" s="315"/>
      <c r="I2040" s="315"/>
      <c r="J2040" s="315"/>
      <c r="K2040" s="315"/>
      <c r="L2040" s="315"/>
    </row>
    <row r="2041" spans="1:12">
      <c r="A2041" s="315"/>
      <c r="B2041" s="315"/>
      <c r="C2041" s="315"/>
      <c r="D2041" s="315"/>
      <c r="E2041" s="315"/>
      <c r="F2041" s="315"/>
      <c r="G2041" s="315"/>
      <c r="H2041" s="315"/>
      <c r="I2041" s="315"/>
      <c r="J2041" s="315"/>
      <c r="K2041" s="315"/>
      <c r="L2041" s="315"/>
    </row>
    <row r="2042" spans="1:12">
      <c r="A2042" s="315"/>
      <c r="B2042" s="315"/>
      <c r="C2042" s="315"/>
      <c r="D2042" s="315"/>
      <c r="E2042" s="315"/>
      <c r="F2042" s="315"/>
      <c r="G2042" s="315"/>
      <c r="H2042" s="315"/>
      <c r="I2042" s="315"/>
      <c r="J2042" s="315"/>
      <c r="K2042" s="315"/>
      <c r="L2042" s="315"/>
    </row>
    <row r="2043" spans="1:12">
      <c r="A2043" s="315"/>
      <c r="B2043" s="315"/>
      <c r="C2043" s="315"/>
      <c r="D2043" s="315"/>
      <c r="E2043" s="315"/>
      <c r="F2043" s="315"/>
      <c r="G2043" s="315"/>
      <c r="H2043" s="315"/>
      <c r="I2043" s="315"/>
      <c r="J2043" s="315"/>
      <c r="K2043" s="315"/>
      <c r="L2043" s="315"/>
    </row>
    <row r="2044" spans="1:12">
      <c r="A2044" s="315"/>
      <c r="B2044" s="315"/>
      <c r="C2044" s="315"/>
      <c r="D2044" s="315"/>
      <c r="E2044" s="315"/>
      <c r="F2044" s="315"/>
      <c r="G2044" s="315"/>
      <c r="H2044" s="315"/>
      <c r="I2044" s="315"/>
      <c r="J2044" s="315"/>
      <c r="K2044" s="315"/>
      <c r="L2044" s="315"/>
    </row>
    <row r="2045" spans="1:12">
      <c r="A2045" s="315"/>
      <c r="B2045" s="315"/>
      <c r="C2045" s="315"/>
      <c r="D2045" s="315"/>
      <c r="E2045" s="315"/>
      <c r="F2045" s="315"/>
      <c r="G2045" s="315"/>
      <c r="H2045" s="315"/>
      <c r="I2045" s="315"/>
      <c r="J2045" s="315"/>
      <c r="K2045" s="315"/>
      <c r="L2045" s="315"/>
    </row>
    <row r="2046" spans="1:12">
      <c r="A2046" s="315"/>
      <c r="B2046" s="315"/>
      <c r="C2046" s="315"/>
      <c r="D2046" s="315"/>
      <c r="E2046" s="315"/>
      <c r="F2046" s="315"/>
      <c r="G2046" s="315"/>
      <c r="H2046" s="315"/>
      <c r="I2046" s="315"/>
      <c r="J2046" s="315"/>
      <c r="K2046" s="315"/>
      <c r="L2046" s="315"/>
    </row>
    <row r="2047" spans="1:12">
      <c r="A2047" s="315"/>
      <c r="B2047" s="315"/>
      <c r="C2047" s="315"/>
      <c r="D2047" s="315"/>
      <c r="E2047" s="315"/>
      <c r="F2047" s="315"/>
      <c r="G2047" s="315"/>
      <c r="H2047" s="315"/>
      <c r="I2047" s="315"/>
      <c r="J2047" s="315"/>
      <c r="K2047" s="315"/>
      <c r="L2047" s="315"/>
    </row>
    <row r="2048" spans="1:12">
      <c r="A2048" s="315"/>
      <c r="B2048" s="315"/>
      <c r="C2048" s="315"/>
      <c r="D2048" s="315"/>
      <c r="E2048" s="315"/>
      <c r="F2048" s="315"/>
      <c r="G2048" s="315"/>
      <c r="H2048" s="315"/>
      <c r="I2048" s="315"/>
      <c r="J2048" s="315"/>
      <c r="K2048" s="315"/>
      <c r="L2048" s="315"/>
    </row>
    <row r="2049" spans="1:12">
      <c r="A2049" s="315"/>
      <c r="B2049" s="315"/>
      <c r="C2049" s="315"/>
      <c r="D2049" s="315"/>
      <c r="E2049" s="315"/>
      <c r="F2049" s="315"/>
      <c r="G2049" s="315"/>
      <c r="H2049" s="315"/>
      <c r="I2049" s="315"/>
      <c r="J2049" s="315"/>
      <c r="K2049" s="315"/>
      <c r="L2049" s="315"/>
    </row>
    <row r="2050" spans="1:12">
      <c r="A2050" s="315"/>
      <c r="B2050" s="315"/>
      <c r="C2050" s="315"/>
      <c r="D2050" s="315"/>
      <c r="E2050" s="315"/>
      <c r="F2050" s="315"/>
      <c r="G2050" s="315"/>
      <c r="H2050" s="315"/>
      <c r="I2050" s="315"/>
      <c r="J2050" s="315"/>
      <c r="K2050" s="315"/>
      <c r="L2050" s="315"/>
    </row>
    <row r="2051" spans="1:12">
      <c r="A2051" s="315"/>
      <c r="B2051" s="315"/>
      <c r="C2051" s="315"/>
      <c r="D2051" s="315"/>
      <c r="E2051" s="315"/>
      <c r="F2051" s="315"/>
      <c r="G2051" s="315"/>
      <c r="H2051" s="315"/>
      <c r="I2051" s="315"/>
      <c r="J2051" s="315"/>
      <c r="K2051" s="315"/>
      <c r="L2051" s="315"/>
    </row>
    <row r="2052" spans="1:12">
      <c r="A2052" s="315"/>
      <c r="B2052" s="315"/>
      <c r="C2052" s="315"/>
      <c r="D2052" s="315"/>
      <c r="E2052" s="315"/>
      <c r="F2052" s="315"/>
      <c r="G2052" s="315"/>
      <c r="H2052" s="315"/>
      <c r="I2052" s="315"/>
      <c r="J2052" s="315"/>
      <c r="K2052" s="315"/>
      <c r="L2052" s="315"/>
    </row>
    <row r="2053" spans="1:12">
      <c r="A2053" s="315"/>
      <c r="B2053" s="315"/>
      <c r="C2053" s="315"/>
      <c r="D2053" s="315"/>
      <c r="E2053" s="315"/>
      <c r="F2053" s="315"/>
      <c r="G2053" s="315"/>
      <c r="H2053" s="315"/>
      <c r="I2053" s="315"/>
      <c r="J2053" s="315"/>
      <c r="K2053" s="315"/>
      <c r="L2053" s="315"/>
    </row>
    <row r="2054" spans="1:12">
      <c r="A2054" s="315"/>
      <c r="B2054" s="315"/>
      <c r="C2054" s="315"/>
      <c r="D2054" s="315"/>
      <c r="E2054" s="315"/>
      <c r="F2054" s="315"/>
      <c r="G2054" s="315"/>
      <c r="H2054" s="315"/>
      <c r="I2054" s="315"/>
      <c r="J2054" s="315"/>
      <c r="K2054" s="315"/>
      <c r="L2054" s="315"/>
    </row>
    <row r="2055" spans="1:12">
      <c r="A2055" s="315"/>
      <c r="B2055" s="315"/>
      <c r="C2055" s="315"/>
      <c r="D2055" s="315"/>
      <c r="E2055" s="315"/>
      <c r="F2055" s="315"/>
      <c r="G2055" s="315"/>
      <c r="H2055" s="315"/>
      <c r="I2055" s="315"/>
      <c r="J2055" s="315"/>
      <c r="K2055" s="315"/>
      <c r="L2055" s="315"/>
    </row>
    <row r="2056" spans="1:12">
      <c r="A2056" s="315"/>
      <c r="B2056" s="315"/>
      <c r="C2056" s="315"/>
      <c r="D2056" s="315"/>
      <c r="E2056" s="315"/>
      <c r="F2056" s="315"/>
      <c r="G2056" s="315"/>
      <c r="H2056" s="315"/>
      <c r="I2056" s="315"/>
      <c r="J2056" s="315"/>
      <c r="K2056" s="315"/>
      <c r="L2056" s="315"/>
    </row>
    <row r="2057" spans="1:12">
      <c r="A2057" s="315"/>
      <c r="B2057" s="315"/>
      <c r="C2057" s="315"/>
      <c r="D2057" s="315"/>
      <c r="E2057" s="315"/>
      <c r="F2057" s="315"/>
      <c r="G2057" s="315"/>
      <c r="H2057" s="315"/>
      <c r="I2057" s="315"/>
      <c r="J2057" s="315"/>
      <c r="K2057" s="315"/>
      <c r="L2057" s="315"/>
    </row>
    <row r="2058" spans="1:12">
      <c r="A2058" s="315"/>
      <c r="B2058" s="315"/>
      <c r="C2058" s="315"/>
      <c r="D2058" s="315"/>
      <c r="E2058" s="315"/>
      <c r="F2058" s="315"/>
      <c r="G2058" s="315"/>
      <c r="H2058" s="315"/>
      <c r="I2058" s="315"/>
      <c r="J2058" s="315"/>
      <c r="K2058" s="315"/>
      <c r="L2058" s="315"/>
    </row>
    <row r="2059" spans="1:12">
      <c r="A2059" s="315"/>
      <c r="B2059" s="315"/>
      <c r="C2059" s="315"/>
      <c r="D2059" s="315"/>
      <c r="E2059" s="315"/>
      <c r="F2059" s="315"/>
      <c r="G2059" s="315"/>
      <c r="H2059" s="315"/>
      <c r="I2059" s="315"/>
      <c r="J2059" s="315"/>
      <c r="K2059" s="315"/>
      <c r="L2059" s="315"/>
    </row>
    <row r="2060" spans="1:12">
      <c r="A2060" s="315"/>
      <c r="B2060" s="315"/>
      <c r="C2060" s="315"/>
      <c r="D2060" s="315"/>
      <c r="E2060" s="315"/>
      <c r="F2060" s="315"/>
      <c r="G2060" s="315"/>
      <c r="H2060" s="315"/>
      <c r="I2060" s="315"/>
      <c r="J2060" s="315"/>
      <c r="K2060" s="315"/>
      <c r="L2060" s="315"/>
    </row>
    <row r="2061" spans="1:12">
      <c r="A2061" s="315"/>
      <c r="B2061" s="315"/>
      <c r="C2061" s="315"/>
      <c r="D2061" s="315"/>
      <c r="E2061" s="315"/>
      <c r="F2061" s="315"/>
      <c r="G2061" s="315"/>
      <c r="H2061" s="315"/>
      <c r="I2061" s="315"/>
      <c r="J2061" s="315"/>
      <c r="K2061" s="315"/>
      <c r="L2061" s="315"/>
    </row>
    <row r="2062" spans="1:12">
      <c r="A2062" s="315"/>
      <c r="B2062" s="315"/>
      <c r="C2062" s="315"/>
      <c r="D2062" s="315"/>
      <c r="E2062" s="315"/>
      <c r="F2062" s="315"/>
      <c r="G2062" s="315"/>
      <c r="H2062" s="315"/>
      <c r="I2062" s="315"/>
      <c r="J2062" s="315"/>
      <c r="K2062" s="315"/>
      <c r="L2062" s="315"/>
    </row>
    <row r="2063" spans="1:12">
      <c r="A2063" s="315"/>
      <c r="B2063" s="315"/>
      <c r="C2063" s="315"/>
      <c r="D2063" s="315"/>
      <c r="E2063" s="315"/>
      <c r="F2063" s="315"/>
      <c r="G2063" s="315"/>
      <c r="H2063" s="315"/>
      <c r="I2063" s="315"/>
      <c r="J2063" s="315"/>
      <c r="K2063" s="315"/>
      <c r="L2063" s="315"/>
    </row>
    <row r="2064" spans="1:12">
      <c r="A2064" s="315"/>
      <c r="B2064" s="315"/>
      <c r="C2064" s="315"/>
      <c r="D2064" s="315"/>
      <c r="E2064" s="315"/>
      <c r="F2064" s="315"/>
      <c r="G2064" s="315"/>
      <c r="H2064" s="315"/>
      <c r="I2064" s="315"/>
      <c r="J2064" s="315"/>
      <c r="K2064" s="315"/>
      <c r="L2064" s="315"/>
    </row>
    <row r="2065" spans="1:12">
      <c r="A2065" s="315"/>
      <c r="B2065" s="315"/>
      <c r="C2065" s="315"/>
      <c r="D2065" s="315"/>
      <c r="E2065" s="315"/>
      <c r="F2065" s="315"/>
      <c r="G2065" s="315"/>
      <c r="H2065" s="315"/>
      <c r="I2065" s="315"/>
      <c r="J2065" s="315"/>
      <c r="K2065" s="315"/>
      <c r="L2065" s="315"/>
    </row>
    <row r="2066" spans="1:12">
      <c r="A2066" s="315"/>
      <c r="B2066" s="315"/>
      <c r="C2066" s="315"/>
      <c r="D2066" s="315"/>
      <c r="E2066" s="315"/>
      <c r="F2066" s="315"/>
      <c r="G2066" s="315"/>
      <c r="H2066" s="315"/>
      <c r="I2066" s="315"/>
      <c r="J2066" s="315"/>
      <c r="K2066" s="315"/>
      <c r="L2066" s="315"/>
    </row>
    <row r="2067" spans="1:12">
      <c r="A2067" s="315"/>
      <c r="B2067" s="315"/>
      <c r="C2067" s="315"/>
      <c r="D2067" s="315"/>
      <c r="E2067" s="315"/>
      <c r="F2067" s="315"/>
      <c r="G2067" s="315"/>
      <c r="H2067" s="315"/>
      <c r="I2067" s="315"/>
      <c r="J2067" s="315"/>
      <c r="K2067" s="315"/>
      <c r="L2067" s="315"/>
    </row>
    <row r="2068" spans="1:12">
      <c r="A2068" s="315"/>
      <c r="B2068" s="315"/>
      <c r="C2068" s="315"/>
      <c r="D2068" s="315"/>
      <c r="E2068" s="315"/>
      <c r="F2068" s="315"/>
      <c r="G2068" s="315"/>
      <c r="H2068" s="315"/>
      <c r="I2068" s="315"/>
      <c r="J2068" s="315"/>
      <c r="K2068" s="315"/>
      <c r="L2068" s="315"/>
    </row>
    <row r="2069" spans="1:12">
      <c r="A2069" s="315"/>
      <c r="B2069" s="315"/>
      <c r="C2069" s="315"/>
      <c r="D2069" s="315"/>
      <c r="E2069" s="315"/>
      <c r="F2069" s="315"/>
      <c r="G2069" s="315"/>
      <c r="H2069" s="315"/>
      <c r="I2069" s="315"/>
      <c r="J2069" s="315"/>
      <c r="K2069" s="315"/>
      <c r="L2069" s="315"/>
    </row>
    <row r="2070" spans="1:12">
      <c r="A2070" s="315"/>
      <c r="B2070" s="315"/>
      <c r="C2070" s="315"/>
      <c r="D2070" s="315"/>
      <c r="E2070" s="315"/>
      <c r="F2070" s="315"/>
      <c r="G2070" s="315"/>
      <c r="H2070" s="315"/>
      <c r="I2070" s="315"/>
      <c r="J2070" s="315"/>
      <c r="K2070" s="315"/>
      <c r="L2070" s="315"/>
    </row>
    <row r="2071" spans="1:12">
      <c r="A2071" s="315"/>
      <c r="B2071" s="315"/>
      <c r="C2071" s="315"/>
      <c r="D2071" s="315"/>
      <c r="E2071" s="315"/>
      <c r="F2071" s="315"/>
      <c r="G2071" s="315"/>
      <c r="H2071" s="315"/>
      <c r="I2071" s="315"/>
      <c r="J2071" s="315"/>
      <c r="K2071" s="315"/>
      <c r="L2071" s="315"/>
    </row>
    <row r="2072" spans="1:12">
      <c r="A2072" s="315"/>
      <c r="B2072" s="315"/>
      <c r="C2072" s="315"/>
      <c r="D2072" s="315"/>
      <c r="E2072" s="315"/>
      <c r="F2072" s="315"/>
      <c r="G2072" s="315"/>
      <c r="H2072" s="315"/>
      <c r="I2072" s="315"/>
      <c r="J2072" s="315"/>
      <c r="K2072" s="315"/>
      <c r="L2072" s="315"/>
    </row>
    <row r="2073" spans="1:12">
      <c r="A2073" s="315"/>
      <c r="B2073" s="315"/>
      <c r="C2073" s="315"/>
      <c r="D2073" s="315"/>
      <c r="E2073" s="315"/>
      <c r="F2073" s="315"/>
      <c r="G2073" s="315"/>
      <c r="H2073" s="315"/>
      <c r="I2073" s="315"/>
      <c r="J2073" s="315"/>
      <c r="K2073" s="315"/>
      <c r="L2073" s="315"/>
    </row>
    <row r="2074" spans="1:12">
      <c r="A2074" s="315"/>
      <c r="B2074" s="315"/>
      <c r="C2074" s="315"/>
      <c r="D2074" s="315"/>
      <c r="E2074" s="315"/>
      <c r="F2074" s="315"/>
      <c r="G2074" s="315"/>
      <c r="H2074" s="315"/>
      <c r="I2074" s="315"/>
      <c r="J2074" s="315"/>
      <c r="K2074" s="315"/>
      <c r="L2074" s="315"/>
    </row>
    <row r="2075" spans="1:12">
      <c r="A2075" s="315"/>
      <c r="B2075" s="315"/>
      <c r="C2075" s="315"/>
      <c r="D2075" s="315"/>
      <c r="E2075" s="315"/>
      <c r="F2075" s="315"/>
      <c r="G2075" s="315"/>
      <c r="H2075" s="315"/>
      <c r="I2075" s="315"/>
      <c r="J2075" s="315"/>
      <c r="K2075" s="315"/>
      <c r="L2075" s="315"/>
    </row>
    <row r="2076" spans="1:12">
      <c r="A2076" s="315"/>
      <c r="B2076" s="315"/>
      <c r="C2076" s="315"/>
      <c r="D2076" s="315"/>
      <c r="E2076" s="315"/>
      <c r="F2076" s="315"/>
      <c r="G2076" s="315"/>
      <c r="H2076" s="315"/>
      <c r="I2076" s="315"/>
      <c r="J2076" s="315"/>
      <c r="K2076" s="315"/>
      <c r="L2076" s="315"/>
    </row>
    <row r="2077" spans="1:12">
      <c r="A2077" s="315"/>
      <c r="B2077" s="315"/>
      <c r="C2077" s="315"/>
      <c r="D2077" s="315"/>
      <c r="E2077" s="315"/>
      <c r="F2077" s="315"/>
      <c r="G2077" s="315"/>
      <c r="H2077" s="315"/>
      <c r="I2077" s="315"/>
      <c r="J2077" s="315"/>
      <c r="K2077" s="315"/>
      <c r="L2077" s="315"/>
    </row>
    <row r="2078" spans="1:12">
      <c r="A2078" s="315"/>
      <c r="B2078" s="315"/>
      <c r="C2078" s="315"/>
      <c r="D2078" s="315"/>
      <c r="E2078" s="315"/>
      <c r="F2078" s="315"/>
      <c r="G2078" s="315"/>
      <c r="H2078" s="315"/>
      <c r="I2078" s="315"/>
      <c r="J2078" s="315"/>
      <c r="K2078" s="315"/>
      <c r="L2078" s="315"/>
    </row>
    <row r="2079" spans="1:12">
      <c r="A2079" s="315"/>
      <c r="B2079" s="315"/>
      <c r="C2079" s="315"/>
      <c r="D2079" s="315"/>
      <c r="E2079" s="315"/>
      <c r="F2079" s="315"/>
      <c r="G2079" s="315"/>
      <c r="H2079" s="315"/>
      <c r="I2079" s="315"/>
      <c r="J2079" s="315"/>
      <c r="K2079" s="315"/>
      <c r="L2079" s="315"/>
    </row>
    <row r="2080" spans="1:12">
      <c r="A2080" s="315"/>
      <c r="B2080" s="315"/>
      <c r="C2080" s="315"/>
      <c r="D2080" s="315"/>
      <c r="E2080" s="315"/>
      <c r="F2080" s="315"/>
      <c r="G2080" s="315"/>
      <c r="H2080" s="315"/>
      <c r="I2080" s="315"/>
      <c r="J2080" s="315"/>
      <c r="K2080" s="315"/>
      <c r="L2080" s="315"/>
    </row>
    <row r="2081" spans="1:12">
      <c r="A2081" s="315"/>
      <c r="B2081" s="315"/>
      <c r="C2081" s="315"/>
      <c r="D2081" s="315"/>
      <c r="E2081" s="315"/>
      <c r="F2081" s="315"/>
      <c r="G2081" s="315"/>
      <c r="H2081" s="315"/>
      <c r="I2081" s="315"/>
      <c r="J2081" s="315"/>
      <c r="K2081" s="315"/>
      <c r="L2081" s="315"/>
    </row>
    <row r="2082" spans="1:12">
      <c r="A2082" s="315"/>
      <c r="B2082" s="315"/>
      <c r="C2082" s="315"/>
      <c r="D2082" s="315"/>
      <c r="E2082" s="315"/>
      <c r="F2082" s="315"/>
      <c r="G2082" s="315"/>
      <c r="H2082" s="315"/>
      <c r="I2082" s="315"/>
      <c r="J2082" s="315"/>
      <c r="K2082" s="315"/>
      <c r="L2082" s="315"/>
    </row>
    <row r="2083" spans="1:12">
      <c r="A2083" s="315"/>
      <c r="B2083" s="315"/>
      <c r="C2083" s="315"/>
      <c r="D2083" s="315"/>
      <c r="E2083" s="315"/>
      <c r="F2083" s="315"/>
      <c r="G2083" s="315"/>
      <c r="H2083" s="315"/>
      <c r="I2083" s="315"/>
      <c r="J2083" s="315"/>
      <c r="K2083" s="315"/>
      <c r="L2083" s="315"/>
    </row>
    <row r="2084" spans="1:12">
      <c r="A2084" s="315"/>
      <c r="B2084" s="315"/>
      <c r="C2084" s="315"/>
      <c r="D2084" s="315"/>
      <c r="E2084" s="315"/>
      <c r="F2084" s="315"/>
      <c r="G2084" s="315"/>
      <c r="H2084" s="315"/>
      <c r="I2084" s="315"/>
      <c r="J2084" s="315"/>
      <c r="K2084" s="315"/>
      <c r="L2084" s="315"/>
    </row>
    <row r="2085" spans="1:12">
      <c r="A2085" s="315"/>
      <c r="B2085" s="315"/>
      <c r="C2085" s="315"/>
      <c r="D2085" s="315"/>
      <c r="E2085" s="315"/>
      <c r="F2085" s="315"/>
      <c r="G2085" s="315"/>
      <c r="H2085" s="315"/>
      <c r="I2085" s="315"/>
      <c r="J2085" s="315"/>
      <c r="K2085" s="315"/>
      <c r="L2085" s="315"/>
    </row>
    <row r="2086" spans="1:12">
      <c r="A2086" s="315"/>
      <c r="B2086" s="315"/>
      <c r="C2086" s="315"/>
      <c r="D2086" s="315"/>
      <c r="E2086" s="315"/>
      <c r="F2086" s="315"/>
      <c r="G2086" s="315"/>
      <c r="H2086" s="315"/>
      <c r="I2086" s="315"/>
      <c r="J2086" s="315"/>
      <c r="K2086" s="315"/>
      <c r="L2086" s="315"/>
    </row>
    <row r="2087" spans="1:12">
      <c r="A2087" s="315"/>
      <c r="B2087" s="315"/>
      <c r="C2087" s="315"/>
      <c r="D2087" s="315"/>
      <c r="E2087" s="315"/>
      <c r="F2087" s="315"/>
      <c r="G2087" s="315"/>
      <c r="H2087" s="315"/>
      <c r="I2087" s="315"/>
      <c r="J2087" s="315"/>
      <c r="K2087" s="315"/>
      <c r="L2087" s="315"/>
    </row>
    <row r="2088" spans="1:12">
      <c r="A2088" s="315"/>
      <c r="B2088" s="315"/>
      <c r="C2088" s="315"/>
      <c r="D2088" s="315"/>
      <c r="E2088" s="315"/>
      <c r="F2088" s="315"/>
      <c r="G2088" s="315"/>
      <c r="H2088" s="315"/>
      <c r="I2088" s="315"/>
      <c r="J2088" s="315"/>
      <c r="K2088" s="315"/>
      <c r="L2088" s="315"/>
    </row>
    <row r="2089" spans="1:12">
      <c r="A2089" s="315"/>
      <c r="B2089" s="315"/>
      <c r="C2089" s="315"/>
      <c r="D2089" s="315"/>
      <c r="E2089" s="315"/>
      <c r="F2089" s="315"/>
      <c r="G2089" s="315"/>
      <c r="H2089" s="315"/>
      <c r="I2089" s="315"/>
      <c r="J2089" s="315"/>
      <c r="K2089" s="315"/>
      <c r="L2089" s="315"/>
    </row>
    <row r="2090" spans="1:12">
      <c r="A2090" s="315"/>
      <c r="B2090" s="315"/>
      <c r="C2090" s="315"/>
      <c r="D2090" s="315"/>
      <c r="E2090" s="315"/>
      <c r="F2090" s="315"/>
      <c r="G2090" s="315"/>
      <c r="H2090" s="315"/>
      <c r="I2090" s="315"/>
      <c r="J2090" s="315"/>
      <c r="K2090" s="315"/>
      <c r="L2090" s="315"/>
    </row>
    <row r="2091" spans="1:12">
      <c r="A2091" s="315"/>
      <c r="B2091" s="315"/>
      <c r="C2091" s="315"/>
      <c r="D2091" s="315"/>
      <c r="E2091" s="315"/>
      <c r="F2091" s="315"/>
      <c r="G2091" s="315"/>
      <c r="H2091" s="315"/>
      <c r="I2091" s="315"/>
      <c r="J2091" s="315"/>
      <c r="K2091" s="315"/>
      <c r="L2091" s="315"/>
    </row>
    <row r="2092" spans="1:12">
      <c r="A2092" s="315"/>
      <c r="B2092" s="315"/>
      <c r="C2092" s="315"/>
      <c r="D2092" s="315"/>
      <c r="E2092" s="315"/>
      <c r="F2092" s="315"/>
      <c r="G2092" s="315"/>
      <c r="H2092" s="315"/>
      <c r="I2092" s="315"/>
      <c r="J2092" s="315"/>
      <c r="K2092" s="315"/>
      <c r="L2092" s="315"/>
    </row>
    <row r="2093" spans="1:12">
      <c r="A2093" s="315"/>
      <c r="B2093" s="315"/>
      <c r="C2093" s="315"/>
      <c r="D2093" s="315"/>
      <c r="E2093" s="315"/>
      <c r="F2093" s="315"/>
      <c r="G2093" s="315"/>
      <c r="H2093" s="315"/>
      <c r="I2093" s="315"/>
      <c r="J2093" s="315"/>
      <c r="K2093" s="315"/>
      <c r="L2093" s="315"/>
    </row>
    <row r="2094" spans="1:12">
      <c r="A2094" s="315"/>
      <c r="B2094" s="315"/>
      <c r="C2094" s="315"/>
      <c r="D2094" s="315"/>
      <c r="E2094" s="315"/>
      <c r="F2094" s="315"/>
      <c r="G2094" s="315"/>
      <c r="H2094" s="315"/>
      <c r="I2094" s="315"/>
      <c r="J2094" s="315"/>
      <c r="K2094" s="315"/>
      <c r="L2094" s="315"/>
    </row>
    <row r="2095" spans="1:12">
      <c r="A2095" s="315"/>
      <c r="B2095" s="315"/>
      <c r="C2095" s="315"/>
      <c r="D2095" s="315"/>
      <c r="E2095" s="315"/>
      <c r="F2095" s="315"/>
      <c r="G2095" s="315"/>
      <c r="H2095" s="315"/>
      <c r="I2095" s="315"/>
      <c r="J2095" s="315"/>
      <c r="K2095" s="315"/>
      <c r="L2095" s="315"/>
    </row>
    <row r="2096" spans="1:12">
      <c r="A2096" s="315"/>
      <c r="B2096" s="315"/>
      <c r="C2096" s="315"/>
      <c r="D2096" s="315"/>
      <c r="E2096" s="315"/>
      <c r="F2096" s="315"/>
      <c r="G2096" s="315"/>
      <c r="H2096" s="315"/>
      <c r="I2096" s="315"/>
      <c r="J2096" s="315"/>
      <c r="K2096" s="315"/>
      <c r="L2096" s="315"/>
    </row>
    <row r="2097" spans="1:12">
      <c r="A2097" s="315"/>
      <c r="B2097" s="315"/>
      <c r="C2097" s="315"/>
      <c r="D2097" s="315"/>
      <c r="E2097" s="315"/>
      <c r="F2097" s="315"/>
      <c r="G2097" s="315"/>
      <c r="H2097" s="315"/>
      <c r="I2097" s="315"/>
      <c r="J2097" s="315"/>
      <c r="K2097" s="315"/>
      <c r="L2097" s="315"/>
    </row>
    <row r="2098" spans="1:12">
      <c r="A2098" s="315"/>
      <c r="B2098" s="315"/>
      <c r="C2098" s="315"/>
      <c r="D2098" s="315"/>
      <c r="E2098" s="315"/>
      <c r="F2098" s="315"/>
      <c r="G2098" s="315"/>
      <c r="H2098" s="315"/>
      <c r="I2098" s="315"/>
      <c r="J2098" s="315"/>
      <c r="K2098" s="315"/>
      <c r="L2098" s="315"/>
    </row>
    <row r="2099" spans="1:12">
      <c r="A2099" s="315"/>
      <c r="B2099" s="315"/>
      <c r="C2099" s="315"/>
      <c r="D2099" s="315"/>
      <c r="E2099" s="315"/>
      <c r="F2099" s="315"/>
      <c r="G2099" s="315"/>
      <c r="H2099" s="315"/>
      <c r="I2099" s="315"/>
      <c r="J2099" s="315"/>
      <c r="K2099" s="315"/>
      <c r="L2099" s="315"/>
    </row>
    <row r="2100" spans="1:12">
      <c r="A2100" s="315"/>
      <c r="B2100" s="315"/>
      <c r="C2100" s="315"/>
      <c r="D2100" s="315"/>
      <c r="E2100" s="315"/>
      <c r="F2100" s="315"/>
      <c r="G2100" s="315"/>
      <c r="H2100" s="315"/>
      <c r="I2100" s="315"/>
      <c r="J2100" s="315"/>
      <c r="K2100" s="315"/>
      <c r="L2100" s="315"/>
    </row>
    <row r="2101" spans="1:12">
      <c r="A2101" s="315"/>
      <c r="B2101" s="315"/>
      <c r="C2101" s="315"/>
      <c r="D2101" s="315"/>
      <c r="E2101" s="315"/>
      <c r="F2101" s="315"/>
      <c r="G2101" s="315"/>
      <c r="H2101" s="315"/>
      <c r="I2101" s="315"/>
      <c r="J2101" s="315"/>
      <c r="K2101" s="315"/>
      <c r="L2101" s="315"/>
    </row>
    <row r="2102" spans="1:12">
      <c r="A2102" s="315"/>
      <c r="B2102" s="315"/>
      <c r="C2102" s="315"/>
      <c r="D2102" s="315"/>
      <c r="E2102" s="315"/>
      <c r="F2102" s="315"/>
      <c r="G2102" s="315"/>
      <c r="H2102" s="315"/>
      <c r="I2102" s="315"/>
      <c r="J2102" s="315"/>
      <c r="K2102" s="315"/>
      <c r="L2102" s="315"/>
    </row>
    <row r="2103" spans="1:12">
      <c r="A2103" s="315"/>
      <c r="B2103" s="315"/>
      <c r="C2103" s="315"/>
      <c r="D2103" s="315"/>
      <c r="E2103" s="315"/>
      <c r="F2103" s="315"/>
      <c r="G2103" s="315"/>
      <c r="H2103" s="315"/>
      <c r="I2103" s="315"/>
      <c r="J2103" s="315"/>
      <c r="K2103" s="315"/>
      <c r="L2103" s="315"/>
    </row>
    <row r="2104" spans="1:12">
      <c r="A2104" s="315"/>
      <c r="B2104" s="315"/>
      <c r="C2104" s="315"/>
      <c r="D2104" s="315"/>
      <c r="E2104" s="315"/>
      <c r="F2104" s="315"/>
      <c r="G2104" s="315"/>
      <c r="H2104" s="315"/>
      <c r="I2104" s="315"/>
      <c r="J2104" s="315"/>
      <c r="K2104" s="315"/>
      <c r="L2104" s="315"/>
    </row>
    <row r="2105" spans="1:12">
      <c r="A2105" s="315"/>
      <c r="B2105" s="315"/>
      <c r="C2105" s="315"/>
      <c r="D2105" s="315"/>
      <c r="E2105" s="315"/>
      <c r="F2105" s="315"/>
      <c r="G2105" s="315"/>
      <c r="H2105" s="315"/>
      <c r="I2105" s="315"/>
      <c r="J2105" s="315"/>
      <c r="K2105" s="315"/>
      <c r="L2105" s="315"/>
    </row>
    <row r="2106" spans="1:12">
      <c r="A2106" s="315"/>
      <c r="B2106" s="315"/>
      <c r="C2106" s="315"/>
      <c r="D2106" s="315"/>
      <c r="E2106" s="315"/>
      <c r="F2106" s="315"/>
      <c r="G2106" s="315"/>
      <c r="H2106" s="315"/>
      <c r="I2106" s="315"/>
      <c r="J2106" s="315"/>
      <c r="K2106" s="315"/>
      <c r="L2106" s="315"/>
    </row>
    <row r="2107" spans="1:12">
      <c r="A2107" s="315"/>
      <c r="B2107" s="315"/>
      <c r="C2107" s="315"/>
      <c r="D2107" s="315"/>
      <c r="E2107" s="315"/>
      <c r="F2107" s="315"/>
      <c r="G2107" s="315"/>
      <c r="H2107" s="315"/>
      <c r="I2107" s="315"/>
      <c r="J2107" s="315"/>
      <c r="K2107" s="315"/>
      <c r="L2107" s="315"/>
    </row>
    <row r="2108" spans="1:12">
      <c r="A2108" s="315"/>
      <c r="B2108" s="315"/>
      <c r="C2108" s="315"/>
      <c r="D2108" s="315"/>
      <c r="E2108" s="315"/>
      <c r="F2108" s="315"/>
      <c r="G2108" s="315"/>
      <c r="H2108" s="315"/>
      <c r="I2108" s="315"/>
      <c r="J2108" s="315"/>
      <c r="K2108" s="315"/>
      <c r="L2108" s="315"/>
    </row>
    <row r="2109" spans="1:12">
      <c r="A2109" s="315"/>
      <c r="B2109" s="315"/>
      <c r="C2109" s="315"/>
      <c r="D2109" s="315"/>
      <c r="E2109" s="315"/>
      <c r="F2109" s="315"/>
      <c r="G2109" s="315"/>
      <c r="H2109" s="315"/>
      <c r="I2109" s="315"/>
      <c r="J2109" s="315"/>
      <c r="K2109" s="315"/>
      <c r="L2109" s="315"/>
    </row>
    <row r="2110" spans="1:12">
      <c r="A2110" s="315"/>
      <c r="B2110" s="315"/>
      <c r="C2110" s="315"/>
      <c r="D2110" s="315"/>
      <c r="E2110" s="315"/>
      <c r="F2110" s="315"/>
      <c r="G2110" s="315"/>
      <c r="H2110" s="315"/>
      <c r="I2110" s="315"/>
      <c r="J2110" s="315"/>
      <c r="K2110" s="315"/>
      <c r="L2110" s="315"/>
    </row>
    <row r="2111" spans="1:12">
      <c r="A2111" s="315"/>
      <c r="B2111" s="315"/>
      <c r="C2111" s="315"/>
      <c r="D2111" s="315"/>
      <c r="E2111" s="315"/>
      <c r="F2111" s="315"/>
      <c r="G2111" s="315"/>
      <c r="H2111" s="315"/>
      <c r="I2111" s="315"/>
      <c r="J2111" s="315"/>
      <c r="K2111" s="315"/>
      <c r="L2111" s="315"/>
    </row>
    <row r="2112" spans="1:12">
      <c r="A2112" s="315"/>
      <c r="B2112" s="315"/>
      <c r="C2112" s="315"/>
      <c r="D2112" s="315"/>
      <c r="E2112" s="315"/>
      <c r="F2112" s="315"/>
      <c r="G2112" s="315"/>
      <c r="H2112" s="315"/>
      <c r="I2112" s="315"/>
      <c r="J2112" s="315"/>
      <c r="K2112" s="315"/>
      <c r="L2112" s="315"/>
    </row>
    <row r="2113" spans="1:12">
      <c r="A2113" s="315"/>
      <c r="B2113" s="315"/>
      <c r="C2113" s="315"/>
      <c r="D2113" s="315"/>
      <c r="E2113" s="315"/>
      <c r="F2113" s="315"/>
      <c r="G2113" s="315"/>
      <c r="H2113" s="315"/>
      <c r="I2113" s="315"/>
      <c r="J2113" s="315"/>
      <c r="K2113" s="315"/>
      <c r="L2113" s="315"/>
    </row>
    <row r="2114" spans="1:12">
      <c r="A2114" s="315"/>
      <c r="B2114" s="315"/>
      <c r="C2114" s="315"/>
      <c r="D2114" s="315"/>
      <c r="E2114" s="315"/>
      <c r="F2114" s="315"/>
      <c r="G2114" s="315"/>
      <c r="H2114" s="315"/>
      <c r="I2114" s="315"/>
      <c r="J2114" s="315"/>
      <c r="K2114" s="315"/>
      <c r="L2114" s="315"/>
    </row>
    <row r="2115" spans="1:12">
      <c r="A2115" s="315"/>
      <c r="B2115" s="315"/>
      <c r="C2115" s="315"/>
      <c r="D2115" s="315"/>
      <c r="E2115" s="315"/>
      <c r="F2115" s="315"/>
      <c r="G2115" s="315"/>
      <c r="H2115" s="315"/>
      <c r="I2115" s="315"/>
      <c r="J2115" s="315"/>
      <c r="K2115" s="315"/>
      <c r="L2115" s="315"/>
    </row>
    <row r="2116" spans="1:12">
      <c r="A2116" s="315"/>
      <c r="B2116" s="315"/>
      <c r="C2116" s="315"/>
      <c r="D2116" s="315"/>
      <c r="E2116" s="315"/>
      <c r="F2116" s="315"/>
      <c r="G2116" s="315"/>
      <c r="H2116" s="315"/>
      <c r="I2116" s="315"/>
      <c r="J2116" s="315"/>
      <c r="K2116" s="315"/>
      <c r="L2116" s="315"/>
    </row>
    <row r="2117" spans="1:12">
      <c r="A2117" s="315"/>
      <c r="B2117" s="315"/>
      <c r="C2117" s="315"/>
      <c r="D2117" s="315"/>
      <c r="E2117" s="315"/>
      <c r="F2117" s="315"/>
      <c r="G2117" s="315"/>
      <c r="H2117" s="315"/>
      <c r="I2117" s="315"/>
      <c r="J2117" s="315"/>
      <c r="K2117" s="315"/>
      <c r="L2117" s="315"/>
    </row>
    <row r="2118" spans="1:12">
      <c r="A2118" s="315"/>
      <c r="B2118" s="315"/>
      <c r="C2118" s="315"/>
      <c r="D2118" s="315"/>
      <c r="E2118" s="315"/>
      <c r="F2118" s="315"/>
      <c r="G2118" s="315"/>
      <c r="H2118" s="315"/>
      <c r="I2118" s="315"/>
      <c r="J2118" s="315"/>
      <c r="K2118" s="315"/>
      <c r="L2118" s="315"/>
    </row>
    <row r="2119" spans="1:12">
      <c r="A2119" s="315"/>
      <c r="B2119" s="315"/>
      <c r="C2119" s="315"/>
      <c r="D2119" s="315"/>
      <c r="E2119" s="315"/>
      <c r="F2119" s="315"/>
      <c r="G2119" s="315"/>
      <c r="H2119" s="315"/>
      <c r="I2119" s="315"/>
      <c r="J2119" s="315"/>
      <c r="K2119" s="315"/>
      <c r="L2119" s="315"/>
    </row>
    <row r="2120" spans="1:12">
      <c r="A2120" s="315"/>
      <c r="B2120" s="315"/>
      <c r="C2120" s="315"/>
      <c r="D2120" s="315"/>
      <c r="E2120" s="315"/>
      <c r="F2120" s="315"/>
      <c r="G2120" s="315"/>
      <c r="H2120" s="315"/>
      <c r="I2120" s="315"/>
      <c r="J2120" s="315"/>
      <c r="K2120" s="315"/>
      <c r="L2120" s="315"/>
    </row>
    <row r="2121" spans="1:12">
      <c r="A2121" s="315"/>
      <c r="B2121" s="315"/>
      <c r="C2121" s="315"/>
      <c r="D2121" s="315"/>
      <c r="E2121" s="315"/>
      <c r="F2121" s="315"/>
      <c r="G2121" s="315"/>
      <c r="H2121" s="315"/>
      <c r="I2121" s="315"/>
      <c r="J2121" s="315"/>
      <c r="K2121" s="315"/>
      <c r="L2121" s="315"/>
    </row>
    <row r="2122" spans="1:12">
      <c r="A2122" s="315"/>
      <c r="B2122" s="315"/>
      <c r="C2122" s="315"/>
      <c r="D2122" s="315"/>
      <c r="E2122" s="315"/>
      <c r="F2122" s="315"/>
      <c r="G2122" s="315"/>
      <c r="H2122" s="315"/>
      <c r="I2122" s="315"/>
      <c r="J2122" s="315"/>
      <c r="K2122" s="315"/>
      <c r="L2122" s="315"/>
    </row>
    <row r="2123" spans="1:12">
      <c r="A2123" s="315"/>
      <c r="B2123" s="315"/>
      <c r="C2123" s="315"/>
      <c r="D2123" s="315"/>
      <c r="E2123" s="315"/>
      <c r="F2123" s="315"/>
      <c r="G2123" s="315"/>
      <c r="H2123" s="315"/>
      <c r="I2123" s="315"/>
      <c r="J2123" s="315"/>
      <c r="K2123" s="315"/>
      <c r="L2123" s="315"/>
    </row>
    <row r="2124" spans="1:12">
      <c r="A2124" s="315"/>
      <c r="B2124" s="315"/>
      <c r="C2124" s="315"/>
      <c r="D2124" s="315"/>
      <c r="E2124" s="315"/>
      <c r="F2124" s="315"/>
      <c r="G2124" s="315"/>
      <c r="H2124" s="315"/>
      <c r="I2124" s="315"/>
      <c r="J2124" s="315"/>
      <c r="K2124" s="315"/>
      <c r="L2124" s="315"/>
    </row>
    <row r="2125" spans="1:12">
      <c r="A2125" s="315"/>
      <c r="B2125" s="315"/>
      <c r="C2125" s="315"/>
      <c r="D2125" s="315"/>
      <c r="E2125" s="315"/>
      <c r="F2125" s="315"/>
      <c r="G2125" s="315"/>
      <c r="H2125" s="315"/>
      <c r="I2125" s="315"/>
      <c r="J2125" s="315"/>
      <c r="K2125" s="315"/>
      <c r="L2125" s="315"/>
    </row>
    <row r="2126" spans="1:12">
      <c r="A2126" s="315"/>
      <c r="B2126" s="315"/>
      <c r="C2126" s="315"/>
      <c r="D2126" s="315"/>
      <c r="E2126" s="315"/>
      <c r="F2126" s="315"/>
      <c r="G2126" s="315"/>
      <c r="H2126" s="315"/>
      <c r="I2126" s="315"/>
      <c r="J2126" s="315"/>
      <c r="K2126" s="315"/>
      <c r="L2126" s="315"/>
    </row>
    <row r="2127" spans="1:12">
      <c r="A2127" s="315"/>
      <c r="B2127" s="315"/>
      <c r="C2127" s="315"/>
      <c r="D2127" s="315"/>
      <c r="E2127" s="315"/>
      <c r="F2127" s="315"/>
      <c r="G2127" s="315"/>
      <c r="H2127" s="315"/>
      <c r="I2127" s="315"/>
      <c r="J2127" s="315"/>
      <c r="K2127" s="315"/>
      <c r="L2127" s="315"/>
    </row>
    <row r="2128" spans="1:12">
      <c r="A2128" s="315"/>
      <c r="B2128" s="315"/>
      <c r="C2128" s="315"/>
      <c r="D2128" s="315"/>
      <c r="E2128" s="315"/>
      <c r="F2128" s="315"/>
      <c r="G2128" s="315"/>
      <c r="H2128" s="315"/>
      <c r="I2128" s="315"/>
      <c r="J2128" s="315"/>
      <c r="K2128" s="315"/>
      <c r="L2128" s="315"/>
    </row>
    <row r="2129" spans="1:12">
      <c r="A2129" s="315"/>
      <c r="B2129" s="315"/>
      <c r="C2129" s="315"/>
      <c r="D2129" s="315"/>
      <c r="E2129" s="315"/>
      <c r="F2129" s="315"/>
      <c r="G2129" s="315"/>
      <c r="H2129" s="315"/>
      <c r="I2129" s="315"/>
      <c r="J2129" s="315"/>
      <c r="K2129" s="315"/>
      <c r="L2129" s="315"/>
    </row>
    <row r="2130" spans="1:12">
      <c r="A2130" s="315"/>
      <c r="B2130" s="315"/>
      <c r="C2130" s="315"/>
      <c r="D2130" s="315"/>
      <c r="E2130" s="315"/>
      <c r="F2130" s="315"/>
      <c r="G2130" s="315"/>
      <c r="H2130" s="315"/>
      <c r="I2130" s="315"/>
      <c r="J2130" s="315"/>
      <c r="K2130" s="315"/>
      <c r="L2130" s="315"/>
    </row>
    <row r="2131" spans="1:12">
      <c r="A2131" s="315"/>
      <c r="B2131" s="315"/>
      <c r="C2131" s="315"/>
      <c r="D2131" s="315"/>
      <c r="E2131" s="315"/>
      <c r="F2131" s="315"/>
      <c r="G2131" s="315"/>
      <c r="H2131" s="315"/>
      <c r="I2131" s="315"/>
      <c r="J2131" s="315"/>
      <c r="K2131" s="315"/>
      <c r="L2131" s="315"/>
    </row>
    <row r="2132" spans="1:12">
      <c r="A2132" s="315"/>
      <c r="B2132" s="315"/>
      <c r="C2132" s="315"/>
      <c r="D2132" s="315"/>
      <c r="E2132" s="315"/>
      <c r="F2132" s="315"/>
      <c r="G2132" s="315"/>
      <c r="H2132" s="315"/>
      <c r="I2132" s="315"/>
      <c r="J2132" s="315"/>
      <c r="K2132" s="315"/>
      <c r="L2132" s="315"/>
    </row>
    <row r="2133" spans="1:12">
      <c r="A2133" s="315"/>
      <c r="B2133" s="315"/>
      <c r="C2133" s="315"/>
      <c r="D2133" s="315"/>
      <c r="E2133" s="315"/>
      <c r="F2133" s="315"/>
      <c r="G2133" s="315"/>
      <c r="H2133" s="315"/>
      <c r="I2133" s="315"/>
      <c r="J2133" s="315"/>
      <c r="K2133" s="315"/>
      <c r="L2133" s="315"/>
    </row>
    <row r="2134" spans="1:12">
      <c r="A2134" s="315"/>
      <c r="B2134" s="315"/>
      <c r="C2134" s="315"/>
      <c r="D2134" s="315"/>
      <c r="E2134" s="315"/>
      <c r="F2134" s="315"/>
      <c r="G2134" s="315"/>
      <c r="H2134" s="315"/>
      <c r="I2134" s="315"/>
      <c r="J2134" s="315"/>
      <c r="K2134" s="315"/>
      <c r="L2134" s="315"/>
    </row>
    <row r="2135" spans="1:12">
      <c r="A2135" s="315"/>
      <c r="B2135" s="315"/>
      <c r="C2135" s="315"/>
      <c r="D2135" s="315"/>
      <c r="E2135" s="315"/>
      <c r="F2135" s="315"/>
      <c r="G2135" s="315"/>
      <c r="H2135" s="315"/>
      <c r="I2135" s="315"/>
      <c r="J2135" s="315"/>
      <c r="K2135" s="315"/>
      <c r="L2135" s="315"/>
    </row>
    <row r="2136" spans="1:12">
      <c r="A2136" s="315"/>
      <c r="B2136" s="315"/>
      <c r="C2136" s="315"/>
      <c r="D2136" s="315"/>
      <c r="E2136" s="315"/>
      <c r="F2136" s="315"/>
      <c r="G2136" s="315"/>
      <c r="H2136" s="315"/>
      <c r="I2136" s="315"/>
      <c r="J2136" s="315"/>
      <c r="K2136" s="315"/>
      <c r="L2136" s="315"/>
    </row>
    <row r="2137" spans="1:12">
      <c r="A2137" s="315"/>
      <c r="B2137" s="315"/>
      <c r="C2137" s="315"/>
      <c r="D2137" s="315"/>
      <c r="E2137" s="315"/>
      <c r="F2137" s="315"/>
      <c r="G2137" s="315"/>
      <c r="H2137" s="315"/>
      <c r="I2137" s="315"/>
      <c r="J2137" s="315"/>
      <c r="K2137" s="315"/>
      <c r="L2137" s="315"/>
    </row>
    <row r="2138" spans="1:12">
      <c r="A2138" s="315"/>
      <c r="B2138" s="315"/>
      <c r="C2138" s="315"/>
      <c r="D2138" s="315"/>
      <c r="E2138" s="315"/>
      <c r="F2138" s="315"/>
      <c r="G2138" s="315"/>
      <c r="H2138" s="315"/>
      <c r="I2138" s="315"/>
      <c r="J2138" s="315"/>
      <c r="K2138" s="315"/>
      <c r="L2138" s="315"/>
    </row>
    <row r="2139" spans="1:12">
      <c r="A2139" s="315"/>
      <c r="B2139" s="315"/>
      <c r="C2139" s="315"/>
      <c r="D2139" s="315"/>
      <c r="E2139" s="315"/>
      <c r="F2139" s="315"/>
      <c r="G2139" s="315"/>
      <c r="H2139" s="315"/>
      <c r="I2139" s="315"/>
      <c r="J2139" s="315"/>
      <c r="K2139" s="315"/>
      <c r="L2139" s="315"/>
    </row>
    <row r="2140" spans="1:12">
      <c r="A2140" s="315"/>
      <c r="B2140" s="315"/>
      <c r="C2140" s="315"/>
      <c r="D2140" s="315"/>
      <c r="E2140" s="315"/>
      <c r="F2140" s="315"/>
      <c r="G2140" s="315"/>
      <c r="H2140" s="315"/>
      <c r="I2140" s="315"/>
      <c r="J2140" s="315"/>
      <c r="K2140" s="315"/>
      <c r="L2140" s="315"/>
    </row>
    <row r="2141" spans="1:12">
      <c r="A2141" s="315"/>
      <c r="B2141" s="315"/>
      <c r="C2141" s="315"/>
      <c r="D2141" s="315"/>
      <c r="E2141" s="315"/>
      <c r="F2141" s="315"/>
      <c r="G2141" s="315"/>
      <c r="H2141" s="315"/>
      <c r="I2141" s="315"/>
      <c r="J2141" s="315"/>
      <c r="K2141" s="315"/>
      <c r="L2141" s="315"/>
    </row>
    <row r="2142" spans="1:12">
      <c r="A2142" s="315"/>
      <c r="B2142" s="315"/>
      <c r="C2142" s="315"/>
      <c r="D2142" s="315"/>
      <c r="E2142" s="315"/>
      <c r="F2142" s="315"/>
      <c r="G2142" s="315"/>
      <c r="H2142" s="315"/>
      <c r="I2142" s="315"/>
      <c r="J2142" s="315"/>
      <c r="K2142" s="315"/>
      <c r="L2142" s="315"/>
    </row>
    <row r="2143" spans="1:12">
      <c r="A2143" s="315"/>
      <c r="B2143" s="315"/>
      <c r="C2143" s="315"/>
      <c r="D2143" s="315"/>
      <c r="E2143" s="315"/>
      <c r="F2143" s="315"/>
      <c r="G2143" s="315"/>
      <c r="H2143" s="315"/>
      <c r="I2143" s="315"/>
      <c r="J2143" s="315"/>
      <c r="K2143" s="315"/>
      <c r="L2143" s="315"/>
    </row>
    <row r="2144" spans="1:12">
      <c r="A2144" s="315"/>
      <c r="B2144" s="315"/>
      <c r="C2144" s="315"/>
      <c r="D2144" s="315"/>
      <c r="E2144" s="315"/>
      <c r="F2144" s="315"/>
      <c r="G2144" s="315"/>
      <c r="H2144" s="315"/>
      <c r="I2144" s="315"/>
      <c r="J2144" s="315"/>
      <c r="K2144" s="315"/>
      <c r="L2144" s="315"/>
    </row>
    <row r="2145" spans="1:12">
      <c r="A2145" s="315"/>
      <c r="B2145" s="315"/>
      <c r="C2145" s="315"/>
      <c r="D2145" s="315"/>
      <c r="E2145" s="315"/>
      <c r="F2145" s="315"/>
      <c r="G2145" s="315"/>
      <c r="H2145" s="315"/>
      <c r="I2145" s="315"/>
      <c r="J2145" s="315"/>
      <c r="K2145" s="315"/>
      <c r="L2145" s="315"/>
    </row>
    <row r="2146" spans="1:12">
      <c r="A2146" s="315"/>
      <c r="B2146" s="315"/>
      <c r="C2146" s="315"/>
      <c r="D2146" s="315"/>
      <c r="E2146" s="315"/>
      <c r="F2146" s="315"/>
      <c r="G2146" s="315"/>
      <c r="H2146" s="315"/>
      <c r="I2146" s="315"/>
      <c r="J2146" s="315"/>
      <c r="K2146" s="315"/>
      <c r="L2146" s="315"/>
    </row>
    <row r="2147" spans="1:12">
      <c r="A2147" s="315"/>
      <c r="B2147" s="315"/>
      <c r="C2147" s="315"/>
      <c r="D2147" s="315"/>
      <c r="E2147" s="315"/>
      <c r="F2147" s="315"/>
      <c r="G2147" s="315"/>
      <c r="H2147" s="315"/>
      <c r="I2147" s="315"/>
      <c r="J2147" s="315"/>
      <c r="K2147" s="315"/>
      <c r="L2147" s="315"/>
    </row>
    <row r="2148" spans="1:12">
      <c r="A2148" s="315"/>
      <c r="B2148" s="315"/>
      <c r="C2148" s="315"/>
      <c r="D2148" s="315"/>
      <c r="E2148" s="315"/>
      <c r="F2148" s="315"/>
      <c r="G2148" s="315"/>
      <c r="H2148" s="315"/>
      <c r="I2148" s="315"/>
      <c r="J2148" s="315"/>
      <c r="K2148" s="315"/>
      <c r="L2148" s="315"/>
    </row>
    <row r="2149" spans="1:12">
      <c r="A2149" s="315"/>
      <c r="B2149" s="315"/>
      <c r="C2149" s="315"/>
      <c r="D2149" s="315"/>
      <c r="E2149" s="315"/>
      <c r="F2149" s="315"/>
      <c r="G2149" s="315"/>
      <c r="H2149" s="315"/>
      <c r="I2149" s="315"/>
      <c r="J2149" s="315"/>
      <c r="K2149" s="315"/>
      <c r="L2149" s="315"/>
    </row>
    <row r="2150" spans="1:12">
      <c r="A2150" s="315"/>
      <c r="B2150" s="315"/>
      <c r="C2150" s="315"/>
      <c r="D2150" s="315"/>
      <c r="E2150" s="315"/>
      <c r="F2150" s="315"/>
      <c r="G2150" s="315"/>
      <c r="H2150" s="315"/>
      <c r="I2150" s="315"/>
      <c r="J2150" s="315"/>
      <c r="K2150" s="315"/>
      <c r="L2150" s="315"/>
    </row>
    <row r="2151" spans="1:12">
      <c r="A2151" s="315"/>
      <c r="B2151" s="315"/>
      <c r="C2151" s="315"/>
      <c r="D2151" s="315"/>
      <c r="E2151" s="315"/>
      <c r="F2151" s="315"/>
      <c r="G2151" s="315"/>
      <c r="H2151" s="315"/>
      <c r="I2151" s="315"/>
      <c r="J2151" s="315"/>
      <c r="K2151" s="315"/>
      <c r="L2151" s="315"/>
    </row>
    <row r="2152" spans="1:12">
      <c r="A2152" s="315"/>
      <c r="B2152" s="315"/>
      <c r="C2152" s="315"/>
      <c r="D2152" s="315"/>
      <c r="E2152" s="315"/>
      <c r="F2152" s="315"/>
      <c r="G2152" s="315"/>
      <c r="H2152" s="315"/>
      <c r="I2152" s="315"/>
      <c r="J2152" s="315"/>
      <c r="K2152" s="315"/>
      <c r="L2152" s="315"/>
    </row>
    <row r="2153" spans="1:12">
      <c r="A2153" s="315"/>
      <c r="B2153" s="315"/>
      <c r="C2153" s="315"/>
      <c r="D2153" s="315"/>
      <c r="E2153" s="315"/>
      <c r="F2153" s="315"/>
      <c r="G2153" s="315"/>
      <c r="H2153" s="315"/>
      <c r="I2153" s="315"/>
      <c r="J2153" s="315"/>
      <c r="K2153" s="315"/>
      <c r="L2153" s="315"/>
    </row>
    <row r="2154" spans="1:12">
      <c r="A2154" s="315"/>
      <c r="B2154" s="315"/>
      <c r="C2154" s="315"/>
      <c r="D2154" s="315"/>
      <c r="E2154" s="315"/>
      <c r="F2154" s="315"/>
      <c r="G2154" s="315"/>
      <c r="H2154" s="315"/>
      <c r="I2154" s="315"/>
      <c r="J2154" s="315"/>
      <c r="K2154" s="315"/>
      <c r="L2154" s="315"/>
    </row>
    <row r="2155" spans="1:12">
      <c r="A2155" s="315"/>
      <c r="B2155" s="315"/>
      <c r="C2155" s="315"/>
      <c r="D2155" s="315"/>
      <c r="E2155" s="315"/>
      <c r="F2155" s="315"/>
      <c r="G2155" s="315"/>
      <c r="H2155" s="315"/>
      <c r="I2155" s="315"/>
      <c r="J2155" s="315"/>
      <c r="K2155" s="315"/>
      <c r="L2155" s="315"/>
    </row>
    <row r="2156" spans="1:12">
      <c r="A2156" s="315"/>
      <c r="B2156" s="315"/>
      <c r="C2156" s="315"/>
      <c r="D2156" s="315"/>
      <c r="E2156" s="315"/>
      <c r="F2156" s="315"/>
      <c r="G2156" s="315"/>
      <c r="H2156" s="315"/>
      <c r="I2156" s="315"/>
      <c r="J2156" s="315"/>
      <c r="K2156" s="315"/>
      <c r="L2156" s="315"/>
    </row>
    <row r="2157" spans="1:12">
      <c r="A2157" s="315"/>
      <c r="B2157" s="315"/>
      <c r="C2157" s="315"/>
      <c r="D2157" s="315"/>
      <c r="E2157" s="315"/>
      <c r="F2157" s="315"/>
      <c r="G2157" s="315"/>
      <c r="H2157" s="315"/>
      <c r="I2157" s="315"/>
      <c r="J2157" s="315"/>
      <c r="K2157" s="315"/>
      <c r="L2157" s="315"/>
    </row>
    <row r="2158" spans="1:12">
      <c r="A2158" s="315"/>
      <c r="B2158" s="315"/>
      <c r="C2158" s="315"/>
      <c r="D2158" s="315"/>
      <c r="E2158" s="315"/>
      <c r="F2158" s="315"/>
      <c r="G2158" s="315"/>
      <c r="H2158" s="315"/>
      <c r="I2158" s="315"/>
      <c r="J2158" s="315"/>
      <c r="K2158" s="315"/>
      <c r="L2158" s="315"/>
    </row>
    <row r="2159" spans="1:12">
      <c r="A2159" s="315"/>
      <c r="B2159" s="315"/>
      <c r="C2159" s="315"/>
      <c r="D2159" s="315"/>
      <c r="E2159" s="315"/>
      <c r="F2159" s="315"/>
      <c r="G2159" s="315"/>
      <c r="H2159" s="315"/>
      <c r="I2159" s="315"/>
      <c r="J2159" s="315"/>
      <c r="K2159" s="315"/>
      <c r="L2159" s="315"/>
    </row>
    <row r="2160" spans="1:12">
      <c r="A2160" s="315"/>
      <c r="B2160" s="315"/>
      <c r="C2160" s="315"/>
      <c r="D2160" s="315"/>
      <c r="E2160" s="315"/>
      <c r="F2160" s="315"/>
      <c r="G2160" s="315"/>
      <c r="H2160" s="315"/>
      <c r="I2160" s="315"/>
      <c r="J2160" s="315"/>
      <c r="K2160" s="315"/>
      <c r="L2160" s="315"/>
    </row>
    <row r="2161" spans="1:12">
      <c r="A2161" s="315"/>
      <c r="B2161" s="315"/>
      <c r="C2161" s="315"/>
      <c r="D2161" s="315"/>
      <c r="E2161" s="315"/>
      <c r="F2161" s="315"/>
      <c r="G2161" s="315"/>
      <c r="H2161" s="315"/>
      <c r="I2161" s="315"/>
      <c r="J2161" s="315"/>
      <c r="K2161" s="315"/>
      <c r="L2161" s="315"/>
    </row>
    <row r="2162" spans="1:12">
      <c r="A2162" s="315"/>
      <c r="B2162" s="315"/>
      <c r="C2162" s="315"/>
      <c r="D2162" s="315"/>
      <c r="E2162" s="315"/>
      <c r="F2162" s="315"/>
      <c r="G2162" s="315"/>
      <c r="H2162" s="315"/>
      <c r="I2162" s="315"/>
      <c r="J2162" s="315"/>
      <c r="K2162" s="315"/>
      <c r="L2162" s="315"/>
    </row>
    <row r="2163" spans="1:12">
      <c r="A2163" s="315"/>
      <c r="B2163" s="315"/>
      <c r="C2163" s="315"/>
      <c r="D2163" s="315"/>
      <c r="E2163" s="315"/>
      <c r="F2163" s="315"/>
      <c r="G2163" s="315"/>
      <c r="H2163" s="315"/>
      <c r="I2163" s="315"/>
      <c r="J2163" s="315"/>
      <c r="K2163" s="315"/>
      <c r="L2163" s="315"/>
    </row>
    <row r="2164" spans="1:12">
      <c r="A2164" s="315"/>
      <c r="B2164" s="315"/>
      <c r="C2164" s="315"/>
      <c r="D2164" s="315"/>
      <c r="E2164" s="315"/>
      <c r="F2164" s="315"/>
      <c r="G2164" s="315"/>
      <c r="H2164" s="315"/>
      <c r="I2164" s="315"/>
      <c r="J2164" s="315"/>
      <c r="K2164" s="315"/>
      <c r="L2164" s="315"/>
    </row>
    <row r="2165" spans="1:12">
      <c r="A2165" s="315"/>
      <c r="B2165" s="315"/>
      <c r="C2165" s="315"/>
      <c r="D2165" s="315"/>
      <c r="E2165" s="315"/>
      <c r="F2165" s="315"/>
      <c r="G2165" s="315"/>
      <c r="H2165" s="315"/>
      <c r="I2165" s="315"/>
      <c r="J2165" s="315"/>
      <c r="K2165" s="315"/>
      <c r="L2165" s="315"/>
    </row>
    <row r="2166" spans="1:12">
      <c r="A2166" s="315"/>
      <c r="B2166" s="315"/>
      <c r="C2166" s="315"/>
      <c r="D2166" s="315"/>
      <c r="E2166" s="315"/>
      <c r="F2166" s="315"/>
      <c r="G2166" s="315"/>
      <c r="H2166" s="315"/>
      <c r="I2166" s="315"/>
      <c r="J2166" s="315"/>
      <c r="K2166" s="315"/>
      <c r="L2166" s="315"/>
    </row>
    <row r="2167" spans="1:12">
      <c r="A2167" s="315"/>
      <c r="B2167" s="315"/>
      <c r="C2167" s="315"/>
      <c r="D2167" s="315"/>
      <c r="E2167" s="315"/>
      <c r="F2167" s="315"/>
      <c r="G2167" s="315"/>
      <c r="H2167" s="315"/>
      <c r="I2167" s="315"/>
      <c r="J2167" s="315"/>
      <c r="K2167" s="315"/>
      <c r="L2167" s="315"/>
    </row>
    <row r="2168" spans="1:12">
      <c r="A2168" s="315"/>
      <c r="B2168" s="315"/>
      <c r="C2168" s="315"/>
      <c r="D2168" s="315"/>
      <c r="E2168" s="315"/>
      <c r="F2168" s="315"/>
      <c r="G2168" s="315"/>
      <c r="H2168" s="315"/>
      <c r="I2168" s="315"/>
      <c r="J2168" s="315"/>
      <c r="K2168" s="315"/>
      <c r="L2168" s="315"/>
    </row>
    <row r="2169" spans="1:12">
      <c r="A2169" s="315"/>
      <c r="B2169" s="315"/>
      <c r="C2169" s="315"/>
      <c r="D2169" s="315"/>
      <c r="E2169" s="315"/>
      <c r="F2169" s="315"/>
      <c r="G2169" s="315"/>
      <c r="H2169" s="315"/>
      <c r="I2169" s="315"/>
      <c r="J2169" s="315"/>
      <c r="K2169" s="315"/>
      <c r="L2169" s="315"/>
    </row>
    <row r="2170" spans="1:12">
      <c r="A2170" s="315"/>
      <c r="B2170" s="315"/>
      <c r="C2170" s="315"/>
      <c r="D2170" s="315"/>
      <c r="E2170" s="315"/>
      <c r="F2170" s="315"/>
      <c r="G2170" s="315"/>
      <c r="H2170" s="315"/>
      <c r="I2170" s="315"/>
      <c r="J2170" s="315"/>
      <c r="K2170" s="315"/>
      <c r="L2170" s="315"/>
    </row>
    <row r="2171" spans="1:12">
      <c r="A2171" s="315"/>
      <c r="B2171" s="315"/>
      <c r="C2171" s="315"/>
      <c r="D2171" s="315"/>
      <c r="E2171" s="315"/>
      <c r="F2171" s="315"/>
      <c r="G2171" s="315"/>
      <c r="H2171" s="315"/>
      <c r="I2171" s="315"/>
      <c r="J2171" s="315"/>
      <c r="K2171" s="315"/>
      <c r="L2171" s="315"/>
    </row>
    <row r="2172" spans="1:12">
      <c r="A2172" s="315"/>
      <c r="B2172" s="315"/>
      <c r="C2172" s="315"/>
      <c r="D2172" s="315"/>
      <c r="E2172" s="315"/>
      <c r="F2172" s="315"/>
      <c r="G2172" s="315"/>
      <c r="H2172" s="315"/>
      <c r="I2172" s="315"/>
      <c r="J2172" s="315"/>
      <c r="K2172" s="315"/>
      <c r="L2172" s="315"/>
    </row>
    <row r="2173" spans="1:12">
      <c r="A2173" s="315"/>
      <c r="B2173" s="315"/>
      <c r="C2173" s="315"/>
      <c r="D2173" s="315"/>
      <c r="E2173" s="315"/>
      <c r="F2173" s="315"/>
      <c r="G2173" s="315"/>
      <c r="H2173" s="315"/>
      <c r="I2173" s="315"/>
      <c r="J2173" s="315"/>
      <c r="K2173" s="315"/>
      <c r="L2173" s="315"/>
    </row>
    <row r="2174" spans="1:12">
      <c r="A2174" s="315"/>
      <c r="B2174" s="315"/>
      <c r="C2174" s="315"/>
      <c r="D2174" s="315"/>
      <c r="E2174" s="315"/>
      <c r="F2174" s="315"/>
      <c r="G2174" s="315"/>
      <c r="H2174" s="315"/>
      <c r="I2174" s="315"/>
      <c r="J2174" s="315"/>
      <c r="K2174" s="315"/>
      <c r="L2174" s="315"/>
    </row>
    <row r="2175" spans="1:12">
      <c r="A2175" s="315"/>
      <c r="B2175" s="315"/>
      <c r="C2175" s="315"/>
      <c r="D2175" s="315"/>
      <c r="E2175" s="315"/>
      <c r="F2175" s="315"/>
      <c r="G2175" s="315"/>
      <c r="H2175" s="315"/>
      <c r="I2175" s="315"/>
      <c r="J2175" s="315"/>
      <c r="K2175" s="315"/>
      <c r="L2175" s="315"/>
    </row>
    <row r="2176" spans="1:12">
      <c r="A2176" s="315"/>
      <c r="B2176" s="315"/>
      <c r="C2176" s="315"/>
      <c r="D2176" s="315"/>
      <c r="E2176" s="315"/>
      <c r="F2176" s="315"/>
      <c r="G2176" s="315"/>
      <c r="H2176" s="315"/>
      <c r="I2176" s="315"/>
      <c r="J2176" s="315"/>
      <c r="K2176" s="315"/>
      <c r="L2176" s="315"/>
    </row>
    <row r="2177" spans="1:12">
      <c r="A2177" s="315"/>
      <c r="B2177" s="315"/>
      <c r="C2177" s="315"/>
      <c r="D2177" s="315"/>
      <c r="E2177" s="315"/>
      <c r="F2177" s="315"/>
      <c r="G2177" s="315"/>
      <c r="H2177" s="315"/>
      <c r="I2177" s="315"/>
      <c r="J2177" s="315"/>
      <c r="K2177" s="315"/>
      <c r="L2177" s="315"/>
    </row>
    <row r="2178" spans="1:12">
      <c r="A2178" s="315"/>
      <c r="B2178" s="315"/>
      <c r="C2178" s="315"/>
      <c r="D2178" s="315"/>
      <c r="E2178" s="315"/>
      <c r="F2178" s="315"/>
      <c r="G2178" s="315"/>
      <c r="H2178" s="315"/>
      <c r="I2178" s="315"/>
      <c r="J2178" s="315"/>
      <c r="K2178" s="315"/>
      <c r="L2178" s="315"/>
    </row>
    <row r="2179" spans="1:12">
      <c r="A2179" s="315"/>
      <c r="B2179" s="315"/>
      <c r="C2179" s="315"/>
      <c r="D2179" s="315"/>
      <c r="E2179" s="315"/>
      <c r="F2179" s="315"/>
      <c r="G2179" s="315"/>
      <c r="H2179" s="315"/>
      <c r="I2179" s="315"/>
      <c r="J2179" s="315"/>
      <c r="K2179" s="315"/>
      <c r="L2179" s="315"/>
    </row>
    <row r="2180" spans="1:12">
      <c r="A2180" s="315"/>
      <c r="B2180" s="315"/>
      <c r="C2180" s="315"/>
      <c r="D2180" s="315"/>
      <c r="E2180" s="315"/>
      <c r="F2180" s="315"/>
      <c r="G2180" s="315"/>
      <c r="H2180" s="315"/>
      <c r="I2180" s="315"/>
      <c r="J2180" s="315"/>
      <c r="K2180" s="315"/>
      <c r="L2180" s="315"/>
    </row>
    <row r="2181" spans="1:12">
      <c r="A2181" s="315"/>
      <c r="B2181" s="315"/>
      <c r="C2181" s="315"/>
      <c r="D2181" s="315"/>
      <c r="E2181" s="315"/>
      <c r="F2181" s="315"/>
      <c r="G2181" s="315"/>
      <c r="H2181" s="315"/>
      <c r="I2181" s="315"/>
      <c r="J2181" s="315"/>
      <c r="K2181" s="315"/>
      <c r="L2181" s="315"/>
    </row>
    <row r="2182" spans="1:12">
      <c r="A2182" s="315"/>
      <c r="B2182" s="315"/>
      <c r="C2182" s="315"/>
      <c r="D2182" s="315"/>
      <c r="E2182" s="315"/>
      <c r="F2182" s="315"/>
      <c r="G2182" s="315"/>
      <c r="H2182" s="315"/>
      <c r="I2182" s="315"/>
      <c r="J2182" s="315"/>
      <c r="K2182" s="315"/>
      <c r="L2182" s="315"/>
    </row>
    <row r="2183" spans="1:12">
      <c r="A2183" s="315"/>
      <c r="B2183" s="315"/>
      <c r="C2183" s="315"/>
      <c r="D2183" s="315"/>
      <c r="E2183" s="315"/>
      <c r="F2183" s="315"/>
      <c r="G2183" s="315"/>
      <c r="H2183" s="315"/>
      <c r="I2183" s="315"/>
      <c r="J2183" s="315"/>
      <c r="K2183" s="315"/>
      <c r="L2183" s="315"/>
    </row>
    <row r="2184" spans="1:12">
      <c r="A2184" s="315"/>
      <c r="B2184" s="315"/>
      <c r="C2184" s="315"/>
      <c r="D2184" s="315"/>
      <c r="E2184" s="315"/>
      <c r="F2184" s="315"/>
      <c r="G2184" s="315"/>
      <c r="H2184" s="315"/>
      <c r="I2184" s="315"/>
      <c r="J2184" s="315"/>
      <c r="K2184" s="315"/>
      <c r="L2184" s="315"/>
    </row>
    <row r="2185" spans="1:12">
      <c r="A2185" s="315"/>
      <c r="B2185" s="315"/>
      <c r="C2185" s="315"/>
      <c r="D2185" s="315"/>
      <c r="E2185" s="315"/>
      <c r="F2185" s="315"/>
      <c r="G2185" s="315"/>
      <c r="H2185" s="315"/>
      <c r="I2185" s="315"/>
      <c r="J2185" s="315"/>
      <c r="K2185" s="315"/>
      <c r="L2185" s="315"/>
    </row>
    <row r="2186" spans="1:12">
      <c r="A2186" s="315"/>
      <c r="B2186" s="315"/>
      <c r="C2186" s="315"/>
      <c r="D2186" s="315"/>
      <c r="E2186" s="315"/>
      <c r="F2186" s="315"/>
      <c r="G2186" s="315"/>
      <c r="H2186" s="315"/>
      <c r="I2186" s="315"/>
      <c r="J2186" s="315"/>
      <c r="K2186" s="315"/>
      <c r="L2186" s="315"/>
    </row>
    <row r="2187" spans="1:12">
      <c r="A2187" s="315"/>
      <c r="B2187" s="315"/>
      <c r="C2187" s="315"/>
      <c r="D2187" s="315"/>
      <c r="E2187" s="315"/>
      <c r="F2187" s="315"/>
      <c r="G2187" s="315"/>
      <c r="H2187" s="315"/>
      <c r="I2187" s="315"/>
      <c r="J2187" s="315"/>
      <c r="K2187" s="315"/>
      <c r="L2187" s="315"/>
    </row>
    <row r="2188" spans="1:12">
      <c r="A2188" s="315"/>
      <c r="B2188" s="315"/>
      <c r="C2188" s="315"/>
      <c r="D2188" s="315"/>
      <c r="E2188" s="315"/>
      <c r="F2188" s="315"/>
      <c r="G2188" s="315"/>
      <c r="H2188" s="315"/>
      <c r="I2188" s="315"/>
      <c r="J2188" s="315"/>
      <c r="K2188" s="315"/>
      <c r="L2188" s="315"/>
    </row>
    <row r="2189" spans="1:12">
      <c r="A2189" s="315"/>
      <c r="B2189" s="315"/>
      <c r="C2189" s="315"/>
      <c r="D2189" s="315"/>
      <c r="E2189" s="315"/>
      <c r="F2189" s="315"/>
      <c r="G2189" s="315"/>
      <c r="H2189" s="315"/>
      <c r="I2189" s="315"/>
      <c r="J2189" s="315"/>
      <c r="K2189" s="315"/>
      <c r="L2189" s="315"/>
    </row>
    <row r="2190" spans="1:12">
      <c r="A2190" s="315"/>
      <c r="B2190" s="315"/>
      <c r="C2190" s="315"/>
      <c r="D2190" s="315"/>
      <c r="E2190" s="315"/>
      <c r="F2190" s="315"/>
      <c r="G2190" s="315"/>
      <c r="H2190" s="315"/>
      <c r="I2190" s="315"/>
      <c r="J2190" s="315"/>
      <c r="K2190" s="315"/>
      <c r="L2190" s="315"/>
    </row>
    <row r="2191" spans="1:12">
      <c r="A2191" s="315"/>
      <c r="B2191" s="315"/>
      <c r="C2191" s="315"/>
      <c r="D2191" s="315"/>
      <c r="E2191" s="315"/>
      <c r="F2191" s="315"/>
      <c r="G2191" s="315"/>
      <c r="H2191" s="315"/>
      <c r="I2191" s="315"/>
      <c r="J2191" s="315"/>
      <c r="K2191" s="315"/>
      <c r="L2191" s="315"/>
    </row>
    <row r="2192" spans="1:12">
      <c r="A2192" s="315"/>
      <c r="B2192" s="315"/>
      <c r="C2192" s="315"/>
      <c r="D2192" s="315"/>
      <c r="E2192" s="315"/>
      <c r="F2192" s="315"/>
      <c r="G2192" s="315"/>
      <c r="H2192" s="315"/>
      <c r="I2192" s="315"/>
      <c r="J2192" s="315"/>
      <c r="K2192" s="315"/>
      <c r="L2192" s="315"/>
    </row>
    <row r="2193" spans="1:12">
      <c r="A2193" s="315"/>
      <c r="B2193" s="315"/>
      <c r="C2193" s="315"/>
      <c r="D2193" s="315"/>
      <c r="E2193" s="315"/>
      <c r="F2193" s="315"/>
      <c r="G2193" s="315"/>
      <c r="H2193" s="315"/>
      <c r="I2193" s="315"/>
      <c r="J2193" s="315"/>
      <c r="K2193" s="315"/>
      <c r="L2193" s="315"/>
    </row>
    <row r="2194" spans="1:12">
      <c r="A2194" s="315"/>
      <c r="B2194" s="315"/>
      <c r="C2194" s="315"/>
      <c r="D2194" s="315"/>
      <c r="E2194" s="315"/>
      <c r="F2194" s="315"/>
      <c r="G2194" s="315"/>
      <c r="H2194" s="315"/>
      <c r="I2194" s="315"/>
      <c r="J2194" s="315"/>
      <c r="K2194" s="315"/>
      <c r="L2194" s="315"/>
    </row>
    <row r="2195" spans="1:12">
      <c r="A2195" s="315"/>
      <c r="B2195" s="315"/>
      <c r="C2195" s="315"/>
      <c r="D2195" s="315"/>
      <c r="E2195" s="315"/>
      <c r="F2195" s="315"/>
      <c r="G2195" s="315"/>
      <c r="H2195" s="315"/>
      <c r="I2195" s="315"/>
      <c r="J2195" s="315"/>
      <c r="K2195" s="315"/>
      <c r="L2195" s="315"/>
    </row>
    <row r="2196" spans="1:12">
      <c r="A2196" s="315"/>
      <c r="B2196" s="315"/>
      <c r="C2196" s="315"/>
      <c r="D2196" s="315"/>
      <c r="E2196" s="315"/>
      <c r="F2196" s="315"/>
      <c r="G2196" s="315"/>
      <c r="H2196" s="315"/>
      <c r="I2196" s="315"/>
      <c r="J2196" s="315"/>
      <c r="K2196" s="315"/>
      <c r="L2196" s="315"/>
    </row>
    <row r="2197" spans="1:12">
      <c r="A2197" s="315"/>
      <c r="B2197" s="315"/>
      <c r="C2197" s="315"/>
      <c r="D2197" s="315"/>
      <c r="E2197" s="315"/>
      <c r="F2197" s="315"/>
      <c r="G2197" s="315"/>
      <c r="H2197" s="315"/>
      <c r="I2197" s="315"/>
      <c r="J2197" s="315"/>
      <c r="K2197" s="315"/>
      <c r="L2197" s="315"/>
    </row>
    <row r="2198" spans="1:12">
      <c r="A2198" s="315"/>
      <c r="B2198" s="315"/>
      <c r="C2198" s="315"/>
      <c r="D2198" s="315"/>
      <c r="E2198" s="315"/>
      <c r="F2198" s="315"/>
      <c r="G2198" s="315"/>
      <c r="H2198" s="315"/>
      <c r="I2198" s="315"/>
      <c r="J2198" s="315"/>
      <c r="K2198" s="315"/>
      <c r="L2198" s="315"/>
    </row>
    <row r="2199" spans="1:12">
      <c r="A2199" s="315"/>
      <c r="B2199" s="315"/>
      <c r="C2199" s="315"/>
      <c r="D2199" s="315"/>
      <c r="E2199" s="315"/>
      <c r="F2199" s="315"/>
      <c r="G2199" s="315"/>
      <c r="H2199" s="315"/>
      <c r="I2199" s="315"/>
      <c r="J2199" s="315"/>
      <c r="K2199" s="315"/>
      <c r="L2199" s="315"/>
    </row>
    <row r="2200" spans="1:12">
      <c r="A2200" s="315"/>
      <c r="B2200" s="315"/>
      <c r="C2200" s="315"/>
      <c r="D2200" s="315"/>
      <c r="E2200" s="315"/>
      <c r="F2200" s="315"/>
      <c r="G2200" s="315"/>
      <c r="H2200" s="315"/>
      <c r="I2200" s="315"/>
      <c r="J2200" s="315"/>
      <c r="K2200" s="315"/>
      <c r="L2200" s="315"/>
    </row>
    <row r="2201" spans="1:12">
      <c r="A2201" s="315"/>
      <c r="B2201" s="315"/>
      <c r="C2201" s="315"/>
      <c r="D2201" s="315"/>
      <c r="E2201" s="315"/>
      <c r="F2201" s="315"/>
      <c r="G2201" s="315"/>
      <c r="H2201" s="315"/>
      <c r="I2201" s="315"/>
      <c r="J2201" s="315"/>
      <c r="K2201" s="315"/>
      <c r="L2201" s="315"/>
    </row>
    <row r="2202" spans="1:12">
      <c r="A2202" s="315"/>
      <c r="B2202" s="315"/>
      <c r="C2202" s="315"/>
      <c r="D2202" s="315"/>
      <c r="E2202" s="315"/>
      <c r="F2202" s="315"/>
      <c r="G2202" s="315"/>
      <c r="H2202" s="315"/>
      <c r="I2202" s="315"/>
      <c r="J2202" s="315"/>
      <c r="K2202" s="315"/>
      <c r="L2202" s="315"/>
    </row>
    <row r="2203" spans="1:12">
      <c r="A2203" s="315"/>
      <c r="B2203" s="315"/>
      <c r="C2203" s="315"/>
      <c r="D2203" s="315"/>
      <c r="E2203" s="315"/>
      <c r="F2203" s="315"/>
      <c r="G2203" s="315"/>
      <c r="H2203" s="315"/>
      <c r="I2203" s="315"/>
      <c r="J2203" s="315"/>
      <c r="K2203" s="315"/>
      <c r="L2203" s="315"/>
    </row>
    <row r="2204" spans="1:12">
      <c r="A2204" s="315"/>
      <c r="B2204" s="315"/>
      <c r="C2204" s="315"/>
      <c r="D2204" s="315"/>
      <c r="E2204" s="315"/>
      <c r="F2204" s="315"/>
      <c r="G2204" s="315"/>
      <c r="H2204" s="315"/>
      <c r="I2204" s="315"/>
      <c r="J2204" s="315"/>
      <c r="K2204" s="315"/>
      <c r="L2204" s="315"/>
    </row>
    <row r="2205" spans="1:12">
      <c r="A2205" s="315"/>
      <c r="B2205" s="315"/>
      <c r="C2205" s="315"/>
      <c r="D2205" s="315"/>
      <c r="E2205" s="315"/>
      <c r="F2205" s="315"/>
      <c r="G2205" s="315"/>
      <c r="H2205" s="315"/>
      <c r="I2205" s="315"/>
      <c r="J2205" s="315"/>
      <c r="K2205" s="315"/>
      <c r="L2205" s="315"/>
    </row>
    <row r="2206" spans="1:12">
      <c r="A2206" s="315"/>
      <c r="B2206" s="315"/>
      <c r="C2206" s="315"/>
      <c r="D2206" s="315"/>
      <c r="E2206" s="315"/>
      <c r="F2206" s="315"/>
      <c r="G2206" s="315"/>
      <c r="H2206" s="315"/>
      <c r="I2206" s="315"/>
      <c r="J2206" s="315"/>
      <c r="K2206" s="315"/>
      <c r="L2206" s="315"/>
    </row>
    <row r="2207" spans="1:12">
      <c r="A2207" s="315"/>
      <c r="B2207" s="315"/>
      <c r="C2207" s="315"/>
      <c r="D2207" s="315"/>
      <c r="E2207" s="315"/>
      <c r="F2207" s="315"/>
      <c r="G2207" s="315"/>
      <c r="H2207" s="315"/>
      <c r="I2207" s="315"/>
      <c r="J2207" s="315"/>
      <c r="K2207" s="315"/>
      <c r="L2207" s="315"/>
    </row>
    <row r="2208" spans="1:12">
      <c r="A2208" s="315"/>
      <c r="B2208" s="315"/>
      <c r="C2208" s="315"/>
      <c r="D2208" s="315"/>
      <c r="E2208" s="315"/>
      <c r="F2208" s="315"/>
      <c r="G2208" s="315"/>
      <c r="H2208" s="315"/>
      <c r="I2208" s="315"/>
      <c r="J2208" s="315"/>
      <c r="K2208" s="315"/>
      <c r="L2208" s="315"/>
    </row>
    <row r="2209" spans="1:12">
      <c r="A2209" s="315"/>
      <c r="B2209" s="315"/>
      <c r="C2209" s="315"/>
      <c r="D2209" s="315"/>
      <c r="E2209" s="315"/>
      <c r="F2209" s="315"/>
      <c r="G2209" s="315"/>
      <c r="H2209" s="315"/>
      <c r="I2209" s="315"/>
      <c r="J2209" s="315"/>
      <c r="K2209" s="315"/>
      <c r="L2209" s="315"/>
    </row>
    <row r="2210" spans="1:12">
      <c r="A2210" s="315"/>
      <c r="B2210" s="315"/>
      <c r="C2210" s="315"/>
      <c r="D2210" s="315"/>
      <c r="E2210" s="315"/>
      <c r="F2210" s="315"/>
      <c r="G2210" s="315"/>
      <c r="H2210" s="315"/>
      <c r="I2210" s="315"/>
      <c r="J2210" s="315"/>
      <c r="K2210" s="315"/>
      <c r="L2210" s="315"/>
    </row>
    <row r="2211" spans="1:12">
      <c r="A2211" s="315"/>
      <c r="B2211" s="315"/>
      <c r="C2211" s="315"/>
      <c r="D2211" s="315"/>
      <c r="E2211" s="315"/>
      <c r="F2211" s="315"/>
      <c r="G2211" s="315"/>
      <c r="H2211" s="315"/>
      <c r="I2211" s="315"/>
      <c r="J2211" s="315"/>
      <c r="K2211" s="315"/>
      <c r="L2211" s="315"/>
    </row>
    <row r="2212" spans="1:12">
      <c r="A2212" s="315"/>
      <c r="B2212" s="315"/>
      <c r="C2212" s="315"/>
      <c r="D2212" s="315"/>
      <c r="E2212" s="315"/>
      <c r="F2212" s="315"/>
      <c r="G2212" s="315"/>
      <c r="H2212" s="315"/>
      <c r="I2212" s="315"/>
      <c r="J2212" s="315"/>
      <c r="K2212" s="315"/>
      <c r="L2212" s="315"/>
    </row>
    <row r="2213" spans="1:12">
      <c r="A2213" s="315"/>
      <c r="B2213" s="315"/>
      <c r="C2213" s="315"/>
      <c r="D2213" s="315"/>
      <c r="E2213" s="315"/>
      <c r="F2213" s="315"/>
      <c r="G2213" s="315"/>
      <c r="H2213" s="315"/>
      <c r="I2213" s="315"/>
      <c r="J2213" s="315"/>
      <c r="K2213" s="315"/>
      <c r="L2213" s="315"/>
    </row>
    <row r="2214" spans="1:12">
      <c r="A2214" s="315"/>
      <c r="B2214" s="315"/>
      <c r="C2214" s="315"/>
      <c r="D2214" s="315"/>
      <c r="E2214" s="315"/>
      <c r="F2214" s="315"/>
      <c r="G2214" s="315"/>
      <c r="H2214" s="315"/>
      <c r="I2214" s="315"/>
      <c r="J2214" s="315"/>
      <c r="K2214" s="315"/>
      <c r="L2214" s="315"/>
    </row>
    <row r="2215" spans="1:12">
      <c r="A2215" s="315"/>
      <c r="B2215" s="315"/>
      <c r="C2215" s="315"/>
      <c r="D2215" s="315"/>
      <c r="E2215" s="315"/>
      <c r="F2215" s="315"/>
      <c r="G2215" s="315"/>
      <c r="H2215" s="315"/>
      <c r="I2215" s="315"/>
      <c r="J2215" s="315"/>
      <c r="K2215" s="315"/>
      <c r="L2215" s="315"/>
    </row>
    <row r="2216" spans="1:12">
      <c r="A2216" s="315"/>
      <c r="B2216" s="315"/>
      <c r="C2216" s="315"/>
      <c r="D2216" s="315"/>
      <c r="E2216" s="315"/>
      <c r="F2216" s="315"/>
      <c r="G2216" s="315"/>
      <c r="H2216" s="315"/>
      <c r="I2216" s="315"/>
      <c r="J2216" s="315"/>
      <c r="K2216" s="315"/>
      <c r="L2216" s="315"/>
    </row>
    <row r="2217" spans="1:12">
      <c r="A2217" s="315"/>
      <c r="B2217" s="315"/>
      <c r="C2217" s="315"/>
      <c r="D2217" s="315"/>
      <c r="E2217" s="315"/>
      <c r="F2217" s="315"/>
      <c r="G2217" s="315"/>
      <c r="H2217" s="315"/>
      <c r="I2217" s="315"/>
      <c r="J2217" s="315"/>
      <c r="K2217" s="315"/>
      <c r="L2217" s="315"/>
    </row>
    <row r="2218" spans="1:12">
      <c r="A2218" s="315"/>
      <c r="B2218" s="315"/>
      <c r="C2218" s="315"/>
      <c r="D2218" s="315"/>
      <c r="E2218" s="315"/>
      <c r="F2218" s="315"/>
      <c r="G2218" s="315"/>
      <c r="H2218" s="315"/>
      <c r="I2218" s="315"/>
      <c r="J2218" s="315"/>
      <c r="K2218" s="315"/>
      <c r="L2218" s="315"/>
    </row>
    <row r="2219" spans="1:12">
      <c r="A2219" s="315"/>
      <c r="B2219" s="315"/>
      <c r="C2219" s="315"/>
      <c r="D2219" s="315"/>
      <c r="E2219" s="315"/>
      <c r="F2219" s="315"/>
      <c r="G2219" s="315"/>
      <c r="H2219" s="315"/>
      <c r="I2219" s="315"/>
      <c r="J2219" s="315"/>
      <c r="K2219" s="315"/>
      <c r="L2219" s="315"/>
    </row>
    <row r="2220" spans="1:12">
      <c r="A2220" s="315"/>
      <c r="B2220" s="315"/>
      <c r="C2220" s="315"/>
      <c r="D2220" s="315"/>
      <c r="E2220" s="315"/>
      <c r="F2220" s="315"/>
      <c r="G2220" s="315"/>
      <c r="H2220" s="315"/>
      <c r="I2220" s="315"/>
      <c r="J2220" s="315"/>
      <c r="K2220" s="315"/>
      <c r="L2220" s="315"/>
    </row>
    <row r="2221" spans="1:12">
      <c r="A2221" s="315"/>
      <c r="B2221" s="315"/>
      <c r="C2221" s="315"/>
      <c r="D2221" s="315"/>
      <c r="E2221" s="315"/>
      <c r="F2221" s="315"/>
      <c r="G2221" s="315"/>
      <c r="H2221" s="315"/>
      <c r="I2221" s="315"/>
      <c r="J2221" s="315"/>
      <c r="K2221" s="315"/>
      <c r="L2221" s="315"/>
    </row>
    <row r="2222" spans="1:12">
      <c r="A2222" s="315"/>
      <c r="B2222" s="315"/>
      <c r="C2222" s="315"/>
      <c r="D2222" s="315"/>
      <c r="E2222" s="315"/>
      <c r="F2222" s="315"/>
      <c r="G2222" s="315"/>
      <c r="H2222" s="315"/>
      <c r="I2222" s="315"/>
      <c r="J2222" s="315"/>
      <c r="K2222" s="315"/>
      <c r="L2222" s="315"/>
    </row>
    <row r="2223" spans="1:12">
      <c r="A2223" s="315"/>
      <c r="B2223" s="315"/>
      <c r="C2223" s="315"/>
      <c r="D2223" s="315"/>
      <c r="E2223" s="315"/>
      <c r="F2223" s="315"/>
      <c r="G2223" s="315"/>
      <c r="H2223" s="315"/>
      <c r="I2223" s="315"/>
      <c r="J2223" s="315"/>
      <c r="K2223" s="315"/>
      <c r="L2223" s="315"/>
    </row>
    <row r="2224" spans="1:12">
      <c r="A2224" s="315"/>
      <c r="B2224" s="315"/>
      <c r="C2224" s="315"/>
      <c r="D2224" s="315"/>
      <c r="E2224" s="315"/>
      <c r="F2224" s="315"/>
      <c r="G2224" s="315"/>
      <c r="H2224" s="315"/>
      <c r="I2224" s="315"/>
      <c r="J2224" s="315"/>
      <c r="K2224" s="315"/>
      <c r="L2224" s="315"/>
    </row>
    <row r="2225" spans="1:12">
      <c r="A2225" s="315"/>
      <c r="B2225" s="315"/>
      <c r="C2225" s="315"/>
      <c r="D2225" s="315"/>
      <c r="E2225" s="315"/>
      <c r="F2225" s="315"/>
      <c r="G2225" s="315"/>
      <c r="H2225" s="315"/>
      <c r="I2225" s="315"/>
      <c r="J2225" s="315"/>
      <c r="K2225" s="315"/>
      <c r="L2225" s="315"/>
    </row>
    <row r="2226" spans="1:12">
      <c r="A2226" s="315"/>
      <c r="B2226" s="315"/>
      <c r="C2226" s="315"/>
      <c r="D2226" s="315"/>
      <c r="E2226" s="315"/>
      <c r="F2226" s="315"/>
      <c r="G2226" s="315"/>
      <c r="H2226" s="315"/>
      <c r="I2226" s="315"/>
      <c r="J2226" s="315"/>
      <c r="K2226" s="315"/>
      <c r="L2226" s="315"/>
    </row>
    <row r="2227" spans="1:12">
      <c r="A2227" s="315"/>
      <c r="B2227" s="315"/>
      <c r="C2227" s="315"/>
      <c r="D2227" s="315"/>
      <c r="E2227" s="315"/>
      <c r="F2227" s="315"/>
      <c r="G2227" s="315"/>
      <c r="H2227" s="315"/>
      <c r="I2227" s="315"/>
      <c r="J2227" s="315"/>
      <c r="K2227" s="315"/>
      <c r="L2227" s="315"/>
    </row>
    <row r="2228" spans="1:12">
      <c r="A2228" s="315"/>
      <c r="B2228" s="315"/>
      <c r="C2228" s="315"/>
      <c r="D2228" s="315"/>
      <c r="E2228" s="315"/>
      <c r="F2228" s="315"/>
      <c r="G2228" s="315"/>
      <c r="H2228" s="315"/>
      <c r="I2228" s="315"/>
      <c r="J2228" s="315"/>
      <c r="K2228" s="315"/>
      <c r="L2228" s="315"/>
    </row>
    <row r="2229" spans="1:12">
      <c r="A2229" s="315"/>
      <c r="B2229" s="315"/>
      <c r="C2229" s="315"/>
      <c r="D2229" s="315"/>
      <c r="E2229" s="315"/>
      <c r="F2229" s="315"/>
      <c r="G2229" s="315"/>
      <c r="H2229" s="315"/>
      <c r="I2229" s="315"/>
      <c r="J2229" s="315"/>
      <c r="K2229" s="315"/>
      <c r="L2229" s="315"/>
    </row>
    <row r="2230" spans="1:12">
      <c r="A2230" s="315"/>
      <c r="B2230" s="315"/>
      <c r="C2230" s="315"/>
      <c r="D2230" s="315"/>
      <c r="E2230" s="315"/>
      <c r="F2230" s="315"/>
      <c r="G2230" s="315"/>
      <c r="H2230" s="315"/>
      <c r="I2230" s="315"/>
      <c r="J2230" s="315"/>
      <c r="K2230" s="315"/>
      <c r="L2230" s="315"/>
    </row>
    <row r="2231" spans="1:12">
      <c r="A2231" s="315"/>
      <c r="B2231" s="315"/>
      <c r="C2231" s="315"/>
      <c r="D2231" s="315"/>
      <c r="E2231" s="315"/>
      <c r="F2231" s="315"/>
      <c r="G2231" s="315"/>
      <c r="H2231" s="315"/>
      <c r="I2231" s="315"/>
      <c r="J2231" s="315"/>
      <c r="K2231" s="315"/>
      <c r="L2231" s="315"/>
    </row>
    <row r="2232" spans="1:12">
      <c r="A2232" s="315"/>
      <c r="B2232" s="315"/>
      <c r="C2232" s="315"/>
      <c r="D2232" s="315"/>
      <c r="E2232" s="315"/>
      <c r="F2232" s="315"/>
      <c r="G2232" s="315"/>
      <c r="H2232" s="315"/>
      <c r="I2232" s="315"/>
      <c r="J2232" s="315"/>
      <c r="K2232" s="315"/>
      <c r="L2232" s="315"/>
    </row>
    <row r="2233" spans="1:12">
      <c r="A2233" s="315"/>
      <c r="B2233" s="315"/>
      <c r="C2233" s="315"/>
      <c r="D2233" s="315"/>
      <c r="E2233" s="315"/>
      <c r="F2233" s="315"/>
      <c r="G2233" s="315"/>
      <c r="H2233" s="315"/>
      <c r="I2233" s="315"/>
      <c r="J2233" s="315"/>
      <c r="K2233" s="315"/>
      <c r="L2233" s="315"/>
    </row>
    <row r="2234" spans="1:12">
      <c r="A2234" s="315"/>
      <c r="B2234" s="315"/>
      <c r="C2234" s="315"/>
      <c r="D2234" s="315"/>
      <c r="E2234" s="315"/>
      <c r="F2234" s="315"/>
      <c r="G2234" s="315"/>
      <c r="H2234" s="315"/>
      <c r="I2234" s="315"/>
      <c r="J2234" s="315"/>
      <c r="K2234" s="315"/>
      <c r="L2234" s="315"/>
    </row>
    <row r="2235" spans="1:12">
      <c r="A2235" s="315"/>
      <c r="B2235" s="315"/>
      <c r="C2235" s="315"/>
      <c r="D2235" s="315"/>
      <c r="E2235" s="315"/>
      <c r="F2235" s="315"/>
      <c r="G2235" s="315"/>
      <c r="H2235" s="315"/>
      <c r="I2235" s="315"/>
      <c r="J2235" s="315"/>
      <c r="K2235" s="315"/>
      <c r="L2235" s="315"/>
    </row>
    <row r="2236" spans="1:12">
      <c r="A2236" s="315"/>
      <c r="B2236" s="315"/>
      <c r="C2236" s="315"/>
      <c r="D2236" s="315"/>
      <c r="E2236" s="315"/>
      <c r="F2236" s="315"/>
      <c r="G2236" s="315"/>
      <c r="H2236" s="315"/>
      <c r="I2236" s="315"/>
      <c r="J2236" s="315"/>
      <c r="K2236" s="315"/>
      <c r="L2236" s="315"/>
    </row>
    <row r="2237" spans="1:12">
      <c r="A2237" s="315"/>
      <c r="B2237" s="315"/>
      <c r="C2237" s="315"/>
      <c r="D2237" s="315"/>
      <c r="E2237" s="315"/>
      <c r="F2237" s="315"/>
      <c r="G2237" s="315"/>
      <c r="H2237" s="315"/>
      <c r="I2237" s="315"/>
      <c r="J2237" s="315"/>
      <c r="K2237" s="315"/>
      <c r="L2237" s="315"/>
    </row>
    <row r="2238" spans="1:12">
      <c r="A2238" s="315"/>
      <c r="B2238" s="315"/>
      <c r="C2238" s="315"/>
      <c r="D2238" s="315"/>
      <c r="E2238" s="315"/>
      <c r="F2238" s="315"/>
      <c r="G2238" s="315"/>
      <c r="H2238" s="315"/>
      <c r="I2238" s="315"/>
      <c r="J2238" s="315"/>
      <c r="K2238" s="315"/>
      <c r="L2238" s="315"/>
    </row>
    <row r="2239" spans="1:12">
      <c r="A2239" s="315"/>
      <c r="B2239" s="315"/>
      <c r="C2239" s="315"/>
      <c r="D2239" s="315"/>
      <c r="E2239" s="315"/>
      <c r="F2239" s="315"/>
      <c r="G2239" s="315"/>
      <c r="H2239" s="315"/>
      <c r="I2239" s="315"/>
      <c r="J2239" s="315"/>
      <c r="K2239" s="315"/>
      <c r="L2239" s="315"/>
    </row>
    <row r="2240" spans="1:12">
      <c r="A2240" s="315"/>
      <c r="B2240" s="315"/>
      <c r="C2240" s="315"/>
      <c r="D2240" s="315"/>
      <c r="E2240" s="315"/>
      <c r="F2240" s="315"/>
      <c r="G2240" s="315"/>
      <c r="H2240" s="315"/>
      <c r="I2240" s="315"/>
      <c r="J2240" s="315"/>
      <c r="K2240" s="315"/>
      <c r="L2240" s="315"/>
    </row>
    <row r="2241" spans="1:12">
      <c r="A2241" s="315"/>
      <c r="B2241" s="315"/>
      <c r="C2241" s="315"/>
      <c r="D2241" s="315"/>
      <c r="E2241" s="315"/>
      <c r="F2241" s="315"/>
      <c r="G2241" s="315"/>
      <c r="H2241" s="315"/>
      <c r="I2241" s="315"/>
      <c r="J2241" s="315"/>
      <c r="K2241" s="315"/>
      <c r="L2241" s="315"/>
    </row>
    <row r="2242" spans="1:12">
      <c r="A2242" s="315"/>
      <c r="B2242" s="315"/>
      <c r="C2242" s="315"/>
      <c r="D2242" s="315"/>
      <c r="E2242" s="315"/>
      <c r="F2242" s="315"/>
      <c r="G2242" s="315"/>
      <c r="H2242" s="315"/>
      <c r="I2242" s="315"/>
      <c r="J2242" s="315"/>
      <c r="K2242" s="315"/>
      <c r="L2242" s="315"/>
    </row>
    <row r="2243" spans="1:12">
      <c r="A2243" s="315"/>
      <c r="B2243" s="315"/>
      <c r="C2243" s="315"/>
      <c r="D2243" s="315"/>
      <c r="E2243" s="315"/>
      <c r="F2243" s="315"/>
      <c r="G2243" s="315"/>
      <c r="H2243" s="315"/>
      <c r="I2243" s="315"/>
      <c r="J2243" s="315"/>
      <c r="K2243" s="315"/>
      <c r="L2243" s="315"/>
    </row>
    <row r="2244" spans="1:12">
      <c r="A2244" s="315"/>
      <c r="B2244" s="315"/>
      <c r="C2244" s="315"/>
      <c r="D2244" s="315"/>
      <c r="E2244" s="315"/>
      <c r="F2244" s="315"/>
      <c r="G2244" s="315"/>
      <c r="H2244" s="315"/>
      <c r="I2244" s="315"/>
      <c r="J2244" s="315"/>
      <c r="K2244" s="315"/>
      <c r="L2244" s="315"/>
    </row>
    <row r="2245" spans="1:12">
      <c r="A2245" s="315"/>
      <c r="B2245" s="315"/>
      <c r="C2245" s="315"/>
      <c r="D2245" s="315"/>
      <c r="E2245" s="315"/>
      <c r="F2245" s="315"/>
      <c r="G2245" s="315"/>
      <c r="H2245" s="315"/>
      <c r="I2245" s="315"/>
      <c r="J2245" s="315"/>
      <c r="K2245" s="315"/>
      <c r="L2245" s="315"/>
    </row>
    <row r="2246" spans="1:12">
      <c r="A2246" s="315"/>
      <c r="B2246" s="315"/>
      <c r="C2246" s="315"/>
      <c r="D2246" s="315"/>
      <c r="E2246" s="315"/>
      <c r="F2246" s="315"/>
      <c r="G2246" s="315"/>
      <c r="H2246" s="315"/>
      <c r="I2246" s="315"/>
      <c r="J2246" s="315"/>
      <c r="K2246" s="315"/>
      <c r="L2246" s="315"/>
    </row>
    <row r="2247" spans="1:12">
      <c r="A2247" s="315"/>
      <c r="B2247" s="315"/>
      <c r="C2247" s="315"/>
      <c r="D2247" s="315"/>
      <c r="E2247" s="315"/>
      <c r="F2247" s="315"/>
      <c r="G2247" s="315"/>
      <c r="H2247" s="315"/>
      <c r="I2247" s="315"/>
      <c r="J2247" s="315"/>
      <c r="K2247" s="315"/>
      <c r="L2247" s="315"/>
    </row>
    <row r="2248" spans="1:12">
      <c r="A2248" s="315"/>
      <c r="B2248" s="315"/>
      <c r="C2248" s="315"/>
      <c r="D2248" s="315"/>
      <c r="E2248" s="315"/>
      <c r="F2248" s="315"/>
      <c r="G2248" s="315"/>
      <c r="H2248" s="315"/>
      <c r="I2248" s="315"/>
      <c r="J2248" s="315"/>
      <c r="K2248" s="315"/>
      <c r="L2248" s="315"/>
    </row>
    <row r="2249" spans="1:12">
      <c r="A2249" s="315"/>
      <c r="B2249" s="315"/>
      <c r="C2249" s="315"/>
      <c r="D2249" s="315"/>
      <c r="E2249" s="315"/>
      <c r="F2249" s="315"/>
      <c r="G2249" s="315"/>
      <c r="H2249" s="315"/>
      <c r="I2249" s="315"/>
      <c r="J2249" s="315"/>
      <c r="K2249" s="315"/>
      <c r="L2249" s="315"/>
    </row>
    <row r="2250" spans="1:12">
      <c r="A2250" s="315"/>
      <c r="B2250" s="315"/>
      <c r="C2250" s="315"/>
      <c r="D2250" s="315"/>
      <c r="E2250" s="315"/>
      <c r="F2250" s="315"/>
      <c r="G2250" s="315"/>
      <c r="H2250" s="315"/>
      <c r="I2250" s="315"/>
      <c r="J2250" s="315"/>
      <c r="K2250" s="315"/>
      <c r="L2250" s="315"/>
    </row>
    <row r="2251" spans="1:12">
      <c r="A2251" s="315"/>
      <c r="B2251" s="315"/>
      <c r="C2251" s="315"/>
      <c r="D2251" s="315"/>
      <c r="E2251" s="315"/>
      <c r="F2251" s="315"/>
      <c r="G2251" s="315"/>
      <c r="H2251" s="315"/>
      <c r="I2251" s="315"/>
      <c r="J2251" s="315"/>
      <c r="K2251" s="315"/>
      <c r="L2251" s="315"/>
    </row>
    <row r="2252" spans="1:12">
      <c r="A2252" s="315"/>
      <c r="B2252" s="315"/>
      <c r="C2252" s="315"/>
      <c r="D2252" s="315"/>
      <c r="E2252" s="315"/>
      <c r="F2252" s="315"/>
      <c r="G2252" s="315"/>
      <c r="H2252" s="315"/>
      <c r="I2252" s="315"/>
      <c r="J2252" s="315"/>
      <c r="K2252" s="315"/>
      <c r="L2252" s="315"/>
    </row>
    <row r="2253" spans="1:12">
      <c r="A2253" s="315"/>
      <c r="B2253" s="315"/>
      <c r="C2253" s="315"/>
      <c r="D2253" s="315"/>
      <c r="E2253" s="315"/>
      <c r="F2253" s="315"/>
      <c r="G2253" s="315"/>
      <c r="H2253" s="315"/>
      <c r="I2253" s="315"/>
      <c r="J2253" s="315"/>
      <c r="K2253" s="315"/>
      <c r="L2253" s="315"/>
    </row>
    <row r="2254" spans="1:12">
      <c r="A2254" s="315"/>
      <c r="B2254" s="315"/>
      <c r="C2254" s="315"/>
      <c r="D2254" s="315"/>
      <c r="E2254" s="315"/>
      <c r="F2254" s="315"/>
      <c r="G2254" s="315"/>
      <c r="H2254" s="315"/>
      <c r="I2254" s="315"/>
      <c r="J2254" s="315"/>
      <c r="K2254" s="315"/>
      <c r="L2254" s="315"/>
    </row>
    <row r="2255" spans="1:12">
      <c r="A2255" s="315"/>
      <c r="B2255" s="315"/>
      <c r="C2255" s="315"/>
      <c r="D2255" s="315"/>
      <c r="E2255" s="315"/>
      <c r="F2255" s="315"/>
      <c r="G2255" s="315"/>
      <c r="H2255" s="315"/>
      <c r="I2255" s="315"/>
      <c r="J2255" s="315"/>
      <c r="K2255" s="315"/>
      <c r="L2255" s="315"/>
    </row>
    <row r="2256" spans="1:12">
      <c r="A2256" s="315"/>
      <c r="B2256" s="315"/>
      <c r="C2256" s="315"/>
      <c r="D2256" s="315"/>
      <c r="E2256" s="315"/>
      <c r="F2256" s="315"/>
      <c r="G2256" s="315"/>
      <c r="H2256" s="315"/>
      <c r="I2256" s="315"/>
      <c r="J2256" s="315"/>
      <c r="K2256" s="315"/>
      <c r="L2256" s="315"/>
    </row>
    <row r="2257" spans="1:12">
      <c r="A2257" s="315"/>
      <c r="B2257" s="315"/>
      <c r="C2257" s="315"/>
      <c r="D2257" s="315"/>
      <c r="E2257" s="315"/>
      <c r="F2257" s="315"/>
      <c r="G2257" s="315"/>
      <c r="H2257" s="315"/>
      <c r="I2257" s="315"/>
      <c r="J2257" s="315"/>
      <c r="K2257" s="315"/>
      <c r="L2257" s="315"/>
    </row>
    <row r="2258" spans="1:12">
      <c r="A2258" s="315"/>
      <c r="B2258" s="315"/>
      <c r="C2258" s="315"/>
      <c r="D2258" s="315"/>
      <c r="E2258" s="315"/>
      <c r="F2258" s="315"/>
      <c r="G2258" s="315"/>
      <c r="H2258" s="315"/>
      <c r="I2258" s="315"/>
      <c r="J2258" s="315"/>
      <c r="K2258" s="315"/>
      <c r="L2258" s="315"/>
    </row>
    <row r="2259" spans="1:12">
      <c r="A2259" s="315"/>
      <c r="B2259" s="315"/>
      <c r="C2259" s="315"/>
      <c r="D2259" s="315"/>
      <c r="E2259" s="315"/>
      <c r="F2259" s="315"/>
      <c r="G2259" s="315"/>
      <c r="H2259" s="315"/>
      <c r="I2259" s="315"/>
      <c r="J2259" s="315"/>
      <c r="K2259" s="315"/>
      <c r="L2259" s="315"/>
    </row>
    <row r="2260" spans="1:12">
      <c r="A2260" s="315"/>
      <c r="B2260" s="315"/>
      <c r="C2260" s="315"/>
      <c r="D2260" s="315"/>
      <c r="E2260" s="315"/>
      <c r="F2260" s="315"/>
      <c r="G2260" s="315"/>
      <c r="H2260" s="315"/>
      <c r="I2260" s="315"/>
      <c r="J2260" s="315"/>
      <c r="K2260" s="315"/>
      <c r="L2260" s="315"/>
    </row>
    <row r="2261" spans="1:12">
      <c r="A2261" s="315"/>
      <c r="B2261" s="315"/>
      <c r="C2261" s="315"/>
      <c r="D2261" s="315"/>
      <c r="E2261" s="315"/>
      <c r="F2261" s="315"/>
      <c r="G2261" s="315"/>
      <c r="H2261" s="315"/>
      <c r="I2261" s="315"/>
      <c r="J2261" s="315"/>
      <c r="K2261" s="315"/>
      <c r="L2261" s="315"/>
    </row>
    <row r="2262" spans="1:12">
      <c r="A2262" s="315"/>
      <c r="B2262" s="315"/>
      <c r="C2262" s="315"/>
      <c r="D2262" s="315"/>
      <c r="E2262" s="315"/>
      <c r="F2262" s="315"/>
      <c r="G2262" s="315"/>
      <c r="H2262" s="315"/>
      <c r="I2262" s="315"/>
      <c r="J2262" s="315"/>
      <c r="K2262" s="315"/>
      <c r="L2262" s="315"/>
    </row>
    <row r="2263" spans="1:12">
      <c r="A2263" s="315"/>
      <c r="B2263" s="315"/>
      <c r="C2263" s="315"/>
      <c r="D2263" s="315"/>
      <c r="E2263" s="315"/>
      <c r="F2263" s="315"/>
      <c r="G2263" s="315"/>
      <c r="H2263" s="315"/>
      <c r="I2263" s="315"/>
      <c r="J2263" s="315"/>
      <c r="K2263" s="315"/>
      <c r="L2263" s="315"/>
    </row>
    <row r="2264" spans="1:12">
      <c r="A2264" s="315"/>
      <c r="B2264" s="315"/>
      <c r="C2264" s="315"/>
      <c r="D2264" s="315"/>
      <c r="E2264" s="315"/>
      <c r="F2264" s="315"/>
      <c r="G2264" s="315"/>
      <c r="H2264" s="315"/>
      <c r="I2264" s="315"/>
      <c r="J2264" s="315"/>
      <c r="K2264" s="315"/>
      <c r="L2264" s="315"/>
    </row>
    <row r="2265" spans="1:12">
      <c r="A2265" s="315"/>
      <c r="B2265" s="315"/>
      <c r="C2265" s="315"/>
      <c r="D2265" s="315"/>
      <c r="E2265" s="315"/>
      <c r="F2265" s="315"/>
      <c r="G2265" s="315"/>
      <c r="H2265" s="315"/>
      <c r="I2265" s="315"/>
      <c r="J2265" s="315"/>
      <c r="K2265" s="315"/>
      <c r="L2265" s="315"/>
    </row>
    <row r="2266" spans="1:12">
      <c r="A2266" s="315"/>
      <c r="B2266" s="315"/>
      <c r="C2266" s="315"/>
      <c r="D2266" s="315"/>
      <c r="E2266" s="315"/>
      <c r="F2266" s="315"/>
      <c r="G2266" s="315"/>
      <c r="H2266" s="315"/>
      <c r="I2266" s="315"/>
      <c r="J2266" s="315"/>
      <c r="K2266" s="315"/>
      <c r="L2266" s="315"/>
    </row>
    <row r="2267" spans="1:12">
      <c r="A2267" s="315"/>
      <c r="B2267" s="315"/>
      <c r="C2267" s="315"/>
      <c r="D2267" s="315"/>
      <c r="E2267" s="315"/>
      <c r="F2267" s="315"/>
      <c r="G2267" s="315"/>
      <c r="H2267" s="315"/>
      <c r="I2267" s="315"/>
      <c r="J2267" s="315"/>
      <c r="K2267" s="315"/>
      <c r="L2267" s="315"/>
    </row>
    <row r="2268" spans="1:12">
      <c r="A2268" s="315"/>
      <c r="B2268" s="315"/>
      <c r="C2268" s="315"/>
      <c r="D2268" s="315"/>
      <c r="E2268" s="315"/>
      <c r="F2268" s="315"/>
      <c r="G2268" s="315"/>
      <c r="H2268" s="315"/>
      <c r="I2268" s="315"/>
      <c r="J2268" s="315"/>
      <c r="K2268" s="315"/>
      <c r="L2268" s="315"/>
    </row>
    <row r="2269" spans="1:12">
      <c r="A2269" s="315"/>
      <c r="B2269" s="315"/>
      <c r="C2269" s="315"/>
      <c r="D2269" s="315"/>
      <c r="E2269" s="315"/>
      <c r="F2269" s="315"/>
      <c r="G2269" s="315"/>
      <c r="H2269" s="315"/>
      <c r="I2269" s="315"/>
      <c r="J2269" s="315"/>
      <c r="K2269" s="315"/>
      <c r="L2269" s="315"/>
    </row>
    <row r="2270" spans="1:12">
      <c r="A2270" s="315"/>
      <c r="B2270" s="315"/>
      <c r="C2270" s="315"/>
      <c r="D2270" s="315"/>
      <c r="E2270" s="315"/>
      <c r="F2270" s="315"/>
      <c r="G2270" s="315"/>
      <c r="H2270" s="315"/>
      <c r="I2270" s="315"/>
      <c r="J2270" s="315"/>
      <c r="K2270" s="315"/>
      <c r="L2270" s="315"/>
    </row>
    <row r="2271" spans="1:12">
      <c r="A2271" s="315"/>
      <c r="B2271" s="315"/>
      <c r="C2271" s="315"/>
      <c r="D2271" s="315"/>
      <c r="E2271" s="315"/>
      <c r="F2271" s="315"/>
      <c r="G2271" s="315"/>
      <c r="H2271" s="315"/>
      <c r="I2271" s="315"/>
      <c r="J2271" s="315"/>
      <c r="K2271" s="315"/>
      <c r="L2271" s="315"/>
    </row>
    <row r="2272" spans="1:12">
      <c r="A2272" s="315"/>
      <c r="B2272" s="315"/>
      <c r="C2272" s="315"/>
      <c r="D2272" s="315"/>
      <c r="E2272" s="315"/>
      <c r="F2272" s="315"/>
      <c r="G2272" s="315"/>
      <c r="H2272" s="315"/>
      <c r="I2272" s="315"/>
      <c r="J2272" s="315"/>
      <c r="K2272" s="315"/>
      <c r="L2272" s="315"/>
    </row>
    <row r="2273" spans="1:12">
      <c r="A2273" s="315"/>
      <c r="B2273" s="315"/>
      <c r="C2273" s="315"/>
      <c r="D2273" s="315"/>
      <c r="E2273" s="315"/>
      <c r="F2273" s="315"/>
      <c r="G2273" s="315"/>
      <c r="H2273" s="315"/>
      <c r="I2273" s="315"/>
      <c r="J2273" s="315"/>
      <c r="K2273" s="315"/>
      <c r="L2273" s="315"/>
    </row>
    <row r="2274" spans="1:12">
      <c r="A2274" s="315"/>
      <c r="B2274" s="315"/>
      <c r="C2274" s="315"/>
      <c r="D2274" s="315"/>
      <c r="E2274" s="315"/>
      <c r="F2274" s="315"/>
      <c r="G2274" s="315"/>
      <c r="H2274" s="315"/>
      <c r="I2274" s="315"/>
      <c r="J2274" s="315"/>
      <c r="K2274" s="315"/>
      <c r="L2274" s="315"/>
    </row>
    <row r="2275" spans="1:12">
      <c r="A2275" s="315"/>
      <c r="B2275" s="315"/>
      <c r="C2275" s="315"/>
      <c r="D2275" s="315"/>
      <c r="E2275" s="315"/>
      <c r="F2275" s="315"/>
      <c r="G2275" s="315"/>
      <c r="H2275" s="315"/>
      <c r="I2275" s="315"/>
      <c r="J2275" s="315"/>
      <c r="K2275" s="315"/>
      <c r="L2275" s="315"/>
    </row>
    <row r="2276" spans="1:12">
      <c r="A2276" s="315"/>
      <c r="B2276" s="315"/>
      <c r="C2276" s="315"/>
      <c r="D2276" s="315"/>
      <c r="E2276" s="315"/>
      <c r="F2276" s="315"/>
      <c r="G2276" s="315"/>
      <c r="H2276" s="315"/>
      <c r="I2276" s="315"/>
      <c r="J2276" s="315"/>
      <c r="K2276" s="315"/>
      <c r="L2276" s="315"/>
    </row>
    <row r="2277" spans="1:12">
      <c r="A2277" s="315"/>
      <c r="B2277" s="315"/>
      <c r="C2277" s="315"/>
      <c r="D2277" s="315"/>
      <c r="E2277" s="315"/>
      <c r="F2277" s="315"/>
      <c r="G2277" s="315"/>
      <c r="H2277" s="315"/>
      <c r="I2277" s="315"/>
      <c r="J2277" s="315"/>
      <c r="K2277" s="315"/>
      <c r="L2277" s="315"/>
    </row>
    <row r="2278" spans="1:12">
      <c r="A2278" s="315"/>
      <c r="B2278" s="315"/>
      <c r="C2278" s="315"/>
      <c r="D2278" s="315"/>
      <c r="E2278" s="315"/>
      <c r="F2278" s="315"/>
      <c r="G2278" s="315"/>
      <c r="H2278" s="315"/>
      <c r="I2278" s="315"/>
      <c r="J2278" s="315"/>
      <c r="K2278" s="315"/>
      <c r="L2278" s="315"/>
    </row>
    <row r="2279" spans="1:12">
      <c r="A2279" s="315"/>
      <c r="B2279" s="315"/>
      <c r="C2279" s="315"/>
      <c r="D2279" s="315"/>
      <c r="E2279" s="315"/>
      <c r="F2279" s="315"/>
      <c r="G2279" s="315"/>
      <c r="H2279" s="315"/>
      <c r="I2279" s="315"/>
      <c r="J2279" s="315"/>
      <c r="K2279" s="315"/>
      <c r="L2279" s="315"/>
    </row>
    <row r="2280" spans="1:12">
      <c r="A2280" s="315"/>
      <c r="B2280" s="315"/>
      <c r="C2280" s="315"/>
      <c r="D2280" s="315"/>
      <c r="E2280" s="315"/>
      <c r="F2280" s="315"/>
      <c r="G2280" s="315"/>
      <c r="H2280" s="315"/>
      <c r="I2280" s="315"/>
      <c r="J2280" s="315"/>
      <c r="K2280" s="315"/>
      <c r="L2280" s="315"/>
    </row>
    <row r="2281" spans="1:12">
      <c r="A2281" s="315"/>
      <c r="B2281" s="315"/>
      <c r="C2281" s="315"/>
      <c r="D2281" s="315"/>
      <c r="E2281" s="315"/>
      <c r="F2281" s="315"/>
      <c r="G2281" s="315"/>
      <c r="H2281" s="315"/>
      <c r="I2281" s="315"/>
      <c r="J2281" s="315"/>
      <c r="K2281" s="315"/>
      <c r="L2281" s="315"/>
    </row>
    <row r="2282" spans="1:12">
      <c r="A2282" s="315"/>
      <c r="B2282" s="315"/>
      <c r="C2282" s="315"/>
      <c r="D2282" s="315"/>
      <c r="E2282" s="315"/>
      <c r="F2282" s="315"/>
      <c r="G2282" s="315"/>
      <c r="H2282" s="315"/>
      <c r="I2282" s="315"/>
      <c r="J2282" s="315"/>
      <c r="K2282" s="315"/>
      <c r="L2282" s="315"/>
    </row>
    <row r="2283" spans="1:12">
      <c r="A2283" s="315"/>
      <c r="B2283" s="315"/>
      <c r="C2283" s="315"/>
      <c r="D2283" s="315"/>
      <c r="E2283" s="315"/>
      <c r="F2283" s="315"/>
      <c r="G2283" s="315"/>
      <c r="H2283" s="315"/>
      <c r="I2283" s="315"/>
      <c r="J2283" s="315"/>
      <c r="K2283" s="315"/>
      <c r="L2283" s="315"/>
    </row>
    <row r="2284" spans="1:12">
      <c r="A2284" s="315"/>
      <c r="B2284" s="315"/>
      <c r="C2284" s="315"/>
      <c r="D2284" s="315"/>
      <c r="E2284" s="315"/>
      <c r="F2284" s="315"/>
      <c r="G2284" s="315"/>
      <c r="H2284" s="315"/>
      <c r="I2284" s="315"/>
      <c r="J2284" s="315"/>
      <c r="K2284" s="315"/>
      <c r="L2284" s="315"/>
    </row>
    <row r="2285" spans="1:12">
      <c r="A2285" s="315"/>
      <c r="B2285" s="315"/>
      <c r="C2285" s="315"/>
      <c r="D2285" s="315"/>
      <c r="E2285" s="315"/>
      <c r="F2285" s="315"/>
      <c r="G2285" s="315"/>
      <c r="H2285" s="315"/>
      <c r="I2285" s="315"/>
      <c r="J2285" s="315"/>
      <c r="K2285" s="315"/>
      <c r="L2285" s="315"/>
    </row>
    <row r="2286" spans="1:12">
      <c r="A2286" s="315"/>
      <c r="B2286" s="315"/>
      <c r="C2286" s="315"/>
      <c r="D2286" s="315"/>
      <c r="E2286" s="315"/>
      <c r="F2286" s="315"/>
      <c r="G2286" s="315"/>
      <c r="H2286" s="315"/>
      <c r="I2286" s="315"/>
      <c r="J2286" s="315"/>
      <c r="K2286" s="315"/>
      <c r="L2286" s="315"/>
    </row>
    <row r="2287" spans="1:12">
      <c r="A2287" s="315"/>
      <c r="B2287" s="315"/>
      <c r="C2287" s="315"/>
      <c r="D2287" s="315"/>
      <c r="E2287" s="315"/>
      <c r="F2287" s="315"/>
      <c r="G2287" s="315"/>
      <c r="H2287" s="315"/>
      <c r="I2287" s="315"/>
      <c r="J2287" s="315"/>
      <c r="K2287" s="315"/>
      <c r="L2287" s="315"/>
    </row>
    <row r="2288" spans="1:12">
      <c r="A2288" s="315"/>
      <c r="B2288" s="315"/>
      <c r="C2288" s="315"/>
      <c r="D2288" s="315"/>
      <c r="E2288" s="315"/>
      <c r="F2288" s="315"/>
      <c r="G2288" s="315"/>
      <c r="H2288" s="315"/>
      <c r="I2288" s="315"/>
      <c r="J2288" s="315"/>
      <c r="K2288" s="315"/>
      <c r="L2288" s="315"/>
    </row>
    <row r="2289" spans="1:12">
      <c r="A2289" s="315"/>
      <c r="B2289" s="315"/>
      <c r="C2289" s="315"/>
      <c r="D2289" s="315"/>
      <c r="E2289" s="315"/>
      <c r="F2289" s="315"/>
      <c r="G2289" s="315"/>
      <c r="H2289" s="315"/>
      <c r="I2289" s="315"/>
      <c r="J2289" s="315"/>
      <c r="K2289" s="315"/>
      <c r="L2289" s="315"/>
    </row>
    <row r="2290" spans="1:12">
      <c r="A2290" s="315"/>
      <c r="B2290" s="315"/>
      <c r="C2290" s="315"/>
      <c r="D2290" s="315"/>
      <c r="E2290" s="315"/>
      <c r="F2290" s="315"/>
      <c r="G2290" s="315"/>
      <c r="H2290" s="315"/>
      <c r="I2290" s="315"/>
      <c r="J2290" s="315"/>
      <c r="K2290" s="315"/>
      <c r="L2290" s="315"/>
    </row>
    <row r="2291" spans="1:12">
      <c r="A2291" s="315"/>
      <c r="B2291" s="315"/>
      <c r="C2291" s="315"/>
      <c r="D2291" s="315"/>
      <c r="E2291" s="315"/>
      <c r="F2291" s="315"/>
      <c r="G2291" s="315"/>
      <c r="H2291" s="315"/>
      <c r="I2291" s="315"/>
      <c r="J2291" s="315"/>
      <c r="K2291" s="315"/>
      <c r="L2291" s="315"/>
    </row>
    <row r="2292" spans="1:12">
      <c r="A2292" s="315"/>
      <c r="B2292" s="315"/>
      <c r="C2292" s="315"/>
      <c r="D2292" s="315"/>
      <c r="E2292" s="315"/>
      <c r="F2292" s="315"/>
      <c r="G2292" s="315"/>
      <c r="H2292" s="315"/>
      <c r="I2292" s="315"/>
      <c r="J2292" s="315"/>
      <c r="K2292" s="315"/>
      <c r="L2292" s="315"/>
    </row>
    <row r="2293" spans="1:12">
      <c r="A2293" s="315"/>
      <c r="B2293" s="315"/>
      <c r="C2293" s="315"/>
      <c r="D2293" s="315"/>
      <c r="E2293" s="315"/>
      <c r="F2293" s="315"/>
      <c r="G2293" s="315"/>
      <c r="H2293" s="315"/>
      <c r="I2293" s="315"/>
      <c r="J2293" s="315"/>
      <c r="K2293" s="315"/>
      <c r="L2293" s="315"/>
    </row>
    <row r="2294" spans="1:12">
      <c r="A2294" s="315"/>
      <c r="B2294" s="315"/>
      <c r="C2294" s="315"/>
      <c r="D2294" s="315"/>
      <c r="E2294" s="315"/>
      <c r="F2294" s="315"/>
      <c r="G2294" s="315"/>
      <c r="H2294" s="315"/>
      <c r="I2294" s="315"/>
      <c r="J2294" s="315"/>
      <c r="K2294" s="315"/>
      <c r="L2294" s="315"/>
    </row>
    <row r="2295" spans="1:12">
      <c r="A2295" s="315"/>
      <c r="B2295" s="315"/>
      <c r="C2295" s="315"/>
      <c r="D2295" s="315"/>
      <c r="E2295" s="315"/>
      <c r="F2295" s="315"/>
      <c r="G2295" s="315"/>
      <c r="H2295" s="315"/>
      <c r="I2295" s="315"/>
      <c r="J2295" s="315"/>
      <c r="K2295" s="315"/>
      <c r="L2295" s="315"/>
    </row>
    <row r="2296" spans="1:12">
      <c r="A2296" s="315"/>
      <c r="B2296" s="315"/>
      <c r="C2296" s="315"/>
      <c r="D2296" s="315"/>
      <c r="E2296" s="315"/>
      <c r="F2296" s="315"/>
      <c r="G2296" s="315"/>
      <c r="H2296" s="315"/>
      <c r="I2296" s="315"/>
      <c r="J2296" s="315"/>
      <c r="K2296" s="315"/>
      <c r="L2296" s="315"/>
    </row>
    <row r="2297" spans="1:12">
      <c r="A2297" s="315"/>
      <c r="B2297" s="315"/>
      <c r="C2297" s="315"/>
      <c r="D2297" s="315"/>
      <c r="E2297" s="315"/>
      <c r="F2297" s="315"/>
      <c r="G2297" s="315"/>
      <c r="H2297" s="315"/>
      <c r="I2297" s="315"/>
      <c r="J2297" s="315"/>
      <c r="K2297" s="315"/>
      <c r="L2297" s="315"/>
    </row>
    <row r="2298" spans="1:12">
      <c r="A2298" s="315"/>
      <c r="B2298" s="315"/>
      <c r="C2298" s="315"/>
      <c r="D2298" s="315"/>
      <c r="E2298" s="315"/>
      <c r="F2298" s="315"/>
      <c r="G2298" s="315"/>
      <c r="H2298" s="315"/>
      <c r="I2298" s="315"/>
      <c r="J2298" s="315"/>
      <c r="K2298" s="315"/>
      <c r="L2298" s="315"/>
    </row>
    <row r="2299" spans="1:12">
      <c r="A2299" s="315"/>
      <c r="B2299" s="315"/>
      <c r="C2299" s="315"/>
      <c r="D2299" s="315"/>
      <c r="E2299" s="315"/>
      <c r="F2299" s="315"/>
      <c r="G2299" s="315"/>
      <c r="H2299" s="315"/>
      <c r="I2299" s="315"/>
      <c r="J2299" s="315"/>
      <c r="K2299" s="315"/>
      <c r="L2299" s="315"/>
    </row>
    <row r="2300" spans="1:12">
      <c r="A2300" s="315"/>
      <c r="B2300" s="315"/>
      <c r="C2300" s="315"/>
      <c r="D2300" s="315"/>
      <c r="E2300" s="315"/>
      <c r="F2300" s="315"/>
      <c r="G2300" s="315"/>
      <c r="H2300" s="315"/>
      <c r="I2300" s="315"/>
      <c r="J2300" s="315"/>
      <c r="K2300" s="315"/>
      <c r="L2300" s="315"/>
    </row>
    <row r="2301" spans="1:12">
      <c r="A2301" s="315"/>
      <c r="B2301" s="315"/>
      <c r="C2301" s="315"/>
      <c r="D2301" s="315"/>
      <c r="E2301" s="315"/>
      <c r="F2301" s="315"/>
      <c r="G2301" s="315"/>
      <c r="H2301" s="315"/>
      <c r="I2301" s="315"/>
      <c r="J2301" s="315"/>
      <c r="K2301" s="315"/>
      <c r="L2301" s="315"/>
    </row>
    <row r="2302" spans="1:12">
      <c r="A2302" s="315"/>
      <c r="B2302" s="315"/>
      <c r="C2302" s="315"/>
      <c r="D2302" s="315"/>
      <c r="E2302" s="315"/>
      <c r="F2302" s="315"/>
      <c r="G2302" s="315"/>
      <c r="H2302" s="315"/>
      <c r="I2302" s="315"/>
      <c r="J2302" s="315"/>
      <c r="K2302" s="315"/>
      <c r="L2302" s="315"/>
    </row>
    <row r="2303" spans="1:12">
      <c r="A2303" s="315"/>
      <c r="B2303" s="315"/>
      <c r="C2303" s="315"/>
      <c r="D2303" s="315"/>
      <c r="E2303" s="315"/>
      <c r="F2303" s="315"/>
      <c r="G2303" s="315"/>
      <c r="H2303" s="315"/>
      <c r="I2303" s="315"/>
      <c r="J2303" s="315"/>
      <c r="K2303" s="315"/>
      <c r="L2303" s="315"/>
    </row>
    <row r="2304" spans="1:12">
      <c r="A2304" s="315"/>
      <c r="B2304" s="315"/>
      <c r="C2304" s="315"/>
      <c r="D2304" s="315"/>
      <c r="E2304" s="315"/>
      <c r="F2304" s="315"/>
      <c r="G2304" s="315"/>
      <c r="H2304" s="315"/>
      <c r="I2304" s="315"/>
      <c r="J2304" s="315"/>
      <c r="K2304" s="315"/>
      <c r="L2304" s="315"/>
    </row>
    <row r="2305" spans="1:12">
      <c r="A2305" s="315"/>
      <c r="B2305" s="315"/>
      <c r="C2305" s="315"/>
      <c r="D2305" s="315"/>
      <c r="E2305" s="315"/>
      <c r="F2305" s="315"/>
      <c r="G2305" s="315"/>
      <c r="H2305" s="315"/>
      <c r="I2305" s="315"/>
      <c r="J2305" s="315"/>
      <c r="K2305" s="315"/>
      <c r="L2305" s="315"/>
    </row>
    <row r="2306" spans="1:12">
      <c r="A2306" s="315"/>
      <c r="B2306" s="315"/>
      <c r="C2306" s="315"/>
      <c r="D2306" s="315"/>
      <c r="E2306" s="315"/>
      <c r="F2306" s="315"/>
      <c r="G2306" s="315"/>
      <c r="H2306" s="315"/>
      <c r="I2306" s="315"/>
      <c r="J2306" s="315"/>
      <c r="K2306" s="315"/>
      <c r="L2306" s="315"/>
    </row>
    <row r="2307" spans="1:12">
      <c r="A2307" s="315"/>
      <c r="B2307" s="315"/>
      <c r="C2307" s="315"/>
      <c r="D2307" s="315"/>
      <c r="E2307" s="315"/>
      <c r="F2307" s="315"/>
      <c r="G2307" s="315"/>
      <c r="H2307" s="315"/>
      <c r="I2307" s="315"/>
      <c r="J2307" s="315"/>
      <c r="K2307" s="315"/>
      <c r="L2307" s="315"/>
    </row>
    <row r="2308" spans="1:12">
      <c r="A2308" s="315"/>
      <c r="B2308" s="315"/>
      <c r="C2308" s="315"/>
      <c r="D2308" s="315"/>
      <c r="E2308" s="315"/>
      <c r="F2308" s="315"/>
      <c r="G2308" s="315"/>
      <c r="H2308" s="315"/>
      <c r="I2308" s="315"/>
      <c r="J2308" s="315"/>
      <c r="K2308" s="315"/>
      <c r="L2308" s="315"/>
    </row>
    <row r="2309" spans="1:12">
      <c r="A2309" s="315"/>
      <c r="B2309" s="315"/>
      <c r="C2309" s="315"/>
      <c r="D2309" s="315"/>
      <c r="E2309" s="315"/>
      <c r="F2309" s="315"/>
      <c r="G2309" s="315"/>
      <c r="H2309" s="315"/>
      <c r="I2309" s="315"/>
      <c r="J2309" s="315"/>
      <c r="K2309" s="315"/>
      <c r="L2309" s="315"/>
    </row>
    <row r="2310" spans="1:12">
      <c r="A2310" s="315"/>
      <c r="B2310" s="315"/>
      <c r="C2310" s="315"/>
      <c r="D2310" s="315"/>
      <c r="E2310" s="315"/>
      <c r="F2310" s="315"/>
      <c r="G2310" s="315"/>
      <c r="H2310" s="315"/>
      <c r="I2310" s="315"/>
      <c r="J2310" s="315"/>
      <c r="K2310" s="315"/>
      <c r="L2310" s="315"/>
    </row>
    <row r="2311" spans="1:12">
      <c r="A2311" s="315"/>
      <c r="B2311" s="315"/>
      <c r="C2311" s="315"/>
      <c r="D2311" s="315"/>
      <c r="E2311" s="315"/>
      <c r="F2311" s="315"/>
      <c r="G2311" s="315"/>
      <c r="H2311" s="315"/>
      <c r="I2311" s="315"/>
      <c r="J2311" s="315"/>
      <c r="K2311" s="315"/>
      <c r="L2311" s="315"/>
    </row>
    <row r="2312" spans="1:12">
      <c r="A2312" s="315"/>
      <c r="B2312" s="315"/>
      <c r="C2312" s="315"/>
      <c r="D2312" s="315"/>
      <c r="E2312" s="315"/>
      <c r="F2312" s="315"/>
      <c r="G2312" s="315"/>
      <c r="H2312" s="315"/>
      <c r="I2312" s="315"/>
      <c r="J2312" s="315"/>
      <c r="K2312" s="315"/>
      <c r="L2312" s="315"/>
    </row>
    <row r="2313" spans="1:12">
      <c r="A2313" s="315"/>
      <c r="B2313" s="315"/>
      <c r="C2313" s="315"/>
      <c r="D2313" s="315"/>
      <c r="E2313" s="315"/>
      <c r="F2313" s="315"/>
      <c r="G2313" s="315"/>
      <c r="H2313" s="315"/>
      <c r="I2313" s="315"/>
      <c r="J2313" s="315"/>
      <c r="K2313" s="315"/>
      <c r="L2313" s="315"/>
    </row>
    <row r="2314" spans="1:12">
      <c r="A2314" s="315"/>
      <c r="B2314" s="315"/>
      <c r="C2314" s="315"/>
      <c r="D2314" s="315"/>
      <c r="E2314" s="315"/>
      <c r="F2314" s="315"/>
      <c r="G2314" s="315"/>
      <c r="H2314" s="315"/>
      <c r="I2314" s="315"/>
      <c r="J2314" s="315"/>
      <c r="K2314" s="315"/>
      <c r="L2314" s="315"/>
    </row>
    <row r="2315" spans="1:12">
      <c r="A2315" s="315"/>
      <c r="B2315" s="315"/>
      <c r="C2315" s="315"/>
      <c r="D2315" s="315"/>
      <c r="E2315" s="315"/>
      <c r="F2315" s="315"/>
      <c r="G2315" s="315"/>
      <c r="H2315" s="315"/>
      <c r="I2315" s="315"/>
      <c r="J2315" s="315"/>
      <c r="K2315" s="315"/>
      <c r="L2315" s="315"/>
    </row>
    <row r="2316" spans="1:12">
      <c r="A2316" s="315"/>
      <c r="B2316" s="315"/>
      <c r="C2316" s="315"/>
      <c r="D2316" s="315"/>
      <c r="E2316" s="315"/>
      <c r="F2316" s="315"/>
      <c r="G2316" s="315"/>
      <c r="H2316" s="315"/>
      <c r="I2316" s="315"/>
      <c r="J2316" s="315"/>
      <c r="K2316" s="315"/>
      <c r="L2316" s="315"/>
    </row>
    <row r="2317" spans="1:12">
      <c r="A2317" s="315"/>
      <c r="B2317" s="315"/>
      <c r="C2317" s="315"/>
      <c r="D2317" s="315"/>
      <c r="E2317" s="315"/>
      <c r="F2317" s="315"/>
      <c r="G2317" s="315"/>
      <c r="H2317" s="315"/>
      <c r="I2317" s="315"/>
      <c r="J2317" s="315"/>
      <c r="K2317" s="315"/>
      <c r="L2317" s="315"/>
    </row>
    <row r="2318" spans="1:12">
      <c r="A2318" s="315"/>
      <c r="B2318" s="315"/>
      <c r="C2318" s="315"/>
      <c r="D2318" s="315"/>
      <c r="E2318" s="315"/>
      <c r="F2318" s="315"/>
      <c r="G2318" s="315"/>
      <c r="H2318" s="315"/>
      <c r="I2318" s="315"/>
      <c r="J2318" s="315"/>
      <c r="K2318" s="315"/>
      <c r="L2318" s="315"/>
    </row>
    <row r="2319" spans="1:12">
      <c r="A2319" s="315"/>
      <c r="B2319" s="315"/>
      <c r="C2319" s="315"/>
      <c r="D2319" s="315"/>
      <c r="E2319" s="315"/>
      <c r="F2319" s="315"/>
      <c r="G2319" s="315"/>
      <c r="H2319" s="315"/>
      <c r="I2319" s="315"/>
      <c r="J2319" s="315"/>
      <c r="K2319" s="315"/>
      <c r="L2319" s="315"/>
    </row>
    <row r="2320" spans="1:12">
      <c r="A2320" s="315"/>
      <c r="B2320" s="315"/>
      <c r="C2320" s="315"/>
      <c r="D2320" s="315"/>
      <c r="E2320" s="315"/>
      <c r="F2320" s="315"/>
      <c r="G2320" s="315"/>
      <c r="H2320" s="315"/>
      <c r="I2320" s="315"/>
      <c r="J2320" s="315"/>
      <c r="K2320" s="315"/>
      <c r="L2320" s="315"/>
    </row>
    <row r="2321" spans="1:12">
      <c r="A2321" s="315"/>
      <c r="B2321" s="315"/>
      <c r="C2321" s="315"/>
      <c r="D2321" s="315"/>
      <c r="E2321" s="315"/>
      <c r="F2321" s="315"/>
      <c r="G2321" s="315"/>
      <c r="H2321" s="315"/>
      <c r="I2321" s="315"/>
      <c r="J2321" s="315"/>
      <c r="K2321" s="315"/>
      <c r="L2321" s="315"/>
    </row>
    <row r="2322" spans="1:12">
      <c r="A2322" s="315"/>
      <c r="B2322" s="315"/>
      <c r="C2322" s="315"/>
      <c r="D2322" s="315"/>
      <c r="E2322" s="315"/>
      <c r="F2322" s="315"/>
      <c r="G2322" s="315"/>
      <c r="H2322" s="315"/>
      <c r="I2322" s="315"/>
      <c r="J2322" s="315"/>
      <c r="K2322" s="315"/>
      <c r="L2322" s="315"/>
    </row>
    <row r="2323" spans="1:12">
      <c r="A2323" s="315"/>
      <c r="B2323" s="315"/>
      <c r="C2323" s="315"/>
      <c r="D2323" s="315"/>
      <c r="E2323" s="315"/>
      <c r="F2323" s="315"/>
      <c r="G2323" s="315"/>
      <c r="H2323" s="315"/>
      <c r="I2323" s="315"/>
      <c r="J2323" s="315"/>
      <c r="K2323" s="315"/>
      <c r="L2323" s="315"/>
    </row>
    <row r="2324" spans="1:12">
      <c r="A2324" s="315"/>
      <c r="B2324" s="315"/>
      <c r="C2324" s="315"/>
      <c r="D2324" s="315"/>
      <c r="E2324" s="315"/>
      <c r="F2324" s="315"/>
      <c r="G2324" s="315"/>
      <c r="H2324" s="315"/>
      <c r="I2324" s="315"/>
      <c r="J2324" s="315"/>
      <c r="K2324" s="315"/>
      <c r="L2324" s="315"/>
    </row>
    <row r="2325" spans="1:12">
      <c r="A2325" s="315"/>
      <c r="B2325" s="315"/>
      <c r="C2325" s="315"/>
      <c r="D2325" s="315"/>
      <c r="E2325" s="315"/>
      <c r="F2325" s="315"/>
      <c r="G2325" s="315"/>
      <c r="H2325" s="315"/>
      <c r="I2325" s="315"/>
      <c r="J2325" s="315"/>
      <c r="K2325" s="315"/>
      <c r="L2325" s="315"/>
    </row>
    <row r="2326" spans="1:12">
      <c r="A2326" s="315"/>
      <c r="B2326" s="315"/>
      <c r="C2326" s="315"/>
      <c r="D2326" s="315"/>
      <c r="E2326" s="315"/>
      <c r="F2326" s="315"/>
      <c r="G2326" s="315"/>
      <c r="H2326" s="315"/>
      <c r="I2326" s="315"/>
      <c r="J2326" s="315"/>
      <c r="K2326" s="315"/>
      <c r="L2326" s="315"/>
    </row>
    <row r="2327" spans="1:12">
      <c r="A2327" s="315"/>
      <c r="B2327" s="315"/>
      <c r="C2327" s="315"/>
      <c r="D2327" s="315"/>
      <c r="E2327" s="315"/>
      <c r="F2327" s="315"/>
      <c r="G2327" s="315"/>
      <c r="H2327" s="315"/>
      <c r="I2327" s="315"/>
      <c r="J2327" s="315"/>
      <c r="K2327" s="315"/>
      <c r="L2327" s="315"/>
    </row>
    <row r="2328" spans="1:12">
      <c r="A2328" s="315"/>
      <c r="B2328" s="315"/>
      <c r="C2328" s="315"/>
      <c r="D2328" s="315"/>
      <c r="E2328" s="315"/>
      <c r="F2328" s="315"/>
      <c r="G2328" s="315"/>
      <c r="H2328" s="315"/>
      <c r="I2328" s="315"/>
      <c r="J2328" s="315"/>
      <c r="K2328" s="315"/>
      <c r="L2328" s="315"/>
    </row>
    <row r="2329" spans="1:12">
      <c r="A2329" s="315"/>
      <c r="B2329" s="315"/>
      <c r="C2329" s="315"/>
      <c r="D2329" s="315"/>
      <c r="E2329" s="315"/>
      <c r="F2329" s="315"/>
      <c r="G2329" s="315"/>
      <c r="H2329" s="315"/>
      <c r="I2329" s="315"/>
      <c r="J2329" s="315"/>
      <c r="K2329" s="315"/>
      <c r="L2329" s="315"/>
    </row>
    <row r="2330" spans="1:12">
      <c r="A2330" s="315"/>
      <c r="B2330" s="315"/>
      <c r="C2330" s="315"/>
      <c r="D2330" s="315"/>
      <c r="E2330" s="315"/>
      <c r="F2330" s="315"/>
      <c r="G2330" s="315"/>
      <c r="H2330" s="315"/>
      <c r="I2330" s="315"/>
      <c r="J2330" s="315"/>
      <c r="K2330" s="315"/>
      <c r="L2330" s="315"/>
    </row>
    <row r="2331" spans="1:12">
      <c r="A2331" s="315"/>
      <c r="B2331" s="315"/>
      <c r="C2331" s="315"/>
      <c r="D2331" s="315"/>
      <c r="E2331" s="315"/>
      <c r="F2331" s="315"/>
      <c r="G2331" s="315"/>
      <c r="H2331" s="315"/>
      <c r="I2331" s="315"/>
      <c r="J2331" s="315"/>
      <c r="K2331" s="315"/>
      <c r="L2331" s="315"/>
    </row>
    <row r="2332" spans="1:12">
      <c r="A2332" s="315"/>
      <c r="B2332" s="315"/>
      <c r="C2332" s="315"/>
      <c r="D2332" s="315"/>
      <c r="E2332" s="315"/>
      <c r="F2332" s="315"/>
      <c r="G2332" s="315"/>
      <c r="H2332" s="315"/>
      <c r="I2332" s="315"/>
      <c r="J2332" s="315"/>
      <c r="K2332" s="315"/>
      <c r="L2332" s="315"/>
    </row>
    <row r="2333" spans="1:12">
      <c r="A2333" s="315"/>
      <c r="B2333" s="315"/>
      <c r="C2333" s="315"/>
      <c r="D2333" s="315"/>
      <c r="E2333" s="315"/>
      <c r="F2333" s="315"/>
      <c r="G2333" s="315"/>
      <c r="H2333" s="315"/>
      <c r="I2333" s="315"/>
      <c r="J2333" s="315"/>
      <c r="K2333" s="315"/>
      <c r="L2333" s="315"/>
    </row>
    <row r="2334" spans="1:12">
      <c r="A2334" s="315"/>
      <c r="B2334" s="315"/>
      <c r="C2334" s="315"/>
      <c r="D2334" s="315"/>
      <c r="E2334" s="315"/>
      <c r="F2334" s="315"/>
      <c r="G2334" s="315"/>
      <c r="H2334" s="315"/>
      <c r="I2334" s="315"/>
      <c r="J2334" s="315"/>
      <c r="K2334" s="315"/>
      <c r="L2334" s="315"/>
    </row>
    <row r="2335" spans="1:12">
      <c r="A2335" s="315"/>
      <c r="B2335" s="315"/>
      <c r="C2335" s="315"/>
      <c r="D2335" s="315"/>
      <c r="E2335" s="315"/>
      <c r="F2335" s="315"/>
      <c r="G2335" s="315"/>
      <c r="H2335" s="315"/>
      <c r="I2335" s="315"/>
      <c r="J2335" s="315"/>
      <c r="K2335" s="315"/>
      <c r="L2335" s="315"/>
    </row>
    <row r="2336" spans="1:12">
      <c r="A2336" s="315"/>
      <c r="B2336" s="315"/>
      <c r="C2336" s="315"/>
      <c r="D2336" s="315"/>
      <c r="E2336" s="315"/>
      <c r="F2336" s="315"/>
      <c r="G2336" s="315"/>
      <c r="H2336" s="315"/>
      <c r="I2336" s="315"/>
      <c r="J2336" s="315"/>
      <c r="K2336" s="315"/>
      <c r="L2336" s="315"/>
    </row>
    <row r="2337" spans="1:12">
      <c r="A2337" s="315"/>
      <c r="B2337" s="315"/>
      <c r="C2337" s="315"/>
      <c r="D2337" s="315"/>
      <c r="E2337" s="315"/>
      <c r="F2337" s="315"/>
      <c r="G2337" s="315"/>
      <c r="H2337" s="315"/>
      <c r="I2337" s="315"/>
      <c r="J2337" s="315"/>
      <c r="K2337" s="315"/>
      <c r="L2337" s="315"/>
    </row>
    <row r="2338" spans="1:12">
      <c r="A2338" s="315"/>
      <c r="B2338" s="315"/>
      <c r="C2338" s="315"/>
      <c r="D2338" s="315"/>
      <c r="E2338" s="315"/>
      <c r="F2338" s="315"/>
      <c r="G2338" s="315"/>
      <c r="H2338" s="315"/>
      <c r="I2338" s="315"/>
      <c r="J2338" s="315"/>
      <c r="K2338" s="315"/>
      <c r="L2338" s="315"/>
    </row>
    <row r="2339" spans="1:12">
      <c r="A2339" s="315"/>
      <c r="B2339" s="315"/>
      <c r="C2339" s="315"/>
      <c r="D2339" s="315"/>
      <c r="E2339" s="315"/>
      <c r="F2339" s="315"/>
      <c r="G2339" s="315"/>
      <c r="H2339" s="315"/>
      <c r="I2339" s="315"/>
      <c r="J2339" s="315"/>
      <c r="K2339" s="315"/>
      <c r="L2339" s="315"/>
    </row>
    <row r="2340" spans="1:12">
      <c r="A2340" s="315"/>
      <c r="B2340" s="315"/>
      <c r="C2340" s="315"/>
      <c r="D2340" s="315"/>
      <c r="E2340" s="315"/>
      <c r="F2340" s="315"/>
      <c r="G2340" s="315"/>
      <c r="H2340" s="315"/>
      <c r="I2340" s="315"/>
      <c r="J2340" s="315"/>
      <c r="K2340" s="315"/>
      <c r="L2340" s="315"/>
    </row>
    <row r="2341" spans="1:12">
      <c r="A2341" s="315"/>
      <c r="B2341" s="315"/>
      <c r="C2341" s="315"/>
      <c r="D2341" s="315"/>
      <c r="E2341" s="315"/>
      <c r="F2341" s="315"/>
      <c r="G2341" s="315"/>
      <c r="H2341" s="315"/>
      <c r="I2341" s="315"/>
      <c r="J2341" s="315"/>
      <c r="K2341" s="315"/>
      <c r="L2341" s="315"/>
    </row>
    <row r="2342" spans="1:12">
      <c r="A2342" s="315"/>
      <c r="B2342" s="315"/>
      <c r="C2342" s="315"/>
      <c r="D2342" s="315"/>
      <c r="E2342" s="315"/>
      <c r="F2342" s="315"/>
      <c r="G2342" s="315"/>
      <c r="H2342" s="315"/>
      <c r="I2342" s="315"/>
      <c r="J2342" s="315"/>
      <c r="K2342" s="315"/>
      <c r="L2342" s="315"/>
    </row>
    <row r="2343" spans="1:12">
      <c r="A2343" s="315"/>
      <c r="B2343" s="315"/>
      <c r="C2343" s="315"/>
      <c r="D2343" s="315"/>
      <c r="E2343" s="315"/>
      <c r="F2343" s="315"/>
      <c r="G2343" s="315"/>
      <c r="H2343" s="315"/>
      <c r="I2343" s="315"/>
      <c r="J2343" s="315"/>
      <c r="K2343" s="315"/>
      <c r="L2343" s="315"/>
    </row>
    <row r="2344" spans="1:12">
      <c r="A2344" s="315"/>
      <c r="B2344" s="315"/>
      <c r="C2344" s="315"/>
      <c r="D2344" s="315"/>
      <c r="E2344" s="315"/>
      <c r="F2344" s="315"/>
      <c r="G2344" s="315"/>
      <c r="H2344" s="315"/>
      <c r="I2344" s="315"/>
      <c r="J2344" s="315"/>
      <c r="K2344" s="315"/>
      <c r="L2344" s="315"/>
    </row>
    <row r="2345" spans="1:12">
      <c r="A2345" s="315"/>
      <c r="B2345" s="315"/>
      <c r="C2345" s="315"/>
      <c r="D2345" s="315"/>
      <c r="E2345" s="315"/>
      <c r="F2345" s="315"/>
      <c r="G2345" s="315"/>
      <c r="H2345" s="315"/>
      <c r="I2345" s="315"/>
      <c r="J2345" s="315"/>
      <c r="K2345" s="315"/>
      <c r="L2345" s="315"/>
    </row>
    <row r="2346" spans="1:12">
      <c r="A2346" s="315"/>
      <c r="B2346" s="315"/>
      <c r="C2346" s="315"/>
      <c r="D2346" s="315"/>
      <c r="E2346" s="315"/>
      <c r="F2346" s="315"/>
      <c r="G2346" s="315"/>
      <c r="H2346" s="315"/>
      <c r="I2346" s="315"/>
      <c r="J2346" s="315"/>
      <c r="K2346" s="315"/>
      <c r="L2346" s="315"/>
    </row>
    <row r="2347" spans="1:12">
      <c r="A2347" s="315"/>
      <c r="B2347" s="315"/>
      <c r="C2347" s="315"/>
      <c r="D2347" s="315"/>
      <c r="E2347" s="315"/>
      <c r="F2347" s="315"/>
      <c r="G2347" s="315"/>
      <c r="H2347" s="315"/>
      <c r="I2347" s="315"/>
      <c r="J2347" s="315"/>
      <c r="K2347" s="315"/>
      <c r="L2347" s="315"/>
    </row>
    <row r="2348" spans="1:12">
      <c r="A2348" s="315"/>
      <c r="B2348" s="315"/>
      <c r="C2348" s="315"/>
      <c r="D2348" s="315"/>
      <c r="E2348" s="315"/>
      <c r="F2348" s="315"/>
      <c r="G2348" s="315"/>
      <c r="H2348" s="315"/>
      <c r="I2348" s="315"/>
      <c r="J2348" s="315"/>
      <c r="K2348" s="315"/>
      <c r="L2348" s="315"/>
    </row>
    <row r="2349" spans="1:12">
      <c r="A2349" s="315"/>
      <c r="B2349" s="315"/>
      <c r="C2349" s="315"/>
      <c r="D2349" s="315"/>
      <c r="E2349" s="315"/>
      <c r="F2349" s="315"/>
      <c r="G2349" s="315"/>
      <c r="H2349" s="315"/>
      <c r="I2349" s="315"/>
      <c r="J2349" s="315"/>
      <c r="K2349" s="315"/>
      <c r="L2349" s="315"/>
    </row>
    <row r="2350" spans="1:12">
      <c r="A2350" s="315"/>
      <c r="B2350" s="315"/>
      <c r="C2350" s="315"/>
      <c r="D2350" s="315"/>
      <c r="E2350" s="315"/>
      <c r="F2350" s="315"/>
      <c r="G2350" s="315"/>
      <c r="H2350" s="315"/>
      <c r="I2350" s="315"/>
      <c r="J2350" s="315"/>
      <c r="K2350" s="315"/>
      <c r="L2350" s="315"/>
    </row>
    <row r="2351" spans="1:12">
      <c r="A2351" s="315"/>
      <c r="B2351" s="315"/>
      <c r="C2351" s="315"/>
      <c r="D2351" s="315"/>
      <c r="E2351" s="315"/>
      <c r="F2351" s="315"/>
      <c r="G2351" s="315"/>
      <c r="H2351" s="315"/>
      <c r="I2351" s="315"/>
      <c r="J2351" s="315"/>
      <c r="K2351" s="315"/>
      <c r="L2351" s="315"/>
    </row>
    <row r="2352" spans="1:12">
      <c r="A2352" s="315"/>
      <c r="B2352" s="315"/>
      <c r="C2352" s="315"/>
      <c r="D2352" s="315"/>
      <c r="E2352" s="315"/>
      <c r="F2352" s="315"/>
      <c r="G2352" s="315"/>
      <c r="H2352" s="315"/>
      <c r="I2352" s="315"/>
      <c r="J2352" s="315"/>
      <c r="K2352" s="315"/>
      <c r="L2352" s="315"/>
    </row>
    <row r="2353" spans="1:12">
      <c r="A2353" s="315"/>
      <c r="B2353" s="315"/>
      <c r="C2353" s="315"/>
      <c r="D2353" s="315"/>
      <c r="E2353" s="315"/>
      <c r="F2353" s="315"/>
      <c r="G2353" s="315"/>
      <c r="H2353" s="315"/>
      <c r="I2353" s="315"/>
      <c r="J2353" s="315"/>
      <c r="K2353" s="315"/>
      <c r="L2353" s="315"/>
    </row>
    <row r="2354" spans="1:12">
      <c r="A2354" s="315"/>
      <c r="B2354" s="315"/>
      <c r="C2354" s="315"/>
      <c r="D2354" s="315"/>
      <c r="E2354" s="315"/>
      <c r="F2354" s="315"/>
      <c r="G2354" s="315"/>
      <c r="H2354" s="315"/>
      <c r="I2354" s="315"/>
      <c r="J2354" s="315"/>
      <c r="K2354" s="315"/>
      <c r="L2354" s="315"/>
    </row>
    <row r="2355" spans="1:12">
      <c r="A2355" s="315"/>
      <c r="B2355" s="315"/>
      <c r="C2355" s="315"/>
      <c r="D2355" s="315"/>
      <c r="E2355" s="315"/>
      <c r="F2355" s="315"/>
      <c r="G2355" s="315"/>
      <c r="H2355" s="315"/>
      <c r="I2355" s="315"/>
      <c r="J2355" s="315"/>
      <c r="K2355" s="315"/>
      <c r="L2355" s="315"/>
    </row>
    <row r="2356" spans="1:12">
      <c r="A2356" s="315"/>
      <c r="B2356" s="315"/>
      <c r="C2356" s="315"/>
      <c r="D2356" s="315"/>
      <c r="E2356" s="315"/>
      <c r="F2356" s="315"/>
      <c r="G2356" s="315"/>
      <c r="H2356" s="315"/>
      <c r="I2356" s="315"/>
      <c r="J2356" s="315"/>
      <c r="K2356" s="315"/>
      <c r="L2356" s="315"/>
    </row>
    <row r="2357" spans="1:12">
      <c r="A2357" s="315"/>
      <c r="B2357" s="315"/>
      <c r="C2357" s="315"/>
      <c r="D2357" s="315"/>
      <c r="E2357" s="315"/>
      <c r="F2357" s="315"/>
      <c r="G2357" s="315"/>
      <c r="H2357" s="315"/>
      <c r="I2357" s="315"/>
      <c r="J2357" s="315"/>
      <c r="K2357" s="315"/>
      <c r="L2357" s="315"/>
    </row>
    <row r="2358" spans="1:12">
      <c r="A2358" s="315"/>
      <c r="B2358" s="315"/>
      <c r="C2358" s="315"/>
      <c r="D2358" s="315"/>
      <c r="E2358" s="315"/>
      <c r="F2358" s="315"/>
      <c r="G2358" s="315"/>
      <c r="H2358" s="315"/>
      <c r="I2358" s="315"/>
      <c r="J2358" s="315"/>
      <c r="K2358" s="315"/>
      <c r="L2358" s="315"/>
    </row>
    <row r="2359" spans="1:12">
      <c r="A2359" s="315"/>
      <c r="B2359" s="315"/>
      <c r="C2359" s="315"/>
      <c r="D2359" s="315"/>
      <c r="E2359" s="315"/>
      <c r="F2359" s="315"/>
      <c r="G2359" s="315"/>
      <c r="H2359" s="315"/>
      <c r="I2359" s="315"/>
      <c r="J2359" s="315"/>
      <c r="K2359" s="315"/>
      <c r="L2359" s="315"/>
    </row>
    <row r="2360" spans="1:12">
      <c r="A2360" s="315"/>
      <c r="B2360" s="315"/>
      <c r="C2360" s="315"/>
      <c r="D2360" s="315"/>
      <c r="E2360" s="315"/>
      <c r="F2360" s="315"/>
      <c r="G2360" s="315"/>
      <c r="H2360" s="315"/>
      <c r="I2360" s="315"/>
      <c r="J2360" s="315"/>
      <c r="K2360" s="315"/>
      <c r="L2360" s="315"/>
    </row>
    <row r="2361" spans="1:12">
      <c r="A2361" s="315"/>
      <c r="B2361" s="315"/>
      <c r="C2361" s="315"/>
      <c r="D2361" s="315"/>
      <c r="E2361" s="315"/>
      <c r="F2361" s="315"/>
      <c r="G2361" s="315"/>
      <c r="H2361" s="315"/>
      <c r="I2361" s="315"/>
      <c r="J2361" s="315"/>
      <c r="K2361" s="315"/>
      <c r="L2361" s="315"/>
    </row>
    <row r="2362" spans="1:12">
      <c r="A2362" s="315"/>
      <c r="B2362" s="315"/>
      <c r="C2362" s="315"/>
      <c r="D2362" s="315"/>
      <c r="E2362" s="315"/>
      <c r="F2362" s="315"/>
      <c r="G2362" s="315"/>
      <c r="H2362" s="315"/>
      <c r="I2362" s="315"/>
      <c r="J2362" s="315"/>
      <c r="K2362" s="315"/>
      <c r="L2362" s="315"/>
    </row>
    <row r="2363" spans="1:12">
      <c r="A2363" s="315"/>
      <c r="B2363" s="315"/>
      <c r="C2363" s="315"/>
      <c r="D2363" s="315"/>
      <c r="E2363" s="315"/>
      <c r="F2363" s="315"/>
      <c r="G2363" s="315"/>
      <c r="H2363" s="315"/>
      <c r="I2363" s="315"/>
      <c r="J2363" s="315"/>
      <c r="K2363" s="315"/>
      <c r="L2363" s="315"/>
    </row>
    <row r="2364" spans="1:12">
      <c r="A2364" s="315"/>
      <c r="B2364" s="315"/>
      <c r="C2364" s="315"/>
      <c r="D2364" s="315"/>
      <c r="E2364" s="315"/>
      <c r="F2364" s="315"/>
      <c r="G2364" s="315"/>
      <c r="H2364" s="315"/>
      <c r="I2364" s="315"/>
      <c r="J2364" s="315"/>
      <c r="K2364" s="315"/>
      <c r="L2364" s="315"/>
    </row>
    <row r="2365" spans="1:12">
      <c r="A2365" s="315"/>
      <c r="B2365" s="315"/>
      <c r="C2365" s="315"/>
      <c r="D2365" s="315"/>
      <c r="E2365" s="315"/>
      <c r="F2365" s="315"/>
      <c r="G2365" s="315"/>
      <c r="H2365" s="315"/>
      <c r="I2365" s="315"/>
      <c r="J2365" s="315"/>
      <c r="K2365" s="315"/>
      <c r="L2365" s="315"/>
    </row>
    <row r="2366" spans="1:12">
      <c r="A2366" s="315"/>
      <c r="B2366" s="315"/>
      <c r="C2366" s="315"/>
      <c r="D2366" s="315"/>
      <c r="E2366" s="315"/>
      <c r="F2366" s="315"/>
      <c r="G2366" s="315"/>
      <c r="H2366" s="315"/>
      <c r="I2366" s="315"/>
      <c r="J2366" s="315"/>
      <c r="K2366" s="315"/>
      <c r="L2366" s="315"/>
    </row>
    <row r="2367" spans="1:12">
      <c r="A2367" s="315"/>
      <c r="B2367" s="315"/>
      <c r="C2367" s="315"/>
      <c r="D2367" s="315"/>
      <c r="E2367" s="315"/>
      <c r="F2367" s="315"/>
      <c r="G2367" s="315"/>
      <c r="H2367" s="315"/>
      <c r="I2367" s="315"/>
      <c r="J2367" s="315"/>
      <c r="K2367" s="315"/>
      <c r="L2367" s="315"/>
    </row>
    <row r="2368" spans="1:12">
      <c r="A2368" s="315"/>
      <c r="B2368" s="315"/>
      <c r="C2368" s="315"/>
      <c r="D2368" s="315"/>
      <c r="E2368" s="315"/>
      <c r="F2368" s="315"/>
      <c r="G2368" s="315"/>
      <c r="H2368" s="315"/>
      <c r="I2368" s="315"/>
      <c r="J2368" s="315"/>
      <c r="K2368" s="315"/>
      <c r="L2368" s="315"/>
    </row>
    <row r="2369" spans="1:12">
      <c r="A2369" s="315"/>
      <c r="B2369" s="315"/>
      <c r="C2369" s="315"/>
      <c r="D2369" s="315"/>
      <c r="E2369" s="315"/>
      <c r="F2369" s="315"/>
      <c r="G2369" s="315"/>
      <c r="H2369" s="315"/>
      <c r="I2369" s="315"/>
      <c r="J2369" s="315"/>
      <c r="K2369" s="315"/>
      <c r="L2369" s="315"/>
    </row>
    <row r="2370" spans="1:12">
      <c r="A2370" s="315"/>
      <c r="B2370" s="315"/>
      <c r="C2370" s="315"/>
      <c r="D2370" s="315"/>
      <c r="E2370" s="315"/>
      <c r="F2370" s="315"/>
      <c r="G2370" s="315"/>
      <c r="H2370" s="315"/>
      <c r="I2370" s="315"/>
      <c r="J2370" s="315"/>
      <c r="K2370" s="315"/>
      <c r="L2370" s="315"/>
    </row>
    <row r="2371" spans="1:12">
      <c r="A2371" s="315"/>
      <c r="B2371" s="315"/>
      <c r="C2371" s="315"/>
      <c r="D2371" s="315"/>
      <c r="E2371" s="315"/>
      <c r="F2371" s="315"/>
      <c r="G2371" s="315"/>
      <c r="H2371" s="315"/>
      <c r="I2371" s="315"/>
      <c r="J2371" s="315"/>
      <c r="K2371" s="315"/>
      <c r="L2371" s="315"/>
    </row>
    <row r="2372" spans="1:12">
      <c r="A2372" s="315"/>
      <c r="B2372" s="315"/>
      <c r="C2372" s="315"/>
      <c r="D2372" s="315"/>
      <c r="E2372" s="315"/>
      <c r="F2372" s="315"/>
      <c r="G2372" s="315"/>
      <c r="H2372" s="315"/>
      <c r="I2372" s="315"/>
      <c r="J2372" s="315"/>
      <c r="K2372" s="315"/>
      <c r="L2372" s="315"/>
    </row>
    <row r="2373" spans="1:12">
      <c r="A2373" s="315"/>
      <c r="B2373" s="315"/>
      <c r="C2373" s="315"/>
      <c r="D2373" s="315"/>
      <c r="E2373" s="315"/>
      <c r="F2373" s="315"/>
      <c r="G2373" s="315"/>
      <c r="H2373" s="315"/>
      <c r="I2373" s="315"/>
      <c r="J2373" s="315"/>
      <c r="K2373" s="315"/>
      <c r="L2373" s="315"/>
    </row>
    <row r="2374" spans="1:12">
      <c r="A2374" s="315"/>
      <c r="B2374" s="315"/>
      <c r="C2374" s="315"/>
      <c r="D2374" s="315"/>
      <c r="E2374" s="315"/>
      <c r="F2374" s="315"/>
      <c r="G2374" s="315"/>
      <c r="H2374" s="315"/>
      <c r="I2374" s="315"/>
      <c r="J2374" s="315"/>
      <c r="K2374" s="315"/>
      <c r="L2374" s="315"/>
    </row>
    <row r="2375" spans="1:12">
      <c r="A2375" s="315"/>
      <c r="B2375" s="315"/>
      <c r="C2375" s="315"/>
      <c r="D2375" s="315"/>
      <c r="E2375" s="315"/>
      <c r="F2375" s="315"/>
      <c r="G2375" s="315"/>
      <c r="H2375" s="315"/>
      <c r="I2375" s="315"/>
      <c r="J2375" s="315"/>
      <c r="K2375" s="315"/>
      <c r="L2375" s="315"/>
    </row>
    <row r="2376" spans="1:12">
      <c r="A2376" s="315"/>
      <c r="B2376" s="315"/>
      <c r="C2376" s="315"/>
      <c r="D2376" s="315"/>
      <c r="E2376" s="315"/>
      <c r="F2376" s="315"/>
      <c r="G2376" s="315"/>
      <c r="H2376" s="315"/>
      <c r="I2376" s="315"/>
      <c r="J2376" s="315"/>
      <c r="K2376" s="315"/>
      <c r="L2376" s="315"/>
    </row>
    <row r="2377" spans="1:12">
      <c r="A2377" s="315"/>
      <c r="B2377" s="315"/>
      <c r="C2377" s="315"/>
      <c r="D2377" s="315"/>
      <c r="E2377" s="315"/>
      <c r="F2377" s="315"/>
      <c r="G2377" s="315"/>
      <c r="H2377" s="315"/>
      <c r="I2377" s="315"/>
      <c r="J2377" s="315"/>
      <c r="K2377" s="315"/>
      <c r="L2377" s="315"/>
    </row>
    <row r="2378" spans="1:12">
      <c r="A2378" s="315"/>
      <c r="B2378" s="315"/>
      <c r="C2378" s="315"/>
      <c r="D2378" s="315"/>
      <c r="E2378" s="315"/>
      <c r="F2378" s="315"/>
      <c r="G2378" s="315"/>
      <c r="H2378" s="315"/>
      <c r="I2378" s="315"/>
      <c r="J2378" s="315"/>
      <c r="K2378" s="315"/>
      <c r="L2378" s="315"/>
    </row>
    <row r="2379" spans="1:12">
      <c r="A2379" s="315"/>
      <c r="B2379" s="315"/>
      <c r="C2379" s="315"/>
      <c r="D2379" s="315"/>
      <c r="E2379" s="315"/>
      <c r="F2379" s="315"/>
      <c r="G2379" s="315"/>
      <c r="H2379" s="315"/>
      <c r="I2379" s="315"/>
      <c r="J2379" s="315"/>
      <c r="K2379" s="315"/>
      <c r="L2379" s="315"/>
    </row>
    <row r="2380" spans="1:12">
      <c r="A2380" s="315"/>
      <c r="B2380" s="315"/>
      <c r="C2380" s="315"/>
      <c r="D2380" s="315"/>
      <c r="E2380" s="315"/>
      <c r="F2380" s="315"/>
      <c r="G2380" s="315"/>
      <c r="H2380" s="315"/>
      <c r="I2380" s="315"/>
      <c r="J2380" s="315"/>
      <c r="K2380" s="315"/>
      <c r="L2380" s="315"/>
    </row>
    <row r="2381" spans="1:12">
      <c r="A2381" s="315"/>
      <c r="B2381" s="315"/>
      <c r="C2381" s="315"/>
      <c r="D2381" s="315"/>
      <c r="E2381" s="315"/>
      <c r="F2381" s="315"/>
      <c r="G2381" s="315"/>
      <c r="H2381" s="315"/>
      <c r="I2381" s="315"/>
      <c r="J2381" s="315"/>
      <c r="K2381" s="315"/>
      <c r="L2381" s="315"/>
    </row>
    <row r="2382" spans="1:12">
      <c r="A2382" s="315"/>
      <c r="B2382" s="315"/>
      <c r="C2382" s="315"/>
      <c r="D2382" s="315"/>
      <c r="E2382" s="315"/>
      <c r="F2382" s="315"/>
      <c r="G2382" s="315"/>
      <c r="H2382" s="315"/>
      <c r="I2382" s="315"/>
      <c r="J2382" s="315"/>
      <c r="K2382" s="315"/>
      <c r="L2382" s="315"/>
    </row>
    <row r="2383" spans="1:12">
      <c r="A2383" s="315"/>
      <c r="B2383" s="315"/>
      <c r="C2383" s="315"/>
      <c r="D2383" s="315"/>
      <c r="E2383" s="315"/>
      <c r="F2383" s="315"/>
      <c r="G2383" s="315"/>
      <c r="H2383" s="315"/>
      <c r="I2383" s="315"/>
      <c r="J2383" s="315"/>
      <c r="K2383" s="315"/>
      <c r="L2383" s="315"/>
    </row>
    <row r="2384" spans="1:12">
      <c r="A2384" s="315"/>
      <c r="B2384" s="315"/>
      <c r="C2384" s="315"/>
      <c r="D2384" s="315"/>
      <c r="E2384" s="315"/>
      <c r="F2384" s="315"/>
      <c r="G2384" s="315"/>
      <c r="H2384" s="315"/>
      <c r="I2384" s="315"/>
      <c r="J2384" s="315"/>
      <c r="K2384" s="315"/>
      <c r="L2384" s="315"/>
    </row>
    <row r="2385" spans="1:12">
      <c r="A2385" s="315"/>
      <c r="B2385" s="315"/>
      <c r="C2385" s="315"/>
      <c r="D2385" s="315"/>
      <c r="E2385" s="315"/>
      <c r="F2385" s="315"/>
      <c r="G2385" s="315"/>
      <c r="H2385" s="315"/>
      <c r="I2385" s="315"/>
      <c r="J2385" s="315"/>
      <c r="K2385" s="315"/>
      <c r="L2385" s="315"/>
    </row>
    <row r="2386" spans="1:12">
      <c r="A2386" s="315"/>
      <c r="B2386" s="315"/>
      <c r="C2386" s="315"/>
      <c r="D2386" s="315"/>
      <c r="E2386" s="315"/>
      <c r="F2386" s="315"/>
      <c r="G2386" s="315"/>
      <c r="H2386" s="315"/>
      <c r="I2386" s="315"/>
      <c r="J2386" s="315"/>
      <c r="K2386" s="315"/>
      <c r="L2386" s="315"/>
    </row>
    <row r="2387" spans="1:12">
      <c r="A2387" s="315"/>
      <c r="B2387" s="315"/>
      <c r="C2387" s="315"/>
      <c r="D2387" s="315"/>
      <c r="E2387" s="315"/>
      <c r="F2387" s="315"/>
      <c r="G2387" s="315"/>
      <c r="H2387" s="315"/>
      <c r="I2387" s="315"/>
      <c r="J2387" s="315"/>
      <c r="K2387" s="315"/>
      <c r="L2387" s="315"/>
    </row>
    <row r="2388" spans="1:12">
      <c r="A2388" s="315"/>
      <c r="B2388" s="315"/>
      <c r="C2388" s="315"/>
      <c r="D2388" s="315"/>
      <c r="E2388" s="315"/>
      <c r="F2388" s="315"/>
      <c r="G2388" s="315"/>
      <c r="H2388" s="315"/>
      <c r="I2388" s="315"/>
      <c r="J2388" s="315"/>
      <c r="K2388" s="315"/>
      <c r="L2388" s="315"/>
    </row>
    <row r="2389" spans="1:12">
      <c r="A2389" s="315"/>
      <c r="B2389" s="315"/>
      <c r="C2389" s="315"/>
      <c r="D2389" s="315"/>
      <c r="E2389" s="315"/>
      <c r="F2389" s="315"/>
      <c r="G2389" s="315"/>
      <c r="H2389" s="315"/>
      <c r="I2389" s="315"/>
      <c r="J2389" s="315"/>
      <c r="K2389" s="315"/>
      <c r="L2389" s="315"/>
    </row>
    <row r="2390" spans="1:12">
      <c r="A2390" s="315"/>
      <c r="B2390" s="315"/>
      <c r="C2390" s="315"/>
      <c r="D2390" s="315"/>
      <c r="E2390" s="315"/>
      <c r="F2390" s="315"/>
      <c r="G2390" s="315"/>
      <c r="H2390" s="315"/>
      <c r="I2390" s="315"/>
      <c r="J2390" s="315"/>
      <c r="K2390" s="315"/>
      <c r="L2390" s="315"/>
    </row>
    <row r="2391" spans="1:12">
      <c r="A2391" s="315"/>
      <c r="B2391" s="315"/>
      <c r="C2391" s="315"/>
      <c r="D2391" s="315"/>
      <c r="E2391" s="315"/>
      <c r="F2391" s="315"/>
      <c r="G2391" s="315"/>
      <c r="H2391" s="315"/>
      <c r="I2391" s="315"/>
      <c r="J2391" s="315"/>
      <c r="K2391" s="315"/>
      <c r="L2391" s="315"/>
    </row>
    <row r="2392" spans="1:12">
      <c r="A2392" s="315"/>
      <c r="B2392" s="315"/>
      <c r="C2392" s="315"/>
      <c r="D2392" s="315"/>
      <c r="E2392" s="315"/>
      <c r="F2392" s="315"/>
      <c r="G2392" s="315"/>
      <c r="H2392" s="315"/>
      <c r="I2392" s="315"/>
      <c r="J2392" s="315"/>
      <c r="K2392" s="315"/>
      <c r="L2392" s="315"/>
    </row>
    <row r="2393" spans="1:12">
      <c r="A2393" s="315"/>
      <c r="B2393" s="315"/>
      <c r="C2393" s="315"/>
      <c r="D2393" s="315"/>
      <c r="E2393" s="315"/>
      <c r="F2393" s="315"/>
      <c r="G2393" s="315"/>
      <c r="H2393" s="315"/>
      <c r="I2393" s="315"/>
      <c r="J2393" s="315"/>
      <c r="K2393" s="315"/>
      <c r="L2393" s="315"/>
    </row>
    <row r="2394" spans="1:12">
      <c r="A2394" s="315"/>
      <c r="B2394" s="315"/>
      <c r="C2394" s="315"/>
      <c r="D2394" s="315"/>
      <c r="E2394" s="315"/>
      <c r="F2394" s="315"/>
      <c r="G2394" s="315"/>
      <c r="H2394" s="315"/>
      <c r="I2394" s="315"/>
      <c r="J2394" s="315"/>
      <c r="K2394" s="315"/>
      <c r="L2394" s="315"/>
    </row>
    <row r="2395" spans="1:12">
      <c r="A2395" s="315"/>
      <c r="B2395" s="315"/>
      <c r="C2395" s="315"/>
      <c r="D2395" s="315"/>
      <c r="E2395" s="315"/>
      <c r="F2395" s="315"/>
      <c r="G2395" s="315"/>
      <c r="H2395" s="315"/>
      <c r="I2395" s="315"/>
      <c r="J2395" s="315"/>
      <c r="K2395" s="315"/>
      <c r="L2395" s="315"/>
    </row>
    <row r="2396" spans="1:12">
      <c r="A2396" s="315"/>
      <c r="B2396" s="315"/>
      <c r="C2396" s="315"/>
      <c r="D2396" s="315"/>
      <c r="E2396" s="315"/>
      <c r="F2396" s="315"/>
      <c r="G2396" s="315"/>
      <c r="H2396" s="315"/>
      <c r="I2396" s="315"/>
      <c r="J2396" s="315"/>
      <c r="K2396" s="315"/>
      <c r="L2396" s="315"/>
    </row>
    <row r="2397" spans="1:12">
      <c r="A2397" s="315"/>
      <c r="B2397" s="315"/>
      <c r="C2397" s="315"/>
      <c r="D2397" s="315"/>
      <c r="E2397" s="315"/>
      <c r="F2397" s="315"/>
      <c r="G2397" s="315"/>
      <c r="H2397" s="315"/>
      <c r="I2397" s="315"/>
      <c r="J2397" s="315"/>
      <c r="K2397" s="315"/>
      <c r="L2397" s="315"/>
    </row>
    <row r="2398" spans="1:12">
      <c r="A2398" s="315"/>
      <c r="B2398" s="315"/>
      <c r="C2398" s="315"/>
      <c r="D2398" s="315"/>
      <c r="E2398" s="315"/>
      <c r="F2398" s="315"/>
      <c r="G2398" s="315"/>
      <c r="H2398" s="315"/>
      <c r="I2398" s="315"/>
      <c r="J2398" s="315"/>
      <c r="K2398" s="315"/>
      <c r="L2398" s="315"/>
    </row>
    <row r="2399" spans="1:12">
      <c r="A2399" s="315"/>
      <c r="B2399" s="315"/>
      <c r="C2399" s="315"/>
      <c r="D2399" s="315"/>
      <c r="E2399" s="315"/>
      <c r="F2399" s="315"/>
      <c r="G2399" s="315"/>
      <c r="H2399" s="315"/>
      <c r="I2399" s="315"/>
      <c r="J2399" s="315"/>
      <c r="K2399" s="315"/>
      <c r="L2399" s="315"/>
    </row>
    <row r="2400" spans="1:12">
      <c r="A2400" s="315"/>
      <c r="B2400" s="315"/>
      <c r="C2400" s="315"/>
      <c r="D2400" s="315"/>
      <c r="E2400" s="315"/>
      <c r="F2400" s="315"/>
      <c r="G2400" s="315"/>
      <c r="H2400" s="315"/>
      <c r="I2400" s="315"/>
      <c r="J2400" s="315"/>
      <c r="K2400" s="315"/>
      <c r="L2400" s="315"/>
    </row>
    <row r="2401" spans="1:12">
      <c r="A2401" s="315"/>
      <c r="B2401" s="315"/>
      <c r="C2401" s="315"/>
      <c r="D2401" s="315"/>
      <c r="E2401" s="315"/>
      <c r="F2401" s="315"/>
      <c r="G2401" s="315"/>
      <c r="H2401" s="315"/>
      <c r="I2401" s="315"/>
      <c r="J2401" s="315"/>
      <c r="K2401" s="315"/>
      <c r="L2401" s="315"/>
    </row>
    <row r="2402" spans="1:12">
      <c r="A2402" s="315"/>
      <c r="B2402" s="315"/>
      <c r="C2402" s="315"/>
      <c r="D2402" s="315"/>
      <c r="E2402" s="315"/>
      <c r="F2402" s="315"/>
      <c r="G2402" s="315"/>
      <c r="H2402" s="315"/>
      <c r="I2402" s="315"/>
      <c r="J2402" s="315"/>
      <c r="K2402" s="315"/>
      <c r="L2402" s="315"/>
    </row>
    <row r="2403" spans="1:12">
      <c r="A2403" s="315"/>
      <c r="B2403" s="315"/>
      <c r="C2403" s="315"/>
      <c r="D2403" s="315"/>
      <c r="E2403" s="315"/>
      <c r="F2403" s="315"/>
      <c r="G2403" s="315"/>
      <c r="H2403" s="315"/>
      <c r="I2403" s="315"/>
      <c r="J2403" s="315"/>
      <c r="K2403" s="315"/>
      <c r="L2403" s="315"/>
    </row>
    <row r="2404" spans="1:12">
      <c r="A2404" s="315"/>
      <c r="B2404" s="315"/>
      <c r="C2404" s="315"/>
      <c r="D2404" s="315"/>
      <c r="E2404" s="315"/>
      <c r="F2404" s="315"/>
      <c r="G2404" s="315"/>
      <c r="H2404" s="315"/>
      <c r="I2404" s="315"/>
      <c r="J2404" s="315"/>
      <c r="K2404" s="315"/>
      <c r="L2404" s="315"/>
    </row>
    <row r="2405" spans="1:12">
      <c r="A2405" s="315"/>
      <c r="B2405" s="315"/>
      <c r="C2405" s="315"/>
      <c r="D2405" s="315"/>
      <c r="E2405" s="315"/>
      <c r="F2405" s="315"/>
      <c r="G2405" s="315"/>
      <c r="H2405" s="315"/>
      <c r="I2405" s="315"/>
      <c r="J2405" s="315"/>
      <c r="K2405" s="315"/>
      <c r="L2405" s="315"/>
    </row>
    <row r="2406" spans="1:12">
      <c r="A2406" s="315"/>
      <c r="B2406" s="315"/>
      <c r="C2406" s="315"/>
      <c r="D2406" s="315"/>
      <c r="E2406" s="315"/>
      <c r="F2406" s="315"/>
      <c r="G2406" s="315"/>
      <c r="H2406" s="315"/>
      <c r="I2406" s="315"/>
      <c r="J2406" s="315"/>
      <c r="K2406" s="315"/>
      <c r="L2406" s="315"/>
    </row>
    <row r="2407" spans="1:12">
      <c r="A2407" s="315"/>
      <c r="B2407" s="315"/>
      <c r="C2407" s="315"/>
      <c r="D2407" s="315"/>
      <c r="E2407" s="315"/>
      <c r="F2407" s="315"/>
      <c r="G2407" s="315"/>
      <c r="H2407" s="315"/>
      <c r="I2407" s="315"/>
      <c r="J2407" s="315"/>
      <c r="K2407" s="315"/>
      <c r="L2407" s="315"/>
    </row>
    <row r="2408" spans="1:12">
      <c r="A2408" s="315"/>
      <c r="B2408" s="315"/>
      <c r="C2408" s="315"/>
      <c r="D2408" s="315"/>
      <c r="E2408" s="315"/>
      <c r="F2408" s="315"/>
      <c r="G2408" s="315"/>
      <c r="H2408" s="315"/>
      <c r="I2408" s="315"/>
      <c r="J2408" s="315"/>
      <c r="K2408" s="315"/>
      <c r="L2408" s="315"/>
    </row>
    <row r="2409" spans="1:12">
      <c r="A2409" s="315"/>
      <c r="B2409" s="315"/>
      <c r="C2409" s="315"/>
      <c r="D2409" s="315"/>
      <c r="E2409" s="315"/>
      <c r="F2409" s="315"/>
      <c r="G2409" s="315"/>
      <c r="H2409" s="315"/>
      <c r="I2409" s="315"/>
      <c r="J2409" s="315"/>
      <c r="K2409" s="315"/>
      <c r="L2409" s="315"/>
    </row>
    <row r="2410" spans="1:12">
      <c r="A2410" s="315"/>
      <c r="B2410" s="315"/>
      <c r="C2410" s="315"/>
      <c r="D2410" s="315"/>
      <c r="E2410" s="315"/>
      <c r="F2410" s="315"/>
      <c r="G2410" s="315"/>
      <c r="H2410" s="315"/>
      <c r="I2410" s="315"/>
      <c r="J2410" s="315"/>
      <c r="K2410" s="315"/>
      <c r="L2410" s="315"/>
    </row>
    <row r="2411" spans="1:12">
      <c r="A2411" s="315"/>
      <c r="B2411" s="315"/>
      <c r="C2411" s="315"/>
      <c r="D2411" s="315"/>
      <c r="E2411" s="315"/>
      <c r="F2411" s="315"/>
      <c r="G2411" s="315"/>
      <c r="H2411" s="315"/>
      <c r="I2411" s="315"/>
      <c r="J2411" s="315"/>
      <c r="K2411" s="315"/>
      <c r="L2411" s="315"/>
    </row>
    <row r="2412" spans="1:12">
      <c r="A2412" s="315"/>
      <c r="B2412" s="315"/>
      <c r="C2412" s="315"/>
      <c r="D2412" s="315"/>
      <c r="E2412" s="315"/>
      <c r="F2412" s="315"/>
      <c r="G2412" s="315"/>
      <c r="H2412" s="315"/>
      <c r="I2412" s="315"/>
      <c r="J2412" s="315"/>
      <c r="K2412" s="315"/>
      <c r="L2412" s="315"/>
    </row>
    <row r="2413" spans="1:12">
      <c r="A2413" s="315"/>
      <c r="B2413" s="315"/>
      <c r="C2413" s="315"/>
      <c r="D2413" s="315"/>
      <c r="E2413" s="315"/>
      <c r="F2413" s="315"/>
      <c r="G2413" s="315"/>
      <c r="H2413" s="315"/>
      <c r="I2413" s="315"/>
      <c r="J2413" s="315"/>
      <c r="K2413" s="315"/>
      <c r="L2413" s="315"/>
    </row>
    <row r="2414" spans="1:12">
      <c r="A2414" s="315"/>
      <c r="B2414" s="315"/>
      <c r="C2414" s="315"/>
      <c r="D2414" s="315"/>
      <c r="E2414" s="315"/>
      <c r="F2414" s="315"/>
      <c r="G2414" s="315"/>
      <c r="H2414" s="315"/>
      <c r="I2414" s="315"/>
      <c r="J2414" s="315"/>
      <c r="K2414" s="315"/>
      <c r="L2414" s="315"/>
    </row>
    <row r="2415" spans="1:12">
      <c r="A2415" s="315"/>
      <c r="B2415" s="315"/>
      <c r="C2415" s="315"/>
      <c r="D2415" s="315"/>
      <c r="E2415" s="315"/>
      <c r="F2415" s="315"/>
      <c r="G2415" s="315"/>
      <c r="H2415" s="315"/>
      <c r="I2415" s="315"/>
      <c r="J2415" s="315"/>
      <c r="K2415" s="315"/>
      <c r="L2415" s="315"/>
    </row>
    <row r="2416" spans="1:12">
      <c r="A2416" s="315"/>
      <c r="B2416" s="315"/>
      <c r="C2416" s="315"/>
      <c r="D2416" s="315"/>
      <c r="E2416" s="315"/>
      <c r="F2416" s="315"/>
      <c r="G2416" s="315"/>
      <c r="H2416" s="315"/>
      <c r="I2416" s="315"/>
      <c r="J2416" s="315"/>
      <c r="K2416" s="315"/>
      <c r="L2416" s="315"/>
    </row>
    <row r="2417" spans="1:12">
      <c r="A2417" s="315"/>
      <c r="B2417" s="315"/>
      <c r="C2417" s="315"/>
      <c r="D2417" s="315"/>
      <c r="E2417" s="315"/>
      <c r="F2417" s="315"/>
      <c r="G2417" s="315"/>
      <c r="H2417" s="315"/>
      <c r="I2417" s="315"/>
      <c r="J2417" s="315"/>
      <c r="K2417" s="315"/>
      <c r="L2417" s="315"/>
    </row>
    <row r="2418" spans="1:12">
      <c r="A2418" s="315"/>
      <c r="B2418" s="315"/>
      <c r="C2418" s="315"/>
      <c r="D2418" s="315"/>
      <c r="E2418" s="315"/>
      <c r="F2418" s="315"/>
      <c r="G2418" s="315"/>
      <c r="H2418" s="315"/>
      <c r="I2418" s="315"/>
      <c r="J2418" s="315"/>
      <c r="K2418" s="315"/>
      <c r="L2418" s="315"/>
    </row>
    <row r="2419" spans="1:12">
      <c r="A2419" s="315"/>
      <c r="B2419" s="315"/>
      <c r="C2419" s="315"/>
      <c r="D2419" s="315"/>
      <c r="E2419" s="315"/>
      <c r="F2419" s="315"/>
      <c r="G2419" s="315"/>
      <c r="H2419" s="315"/>
      <c r="I2419" s="315"/>
      <c r="J2419" s="315"/>
      <c r="K2419" s="315"/>
      <c r="L2419" s="315"/>
    </row>
    <row r="2420" spans="1:12">
      <c r="A2420" s="315"/>
      <c r="B2420" s="315"/>
      <c r="C2420" s="315"/>
      <c r="D2420" s="315"/>
      <c r="E2420" s="315"/>
      <c r="F2420" s="315"/>
      <c r="G2420" s="315"/>
      <c r="H2420" s="315"/>
      <c r="I2420" s="315"/>
      <c r="J2420" s="315"/>
      <c r="K2420" s="315"/>
      <c r="L2420" s="315"/>
    </row>
    <row r="2421" spans="1:12">
      <c r="A2421" s="315"/>
      <c r="B2421" s="315"/>
      <c r="C2421" s="315"/>
      <c r="D2421" s="315"/>
      <c r="E2421" s="315"/>
      <c r="F2421" s="315"/>
      <c r="G2421" s="315"/>
      <c r="H2421" s="315"/>
      <c r="I2421" s="315"/>
      <c r="J2421" s="315"/>
      <c r="K2421" s="315"/>
      <c r="L2421" s="315"/>
    </row>
    <row r="2422" spans="1:12">
      <c r="A2422" s="315"/>
      <c r="B2422" s="315"/>
      <c r="C2422" s="315"/>
      <c r="D2422" s="315"/>
      <c r="E2422" s="315"/>
      <c r="F2422" s="315"/>
      <c r="G2422" s="315"/>
      <c r="H2422" s="315"/>
      <c r="I2422" s="315"/>
      <c r="J2422" s="315"/>
      <c r="K2422" s="315"/>
      <c r="L2422" s="315"/>
    </row>
    <row r="2423" spans="1:12">
      <c r="A2423" s="315"/>
      <c r="B2423" s="315"/>
      <c r="C2423" s="315"/>
      <c r="D2423" s="315"/>
      <c r="E2423" s="315"/>
      <c r="F2423" s="315"/>
      <c r="G2423" s="315"/>
      <c r="H2423" s="315"/>
      <c r="I2423" s="315"/>
      <c r="J2423" s="315"/>
      <c r="K2423" s="315"/>
      <c r="L2423" s="315"/>
    </row>
    <row r="2424" spans="1:12">
      <c r="A2424" s="315"/>
      <c r="B2424" s="315"/>
      <c r="C2424" s="315"/>
      <c r="D2424" s="315"/>
      <c r="E2424" s="315"/>
      <c r="F2424" s="315"/>
      <c r="G2424" s="315"/>
      <c r="H2424" s="315"/>
      <c r="I2424" s="315"/>
      <c r="J2424" s="315"/>
      <c r="K2424" s="315"/>
      <c r="L2424" s="315"/>
    </row>
    <row r="2425" spans="1:12">
      <c r="A2425" s="315"/>
      <c r="B2425" s="315"/>
      <c r="C2425" s="315"/>
      <c r="D2425" s="315"/>
      <c r="E2425" s="315"/>
      <c r="F2425" s="315"/>
      <c r="G2425" s="315"/>
      <c r="H2425" s="315"/>
      <c r="I2425" s="315"/>
      <c r="J2425" s="315"/>
      <c r="K2425" s="315"/>
      <c r="L2425" s="315"/>
    </row>
    <row r="2426" spans="1:12">
      <c r="A2426" s="315"/>
      <c r="B2426" s="315"/>
      <c r="C2426" s="315"/>
      <c r="D2426" s="315"/>
      <c r="E2426" s="315"/>
      <c r="F2426" s="315"/>
      <c r="G2426" s="315"/>
      <c r="H2426" s="315"/>
      <c r="I2426" s="315"/>
      <c r="J2426" s="315"/>
      <c r="K2426" s="315"/>
      <c r="L2426" s="315"/>
    </row>
    <row r="2427" spans="1:12">
      <c r="A2427" s="315"/>
      <c r="B2427" s="315"/>
      <c r="C2427" s="315"/>
      <c r="D2427" s="315"/>
      <c r="E2427" s="315"/>
      <c r="F2427" s="315"/>
      <c r="G2427" s="315"/>
      <c r="H2427" s="315"/>
      <c r="I2427" s="315"/>
      <c r="J2427" s="315"/>
      <c r="K2427" s="315"/>
      <c r="L2427" s="315"/>
    </row>
    <row r="2428" spans="1:12">
      <c r="A2428" s="315"/>
      <c r="B2428" s="315"/>
      <c r="C2428" s="315"/>
      <c r="D2428" s="315"/>
      <c r="E2428" s="315"/>
      <c r="F2428" s="315"/>
      <c r="G2428" s="315"/>
      <c r="H2428" s="315"/>
      <c r="I2428" s="315"/>
      <c r="J2428" s="315"/>
      <c r="K2428" s="315"/>
      <c r="L2428" s="315"/>
    </row>
    <row r="2429" spans="1:12">
      <c r="A2429" s="315"/>
      <c r="B2429" s="315"/>
      <c r="C2429" s="315"/>
      <c r="D2429" s="315"/>
      <c r="E2429" s="315"/>
      <c r="F2429" s="315"/>
      <c r="G2429" s="315"/>
      <c r="H2429" s="315"/>
      <c r="I2429" s="315"/>
      <c r="J2429" s="315"/>
      <c r="K2429" s="315"/>
      <c r="L2429" s="315"/>
    </row>
    <row r="2430" spans="1:12">
      <c r="A2430" s="315"/>
      <c r="B2430" s="315"/>
      <c r="C2430" s="315"/>
      <c r="D2430" s="315"/>
      <c r="E2430" s="315"/>
      <c r="F2430" s="315"/>
      <c r="G2430" s="315"/>
      <c r="H2430" s="315"/>
      <c r="I2430" s="315"/>
      <c r="J2430" s="315"/>
      <c r="K2430" s="315"/>
      <c r="L2430" s="315"/>
    </row>
    <row r="2431" spans="1:12">
      <c r="A2431" s="315"/>
      <c r="B2431" s="315"/>
      <c r="C2431" s="315"/>
      <c r="D2431" s="315"/>
      <c r="E2431" s="315"/>
      <c r="F2431" s="315"/>
      <c r="G2431" s="315"/>
      <c r="H2431" s="315"/>
      <c r="I2431" s="315"/>
      <c r="J2431" s="315"/>
      <c r="K2431" s="315"/>
      <c r="L2431" s="315"/>
    </row>
    <row r="2432" spans="1:12">
      <c r="A2432" s="315"/>
      <c r="B2432" s="315"/>
      <c r="C2432" s="315"/>
      <c r="D2432" s="315"/>
      <c r="E2432" s="315"/>
      <c r="F2432" s="315"/>
      <c r="G2432" s="315"/>
      <c r="H2432" s="315"/>
      <c r="I2432" s="315"/>
      <c r="J2432" s="315"/>
      <c r="K2432" s="315"/>
      <c r="L2432" s="315"/>
    </row>
    <row r="2433" spans="1:12">
      <c r="A2433" s="315"/>
      <c r="B2433" s="315"/>
      <c r="C2433" s="315"/>
      <c r="D2433" s="315"/>
      <c r="E2433" s="315"/>
      <c r="F2433" s="315"/>
      <c r="G2433" s="315"/>
      <c r="H2433" s="315"/>
      <c r="I2433" s="315"/>
      <c r="J2433" s="315"/>
      <c r="K2433" s="315"/>
      <c r="L2433" s="315"/>
    </row>
    <row r="2434" spans="1:12">
      <c r="A2434" s="315"/>
      <c r="B2434" s="315"/>
      <c r="C2434" s="315"/>
      <c r="D2434" s="315"/>
      <c r="E2434" s="315"/>
      <c r="F2434" s="315"/>
      <c r="G2434" s="315"/>
      <c r="H2434" s="315"/>
      <c r="I2434" s="315"/>
      <c r="J2434" s="315"/>
      <c r="K2434" s="315"/>
      <c r="L2434" s="315"/>
    </row>
    <row r="2435" spans="1:12">
      <c r="A2435" s="315"/>
      <c r="B2435" s="315"/>
      <c r="C2435" s="315"/>
      <c r="D2435" s="315"/>
      <c r="E2435" s="315"/>
      <c r="F2435" s="315"/>
      <c r="G2435" s="315"/>
      <c r="H2435" s="315"/>
      <c r="I2435" s="315"/>
      <c r="J2435" s="315"/>
      <c r="K2435" s="315"/>
      <c r="L2435" s="315"/>
    </row>
    <row r="2436" spans="1:12">
      <c r="A2436" s="315"/>
      <c r="B2436" s="315"/>
      <c r="C2436" s="315"/>
      <c r="D2436" s="315"/>
      <c r="E2436" s="315"/>
      <c r="F2436" s="315"/>
      <c r="G2436" s="315"/>
      <c r="H2436" s="315"/>
      <c r="I2436" s="315"/>
      <c r="J2436" s="315"/>
      <c r="K2436" s="315"/>
      <c r="L2436" s="315"/>
    </row>
    <row r="2437" spans="1:12">
      <c r="A2437" s="315"/>
      <c r="B2437" s="315"/>
      <c r="C2437" s="315"/>
      <c r="D2437" s="315"/>
      <c r="E2437" s="315"/>
      <c r="F2437" s="315"/>
      <c r="G2437" s="315"/>
      <c r="H2437" s="315"/>
      <c r="I2437" s="315"/>
      <c r="J2437" s="315"/>
      <c r="K2437" s="315"/>
      <c r="L2437" s="315"/>
    </row>
    <row r="2438" spans="1:12">
      <c r="A2438" s="315"/>
      <c r="B2438" s="315"/>
      <c r="C2438" s="315"/>
      <c r="D2438" s="315"/>
      <c r="E2438" s="315"/>
      <c r="F2438" s="315"/>
      <c r="G2438" s="315"/>
      <c r="H2438" s="315"/>
      <c r="I2438" s="315"/>
      <c r="J2438" s="315"/>
      <c r="K2438" s="315"/>
      <c r="L2438" s="315"/>
    </row>
    <row r="2439" spans="1:12">
      <c r="A2439" s="315"/>
      <c r="B2439" s="315"/>
      <c r="C2439" s="315"/>
      <c r="D2439" s="315"/>
      <c r="E2439" s="315"/>
      <c r="F2439" s="315"/>
      <c r="G2439" s="315"/>
      <c r="H2439" s="315"/>
      <c r="I2439" s="315"/>
      <c r="J2439" s="315"/>
      <c r="K2439" s="315"/>
      <c r="L2439" s="315"/>
    </row>
    <row r="2440" spans="1:12">
      <c r="A2440" s="315"/>
      <c r="B2440" s="315"/>
      <c r="C2440" s="315"/>
      <c r="D2440" s="315"/>
      <c r="E2440" s="315"/>
      <c r="F2440" s="315"/>
      <c r="G2440" s="315"/>
      <c r="H2440" s="315"/>
      <c r="I2440" s="315"/>
      <c r="J2440" s="315"/>
      <c r="K2440" s="315"/>
      <c r="L2440" s="315"/>
    </row>
    <row r="2441" spans="1:12">
      <c r="A2441" s="315"/>
      <c r="B2441" s="315"/>
      <c r="C2441" s="315"/>
      <c r="D2441" s="315"/>
      <c r="E2441" s="315"/>
      <c r="F2441" s="315"/>
      <c r="G2441" s="315"/>
      <c r="H2441" s="315"/>
      <c r="I2441" s="315"/>
      <c r="J2441" s="315"/>
      <c r="K2441" s="315"/>
      <c r="L2441" s="315"/>
    </row>
    <row r="2442" spans="1:12">
      <c r="A2442" s="315"/>
      <c r="B2442" s="315"/>
      <c r="C2442" s="315"/>
      <c r="D2442" s="315"/>
      <c r="E2442" s="315"/>
      <c r="F2442" s="315"/>
      <c r="G2442" s="315"/>
      <c r="H2442" s="315"/>
      <c r="I2442" s="315"/>
      <c r="J2442" s="315"/>
      <c r="K2442" s="315"/>
      <c r="L2442" s="315"/>
    </row>
    <row r="2443" spans="1:12">
      <c r="A2443" s="315"/>
      <c r="B2443" s="315"/>
      <c r="C2443" s="315"/>
      <c r="D2443" s="315"/>
      <c r="E2443" s="315"/>
      <c r="F2443" s="315"/>
      <c r="G2443" s="315"/>
      <c r="H2443" s="315"/>
      <c r="I2443" s="315"/>
      <c r="J2443" s="315"/>
      <c r="K2443" s="315"/>
      <c r="L2443" s="315"/>
    </row>
    <row r="2444" spans="1:12">
      <c r="A2444" s="315"/>
      <c r="B2444" s="315"/>
      <c r="C2444" s="315"/>
      <c r="D2444" s="315"/>
      <c r="E2444" s="315"/>
      <c r="F2444" s="315"/>
      <c r="G2444" s="315"/>
      <c r="H2444" s="315"/>
      <c r="I2444" s="315"/>
      <c r="J2444" s="315"/>
      <c r="K2444" s="315"/>
      <c r="L2444" s="315"/>
    </row>
    <row r="2445" spans="1:12">
      <c r="A2445" s="315"/>
      <c r="B2445" s="315"/>
      <c r="C2445" s="315"/>
      <c r="D2445" s="315"/>
      <c r="E2445" s="315"/>
      <c r="F2445" s="315"/>
      <c r="G2445" s="315"/>
      <c r="H2445" s="315"/>
      <c r="I2445" s="315"/>
      <c r="J2445" s="315"/>
      <c r="K2445" s="315"/>
      <c r="L2445" s="315"/>
    </row>
    <row r="2446" spans="1:12">
      <c r="A2446" s="315"/>
      <c r="B2446" s="315"/>
      <c r="C2446" s="315"/>
      <c r="D2446" s="315"/>
      <c r="E2446" s="315"/>
      <c r="F2446" s="315"/>
      <c r="G2446" s="315"/>
      <c r="H2446" s="315"/>
      <c r="I2446" s="315"/>
      <c r="J2446" s="315"/>
      <c r="K2446" s="315"/>
      <c r="L2446" s="315"/>
    </row>
    <row r="2447" spans="1:12">
      <c r="A2447" s="315"/>
      <c r="B2447" s="315"/>
      <c r="C2447" s="315"/>
      <c r="D2447" s="315"/>
      <c r="E2447" s="315"/>
      <c r="F2447" s="315"/>
      <c r="G2447" s="315"/>
      <c r="H2447" s="315"/>
      <c r="I2447" s="315"/>
      <c r="J2447" s="315"/>
      <c r="K2447" s="315"/>
      <c r="L2447" s="315"/>
    </row>
    <row r="2448" spans="1:12">
      <c r="A2448" s="315"/>
      <c r="B2448" s="315"/>
      <c r="C2448" s="315"/>
      <c r="D2448" s="315"/>
      <c r="E2448" s="315"/>
      <c r="F2448" s="315"/>
      <c r="G2448" s="315"/>
      <c r="H2448" s="315"/>
      <c r="I2448" s="315"/>
      <c r="J2448" s="315"/>
      <c r="K2448" s="315"/>
      <c r="L2448" s="315"/>
    </row>
    <row r="2449" spans="1:12">
      <c r="A2449" s="315"/>
      <c r="B2449" s="315"/>
      <c r="C2449" s="315"/>
      <c r="D2449" s="315"/>
      <c r="E2449" s="315"/>
      <c r="F2449" s="315"/>
      <c r="G2449" s="315"/>
      <c r="H2449" s="315"/>
      <c r="I2449" s="315"/>
      <c r="J2449" s="315"/>
      <c r="K2449" s="315"/>
      <c r="L2449" s="315"/>
    </row>
    <row r="2450" spans="1:12">
      <c r="A2450" s="315"/>
      <c r="B2450" s="315"/>
      <c r="C2450" s="315"/>
      <c r="D2450" s="315"/>
      <c r="E2450" s="315"/>
      <c r="F2450" s="315"/>
      <c r="G2450" s="315"/>
      <c r="H2450" s="315"/>
      <c r="I2450" s="315"/>
      <c r="J2450" s="315"/>
      <c r="K2450" s="315"/>
      <c r="L2450" s="315"/>
    </row>
    <row r="2451" spans="1:12">
      <c r="A2451" s="315"/>
      <c r="B2451" s="315"/>
      <c r="C2451" s="315"/>
      <c r="D2451" s="315"/>
      <c r="E2451" s="315"/>
      <c r="F2451" s="315"/>
      <c r="G2451" s="315"/>
      <c r="H2451" s="315"/>
      <c r="I2451" s="315"/>
      <c r="J2451" s="315"/>
      <c r="K2451" s="315"/>
      <c r="L2451" s="315"/>
    </row>
    <row r="2452" spans="1:12">
      <c r="A2452" s="315"/>
      <c r="B2452" s="315"/>
      <c r="C2452" s="315"/>
      <c r="D2452" s="315"/>
      <c r="E2452" s="315"/>
      <c r="F2452" s="315"/>
      <c r="G2452" s="315"/>
      <c r="H2452" s="315"/>
      <c r="I2452" s="315"/>
      <c r="J2452" s="315"/>
      <c r="K2452" s="315"/>
      <c r="L2452" s="315"/>
    </row>
    <row r="2453" spans="1:12">
      <c r="A2453" s="315"/>
      <c r="B2453" s="315"/>
      <c r="C2453" s="315"/>
      <c r="D2453" s="315"/>
      <c r="E2453" s="315"/>
      <c r="F2453" s="315"/>
      <c r="G2453" s="315"/>
      <c r="H2453" s="315"/>
      <c r="I2453" s="315"/>
      <c r="J2453" s="315"/>
      <c r="K2453" s="315"/>
      <c r="L2453" s="315"/>
    </row>
    <row r="2454" spans="1:12">
      <c r="A2454" s="315"/>
      <c r="B2454" s="315"/>
      <c r="C2454" s="315"/>
      <c r="D2454" s="315"/>
      <c r="E2454" s="315"/>
      <c r="F2454" s="315"/>
      <c r="G2454" s="315"/>
      <c r="H2454" s="315"/>
      <c r="I2454" s="315"/>
      <c r="J2454" s="315"/>
      <c r="K2454" s="315"/>
      <c r="L2454" s="315"/>
    </row>
    <row r="2455" spans="1:12">
      <c r="A2455" s="315"/>
      <c r="B2455" s="315"/>
      <c r="C2455" s="315"/>
      <c r="D2455" s="315"/>
      <c r="E2455" s="315"/>
      <c r="F2455" s="315"/>
      <c r="G2455" s="315"/>
      <c r="H2455" s="315"/>
      <c r="I2455" s="315"/>
      <c r="J2455" s="315"/>
      <c r="K2455" s="315"/>
      <c r="L2455" s="315"/>
    </row>
    <row r="2456" spans="1:12">
      <c r="A2456" s="315"/>
      <c r="B2456" s="315"/>
      <c r="C2456" s="315"/>
      <c r="D2456" s="315"/>
      <c r="E2456" s="315"/>
      <c r="F2456" s="315"/>
      <c r="G2456" s="315"/>
      <c r="H2456" s="315"/>
      <c r="I2456" s="315"/>
      <c r="J2456" s="315"/>
      <c r="K2456" s="315"/>
      <c r="L2456" s="315"/>
    </row>
    <row r="2457" spans="1:12">
      <c r="A2457" s="315"/>
      <c r="B2457" s="315"/>
      <c r="C2457" s="315"/>
      <c r="D2457" s="315"/>
      <c r="E2457" s="315"/>
      <c r="F2457" s="315"/>
      <c r="G2457" s="315"/>
      <c r="H2457" s="315"/>
      <c r="I2457" s="315"/>
      <c r="J2457" s="315"/>
      <c r="K2457" s="315"/>
      <c r="L2457" s="315"/>
    </row>
    <row r="2458" spans="1:12">
      <c r="A2458" s="315"/>
      <c r="B2458" s="315"/>
      <c r="C2458" s="315"/>
      <c r="D2458" s="315"/>
      <c r="E2458" s="315"/>
      <c r="F2458" s="315"/>
      <c r="G2458" s="315"/>
      <c r="H2458" s="315"/>
      <c r="I2458" s="315"/>
      <c r="J2458" s="315"/>
      <c r="K2458" s="315"/>
      <c r="L2458" s="315"/>
    </row>
    <row r="2459" spans="1:12">
      <c r="A2459" s="315"/>
      <c r="B2459" s="315"/>
      <c r="C2459" s="315"/>
      <c r="D2459" s="315"/>
      <c r="E2459" s="315"/>
      <c r="F2459" s="315"/>
      <c r="G2459" s="315"/>
      <c r="H2459" s="315"/>
      <c r="I2459" s="315"/>
      <c r="J2459" s="315"/>
      <c r="K2459" s="315"/>
      <c r="L2459" s="315"/>
    </row>
    <row r="2460" spans="1:12">
      <c r="A2460" s="315"/>
      <c r="B2460" s="315"/>
      <c r="C2460" s="315"/>
      <c r="D2460" s="315"/>
      <c r="E2460" s="315"/>
      <c r="F2460" s="315"/>
      <c r="G2460" s="315"/>
      <c r="H2460" s="315"/>
      <c r="I2460" s="315"/>
      <c r="J2460" s="315"/>
      <c r="K2460" s="315"/>
      <c r="L2460" s="315"/>
    </row>
    <row r="2461" spans="1:12">
      <c r="A2461" s="315"/>
      <c r="B2461" s="315"/>
      <c r="C2461" s="315"/>
      <c r="D2461" s="315"/>
      <c r="E2461" s="315"/>
      <c r="F2461" s="315"/>
      <c r="G2461" s="315"/>
      <c r="H2461" s="315"/>
      <c r="I2461" s="315"/>
      <c r="J2461" s="315"/>
      <c r="K2461" s="315"/>
      <c r="L2461" s="315"/>
    </row>
    <row r="2462" spans="1:12">
      <c r="A2462" s="315"/>
      <c r="B2462" s="315"/>
      <c r="C2462" s="315"/>
      <c r="D2462" s="315"/>
      <c r="E2462" s="315"/>
      <c r="F2462" s="315"/>
      <c r="G2462" s="315"/>
      <c r="H2462" s="315"/>
      <c r="I2462" s="315"/>
      <c r="J2462" s="315"/>
      <c r="K2462" s="315"/>
      <c r="L2462" s="315"/>
    </row>
    <row r="2463" spans="1:12">
      <c r="A2463" s="315"/>
      <c r="B2463" s="315"/>
      <c r="C2463" s="315"/>
      <c r="D2463" s="315"/>
      <c r="E2463" s="315"/>
      <c r="F2463" s="315"/>
      <c r="G2463" s="315"/>
      <c r="H2463" s="315"/>
      <c r="I2463" s="315"/>
      <c r="J2463" s="315"/>
      <c r="K2463" s="315"/>
      <c r="L2463" s="315"/>
    </row>
    <row r="2464" spans="1:12">
      <c r="A2464" s="315"/>
      <c r="B2464" s="315"/>
      <c r="C2464" s="315"/>
      <c r="D2464" s="315"/>
      <c r="E2464" s="315"/>
      <c r="F2464" s="315"/>
      <c r="G2464" s="315"/>
      <c r="H2464" s="315"/>
      <c r="I2464" s="315"/>
      <c r="J2464" s="315"/>
      <c r="K2464" s="315"/>
      <c r="L2464" s="315"/>
    </row>
    <row r="2465" spans="1:12">
      <c r="A2465" s="315"/>
      <c r="B2465" s="315"/>
      <c r="C2465" s="315"/>
      <c r="D2465" s="315"/>
      <c r="E2465" s="315"/>
      <c r="F2465" s="315"/>
      <c r="G2465" s="315"/>
      <c r="H2465" s="315"/>
      <c r="I2465" s="315"/>
      <c r="J2465" s="315"/>
      <c r="K2465" s="315"/>
      <c r="L2465" s="315"/>
    </row>
    <row r="2466" spans="1:12">
      <c r="A2466" s="315"/>
      <c r="B2466" s="315"/>
      <c r="C2466" s="315"/>
      <c r="D2466" s="315"/>
      <c r="E2466" s="315"/>
      <c r="F2466" s="315"/>
      <c r="G2466" s="315"/>
      <c r="H2466" s="315"/>
      <c r="I2466" s="315"/>
      <c r="J2466" s="315"/>
      <c r="K2466" s="315"/>
      <c r="L2466" s="315"/>
    </row>
    <row r="2467" spans="1:12">
      <c r="A2467" s="315"/>
      <c r="B2467" s="315"/>
      <c r="C2467" s="315"/>
      <c r="D2467" s="315"/>
      <c r="E2467" s="315"/>
      <c r="F2467" s="315"/>
      <c r="G2467" s="315"/>
      <c r="H2467" s="315"/>
      <c r="I2467" s="315"/>
      <c r="J2467" s="315"/>
      <c r="K2467" s="315"/>
      <c r="L2467" s="315"/>
    </row>
    <row r="2468" spans="1:12">
      <c r="A2468" s="315"/>
      <c r="B2468" s="315"/>
      <c r="C2468" s="315"/>
      <c r="D2468" s="315"/>
      <c r="E2468" s="315"/>
      <c r="F2468" s="315"/>
      <c r="G2468" s="315"/>
      <c r="H2468" s="315"/>
      <c r="I2468" s="315"/>
      <c r="J2468" s="315"/>
      <c r="K2468" s="315"/>
      <c r="L2468" s="315"/>
    </row>
    <row r="2469" spans="1:12">
      <c r="A2469" s="315"/>
      <c r="B2469" s="315"/>
      <c r="C2469" s="315"/>
      <c r="D2469" s="315"/>
      <c r="E2469" s="315"/>
      <c r="F2469" s="315"/>
      <c r="G2469" s="315"/>
      <c r="H2469" s="315"/>
      <c r="I2469" s="315"/>
      <c r="J2469" s="315"/>
      <c r="K2469" s="315"/>
      <c r="L2469" s="315"/>
    </row>
    <row r="2470" spans="1:12">
      <c r="A2470" s="315"/>
      <c r="B2470" s="315"/>
      <c r="C2470" s="315"/>
      <c r="D2470" s="315"/>
      <c r="E2470" s="315"/>
      <c r="F2470" s="315"/>
      <c r="G2470" s="315"/>
      <c r="H2470" s="315"/>
      <c r="I2470" s="315"/>
      <c r="J2470" s="315"/>
      <c r="K2470" s="315"/>
      <c r="L2470" s="315"/>
    </row>
    <row r="2471" spans="1:12">
      <c r="A2471" s="315"/>
      <c r="B2471" s="315"/>
      <c r="C2471" s="315"/>
      <c r="D2471" s="315"/>
      <c r="E2471" s="315"/>
      <c r="F2471" s="315"/>
      <c r="G2471" s="315"/>
      <c r="H2471" s="315"/>
      <c r="I2471" s="315"/>
      <c r="J2471" s="315"/>
      <c r="K2471" s="315"/>
      <c r="L2471" s="315"/>
    </row>
    <row r="2472" spans="1:12">
      <c r="A2472" s="315"/>
      <c r="B2472" s="315"/>
      <c r="C2472" s="315"/>
      <c r="D2472" s="315"/>
      <c r="E2472" s="315"/>
      <c r="F2472" s="315"/>
      <c r="G2472" s="315"/>
      <c r="H2472" s="315"/>
      <c r="I2472" s="315"/>
      <c r="J2472" s="315"/>
      <c r="K2472" s="315"/>
      <c r="L2472" s="315"/>
    </row>
    <row r="2473" spans="1:12">
      <c r="A2473" s="315"/>
      <c r="B2473" s="315"/>
      <c r="C2473" s="315"/>
      <c r="D2473" s="315"/>
      <c r="E2473" s="315"/>
      <c r="F2473" s="315"/>
      <c r="G2473" s="315"/>
      <c r="H2473" s="315"/>
      <c r="I2473" s="315"/>
      <c r="J2473" s="315"/>
      <c r="K2473" s="315"/>
      <c r="L2473" s="315"/>
    </row>
    <row r="2474" spans="1:12">
      <c r="A2474" s="315"/>
      <c r="B2474" s="315"/>
      <c r="C2474" s="315"/>
      <c r="D2474" s="315"/>
      <c r="E2474" s="315"/>
      <c r="F2474" s="315"/>
      <c r="G2474" s="315"/>
      <c r="H2474" s="315"/>
      <c r="I2474" s="315"/>
      <c r="J2474" s="315"/>
      <c r="K2474" s="315"/>
      <c r="L2474" s="315"/>
    </row>
    <row r="2475" spans="1:12">
      <c r="A2475" s="315"/>
      <c r="B2475" s="315"/>
      <c r="C2475" s="315"/>
      <c r="D2475" s="315"/>
      <c r="E2475" s="315"/>
      <c r="F2475" s="315"/>
      <c r="G2475" s="315"/>
      <c r="H2475" s="315"/>
      <c r="I2475" s="315"/>
      <c r="J2475" s="315"/>
      <c r="K2475" s="315"/>
      <c r="L2475" s="315"/>
    </row>
    <row r="2476" spans="1:12">
      <c r="A2476" s="315"/>
      <c r="B2476" s="315"/>
      <c r="C2476" s="315"/>
      <c r="D2476" s="315"/>
      <c r="E2476" s="315"/>
      <c r="F2476" s="315"/>
      <c r="G2476" s="315"/>
      <c r="H2476" s="315"/>
      <c r="I2476" s="315"/>
      <c r="J2476" s="315"/>
      <c r="K2476" s="315"/>
      <c r="L2476" s="315"/>
    </row>
    <row r="2477" spans="1:12">
      <c r="A2477" s="315"/>
      <c r="B2477" s="315"/>
      <c r="C2477" s="315"/>
      <c r="D2477" s="315"/>
      <c r="E2477" s="315"/>
      <c r="F2477" s="315"/>
      <c r="G2477" s="315"/>
      <c r="H2477" s="315"/>
      <c r="I2477" s="315"/>
      <c r="J2477" s="315"/>
      <c r="K2477" s="315"/>
      <c r="L2477" s="315"/>
    </row>
    <row r="2478" spans="1:12">
      <c r="A2478" s="315"/>
      <c r="B2478" s="315"/>
      <c r="C2478" s="315"/>
      <c r="D2478" s="315"/>
      <c r="E2478" s="315"/>
      <c r="F2478" s="315"/>
      <c r="G2478" s="315"/>
      <c r="H2478" s="315"/>
      <c r="I2478" s="315"/>
      <c r="J2478" s="315"/>
      <c r="K2478" s="315"/>
      <c r="L2478" s="315"/>
    </row>
    <row r="2479" spans="1:12">
      <c r="A2479" s="315"/>
      <c r="B2479" s="315"/>
      <c r="C2479" s="315"/>
      <c r="D2479" s="315"/>
      <c r="E2479" s="315"/>
      <c r="F2479" s="315"/>
      <c r="G2479" s="315"/>
      <c r="H2479" s="315"/>
      <c r="I2479" s="315"/>
      <c r="J2479" s="315"/>
      <c r="K2479" s="315"/>
      <c r="L2479" s="315"/>
    </row>
    <row r="2480" spans="1:12">
      <c r="A2480" s="315"/>
      <c r="B2480" s="315"/>
      <c r="C2480" s="315"/>
      <c r="D2480" s="315"/>
      <c r="E2480" s="315"/>
      <c r="F2480" s="315"/>
      <c r="G2480" s="315"/>
      <c r="H2480" s="315"/>
      <c r="I2480" s="315"/>
      <c r="J2480" s="315"/>
      <c r="K2480" s="315"/>
      <c r="L2480" s="315"/>
    </row>
    <row r="2481" spans="1:12">
      <c r="A2481" s="315"/>
      <c r="B2481" s="315"/>
      <c r="C2481" s="315"/>
      <c r="D2481" s="315"/>
      <c r="E2481" s="315"/>
      <c r="F2481" s="315"/>
      <c r="G2481" s="315"/>
      <c r="H2481" s="315"/>
      <c r="I2481" s="315"/>
      <c r="J2481" s="315"/>
      <c r="K2481" s="315"/>
      <c r="L2481" s="315"/>
    </row>
    <row r="2482" spans="1:12">
      <c r="A2482" s="315"/>
      <c r="B2482" s="315"/>
      <c r="C2482" s="315"/>
      <c r="D2482" s="315"/>
      <c r="E2482" s="315"/>
      <c r="F2482" s="315"/>
      <c r="G2482" s="315"/>
      <c r="H2482" s="315"/>
      <c r="I2482" s="315"/>
      <c r="J2482" s="315"/>
      <c r="K2482" s="315"/>
      <c r="L2482" s="315"/>
    </row>
    <row r="2483" spans="1:12">
      <c r="A2483" s="315"/>
      <c r="B2483" s="315"/>
      <c r="C2483" s="315"/>
      <c r="D2483" s="315"/>
      <c r="E2483" s="315"/>
      <c r="F2483" s="315"/>
      <c r="G2483" s="315"/>
      <c r="H2483" s="315"/>
      <c r="I2483" s="315"/>
      <c r="J2483" s="315"/>
      <c r="K2483" s="315"/>
      <c r="L2483" s="315"/>
    </row>
    <row r="2484" spans="1:12">
      <c r="A2484" s="315"/>
      <c r="B2484" s="315"/>
      <c r="C2484" s="315"/>
      <c r="D2484" s="315"/>
      <c r="E2484" s="315"/>
      <c r="F2484" s="315"/>
      <c r="G2484" s="315"/>
      <c r="H2484" s="315"/>
      <c r="I2484" s="315"/>
      <c r="J2484" s="315"/>
      <c r="K2484" s="315"/>
      <c r="L2484" s="315"/>
    </row>
    <row r="2485" spans="1:12">
      <c r="A2485" s="315"/>
      <c r="B2485" s="315"/>
      <c r="C2485" s="315"/>
      <c r="D2485" s="315"/>
      <c r="E2485" s="315"/>
      <c r="F2485" s="315"/>
      <c r="G2485" s="315"/>
      <c r="H2485" s="315"/>
      <c r="I2485" s="315"/>
      <c r="J2485" s="315"/>
      <c r="K2485" s="315"/>
      <c r="L2485" s="315"/>
    </row>
    <row r="2486" spans="1:12">
      <c r="A2486" s="315"/>
      <c r="B2486" s="315"/>
      <c r="C2486" s="315"/>
      <c r="D2486" s="315"/>
      <c r="E2486" s="315"/>
      <c r="F2486" s="315"/>
      <c r="G2486" s="315"/>
      <c r="H2486" s="315"/>
      <c r="I2486" s="315"/>
      <c r="J2486" s="315"/>
      <c r="K2486" s="315"/>
      <c r="L2486" s="315"/>
    </row>
    <row r="2487" spans="1:12">
      <c r="A2487" s="315"/>
      <c r="B2487" s="315"/>
      <c r="C2487" s="315"/>
      <c r="D2487" s="315"/>
      <c r="E2487" s="315"/>
      <c r="F2487" s="315"/>
      <c r="G2487" s="315"/>
      <c r="H2487" s="315"/>
      <c r="I2487" s="315"/>
      <c r="J2487" s="315"/>
      <c r="K2487" s="315"/>
      <c r="L2487" s="315"/>
    </row>
    <row r="2488" spans="1:12">
      <c r="A2488" s="315"/>
      <c r="B2488" s="315"/>
      <c r="C2488" s="315"/>
      <c r="D2488" s="315"/>
      <c r="E2488" s="315"/>
      <c r="F2488" s="315"/>
      <c r="G2488" s="315"/>
      <c r="H2488" s="315"/>
      <c r="I2488" s="315"/>
      <c r="J2488" s="315"/>
      <c r="K2488" s="315"/>
      <c r="L2488" s="315"/>
    </row>
    <row r="2489" spans="1:12">
      <c r="A2489" s="315"/>
      <c r="B2489" s="315"/>
      <c r="C2489" s="315"/>
      <c r="D2489" s="315"/>
      <c r="E2489" s="315"/>
      <c r="F2489" s="315"/>
      <c r="G2489" s="315"/>
      <c r="H2489" s="315"/>
      <c r="I2489" s="315"/>
      <c r="J2489" s="315"/>
      <c r="K2489" s="315"/>
      <c r="L2489" s="315"/>
    </row>
    <row r="2490" spans="1:12">
      <c r="A2490" s="315"/>
      <c r="B2490" s="315"/>
      <c r="C2490" s="315"/>
      <c r="D2490" s="315"/>
      <c r="E2490" s="315"/>
      <c r="F2490" s="315"/>
      <c r="G2490" s="315"/>
      <c r="H2490" s="315"/>
      <c r="I2490" s="315"/>
      <c r="J2490" s="315"/>
      <c r="K2490" s="315"/>
      <c r="L2490" s="315"/>
    </row>
    <row r="2491" spans="1:12">
      <c r="A2491" s="315"/>
      <c r="B2491" s="315"/>
      <c r="C2491" s="315"/>
      <c r="D2491" s="315"/>
      <c r="E2491" s="315"/>
      <c r="F2491" s="315"/>
      <c r="G2491" s="315"/>
      <c r="H2491" s="315"/>
      <c r="I2491" s="315"/>
      <c r="J2491" s="315"/>
      <c r="K2491" s="315"/>
      <c r="L2491" s="315"/>
    </row>
    <row r="2492" spans="1:12">
      <c r="A2492" s="315"/>
      <c r="B2492" s="315"/>
      <c r="C2492" s="315"/>
      <c r="D2492" s="315"/>
      <c r="E2492" s="315"/>
      <c r="F2492" s="315"/>
      <c r="G2492" s="315"/>
      <c r="H2492" s="315"/>
      <c r="I2492" s="315"/>
      <c r="J2492" s="315"/>
      <c r="K2492" s="315"/>
      <c r="L2492" s="315"/>
    </row>
    <row r="2493" spans="1:12">
      <c r="A2493" s="315"/>
      <c r="B2493" s="315"/>
      <c r="C2493" s="315"/>
      <c r="D2493" s="315"/>
      <c r="E2493" s="315"/>
      <c r="F2493" s="315"/>
      <c r="G2493" s="315"/>
      <c r="H2493" s="315"/>
      <c r="I2493" s="315"/>
      <c r="J2493" s="315"/>
      <c r="K2493" s="315"/>
      <c r="L2493" s="315"/>
    </row>
    <row r="2494" spans="1:12">
      <c r="A2494" s="315"/>
      <c r="B2494" s="315"/>
      <c r="C2494" s="315"/>
      <c r="D2494" s="315"/>
      <c r="E2494" s="315"/>
      <c r="F2494" s="315"/>
      <c r="G2494" s="315"/>
      <c r="H2494" s="315"/>
      <c r="I2494" s="315"/>
      <c r="J2494" s="315"/>
      <c r="K2494" s="315"/>
      <c r="L2494" s="315"/>
    </row>
    <row r="2495" spans="1:12">
      <c r="A2495" s="315"/>
      <c r="B2495" s="315"/>
      <c r="C2495" s="315"/>
      <c r="D2495" s="315"/>
      <c r="E2495" s="315"/>
      <c r="F2495" s="315"/>
      <c r="G2495" s="315"/>
      <c r="H2495" s="315"/>
      <c r="I2495" s="315"/>
      <c r="J2495" s="315"/>
      <c r="K2495" s="315"/>
      <c r="L2495" s="315"/>
    </row>
    <row r="2496" spans="1:12">
      <c r="A2496" s="315"/>
      <c r="B2496" s="315"/>
      <c r="C2496" s="315"/>
      <c r="D2496" s="315"/>
      <c r="E2496" s="315"/>
      <c r="F2496" s="315"/>
      <c r="G2496" s="315"/>
      <c r="H2496" s="315"/>
      <c r="I2496" s="315"/>
      <c r="J2496" s="315"/>
      <c r="K2496" s="315"/>
      <c r="L2496" s="315"/>
    </row>
    <row r="2497" spans="1:12">
      <c r="A2497" s="315"/>
      <c r="B2497" s="315"/>
      <c r="C2497" s="315"/>
      <c r="D2497" s="315"/>
      <c r="E2497" s="315"/>
      <c r="F2497" s="315"/>
      <c r="G2497" s="315"/>
      <c r="H2497" s="315"/>
      <c r="I2497" s="315"/>
      <c r="J2497" s="315"/>
      <c r="K2497" s="315"/>
      <c r="L2497" s="315"/>
    </row>
    <row r="2498" spans="1:12">
      <c r="A2498" s="315"/>
      <c r="B2498" s="315"/>
      <c r="C2498" s="315"/>
      <c r="D2498" s="315"/>
      <c r="E2498" s="315"/>
      <c r="F2498" s="315"/>
      <c r="G2498" s="315"/>
      <c r="H2498" s="315"/>
      <c r="I2498" s="315"/>
      <c r="J2498" s="315"/>
      <c r="K2498" s="315"/>
      <c r="L2498" s="315"/>
    </row>
    <row r="2499" spans="1:12">
      <c r="A2499" s="315"/>
      <c r="B2499" s="315"/>
      <c r="C2499" s="315"/>
      <c r="D2499" s="315"/>
      <c r="E2499" s="315"/>
      <c r="F2499" s="315"/>
      <c r="G2499" s="315"/>
      <c r="H2499" s="315"/>
      <c r="I2499" s="315"/>
      <c r="J2499" s="315"/>
      <c r="K2499" s="315"/>
      <c r="L2499" s="315"/>
    </row>
    <row r="2500" spans="1:12">
      <c r="A2500" s="315"/>
      <c r="B2500" s="315"/>
      <c r="C2500" s="315"/>
      <c r="D2500" s="315"/>
      <c r="E2500" s="315"/>
      <c r="F2500" s="315"/>
      <c r="G2500" s="315"/>
      <c r="H2500" s="315"/>
      <c r="I2500" s="315"/>
      <c r="J2500" s="315"/>
      <c r="K2500" s="315"/>
      <c r="L2500" s="315"/>
    </row>
    <row r="2501" spans="1:12">
      <c r="A2501" s="315"/>
      <c r="B2501" s="315"/>
      <c r="C2501" s="315"/>
      <c r="D2501" s="315"/>
      <c r="E2501" s="315"/>
      <c r="F2501" s="315"/>
      <c r="G2501" s="315"/>
      <c r="H2501" s="315"/>
      <c r="I2501" s="315"/>
      <c r="J2501" s="315"/>
      <c r="K2501" s="315"/>
      <c r="L2501" s="315"/>
    </row>
    <row r="2502" spans="1:12">
      <c r="A2502" s="315"/>
      <c r="B2502" s="315"/>
      <c r="C2502" s="315"/>
      <c r="D2502" s="315"/>
      <c r="E2502" s="315"/>
      <c r="F2502" s="315"/>
      <c r="G2502" s="315"/>
      <c r="H2502" s="315"/>
      <c r="I2502" s="315"/>
      <c r="J2502" s="315"/>
      <c r="K2502" s="315"/>
      <c r="L2502" s="315"/>
    </row>
    <row r="2503" spans="1:12">
      <c r="A2503" s="315"/>
      <c r="B2503" s="315"/>
      <c r="C2503" s="315"/>
      <c r="D2503" s="315"/>
      <c r="E2503" s="315"/>
      <c r="F2503" s="315"/>
      <c r="G2503" s="315"/>
      <c r="H2503" s="315"/>
      <c r="I2503" s="315"/>
      <c r="J2503" s="315"/>
      <c r="K2503" s="315"/>
      <c r="L2503" s="315"/>
    </row>
    <row r="2504" spans="1:12">
      <c r="A2504" s="315"/>
      <c r="B2504" s="315"/>
      <c r="C2504" s="315"/>
      <c r="D2504" s="315"/>
      <c r="E2504" s="315"/>
      <c r="F2504" s="315"/>
      <c r="G2504" s="315"/>
      <c r="H2504" s="315"/>
      <c r="I2504" s="315"/>
      <c r="J2504" s="315"/>
      <c r="K2504" s="315"/>
      <c r="L2504" s="315"/>
    </row>
    <row r="2505" spans="1:12">
      <c r="A2505" s="315"/>
      <c r="B2505" s="315"/>
      <c r="C2505" s="315"/>
      <c r="D2505" s="315"/>
      <c r="E2505" s="315"/>
      <c r="F2505" s="315"/>
      <c r="G2505" s="315"/>
      <c r="H2505" s="315"/>
      <c r="I2505" s="315"/>
      <c r="J2505" s="315"/>
      <c r="K2505" s="315"/>
      <c r="L2505" s="315"/>
    </row>
    <row r="2506" spans="1:12">
      <c r="A2506" s="315"/>
      <c r="B2506" s="315"/>
      <c r="C2506" s="315"/>
      <c r="D2506" s="315"/>
      <c r="E2506" s="315"/>
      <c r="F2506" s="315"/>
      <c r="G2506" s="315"/>
      <c r="H2506" s="315"/>
      <c r="I2506" s="315"/>
      <c r="J2506" s="315"/>
      <c r="K2506" s="315"/>
      <c r="L2506" s="315"/>
    </row>
    <row r="2507" spans="1:12">
      <c r="A2507" s="315"/>
      <c r="B2507" s="315"/>
      <c r="C2507" s="315"/>
      <c r="D2507" s="315"/>
      <c r="E2507" s="315"/>
      <c r="F2507" s="315"/>
      <c r="G2507" s="315"/>
      <c r="H2507" s="315"/>
      <c r="I2507" s="315"/>
      <c r="J2507" s="315"/>
      <c r="K2507" s="315"/>
      <c r="L2507" s="315"/>
    </row>
    <row r="2508" spans="1:12">
      <c r="A2508" s="315"/>
      <c r="B2508" s="315"/>
      <c r="C2508" s="315"/>
      <c r="D2508" s="315"/>
      <c r="E2508" s="315"/>
      <c r="F2508" s="315"/>
      <c r="G2508" s="315"/>
      <c r="H2508" s="315"/>
      <c r="I2508" s="315"/>
      <c r="J2508" s="315"/>
      <c r="K2508" s="315"/>
      <c r="L2508" s="315"/>
    </row>
    <row r="2509" spans="1:12">
      <c r="A2509" s="315"/>
      <c r="B2509" s="315"/>
      <c r="C2509" s="315"/>
      <c r="D2509" s="315"/>
      <c r="E2509" s="315"/>
      <c r="F2509" s="315"/>
      <c r="G2509" s="315"/>
      <c r="H2509" s="315"/>
      <c r="I2509" s="315"/>
      <c r="J2509" s="315"/>
      <c r="K2509" s="315"/>
      <c r="L2509" s="315"/>
    </row>
    <row r="2510" spans="1:12">
      <c r="A2510" s="315"/>
      <c r="B2510" s="315"/>
      <c r="C2510" s="315"/>
      <c r="D2510" s="315"/>
      <c r="E2510" s="315"/>
      <c r="F2510" s="315"/>
      <c r="G2510" s="315"/>
      <c r="H2510" s="315"/>
      <c r="I2510" s="315"/>
      <c r="J2510" s="315"/>
      <c r="K2510" s="315"/>
      <c r="L2510" s="315"/>
    </row>
    <row r="2511" spans="1:12">
      <c r="A2511" s="315"/>
      <c r="B2511" s="315"/>
      <c r="C2511" s="315"/>
      <c r="D2511" s="315"/>
      <c r="E2511" s="315"/>
      <c r="F2511" s="315"/>
      <c r="G2511" s="315"/>
      <c r="H2511" s="315"/>
      <c r="I2511" s="315"/>
      <c r="J2511" s="315"/>
      <c r="K2511" s="315"/>
      <c r="L2511" s="315"/>
    </row>
    <row r="2512" spans="1:12">
      <c r="A2512" s="315"/>
      <c r="B2512" s="315"/>
      <c r="C2512" s="315"/>
      <c r="D2512" s="315"/>
      <c r="E2512" s="315"/>
      <c r="F2512" s="315"/>
      <c r="G2512" s="315"/>
      <c r="H2512" s="315"/>
      <c r="I2512" s="315"/>
      <c r="J2512" s="315"/>
      <c r="K2512" s="315"/>
      <c r="L2512" s="315"/>
    </row>
    <row r="2513" spans="1:12">
      <c r="A2513" s="315"/>
      <c r="B2513" s="315"/>
      <c r="C2513" s="315"/>
      <c r="D2513" s="315"/>
      <c r="E2513" s="315"/>
      <c r="F2513" s="315"/>
      <c r="G2513" s="315"/>
      <c r="H2513" s="315"/>
      <c r="I2513" s="315"/>
      <c r="J2513" s="315"/>
      <c r="K2513" s="315"/>
      <c r="L2513" s="315"/>
    </row>
    <row r="2514" spans="1:12">
      <c r="A2514" s="315"/>
      <c r="B2514" s="315"/>
      <c r="C2514" s="315"/>
      <c r="D2514" s="315"/>
      <c r="E2514" s="315"/>
      <c r="F2514" s="315"/>
      <c r="G2514" s="315"/>
      <c r="H2514" s="315"/>
      <c r="I2514" s="315"/>
      <c r="J2514" s="315"/>
      <c r="K2514" s="315"/>
      <c r="L2514" s="315"/>
    </row>
    <row r="2515" spans="1:12">
      <c r="A2515" s="315"/>
      <c r="B2515" s="315"/>
      <c r="C2515" s="315"/>
      <c r="D2515" s="315"/>
      <c r="E2515" s="315"/>
      <c r="F2515" s="315"/>
      <c r="G2515" s="315"/>
      <c r="H2515" s="315"/>
      <c r="I2515" s="315"/>
      <c r="J2515" s="315"/>
      <c r="K2515" s="315"/>
      <c r="L2515" s="315"/>
    </row>
    <row r="2516" spans="1:12">
      <c r="A2516" s="315"/>
      <c r="B2516" s="315"/>
      <c r="C2516" s="315"/>
      <c r="D2516" s="315"/>
      <c r="E2516" s="315"/>
      <c r="F2516" s="315"/>
      <c r="G2516" s="315"/>
      <c r="H2516" s="315"/>
      <c r="I2516" s="315"/>
      <c r="J2516" s="315"/>
      <c r="K2516" s="315"/>
      <c r="L2516" s="315"/>
    </row>
    <row r="2517" spans="1:12">
      <c r="A2517" s="315"/>
      <c r="B2517" s="315"/>
      <c r="C2517" s="315"/>
      <c r="D2517" s="315"/>
      <c r="E2517" s="315"/>
      <c r="F2517" s="315"/>
      <c r="G2517" s="315"/>
      <c r="H2517" s="315"/>
      <c r="I2517" s="315"/>
      <c r="J2517" s="315"/>
      <c r="K2517" s="315"/>
      <c r="L2517" s="315"/>
    </row>
    <row r="2518" spans="1:12">
      <c r="A2518" s="315"/>
      <c r="B2518" s="315"/>
      <c r="C2518" s="315"/>
      <c r="D2518" s="315"/>
      <c r="E2518" s="315"/>
      <c r="F2518" s="315"/>
      <c r="G2518" s="315"/>
      <c r="H2518" s="315"/>
      <c r="I2518" s="315"/>
      <c r="J2518" s="315"/>
      <c r="K2518" s="315"/>
      <c r="L2518" s="315"/>
    </row>
    <row r="2519" spans="1:12">
      <c r="A2519" s="315"/>
      <c r="B2519" s="315"/>
      <c r="C2519" s="315"/>
      <c r="D2519" s="315"/>
      <c r="E2519" s="315"/>
      <c r="F2519" s="315"/>
      <c r="G2519" s="315"/>
      <c r="H2519" s="315"/>
      <c r="I2519" s="315"/>
      <c r="J2519" s="315"/>
      <c r="K2519" s="315"/>
      <c r="L2519" s="315"/>
    </row>
    <row r="2520" spans="1:12">
      <c r="A2520" s="315"/>
      <c r="B2520" s="315"/>
      <c r="C2520" s="315"/>
      <c r="D2520" s="315"/>
      <c r="E2520" s="315"/>
      <c r="F2520" s="315"/>
      <c r="G2520" s="315"/>
      <c r="H2520" s="315"/>
      <c r="I2520" s="315"/>
      <c r="J2520" s="315"/>
      <c r="K2520" s="315"/>
      <c r="L2520" s="315"/>
    </row>
    <row r="2521" spans="1:12">
      <c r="A2521" s="315"/>
      <c r="B2521" s="315"/>
      <c r="C2521" s="315"/>
      <c r="D2521" s="315"/>
      <c r="E2521" s="315"/>
      <c r="F2521" s="315"/>
      <c r="G2521" s="315"/>
      <c r="H2521" s="315"/>
      <c r="I2521" s="315"/>
      <c r="J2521" s="315"/>
      <c r="K2521" s="315"/>
      <c r="L2521" s="315"/>
    </row>
    <row r="2522" spans="1:12">
      <c r="A2522" s="315"/>
      <c r="B2522" s="315"/>
      <c r="C2522" s="315"/>
      <c r="D2522" s="315"/>
      <c r="E2522" s="315"/>
      <c r="F2522" s="315"/>
      <c r="G2522" s="315"/>
      <c r="H2522" s="315"/>
      <c r="I2522" s="315"/>
      <c r="J2522" s="315"/>
      <c r="K2522" s="315"/>
      <c r="L2522" s="315"/>
    </row>
    <row r="2523" spans="1:12">
      <c r="A2523" s="315"/>
      <c r="B2523" s="315"/>
      <c r="C2523" s="315"/>
      <c r="D2523" s="315"/>
      <c r="E2523" s="315"/>
      <c r="F2523" s="315"/>
      <c r="G2523" s="315"/>
      <c r="H2523" s="315"/>
      <c r="I2523" s="315"/>
      <c r="J2523" s="315"/>
      <c r="K2523" s="315"/>
      <c r="L2523" s="315"/>
    </row>
    <row r="2524" spans="1:12">
      <c r="A2524" s="315"/>
      <c r="B2524" s="315"/>
      <c r="C2524" s="315"/>
      <c r="D2524" s="315"/>
      <c r="E2524" s="315"/>
      <c r="F2524" s="315"/>
      <c r="G2524" s="315"/>
      <c r="H2524" s="315"/>
      <c r="I2524" s="315"/>
      <c r="J2524" s="315"/>
      <c r="K2524" s="315"/>
      <c r="L2524" s="315"/>
    </row>
    <row r="2525" spans="1:12">
      <c r="A2525" s="315"/>
      <c r="B2525" s="315"/>
      <c r="C2525" s="315"/>
      <c r="D2525" s="315"/>
      <c r="E2525" s="315"/>
      <c r="F2525" s="315"/>
      <c r="G2525" s="315"/>
      <c r="H2525" s="315"/>
      <c r="I2525" s="315"/>
      <c r="J2525" s="315"/>
      <c r="K2525" s="315"/>
      <c r="L2525" s="315"/>
    </row>
    <row r="2526" spans="1:12">
      <c r="A2526" s="315"/>
      <c r="B2526" s="315"/>
      <c r="C2526" s="315"/>
      <c r="D2526" s="315"/>
      <c r="E2526" s="315"/>
      <c r="F2526" s="315"/>
      <c r="G2526" s="315"/>
      <c r="H2526" s="315"/>
      <c r="I2526" s="315"/>
      <c r="J2526" s="315"/>
      <c r="K2526" s="315"/>
      <c r="L2526" s="315"/>
    </row>
    <row r="2527" spans="1:12">
      <c r="A2527" s="315"/>
      <c r="B2527" s="315"/>
      <c r="C2527" s="315"/>
      <c r="D2527" s="315"/>
      <c r="E2527" s="315"/>
      <c r="F2527" s="315"/>
      <c r="G2527" s="315"/>
      <c r="H2527" s="315"/>
      <c r="I2527" s="315"/>
      <c r="J2527" s="315"/>
      <c r="K2527" s="315"/>
      <c r="L2527" s="315"/>
    </row>
    <row r="2528" spans="1:12">
      <c r="A2528" s="315"/>
      <c r="B2528" s="315"/>
      <c r="C2528" s="315"/>
      <c r="D2528" s="315"/>
      <c r="E2528" s="315"/>
      <c r="F2528" s="315"/>
      <c r="G2528" s="315"/>
      <c r="H2528" s="315"/>
      <c r="I2528" s="315"/>
      <c r="J2528" s="315"/>
      <c r="K2528" s="315"/>
      <c r="L2528" s="315"/>
    </row>
    <row r="2529" spans="1:12">
      <c r="A2529" s="315"/>
      <c r="B2529" s="315"/>
      <c r="C2529" s="315"/>
      <c r="D2529" s="315"/>
      <c r="E2529" s="315"/>
      <c r="F2529" s="315"/>
      <c r="G2529" s="315"/>
      <c r="H2529" s="315"/>
      <c r="I2529" s="315"/>
      <c r="J2529" s="315"/>
      <c r="K2529" s="315"/>
      <c r="L2529" s="315"/>
    </row>
    <row r="2530" spans="1:12">
      <c r="A2530" s="315"/>
      <c r="B2530" s="315"/>
      <c r="C2530" s="315"/>
      <c r="D2530" s="315"/>
      <c r="E2530" s="315"/>
      <c r="F2530" s="315"/>
      <c r="G2530" s="315"/>
      <c r="H2530" s="315"/>
      <c r="I2530" s="315"/>
      <c r="J2530" s="315"/>
      <c r="K2530" s="315"/>
      <c r="L2530" s="315"/>
    </row>
    <row r="2531" spans="1:12">
      <c r="A2531" s="315"/>
      <c r="B2531" s="315"/>
      <c r="C2531" s="315"/>
      <c r="D2531" s="315"/>
      <c r="E2531" s="315"/>
      <c r="F2531" s="315"/>
      <c r="G2531" s="315"/>
      <c r="H2531" s="315"/>
      <c r="I2531" s="315"/>
      <c r="J2531" s="315"/>
      <c r="K2531" s="315"/>
      <c r="L2531" s="315"/>
    </row>
    <row r="2532" spans="1:12">
      <c r="A2532" s="315"/>
      <c r="B2532" s="315"/>
      <c r="C2532" s="315"/>
      <c r="D2532" s="315"/>
      <c r="E2532" s="315"/>
      <c r="F2532" s="315"/>
      <c r="G2532" s="315"/>
      <c r="H2532" s="315"/>
      <c r="I2532" s="315"/>
      <c r="J2532" s="315"/>
      <c r="K2532" s="315"/>
      <c r="L2532" s="315"/>
    </row>
    <row r="2533" spans="1:12">
      <c r="A2533" s="315"/>
      <c r="B2533" s="315"/>
      <c r="C2533" s="315"/>
      <c r="D2533" s="315"/>
      <c r="E2533" s="315"/>
      <c r="F2533" s="315"/>
      <c r="G2533" s="315"/>
      <c r="H2533" s="315"/>
      <c r="I2533" s="315"/>
      <c r="J2533" s="315"/>
      <c r="K2533" s="315"/>
      <c r="L2533" s="315"/>
    </row>
    <row r="2534" spans="1:12">
      <c r="A2534" s="315"/>
      <c r="B2534" s="315"/>
      <c r="C2534" s="315"/>
      <c r="D2534" s="315"/>
      <c r="E2534" s="315"/>
      <c r="F2534" s="315"/>
      <c r="G2534" s="315"/>
      <c r="H2534" s="315"/>
      <c r="I2534" s="315"/>
      <c r="J2534" s="315"/>
      <c r="K2534" s="315"/>
      <c r="L2534" s="315"/>
    </row>
    <row r="2535" spans="1:12">
      <c r="A2535" s="315"/>
      <c r="B2535" s="315"/>
      <c r="C2535" s="315"/>
      <c r="D2535" s="315"/>
      <c r="E2535" s="315"/>
      <c r="F2535" s="315"/>
      <c r="G2535" s="315"/>
      <c r="H2535" s="315"/>
      <c r="I2535" s="315"/>
      <c r="J2535" s="315"/>
      <c r="K2535" s="315"/>
      <c r="L2535" s="315"/>
    </row>
    <row r="2536" spans="1:12">
      <c r="A2536" s="315"/>
      <c r="B2536" s="315"/>
      <c r="C2536" s="315"/>
      <c r="D2536" s="315"/>
      <c r="E2536" s="315"/>
      <c r="F2536" s="315"/>
      <c r="G2536" s="315"/>
      <c r="H2536" s="315"/>
      <c r="I2536" s="315"/>
      <c r="J2536" s="315"/>
      <c r="K2536" s="315"/>
      <c r="L2536" s="315"/>
    </row>
    <row r="2537" spans="1:12">
      <c r="A2537" s="315"/>
      <c r="B2537" s="315"/>
      <c r="C2537" s="315"/>
      <c r="D2537" s="315"/>
      <c r="E2537" s="315"/>
      <c r="F2537" s="315"/>
      <c r="G2537" s="315"/>
      <c r="H2537" s="315"/>
      <c r="I2537" s="315"/>
      <c r="J2537" s="315"/>
      <c r="K2537" s="315"/>
      <c r="L2537" s="315"/>
    </row>
    <row r="2538" spans="1:12">
      <c r="A2538" s="315"/>
      <c r="B2538" s="315"/>
      <c r="C2538" s="315"/>
      <c r="D2538" s="315"/>
      <c r="E2538" s="315"/>
      <c r="F2538" s="315"/>
      <c r="G2538" s="315"/>
      <c r="H2538" s="315"/>
      <c r="I2538" s="315"/>
      <c r="J2538" s="315"/>
      <c r="K2538" s="315"/>
      <c r="L2538" s="315"/>
    </row>
    <row r="2539" spans="1:12">
      <c r="A2539" s="315"/>
      <c r="B2539" s="315"/>
      <c r="C2539" s="315"/>
      <c r="D2539" s="315"/>
      <c r="E2539" s="315"/>
      <c r="F2539" s="315"/>
      <c r="G2539" s="315"/>
      <c r="H2539" s="315"/>
      <c r="I2539" s="315"/>
      <c r="J2539" s="315"/>
      <c r="K2539" s="315"/>
      <c r="L2539" s="315"/>
    </row>
    <row r="2540" spans="1:12">
      <c r="A2540" s="315"/>
      <c r="B2540" s="315"/>
      <c r="C2540" s="315"/>
      <c r="D2540" s="315"/>
      <c r="E2540" s="315"/>
      <c r="F2540" s="315"/>
      <c r="G2540" s="315"/>
      <c r="H2540" s="315"/>
      <c r="I2540" s="315"/>
      <c r="J2540" s="315"/>
      <c r="K2540" s="315"/>
      <c r="L2540" s="315"/>
    </row>
    <row r="2541" spans="1:12">
      <c r="A2541" s="315"/>
      <c r="B2541" s="315"/>
      <c r="C2541" s="315"/>
      <c r="D2541" s="315"/>
      <c r="E2541" s="315"/>
      <c r="F2541" s="315"/>
      <c r="G2541" s="315"/>
      <c r="H2541" s="315"/>
      <c r="I2541" s="315"/>
      <c r="J2541" s="315"/>
      <c r="K2541" s="315"/>
      <c r="L2541" s="315"/>
    </row>
    <row r="2542" spans="1:12">
      <c r="A2542" s="315"/>
      <c r="B2542" s="315"/>
      <c r="C2542" s="315"/>
      <c r="D2542" s="315"/>
      <c r="E2542" s="315"/>
      <c r="F2542" s="315"/>
      <c r="G2542" s="315"/>
      <c r="H2542" s="315"/>
      <c r="I2542" s="315"/>
      <c r="J2542" s="315"/>
      <c r="K2542" s="315"/>
      <c r="L2542" s="315"/>
    </row>
    <row r="2543" spans="1:12">
      <c r="A2543" s="315"/>
      <c r="B2543" s="315"/>
      <c r="C2543" s="315"/>
      <c r="D2543" s="315"/>
      <c r="E2543" s="315"/>
      <c r="F2543" s="315"/>
      <c r="G2543" s="315"/>
      <c r="H2543" s="315"/>
      <c r="I2543" s="315"/>
      <c r="J2543" s="315"/>
      <c r="K2543" s="315"/>
      <c r="L2543" s="315"/>
    </row>
    <row r="2544" spans="1:12">
      <c r="A2544" s="315"/>
      <c r="B2544" s="315"/>
      <c r="C2544" s="315"/>
      <c r="D2544" s="315"/>
      <c r="E2544" s="315"/>
      <c r="F2544" s="315"/>
      <c r="G2544" s="315"/>
      <c r="H2544" s="315"/>
      <c r="I2544" s="315"/>
      <c r="J2544" s="315"/>
      <c r="K2544" s="315"/>
      <c r="L2544" s="315"/>
    </row>
    <row r="2545" spans="1:12">
      <c r="A2545" s="315"/>
      <c r="B2545" s="315"/>
      <c r="C2545" s="315"/>
      <c r="D2545" s="315"/>
      <c r="E2545" s="315"/>
      <c r="F2545" s="315"/>
      <c r="G2545" s="315"/>
      <c r="H2545" s="315"/>
      <c r="I2545" s="315"/>
      <c r="J2545" s="315"/>
      <c r="K2545" s="315"/>
      <c r="L2545" s="315"/>
    </row>
    <row r="2546" spans="1:12">
      <c r="A2546" s="315"/>
      <c r="B2546" s="315"/>
      <c r="C2546" s="315"/>
      <c r="D2546" s="315"/>
      <c r="E2546" s="315"/>
      <c r="F2546" s="315"/>
      <c r="G2546" s="315"/>
      <c r="H2546" s="315"/>
      <c r="I2546" s="315"/>
      <c r="J2546" s="315"/>
      <c r="K2546" s="315"/>
      <c r="L2546" s="315"/>
    </row>
    <row r="2547" spans="1:12">
      <c r="A2547" s="315"/>
      <c r="B2547" s="315"/>
      <c r="C2547" s="315"/>
      <c r="D2547" s="315"/>
      <c r="E2547" s="315"/>
      <c r="F2547" s="315"/>
      <c r="G2547" s="315"/>
      <c r="H2547" s="315"/>
      <c r="I2547" s="315"/>
      <c r="J2547" s="315"/>
      <c r="K2547" s="315"/>
      <c r="L2547" s="315"/>
    </row>
    <row r="2548" spans="1:12">
      <c r="A2548" s="315"/>
      <c r="B2548" s="315"/>
      <c r="C2548" s="315"/>
      <c r="D2548" s="315"/>
      <c r="E2548" s="315"/>
      <c r="F2548" s="315"/>
      <c r="G2548" s="315"/>
      <c r="H2548" s="315"/>
      <c r="I2548" s="315"/>
      <c r="J2548" s="315"/>
      <c r="K2548" s="315"/>
      <c r="L2548" s="315"/>
    </row>
    <row r="2549" spans="1:12">
      <c r="A2549" s="315"/>
      <c r="B2549" s="315"/>
      <c r="C2549" s="315"/>
      <c r="D2549" s="315"/>
      <c r="E2549" s="315"/>
      <c r="F2549" s="315"/>
      <c r="G2549" s="315"/>
      <c r="H2549" s="315"/>
      <c r="I2549" s="315"/>
      <c r="J2549" s="315"/>
      <c r="K2549" s="315"/>
      <c r="L2549" s="315"/>
    </row>
    <row r="2550" spans="1:12">
      <c r="A2550" s="315"/>
      <c r="B2550" s="315"/>
      <c r="C2550" s="315"/>
      <c r="D2550" s="315"/>
      <c r="E2550" s="315"/>
      <c r="F2550" s="315"/>
      <c r="G2550" s="315"/>
      <c r="H2550" s="315"/>
      <c r="I2550" s="315"/>
      <c r="J2550" s="315"/>
      <c r="K2550" s="315"/>
      <c r="L2550" s="315"/>
    </row>
    <row r="2551" spans="1:12">
      <c r="A2551" s="315"/>
      <c r="B2551" s="315"/>
      <c r="C2551" s="315"/>
      <c r="D2551" s="315"/>
      <c r="E2551" s="315"/>
      <c r="F2551" s="315"/>
      <c r="G2551" s="315"/>
      <c r="H2551" s="315"/>
      <c r="I2551" s="315"/>
      <c r="J2551" s="315"/>
      <c r="K2551" s="315"/>
      <c r="L2551" s="315"/>
    </row>
    <row r="2552" spans="1:12">
      <c r="A2552" s="315"/>
      <c r="B2552" s="315"/>
      <c r="C2552" s="315"/>
      <c r="D2552" s="315"/>
      <c r="E2552" s="315"/>
      <c r="F2552" s="315"/>
      <c r="G2552" s="315"/>
      <c r="H2552" s="315"/>
      <c r="I2552" s="315"/>
      <c r="J2552" s="315"/>
      <c r="K2552" s="315"/>
      <c r="L2552" s="315"/>
    </row>
    <row r="2553" spans="1:12">
      <c r="A2553" s="315"/>
      <c r="B2553" s="315"/>
      <c r="C2553" s="315"/>
      <c r="D2553" s="315"/>
      <c r="E2553" s="315"/>
      <c r="F2553" s="315"/>
      <c r="G2553" s="315"/>
      <c r="H2553" s="315"/>
      <c r="I2553" s="315"/>
      <c r="J2553" s="315"/>
      <c r="K2553" s="315"/>
      <c r="L2553" s="315"/>
    </row>
    <row r="2554" spans="1:12">
      <c r="A2554" s="315"/>
      <c r="B2554" s="315"/>
      <c r="C2554" s="315"/>
      <c r="D2554" s="315"/>
      <c r="E2554" s="315"/>
      <c r="F2554" s="315"/>
      <c r="G2554" s="315"/>
      <c r="H2554" s="315"/>
      <c r="I2554" s="315"/>
      <c r="J2554" s="315"/>
      <c r="K2554" s="315"/>
      <c r="L2554" s="315"/>
    </row>
    <row r="2555" spans="1:12">
      <c r="A2555" s="315"/>
      <c r="B2555" s="315"/>
      <c r="C2555" s="315"/>
      <c r="D2555" s="315"/>
      <c r="E2555" s="315"/>
      <c r="F2555" s="315"/>
      <c r="G2555" s="315"/>
      <c r="H2555" s="315"/>
      <c r="I2555" s="315"/>
      <c r="J2555" s="315"/>
      <c r="K2555" s="315"/>
      <c r="L2555" s="315"/>
    </row>
    <row r="2556" spans="1:12">
      <c r="A2556" s="315"/>
      <c r="B2556" s="315"/>
      <c r="C2556" s="315"/>
      <c r="D2556" s="315"/>
      <c r="E2556" s="315"/>
      <c r="F2556" s="315"/>
      <c r="G2556" s="315"/>
      <c r="H2556" s="315"/>
      <c r="I2556" s="315"/>
      <c r="J2556" s="315"/>
      <c r="K2556" s="315"/>
      <c r="L2556" s="315"/>
    </row>
    <row r="2557" spans="1:12">
      <c r="A2557" s="315"/>
      <c r="B2557" s="315"/>
      <c r="C2557" s="315"/>
      <c r="D2557" s="315"/>
      <c r="E2557" s="315"/>
      <c r="F2557" s="315"/>
      <c r="G2557" s="315"/>
      <c r="H2557" s="315"/>
      <c r="I2557" s="315"/>
      <c r="J2557" s="315"/>
      <c r="K2557" s="315"/>
      <c r="L2557" s="315"/>
    </row>
    <row r="2558" spans="1:12">
      <c r="A2558" s="315"/>
      <c r="B2558" s="315"/>
      <c r="C2558" s="315"/>
      <c r="D2558" s="315"/>
      <c r="E2558" s="315"/>
      <c r="F2558" s="315"/>
      <c r="G2558" s="315"/>
      <c r="H2558" s="315"/>
      <c r="I2558" s="315"/>
      <c r="J2558" s="315"/>
      <c r="K2558" s="315"/>
      <c r="L2558" s="315"/>
    </row>
    <row r="2559" spans="1:12">
      <c r="A2559" s="315"/>
      <c r="B2559" s="315"/>
      <c r="C2559" s="315"/>
      <c r="D2559" s="315"/>
      <c r="E2559" s="315"/>
      <c r="F2559" s="315"/>
      <c r="G2559" s="315"/>
      <c r="H2559" s="315"/>
      <c r="I2559" s="315"/>
      <c r="J2559" s="315"/>
      <c r="K2559" s="315"/>
      <c r="L2559" s="315"/>
    </row>
    <row r="2560" spans="1:12">
      <c r="A2560" s="315"/>
      <c r="B2560" s="315"/>
      <c r="C2560" s="315"/>
      <c r="D2560" s="315"/>
      <c r="E2560" s="315"/>
      <c r="F2560" s="315"/>
      <c r="G2560" s="315"/>
      <c r="H2560" s="315"/>
      <c r="I2560" s="315"/>
      <c r="J2560" s="315"/>
      <c r="K2560" s="315"/>
      <c r="L2560" s="315"/>
    </row>
    <row r="2561" spans="1:12">
      <c r="A2561" s="315"/>
      <c r="B2561" s="315"/>
      <c r="C2561" s="315"/>
      <c r="D2561" s="315"/>
      <c r="E2561" s="315"/>
      <c r="F2561" s="315"/>
      <c r="G2561" s="315"/>
      <c r="H2561" s="315"/>
      <c r="I2561" s="315"/>
      <c r="J2561" s="315"/>
      <c r="K2561" s="315"/>
      <c r="L2561" s="315"/>
    </row>
    <row r="2562" spans="1:12">
      <c r="A2562" s="315"/>
      <c r="B2562" s="315"/>
      <c r="C2562" s="315"/>
      <c r="D2562" s="315"/>
      <c r="E2562" s="315"/>
      <c r="F2562" s="315"/>
      <c r="G2562" s="315"/>
      <c r="H2562" s="315"/>
      <c r="I2562" s="315"/>
      <c r="J2562" s="315"/>
      <c r="K2562" s="315"/>
      <c r="L2562" s="315"/>
    </row>
    <row r="2563" spans="1:12">
      <c r="A2563" s="315"/>
      <c r="B2563" s="315"/>
      <c r="C2563" s="315"/>
      <c r="D2563" s="315"/>
      <c r="E2563" s="315"/>
      <c r="F2563" s="315"/>
      <c r="G2563" s="315"/>
      <c r="H2563" s="315"/>
      <c r="I2563" s="315"/>
      <c r="J2563" s="315"/>
      <c r="K2563" s="315"/>
      <c r="L2563" s="315"/>
    </row>
    <row r="2564" spans="1:12">
      <c r="A2564" s="315"/>
      <c r="B2564" s="315"/>
      <c r="C2564" s="315"/>
      <c r="D2564" s="315"/>
      <c r="E2564" s="315"/>
      <c r="F2564" s="315"/>
      <c r="G2564" s="315"/>
      <c r="H2564" s="315"/>
      <c r="I2564" s="315"/>
      <c r="J2564" s="315"/>
      <c r="K2564" s="315"/>
      <c r="L2564" s="315"/>
    </row>
    <row r="2565" spans="1:12">
      <c r="A2565" s="315"/>
      <c r="B2565" s="315"/>
      <c r="C2565" s="315"/>
      <c r="D2565" s="315"/>
      <c r="E2565" s="315"/>
      <c r="F2565" s="315"/>
      <c r="G2565" s="315"/>
      <c r="H2565" s="315"/>
      <c r="I2565" s="315"/>
      <c r="J2565" s="315"/>
      <c r="K2565" s="315"/>
      <c r="L2565" s="315"/>
    </row>
    <row r="2566" spans="1:12">
      <c r="A2566" s="315"/>
      <c r="B2566" s="315"/>
      <c r="C2566" s="315"/>
      <c r="D2566" s="315"/>
      <c r="E2566" s="315"/>
      <c r="F2566" s="315"/>
      <c r="G2566" s="315"/>
      <c r="H2566" s="315"/>
      <c r="I2566" s="315"/>
      <c r="J2566" s="315"/>
      <c r="K2566" s="315"/>
      <c r="L2566" s="315"/>
    </row>
    <row r="2567" spans="1:12">
      <c r="A2567" s="315"/>
      <c r="B2567" s="315"/>
      <c r="C2567" s="315"/>
      <c r="D2567" s="315"/>
      <c r="E2567" s="315"/>
      <c r="F2567" s="315"/>
      <c r="G2567" s="315"/>
      <c r="H2567" s="315"/>
      <c r="I2567" s="315"/>
      <c r="J2567" s="315"/>
      <c r="K2567" s="315"/>
      <c r="L2567" s="315"/>
    </row>
    <row r="2568" spans="1:12">
      <c r="A2568" s="315"/>
      <c r="B2568" s="315"/>
      <c r="C2568" s="315"/>
      <c r="D2568" s="315"/>
      <c r="E2568" s="315"/>
      <c r="F2568" s="315"/>
      <c r="G2568" s="315"/>
      <c r="H2568" s="315"/>
      <c r="I2568" s="315"/>
      <c r="J2568" s="315"/>
      <c r="K2568" s="315"/>
      <c r="L2568" s="315"/>
    </row>
    <row r="2569" spans="1:12">
      <c r="A2569" s="315"/>
      <c r="B2569" s="315"/>
      <c r="C2569" s="315"/>
      <c r="D2569" s="315"/>
      <c r="E2569" s="315"/>
      <c r="F2569" s="315"/>
      <c r="G2569" s="315"/>
      <c r="H2569" s="315"/>
      <c r="I2569" s="315"/>
      <c r="J2569" s="315"/>
      <c r="K2569" s="315"/>
      <c r="L2569" s="315"/>
    </row>
    <row r="2570" spans="1:12">
      <c r="A2570" s="315"/>
      <c r="B2570" s="315"/>
      <c r="C2570" s="315"/>
      <c r="D2570" s="315"/>
      <c r="E2570" s="315"/>
      <c r="F2570" s="315"/>
      <c r="G2570" s="315"/>
      <c r="H2570" s="315"/>
      <c r="I2570" s="315"/>
      <c r="J2570" s="315"/>
      <c r="K2570" s="315"/>
      <c r="L2570" s="315"/>
    </row>
    <row r="2571" spans="1:12">
      <c r="A2571" s="315"/>
      <c r="B2571" s="315"/>
      <c r="C2571" s="315"/>
      <c r="D2571" s="315"/>
      <c r="E2571" s="315"/>
      <c r="F2571" s="315"/>
      <c r="G2571" s="315"/>
      <c r="H2571" s="315"/>
      <c r="I2571" s="315"/>
      <c r="J2571" s="315"/>
      <c r="K2571" s="315"/>
      <c r="L2571" s="315"/>
    </row>
    <row r="2572" spans="1:12">
      <c r="A2572" s="315"/>
      <c r="B2572" s="315"/>
      <c r="C2572" s="315"/>
      <c r="D2572" s="315"/>
      <c r="E2572" s="315"/>
      <c r="F2572" s="315"/>
      <c r="G2572" s="315"/>
      <c r="H2572" s="315"/>
      <c r="I2572" s="315"/>
      <c r="J2572" s="315"/>
      <c r="K2572" s="315"/>
      <c r="L2572" s="315"/>
    </row>
    <row r="2573" spans="1:12">
      <c r="A2573" s="315"/>
      <c r="B2573" s="315"/>
      <c r="C2573" s="315"/>
      <c r="D2573" s="315"/>
      <c r="E2573" s="315"/>
      <c r="F2573" s="315"/>
      <c r="G2573" s="315"/>
      <c r="H2573" s="315"/>
      <c r="I2573" s="315"/>
      <c r="J2573" s="315"/>
      <c r="K2573" s="315"/>
      <c r="L2573" s="315"/>
    </row>
    <row r="2574" spans="1:12">
      <c r="A2574" s="315"/>
      <c r="B2574" s="315"/>
      <c r="C2574" s="315"/>
      <c r="D2574" s="315"/>
      <c r="E2574" s="315"/>
      <c r="F2574" s="315"/>
      <c r="G2574" s="315"/>
      <c r="H2574" s="315"/>
      <c r="I2574" s="315"/>
      <c r="J2574" s="315"/>
      <c r="K2574" s="315"/>
      <c r="L2574" s="315"/>
    </row>
    <row r="2575" spans="1:12">
      <c r="A2575" s="315"/>
      <c r="B2575" s="315"/>
      <c r="C2575" s="315"/>
      <c r="D2575" s="315"/>
      <c r="E2575" s="315"/>
      <c r="F2575" s="315"/>
      <c r="G2575" s="315"/>
      <c r="H2575" s="315"/>
      <c r="I2575" s="315"/>
      <c r="J2575" s="315"/>
      <c r="K2575" s="315"/>
      <c r="L2575" s="315"/>
    </row>
    <row r="2576" spans="1:12">
      <c r="A2576" s="315"/>
      <c r="B2576" s="315"/>
      <c r="C2576" s="315"/>
      <c r="D2576" s="315"/>
      <c r="E2576" s="315"/>
      <c r="F2576" s="315"/>
      <c r="G2576" s="315"/>
      <c r="H2576" s="315"/>
      <c r="I2576" s="315"/>
      <c r="J2576" s="315"/>
      <c r="K2576" s="315"/>
      <c r="L2576" s="315"/>
    </row>
    <row r="2577" spans="1:12">
      <c r="A2577" s="315"/>
      <c r="B2577" s="315"/>
      <c r="C2577" s="315"/>
      <c r="D2577" s="315"/>
      <c r="E2577" s="315"/>
      <c r="F2577" s="315"/>
      <c r="G2577" s="315"/>
      <c r="H2577" s="315"/>
      <c r="I2577" s="315"/>
      <c r="J2577" s="315"/>
      <c r="K2577" s="315"/>
      <c r="L2577" s="315"/>
    </row>
    <row r="2578" spans="1:12">
      <c r="A2578" s="315"/>
      <c r="B2578" s="315"/>
      <c r="C2578" s="315"/>
      <c r="D2578" s="315"/>
      <c r="E2578" s="315"/>
      <c r="F2578" s="315"/>
      <c r="G2578" s="315"/>
      <c r="H2578" s="315"/>
      <c r="I2578" s="315"/>
      <c r="J2578" s="315"/>
      <c r="K2578" s="315"/>
      <c r="L2578" s="315"/>
    </row>
    <row r="2579" spans="1:12">
      <c r="A2579" s="315"/>
      <c r="B2579" s="315"/>
      <c r="C2579" s="315"/>
      <c r="D2579" s="315"/>
      <c r="E2579" s="315"/>
      <c r="F2579" s="315"/>
      <c r="G2579" s="315"/>
      <c r="H2579" s="315"/>
      <c r="I2579" s="315"/>
      <c r="J2579" s="315"/>
      <c r="K2579" s="315"/>
      <c r="L2579" s="315"/>
    </row>
    <row r="2580" spans="1:12">
      <c r="A2580" s="315"/>
      <c r="B2580" s="315"/>
      <c r="C2580" s="315"/>
      <c r="D2580" s="315"/>
      <c r="E2580" s="315"/>
      <c r="F2580" s="315"/>
      <c r="G2580" s="315"/>
      <c r="H2580" s="315"/>
      <c r="I2580" s="315"/>
      <c r="J2580" s="315"/>
      <c r="K2580" s="315"/>
      <c r="L2580" s="315"/>
    </row>
    <row r="2581" spans="1:12">
      <c r="A2581" s="315"/>
      <c r="B2581" s="315"/>
      <c r="C2581" s="315"/>
      <c r="D2581" s="315"/>
      <c r="E2581" s="315"/>
      <c r="F2581" s="315"/>
      <c r="G2581" s="315"/>
      <c r="H2581" s="315"/>
      <c r="I2581" s="315"/>
      <c r="J2581" s="315"/>
      <c r="K2581" s="315"/>
      <c r="L2581" s="315"/>
    </row>
    <row r="2582" spans="1:12">
      <c r="A2582" s="315"/>
      <c r="B2582" s="315"/>
      <c r="C2582" s="315"/>
      <c r="D2582" s="315"/>
      <c r="E2582" s="315"/>
      <c r="F2582" s="315"/>
      <c r="G2582" s="315"/>
      <c r="H2582" s="315"/>
      <c r="I2582" s="315"/>
      <c r="J2582" s="315"/>
      <c r="K2582" s="315"/>
      <c r="L2582" s="315"/>
    </row>
    <row r="2583" spans="1:12">
      <c r="A2583" s="315"/>
      <c r="B2583" s="315"/>
      <c r="C2583" s="315"/>
      <c r="D2583" s="315"/>
      <c r="E2583" s="315"/>
      <c r="F2583" s="315"/>
      <c r="G2583" s="315"/>
      <c r="H2583" s="315"/>
      <c r="I2583" s="315"/>
      <c r="J2583" s="315"/>
      <c r="K2583" s="315"/>
      <c r="L2583" s="315"/>
    </row>
    <row r="2584" spans="1:12">
      <c r="A2584" s="315"/>
      <c r="B2584" s="315"/>
      <c r="C2584" s="315"/>
      <c r="D2584" s="315"/>
      <c r="E2584" s="315"/>
      <c r="F2584" s="315"/>
      <c r="G2584" s="315"/>
      <c r="H2584" s="315"/>
      <c r="I2584" s="315"/>
      <c r="J2584" s="315"/>
      <c r="K2584" s="315"/>
      <c r="L2584" s="315"/>
    </row>
    <row r="2585" spans="1:12">
      <c r="A2585" s="315"/>
      <c r="B2585" s="315"/>
      <c r="C2585" s="315"/>
      <c r="D2585" s="315"/>
      <c r="E2585" s="315"/>
      <c r="F2585" s="315"/>
      <c r="G2585" s="315"/>
      <c r="H2585" s="315"/>
      <c r="I2585" s="315"/>
      <c r="J2585" s="315"/>
      <c r="K2585" s="315"/>
      <c r="L2585" s="315"/>
    </row>
    <row r="2586" spans="1:12">
      <c r="A2586" s="315"/>
      <c r="B2586" s="315"/>
      <c r="C2586" s="315"/>
      <c r="D2586" s="315"/>
      <c r="E2586" s="315"/>
      <c r="F2586" s="315"/>
      <c r="G2586" s="315"/>
      <c r="H2586" s="315"/>
      <c r="I2586" s="315"/>
      <c r="J2586" s="315"/>
      <c r="K2586" s="315"/>
      <c r="L2586" s="315"/>
    </row>
    <row r="2587" spans="1:12">
      <c r="A2587" s="315"/>
      <c r="B2587" s="315"/>
      <c r="C2587" s="315"/>
      <c r="D2587" s="315"/>
      <c r="E2587" s="315"/>
      <c r="F2587" s="315"/>
      <c r="G2587" s="315"/>
      <c r="H2587" s="315"/>
      <c r="I2587" s="315"/>
      <c r="J2587" s="315"/>
      <c r="K2587" s="315"/>
      <c r="L2587" s="315"/>
    </row>
    <row r="2588" spans="1:12">
      <c r="A2588" s="315"/>
      <c r="B2588" s="315"/>
      <c r="C2588" s="315"/>
      <c r="D2588" s="315"/>
      <c r="E2588" s="315"/>
      <c r="F2588" s="315"/>
      <c r="G2588" s="315"/>
      <c r="H2588" s="315"/>
      <c r="I2588" s="315"/>
      <c r="J2588" s="315"/>
      <c r="K2588" s="315"/>
      <c r="L2588" s="315"/>
    </row>
    <row r="2589" spans="1:12">
      <c r="A2589" s="315"/>
      <c r="B2589" s="315"/>
      <c r="C2589" s="315"/>
      <c r="D2589" s="315"/>
      <c r="E2589" s="315"/>
      <c r="F2589" s="315"/>
      <c r="G2589" s="315"/>
      <c r="H2589" s="315"/>
      <c r="I2589" s="315"/>
      <c r="J2589" s="315"/>
      <c r="K2589" s="315"/>
      <c r="L2589" s="315"/>
    </row>
    <row r="2590" spans="1:12">
      <c r="A2590" s="315"/>
      <c r="B2590" s="315"/>
      <c r="C2590" s="315"/>
      <c r="D2590" s="315"/>
      <c r="E2590" s="315"/>
      <c r="F2590" s="315"/>
      <c r="G2590" s="315"/>
      <c r="H2590" s="315"/>
      <c r="I2590" s="315"/>
      <c r="J2590" s="315"/>
      <c r="K2590" s="315"/>
      <c r="L2590" s="315"/>
    </row>
    <row r="2591" spans="1:12">
      <c r="A2591" s="315"/>
      <c r="B2591" s="315"/>
      <c r="C2591" s="315"/>
      <c r="D2591" s="315"/>
      <c r="E2591" s="315"/>
      <c r="F2591" s="315"/>
      <c r="G2591" s="315"/>
      <c r="H2591" s="315"/>
      <c r="I2591" s="315"/>
      <c r="J2591" s="315"/>
      <c r="K2591" s="315"/>
      <c r="L2591" s="315"/>
    </row>
    <row r="2592" spans="1:12">
      <c r="A2592" s="315"/>
      <c r="B2592" s="315"/>
      <c r="C2592" s="315"/>
      <c r="D2592" s="315"/>
      <c r="E2592" s="315"/>
      <c r="F2592" s="315"/>
      <c r="G2592" s="315"/>
      <c r="H2592" s="315"/>
      <c r="I2592" s="315"/>
      <c r="J2592" s="315"/>
      <c r="K2592" s="315"/>
      <c r="L2592" s="315"/>
    </row>
    <row r="2593" spans="1:12">
      <c r="A2593" s="315"/>
      <c r="B2593" s="315"/>
      <c r="C2593" s="315"/>
      <c r="D2593" s="315"/>
      <c r="E2593" s="315"/>
      <c r="F2593" s="315"/>
      <c r="G2593" s="315"/>
      <c r="H2593" s="315"/>
      <c r="I2593" s="315"/>
      <c r="J2593" s="315"/>
      <c r="K2593" s="315"/>
      <c r="L2593" s="315"/>
    </row>
    <row r="2594" spans="1:12">
      <c r="A2594" s="315"/>
      <c r="B2594" s="315"/>
      <c r="C2594" s="315"/>
      <c r="D2594" s="315"/>
      <c r="E2594" s="315"/>
      <c r="F2594" s="315"/>
      <c r="G2594" s="315"/>
      <c r="H2594" s="315"/>
      <c r="I2594" s="315"/>
      <c r="J2594" s="315"/>
      <c r="K2594" s="315"/>
      <c r="L2594" s="315"/>
    </row>
    <row r="2595" spans="1:12">
      <c r="A2595" s="315"/>
      <c r="B2595" s="315"/>
      <c r="C2595" s="315"/>
      <c r="D2595" s="315"/>
      <c r="E2595" s="315"/>
      <c r="F2595" s="315"/>
      <c r="G2595" s="315"/>
      <c r="H2595" s="315"/>
      <c r="I2595" s="315"/>
      <c r="J2595" s="315"/>
      <c r="K2595" s="315"/>
      <c r="L2595" s="315"/>
    </row>
    <row r="2596" spans="1:12">
      <c r="A2596" s="315"/>
      <c r="B2596" s="315"/>
      <c r="C2596" s="315"/>
      <c r="D2596" s="315"/>
      <c r="E2596" s="315"/>
      <c r="F2596" s="315"/>
      <c r="G2596" s="315"/>
      <c r="H2596" s="315"/>
      <c r="I2596" s="315"/>
      <c r="J2596" s="315"/>
      <c r="K2596" s="315"/>
      <c r="L2596" s="315"/>
    </row>
    <row r="2597" spans="1:12">
      <c r="A2597" s="315"/>
      <c r="B2597" s="315"/>
      <c r="C2597" s="315"/>
      <c r="D2597" s="315"/>
      <c r="E2597" s="315"/>
      <c r="F2597" s="315"/>
      <c r="G2597" s="315"/>
      <c r="H2597" s="315"/>
      <c r="I2597" s="315"/>
      <c r="J2597" s="315"/>
      <c r="K2597" s="315"/>
      <c r="L2597" s="315"/>
    </row>
    <row r="2598" spans="1:12">
      <c r="A2598" s="315"/>
      <c r="B2598" s="315"/>
      <c r="C2598" s="315"/>
      <c r="D2598" s="315"/>
      <c r="E2598" s="315"/>
      <c r="F2598" s="315"/>
      <c r="G2598" s="315"/>
      <c r="H2598" s="315"/>
      <c r="I2598" s="315"/>
      <c r="J2598" s="315"/>
      <c r="K2598" s="315"/>
      <c r="L2598" s="315"/>
    </row>
    <row r="2599" spans="1:12">
      <c r="A2599" s="315"/>
      <c r="B2599" s="315"/>
      <c r="C2599" s="315"/>
      <c r="D2599" s="315"/>
      <c r="E2599" s="315"/>
      <c r="F2599" s="315"/>
      <c r="G2599" s="315"/>
      <c r="H2599" s="315"/>
      <c r="I2599" s="315"/>
      <c r="J2599" s="315"/>
      <c r="K2599" s="315"/>
      <c r="L2599" s="315"/>
    </row>
    <row r="2600" spans="1:12">
      <c r="A2600" s="315"/>
      <c r="B2600" s="315"/>
      <c r="C2600" s="315"/>
      <c r="D2600" s="315"/>
      <c r="E2600" s="315"/>
      <c r="F2600" s="315"/>
      <c r="G2600" s="315"/>
      <c r="H2600" s="315"/>
      <c r="I2600" s="315"/>
      <c r="J2600" s="315"/>
      <c r="K2600" s="315"/>
      <c r="L2600" s="315"/>
    </row>
    <row r="2601" spans="1:12">
      <c r="A2601" s="315"/>
      <c r="B2601" s="315"/>
      <c r="C2601" s="315"/>
      <c r="D2601" s="315"/>
      <c r="E2601" s="315"/>
      <c r="F2601" s="315"/>
      <c r="G2601" s="315"/>
      <c r="H2601" s="315"/>
      <c r="I2601" s="315"/>
      <c r="J2601" s="315"/>
      <c r="K2601" s="315"/>
      <c r="L2601" s="315"/>
    </row>
    <row r="2602" spans="1:12">
      <c r="A2602" s="315"/>
      <c r="B2602" s="315"/>
      <c r="C2602" s="315"/>
      <c r="D2602" s="315"/>
      <c r="E2602" s="315"/>
      <c r="F2602" s="315"/>
      <c r="G2602" s="315"/>
      <c r="H2602" s="315"/>
      <c r="I2602" s="315"/>
      <c r="J2602" s="315"/>
      <c r="K2602" s="315"/>
      <c r="L2602" s="315"/>
    </row>
    <row r="2603" spans="1:12">
      <c r="A2603" s="315"/>
      <c r="B2603" s="315"/>
      <c r="C2603" s="315"/>
      <c r="D2603" s="315"/>
      <c r="E2603" s="315"/>
      <c r="F2603" s="315"/>
      <c r="G2603" s="315"/>
      <c r="H2603" s="315"/>
      <c r="I2603" s="315"/>
      <c r="J2603" s="315"/>
      <c r="K2603" s="315"/>
      <c r="L2603" s="315"/>
    </row>
    <row r="2604" spans="1:12">
      <c r="A2604" s="315"/>
      <c r="B2604" s="315"/>
      <c r="C2604" s="315"/>
      <c r="D2604" s="315"/>
      <c r="E2604" s="315"/>
      <c r="F2604" s="315"/>
      <c r="G2604" s="315"/>
      <c r="H2604" s="315"/>
      <c r="I2604" s="315"/>
      <c r="J2604" s="315"/>
      <c r="K2604" s="315"/>
      <c r="L2604" s="315"/>
    </row>
    <row r="2605" spans="1:12">
      <c r="A2605" s="315"/>
      <c r="B2605" s="315"/>
      <c r="C2605" s="315"/>
      <c r="D2605" s="315"/>
      <c r="E2605" s="315"/>
      <c r="F2605" s="315"/>
      <c r="G2605" s="315"/>
      <c r="H2605" s="315"/>
      <c r="I2605" s="315"/>
      <c r="J2605" s="315"/>
      <c r="K2605" s="315"/>
      <c r="L2605" s="315"/>
    </row>
    <row r="2606" spans="1:12">
      <c r="A2606" s="315"/>
      <c r="B2606" s="315"/>
      <c r="C2606" s="315"/>
      <c r="D2606" s="315"/>
      <c r="E2606" s="315"/>
      <c r="F2606" s="315"/>
      <c r="G2606" s="315"/>
      <c r="H2606" s="315"/>
      <c r="I2606" s="315"/>
      <c r="J2606" s="315"/>
      <c r="K2606" s="315"/>
      <c r="L2606" s="315"/>
    </row>
    <row r="2607" spans="1:12">
      <c r="A2607" s="315"/>
      <c r="B2607" s="315"/>
      <c r="C2607" s="315"/>
      <c r="D2607" s="315"/>
      <c r="E2607" s="315"/>
      <c r="F2607" s="315"/>
      <c r="G2607" s="315"/>
      <c r="H2607" s="315"/>
      <c r="I2607" s="315"/>
      <c r="J2607" s="315"/>
      <c r="K2607" s="315"/>
      <c r="L2607" s="315"/>
    </row>
    <row r="2608" spans="1:12">
      <c r="A2608" s="315"/>
      <c r="B2608" s="315"/>
      <c r="C2608" s="315"/>
      <c r="D2608" s="315"/>
      <c r="E2608" s="315"/>
      <c r="F2608" s="315"/>
      <c r="G2608" s="315"/>
      <c r="H2608" s="315"/>
      <c r="I2608" s="315"/>
      <c r="J2608" s="315"/>
      <c r="K2608" s="315"/>
      <c r="L2608" s="315"/>
    </row>
    <row r="2609" spans="1:12">
      <c r="A2609" s="315"/>
      <c r="B2609" s="315"/>
      <c r="C2609" s="315"/>
      <c r="D2609" s="315"/>
      <c r="E2609" s="315"/>
      <c r="F2609" s="315"/>
      <c r="G2609" s="315"/>
      <c r="H2609" s="315"/>
      <c r="I2609" s="315"/>
      <c r="J2609" s="315"/>
      <c r="K2609" s="315"/>
      <c r="L2609" s="315"/>
    </row>
    <row r="2610" spans="1:12">
      <c r="A2610" s="315"/>
      <c r="B2610" s="315"/>
      <c r="C2610" s="315"/>
      <c r="D2610" s="315"/>
      <c r="E2610" s="315"/>
      <c r="F2610" s="315"/>
      <c r="G2610" s="315"/>
      <c r="H2610" s="315"/>
      <c r="I2610" s="315"/>
      <c r="J2610" s="315"/>
      <c r="K2610" s="315"/>
      <c r="L2610" s="315"/>
    </row>
    <row r="2611" spans="1:12">
      <c r="A2611" s="315"/>
      <c r="B2611" s="315"/>
      <c r="C2611" s="315"/>
      <c r="D2611" s="315"/>
      <c r="E2611" s="315"/>
      <c r="F2611" s="315"/>
      <c r="G2611" s="315"/>
      <c r="H2611" s="315"/>
      <c r="I2611" s="315"/>
      <c r="J2611" s="315"/>
      <c r="K2611" s="315"/>
      <c r="L2611" s="315"/>
    </row>
    <row r="2612" spans="1:12">
      <c r="A2612" s="315"/>
      <c r="B2612" s="315"/>
      <c r="C2612" s="315"/>
      <c r="D2612" s="315"/>
      <c r="E2612" s="315"/>
      <c r="F2612" s="315"/>
      <c r="G2612" s="315"/>
      <c r="H2612" s="315"/>
      <c r="I2612" s="315"/>
      <c r="J2612" s="315"/>
      <c r="K2612" s="315"/>
      <c r="L2612" s="315"/>
    </row>
    <row r="2613" spans="1:12">
      <c r="A2613" s="315"/>
      <c r="B2613" s="315"/>
      <c r="C2613" s="315"/>
      <c r="D2613" s="315"/>
      <c r="E2613" s="315"/>
      <c r="F2613" s="315"/>
      <c r="G2613" s="315"/>
      <c r="H2613" s="315"/>
      <c r="I2613" s="315"/>
      <c r="J2613" s="315"/>
      <c r="K2613" s="315"/>
      <c r="L2613" s="315"/>
    </row>
    <row r="2614" spans="1:12">
      <c r="A2614" s="315"/>
      <c r="B2614" s="315"/>
      <c r="C2614" s="315"/>
      <c r="D2614" s="315"/>
      <c r="E2614" s="315"/>
      <c r="F2614" s="315"/>
      <c r="G2614" s="315"/>
      <c r="H2614" s="315"/>
      <c r="I2614" s="315"/>
      <c r="J2614" s="315"/>
      <c r="K2614" s="315"/>
      <c r="L2614" s="315"/>
    </row>
    <row r="2615" spans="1:12">
      <c r="A2615" s="315"/>
      <c r="B2615" s="315"/>
      <c r="C2615" s="315"/>
      <c r="D2615" s="315"/>
      <c r="E2615" s="315"/>
      <c r="F2615" s="315"/>
      <c r="G2615" s="315"/>
      <c r="H2615" s="315"/>
      <c r="I2615" s="315"/>
      <c r="J2615" s="315"/>
      <c r="K2615" s="315"/>
      <c r="L2615" s="315"/>
    </row>
    <row r="2616" spans="1:12">
      <c r="A2616" s="315"/>
      <c r="B2616" s="315"/>
      <c r="C2616" s="315"/>
      <c r="D2616" s="315"/>
      <c r="E2616" s="315"/>
      <c r="F2616" s="315"/>
      <c r="G2616" s="315"/>
      <c r="H2616" s="315"/>
      <c r="I2616" s="315"/>
      <c r="J2616" s="315"/>
      <c r="K2616" s="315"/>
      <c r="L2616" s="315"/>
    </row>
    <row r="2617" spans="1:12">
      <c r="A2617" s="315"/>
      <c r="B2617" s="315"/>
      <c r="C2617" s="315"/>
      <c r="D2617" s="315"/>
      <c r="E2617" s="315"/>
      <c r="F2617" s="315"/>
      <c r="G2617" s="315"/>
      <c r="H2617" s="315"/>
      <c r="I2617" s="315"/>
      <c r="J2617" s="315"/>
      <c r="K2617" s="315"/>
      <c r="L2617" s="315"/>
    </row>
    <row r="2618" spans="1:12">
      <c r="A2618" s="315"/>
      <c r="B2618" s="315"/>
      <c r="C2618" s="315"/>
      <c r="D2618" s="315"/>
      <c r="E2618" s="315"/>
      <c r="F2618" s="315"/>
      <c r="G2618" s="315"/>
      <c r="H2618" s="315"/>
      <c r="I2618" s="315"/>
      <c r="J2618" s="315"/>
      <c r="K2618" s="315"/>
      <c r="L2618" s="315"/>
    </row>
    <row r="2619" spans="1:12">
      <c r="A2619" s="315"/>
      <c r="B2619" s="315"/>
      <c r="C2619" s="315"/>
      <c r="D2619" s="315"/>
      <c r="E2619" s="315"/>
      <c r="F2619" s="315"/>
      <c r="G2619" s="315"/>
      <c r="H2619" s="315"/>
      <c r="I2619" s="315"/>
      <c r="J2619" s="315"/>
      <c r="K2619" s="315"/>
      <c r="L2619" s="315"/>
    </row>
    <row r="2620" spans="1:12">
      <c r="A2620" s="315"/>
      <c r="B2620" s="315"/>
      <c r="C2620" s="315"/>
      <c r="D2620" s="315"/>
      <c r="E2620" s="315"/>
      <c r="F2620" s="315"/>
      <c r="G2620" s="315"/>
      <c r="H2620" s="315"/>
      <c r="I2620" s="315"/>
      <c r="J2620" s="315"/>
      <c r="K2620" s="315"/>
      <c r="L2620" s="315"/>
    </row>
    <row r="2621" spans="1:12">
      <c r="A2621" s="315"/>
      <c r="B2621" s="315"/>
      <c r="C2621" s="315"/>
      <c r="D2621" s="315"/>
      <c r="E2621" s="315"/>
      <c r="F2621" s="315"/>
      <c r="G2621" s="315"/>
      <c r="H2621" s="315"/>
      <c r="I2621" s="315"/>
      <c r="J2621" s="315"/>
      <c r="K2621" s="315"/>
      <c r="L2621" s="315"/>
    </row>
    <row r="2622" spans="1:12">
      <c r="A2622" s="315"/>
      <c r="B2622" s="315"/>
      <c r="C2622" s="315"/>
      <c r="D2622" s="315"/>
      <c r="E2622" s="315"/>
      <c r="F2622" s="315"/>
      <c r="G2622" s="315"/>
      <c r="H2622" s="315"/>
      <c r="I2622" s="315"/>
      <c r="J2622" s="315"/>
      <c r="K2622" s="315"/>
      <c r="L2622" s="315"/>
    </row>
    <row r="2623" spans="1:12">
      <c r="A2623" s="315"/>
      <c r="B2623" s="315"/>
      <c r="C2623" s="315"/>
      <c r="D2623" s="315"/>
      <c r="E2623" s="315"/>
      <c r="F2623" s="315"/>
      <c r="G2623" s="315"/>
      <c r="H2623" s="315"/>
      <c r="I2623" s="315"/>
      <c r="J2623" s="315"/>
      <c r="K2623" s="315"/>
      <c r="L2623" s="315"/>
    </row>
    <row r="2624" spans="1:12">
      <c r="A2624" s="315"/>
      <c r="B2624" s="315"/>
      <c r="C2624" s="315"/>
      <c r="D2624" s="315"/>
      <c r="E2624" s="315"/>
      <c r="F2624" s="315"/>
      <c r="G2624" s="315"/>
      <c r="H2624" s="315"/>
      <c r="I2624" s="315"/>
      <c r="J2624" s="315"/>
      <c r="K2624" s="315"/>
      <c r="L2624" s="315"/>
    </row>
    <row r="2625" spans="1:12">
      <c r="A2625" s="315"/>
      <c r="B2625" s="315"/>
      <c r="C2625" s="315"/>
      <c r="D2625" s="315"/>
      <c r="E2625" s="315"/>
      <c r="F2625" s="315"/>
      <c r="G2625" s="315"/>
      <c r="H2625" s="315"/>
      <c r="I2625" s="315"/>
      <c r="J2625" s="315"/>
      <c r="K2625" s="315"/>
      <c r="L2625" s="315"/>
    </row>
    <row r="2626" spans="1:12">
      <c r="A2626" s="315"/>
      <c r="B2626" s="315"/>
      <c r="C2626" s="315"/>
      <c r="D2626" s="315"/>
      <c r="E2626" s="315"/>
      <c r="F2626" s="315"/>
      <c r="G2626" s="315"/>
      <c r="H2626" s="315"/>
      <c r="I2626" s="315"/>
      <c r="J2626" s="315"/>
      <c r="K2626" s="315"/>
      <c r="L2626" s="315"/>
    </row>
    <row r="2627" spans="1:12">
      <c r="A2627" s="315"/>
      <c r="B2627" s="315"/>
      <c r="C2627" s="315"/>
      <c r="D2627" s="315"/>
      <c r="E2627" s="315"/>
      <c r="F2627" s="315"/>
      <c r="G2627" s="315"/>
      <c r="H2627" s="315"/>
      <c r="I2627" s="315"/>
      <c r="J2627" s="315"/>
      <c r="K2627" s="315"/>
      <c r="L2627" s="315"/>
    </row>
    <row r="2628" spans="1:12">
      <c r="A2628" s="315"/>
      <c r="B2628" s="315"/>
      <c r="C2628" s="315"/>
      <c r="D2628" s="315"/>
      <c r="E2628" s="315"/>
      <c r="F2628" s="315"/>
      <c r="G2628" s="315"/>
      <c r="H2628" s="315"/>
      <c r="I2628" s="315"/>
      <c r="J2628" s="315"/>
      <c r="K2628" s="315"/>
      <c r="L2628" s="315"/>
    </row>
    <row r="2629" spans="1:12">
      <c r="A2629" s="315"/>
      <c r="B2629" s="315"/>
      <c r="C2629" s="315"/>
      <c r="D2629" s="315"/>
      <c r="E2629" s="315"/>
      <c r="F2629" s="315"/>
      <c r="G2629" s="315"/>
      <c r="H2629" s="315"/>
      <c r="I2629" s="315"/>
      <c r="J2629" s="315"/>
      <c r="K2629" s="315"/>
      <c r="L2629" s="315"/>
    </row>
    <row r="2630" spans="1:12">
      <c r="A2630" s="315"/>
      <c r="B2630" s="315"/>
      <c r="C2630" s="315"/>
      <c r="D2630" s="315"/>
      <c r="E2630" s="315"/>
      <c r="F2630" s="315"/>
      <c r="G2630" s="315"/>
      <c r="H2630" s="315"/>
      <c r="I2630" s="315"/>
      <c r="J2630" s="315"/>
      <c r="K2630" s="315"/>
      <c r="L2630" s="315"/>
    </row>
    <row r="2631" spans="1:12">
      <c r="A2631" s="315"/>
      <c r="B2631" s="315"/>
      <c r="C2631" s="315"/>
      <c r="D2631" s="315"/>
      <c r="E2631" s="315"/>
      <c r="F2631" s="315"/>
      <c r="G2631" s="315"/>
      <c r="H2631" s="315"/>
      <c r="I2631" s="315"/>
      <c r="J2631" s="315"/>
      <c r="K2631" s="315"/>
      <c r="L2631" s="315"/>
    </row>
    <row r="2632" spans="1:12">
      <c r="A2632" s="315"/>
      <c r="B2632" s="315"/>
      <c r="C2632" s="315"/>
      <c r="D2632" s="315"/>
      <c r="E2632" s="315"/>
      <c r="F2632" s="315"/>
      <c r="G2632" s="315"/>
      <c r="H2632" s="315"/>
      <c r="I2632" s="315"/>
      <c r="J2632" s="315"/>
      <c r="K2632" s="315"/>
      <c r="L2632" s="315"/>
    </row>
    <row r="2633" spans="1:12">
      <c r="A2633" s="315"/>
      <c r="B2633" s="315"/>
      <c r="C2633" s="315"/>
      <c r="D2633" s="315"/>
      <c r="E2633" s="315"/>
      <c r="F2633" s="315"/>
      <c r="G2633" s="315"/>
      <c r="H2633" s="315"/>
      <c r="I2633" s="315"/>
      <c r="J2633" s="315"/>
      <c r="K2633" s="315"/>
      <c r="L2633" s="315"/>
    </row>
    <row r="2634" spans="1:12">
      <c r="A2634" s="315"/>
      <c r="B2634" s="315"/>
      <c r="C2634" s="315"/>
      <c r="D2634" s="315"/>
      <c r="E2634" s="315"/>
      <c r="F2634" s="315"/>
      <c r="G2634" s="315"/>
      <c r="H2634" s="315"/>
      <c r="I2634" s="315"/>
      <c r="J2634" s="315"/>
      <c r="K2634" s="315"/>
      <c r="L2634" s="315"/>
    </row>
    <row r="2635" spans="1:12">
      <c r="A2635" s="315"/>
      <c r="B2635" s="315"/>
      <c r="C2635" s="315"/>
      <c r="D2635" s="315"/>
      <c r="E2635" s="315"/>
      <c r="F2635" s="315"/>
      <c r="G2635" s="315"/>
      <c r="H2635" s="315"/>
      <c r="I2635" s="315"/>
      <c r="J2635" s="315"/>
      <c r="K2635" s="315"/>
      <c r="L2635" s="315"/>
    </row>
    <row r="2636" spans="1:12">
      <c r="A2636" s="315"/>
      <c r="B2636" s="315"/>
      <c r="C2636" s="315"/>
      <c r="D2636" s="315"/>
      <c r="E2636" s="315"/>
      <c r="F2636" s="315"/>
      <c r="G2636" s="315"/>
      <c r="H2636" s="315"/>
      <c r="I2636" s="315"/>
      <c r="J2636" s="315"/>
      <c r="K2636" s="315"/>
      <c r="L2636" s="315"/>
    </row>
    <row r="2637" spans="1:12">
      <c r="A2637" s="315"/>
      <c r="B2637" s="315"/>
      <c r="C2637" s="315"/>
      <c r="D2637" s="315"/>
      <c r="E2637" s="315"/>
      <c r="F2637" s="315"/>
      <c r="G2637" s="315"/>
      <c r="H2637" s="315"/>
      <c r="I2637" s="315"/>
      <c r="J2637" s="315"/>
      <c r="K2637" s="315"/>
      <c r="L2637" s="315"/>
    </row>
    <row r="2638" spans="1:12">
      <c r="A2638" s="315"/>
      <c r="B2638" s="315"/>
      <c r="C2638" s="315"/>
      <c r="D2638" s="315"/>
      <c r="E2638" s="315"/>
      <c r="F2638" s="315"/>
      <c r="G2638" s="315"/>
      <c r="H2638" s="315"/>
      <c r="I2638" s="315"/>
      <c r="J2638" s="315"/>
      <c r="K2638" s="315"/>
      <c r="L2638" s="315"/>
    </row>
    <row r="2639" spans="1:12">
      <c r="A2639" s="315"/>
      <c r="B2639" s="315"/>
      <c r="C2639" s="315"/>
      <c r="D2639" s="315"/>
      <c r="E2639" s="315"/>
      <c r="F2639" s="315"/>
      <c r="G2639" s="315"/>
      <c r="H2639" s="315"/>
      <c r="I2639" s="315"/>
      <c r="J2639" s="315"/>
      <c r="K2639" s="315"/>
      <c r="L2639" s="315"/>
    </row>
    <row r="2640" spans="1:12">
      <c r="A2640" s="315"/>
      <c r="B2640" s="315"/>
      <c r="C2640" s="315"/>
      <c r="D2640" s="315"/>
      <c r="E2640" s="315"/>
      <c r="F2640" s="315"/>
      <c r="G2640" s="315"/>
      <c r="H2640" s="315"/>
      <c r="I2640" s="315"/>
      <c r="J2640" s="315"/>
      <c r="K2640" s="315"/>
      <c r="L2640" s="315"/>
    </row>
    <row r="2641" spans="1:12">
      <c r="A2641" s="315"/>
      <c r="B2641" s="315"/>
      <c r="C2641" s="315"/>
      <c r="D2641" s="315"/>
      <c r="E2641" s="315"/>
      <c r="F2641" s="315"/>
      <c r="G2641" s="315"/>
      <c r="H2641" s="315"/>
      <c r="I2641" s="315"/>
      <c r="J2641" s="315"/>
      <c r="K2641" s="315"/>
      <c r="L2641" s="315"/>
    </row>
    <row r="2642" spans="1:12">
      <c r="A2642" s="315"/>
      <c r="B2642" s="315"/>
      <c r="C2642" s="315"/>
      <c r="D2642" s="315"/>
      <c r="E2642" s="315"/>
      <c r="F2642" s="315"/>
      <c r="G2642" s="315"/>
      <c r="H2642" s="315"/>
      <c r="I2642" s="315"/>
      <c r="J2642" s="315"/>
      <c r="K2642" s="315"/>
      <c r="L2642" s="315"/>
    </row>
    <row r="2643" spans="1:12">
      <c r="A2643" s="315"/>
      <c r="B2643" s="315"/>
      <c r="C2643" s="315"/>
      <c r="D2643" s="315"/>
      <c r="E2643" s="315"/>
      <c r="F2643" s="315"/>
      <c r="G2643" s="315"/>
      <c r="H2643" s="315"/>
      <c r="I2643" s="315"/>
      <c r="J2643" s="315"/>
      <c r="K2643" s="315"/>
      <c r="L2643" s="315"/>
    </row>
    <row r="2644" spans="1:12">
      <c r="A2644" s="315"/>
      <c r="B2644" s="315"/>
      <c r="C2644" s="315"/>
      <c r="D2644" s="315"/>
      <c r="E2644" s="315"/>
      <c r="F2644" s="315"/>
      <c r="G2644" s="315"/>
      <c r="H2644" s="315"/>
      <c r="I2644" s="315"/>
      <c r="J2644" s="315"/>
      <c r="K2644" s="315"/>
      <c r="L2644" s="315"/>
    </row>
    <row r="2645" spans="1:12">
      <c r="A2645" s="315"/>
      <c r="B2645" s="315"/>
      <c r="C2645" s="315"/>
      <c r="D2645" s="315"/>
      <c r="E2645" s="315"/>
      <c r="F2645" s="315"/>
      <c r="G2645" s="315"/>
      <c r="H2645" s="315"/>
      <c r="I2645" s="315"/>
      <c r="J2645" s="315"/>
      <c r="K2645" s="315"/>
      <c r="L2645" s="315"/>
    </row>
    <row r="2646" spans="1:12">
      <c r="A2646" s="315"/>
      <c r="B2646" s="315"/>
      <c r="C2646" s="315"/>
      <c r="D2646" s="315"/>
      <c r="E2646" s="315"/>
      <c r="F2646" s="315"/>
      <c r="G2646" s="315"/>
      <c r="H2646" s="315"/>
      <c r="I2646" s="315"/>
      <c r="J2646" s="315"/>
      <c r="K2646" s="315"/>
      <c r="L2646" s="315"/>
    </row>
    <row r="2647" spans="1:12">
      <c r="A2647" s="315"/>
      <c r="B2647" s="315"/>
      <c r="C2647" s="315"/>
      <c r="D2647" s="315"/>
      <c r="E2647" s="315"/>
      <c r="F2647" s="315"/>
      <c r="G2647" s="315"/>
      <c r="H2647" s="315"/>
      <c r="I2647" s="315"/>
      <c r="J2647" s="315"/>
      <c r="K2647" s="315"/>
      <c r="L2647" s="315"/>
    </row>
    <row r="2648" spans="1:12">
      <c r="A2648" s="315"/>
      <c r="B2648" s="315"/>
      <c r="C2648" s="315"/>
      <c r="D2648" s="315"/>
      <c r="E2648" s="315"/>
      <c r="F2648" s="315"/>
      <c r="G2648" s="315"/>
      <c r="H2648" s="315"/>
      <c r="I2648" s="315"/>
      <c r="J2648" s="315"/>
      <c r="K2648" s="315"/>
      <c r="L2648" s="315"/>
    </row>
    <row r="2649" spans="1:12">
      <c r="A2649" s="315"/>
      <c r="B2649" s="315"/>
      <c r="C2649" s="315"/>
      <c r="D2649" s="315"/>
      <c r="E2649" s="315"/>
      <c r="F2649" s="315"/>
      <c r="G2649" s="315"/>
      <c r="H2649" s="315"/>
      <c r="I2649" s="315"/>
      <c r="J2649" s="315"/>
      <c r="K2649" s="315"/>
      <c r="L2649" s="315"/>
    </row>
    <row r="2650" spans="1:12">
      <c r="A2650" s="315"/>
      <c r="B2650" s="315"/>
      <c r="C2650" s="315"/>
      <c r="D2650" s="315"/>
      <c r="E2650" s="315"/>
      <c r="F2650" s="315"/>
      <c r="G2650" s="315"/>
      <c r="H2650" s="315"/>
      <c r="I2650" s="315"/>
      <c r="J2650" s="315"/>
      <c r="K2650" s="315"/>
      <c r="L2650" s="315"/>
    </row>
    <row r="2651" spans="1:12">
      <c r="A2651" s="315"/>
      <c r="B2651" s="315"/>
      <c r="C2651" s="315"/>
      <c r="D2651" s="315"/>
      <c r="E2651" s="315"/>
      <c r="F2651" s="315"/>
      <c r="G2651" s="315"/>
      <c r="H2651" s="315"/>
      <c r="I2651" s="315"/>
      <c r="J2651" s="315"/>
      <c r="K2651" s="315"/>
      <c r="L2651" s="315"/>
    </row>
    <row r="2652" spans="1:12">
      <c r="A2652" s="315"/>
      <c r="B2652" s="315"/>
      <c r="C2652" s="315"/>
      <c r="D2652" s="315"/>
      <c r="E2652" s="315"/>
      <c r="F2652" s="315"/>
      <c r="G2652" s="315"/>
      <c r="H2652" s="315"/>
      <c r="I2652" s="315"/>
      <c r="J2652" s="315"/>
      <c r="K2652" s="315"/>
      <c r="L2652" s="315"/>
    </row>
    <row r="2653" spans="1:12">
      <c r="A2653" s="315"/>
      <c r="B2653" s="315"/>
      <c r="C2653" s="315"/>
      <c r="D2653" s="315"/>
      <c r="E2653" s="315"/>
      <c r="F2653" s="315"/>
      <c r="G2653" s="315"/>
      <c r="H2653" s="315"/>
      <c r="I2653" s="315"/>
      <c r="J2653" s="315"/>
      <c r="K2653" s="315"/>
      <c r="L2653" s="315"/>
    </row>
    <row r="2654" spans="1:12">
      <c r="A2654" s="315"/>
      <c r="B2654" s="315"/>
      <c r="C2654" s="315"/>
      <c r="D2654" s="315"/>
      <c r="E2654" s="315"/>
      <c r="F2654" s="315"/>
      <c r="G2654" s="315"/>
      <c r="H2654" s="315"/>
      <c r="I2654" s="315"/>
      <c r="J2654" s="315"/>
      <c r="K2654" s="315"/>
      <c r="L2654" s="315"/>
    </row>
    <row r="2655" spans="1:12">
      <c r="A2655" s="315"/>
      <c r="B2655" s="315"/>
      <c r="C2655" s="315"/>
      <c r="D2655" s="315"/>
      <c r="E2655" s="315"/>
      <c r="F2655" s="315"/>
      <c r="G2655" s="315"/>
      <c r="H2655" s="315"/>
      <c r="I2655" s="315"/>
      <c r="J2655" s="315"/>
      <c r="K2655" s="315"/>
      <c r="L2655" s="315"/>
    </row>
    <row r="2656" spans="1:12">
      <c r="A2656" s="315"/>
      <c r="B2656" s="315"/>
      <c r="C2656" s="315"/>
      <c r="D2656" s="315"/>
      <c r="E2656" s="315"/>
      <c r="F2656" s="315"/>
      <c r="G2656" s="315"/>
      <c r="H2656" s="315"/>
      <c r="I2656" s="315"/>
      <c r="J2656" s="315"/>
      <c r="K2656" s="315"/>
      <c r="L2656" s="315"/>
    </row>
    <row r="2657" spans="1:12">
      <c r="A2657" s="315"/>
      <c r="B2657" s="315"/>
      <c r="C2657" s="315"/>
      <c r="D2657" s="315"/>
      <c r="E2657" s="315"/>
      <c r="F2657" s="315"/>
      <c r="G2657" s="315"/>
      <c r="H2657" s="315"/>
      <c r="I2657" s="315"/>
      <c r="J2657" s="315"/>
      <c r="K2657" s="315"/>
      <c r="L2657" s="315"/>
    </row>
    <row r="2658" spans="1:12">
      <c r="A2658" s="315"/>
      <c r="B2658" s="315"/>
      <c r="C2658" s="315"/>
      <c r="D2658" s="315"/>
      <c r="E2658" s="315"/>
      <c r="F2658" s="315"/>
      <c r="G2658" s="315"/>
      <c r="H2658" s="315"/>
      <c r="I2658" s="315"/>
      <c r="J2658" s="315"/>
      <c r="K2658" s="315"/>
      <c r="L2658" s="315"/>
    </row>
    <row r="2659" spans="1:12">
      <c r="A2659" s="315"/>
      <c r="B2659" s="315"/>
      <c r="C2659" s="315"/>
      <c r="D2659" s="315"/>
      <c r="E2659" s="315"/>
      <c r="F2659" s="315"/>
      <c r="G2659" s="315"/>
      <c r="H2659" s="315"/>
      <c r="I2659" s="315"/>
      <c r="J2659" s="315"/>
      <c r="K2659" s="315"/>
      <c r="L2659" s="315"/>
    </row>
    <row r="2660" spans="1:12">
      <c r="A2660" s="315"/>
      <c r="B2660" s="315"/>
      <c r="C2660" s="315"/>
      <c r="D2660" s="315"/>
      <c r="E2660" s="315"/>
      <c r="F2660" s="315"/>
      <c r="G2660" s="315"/>
      <c r="H2660" s="315"/>
      <c r="I2660" s="315"/>
      <c r="J2660" s="315"/>
      <c r="K2660" s="315"/>
      <c r="L2660" s="315"/>
    </row>
    <row r="2661" spans="1:12">
      <c r="A2661" s="315"/>
      <c r="B2661" s="315"/>
      <c r="C2661" s="315"/>
      <c r="D2661" s="315"/>
      <c r="E2661" s="315"/>
      <c r="F2661" s="315"/>
      <c r="G2661" s="315"/>
      <c r="H2661" s="315"/>
      <c r="I2661" s="315"/>
      <c r="J2661" s="315"/>
      <c r="K2661" s="315"/>
      <c r="L2661" s="315"/>
    </row>
    <row r="2662" spans="1:12">
      <c r="A2662" s="315"/>
      <c r="B2662" s="315"/>
      <c r="C2662" s="315"/>
      <c r="D2662" s="315"/>
      <c r="E2662" s="315"/>
      <c r="F2662" s="315"/>
      <c r="G2662" s="315"/>
      <c r="H2662" s="315"/>
      <c r="I2662" s="315"/>
      <c r="J2662" s="315"/>
      <c r="K2662" s="315"/>
      <c r="L2662" s="315"/>
    </row>
    <row r="2663" spans="1:12">
      <c r="A2663" s="315"/>
      <c r="B2663" s="315"/>
      <c r="C2663" s="315"/>
      <c r="D2663" s="315"/>
      <c r="E2663" s="315"/>
      <c r="F2663" s="315"/>
      <c r="G2663" s="315"/>
      <c r="H2663" s="315"/>
      <c r="I2663" s="315"/>
      <c r="J2663" s="315"/>
      <c r="K2663" s="315"/>
      <c r="L2663" s="315"/>
    </row>
    <row r="2664" spans="1:12">
      <c r="A2664" s="315"/>
      <c r="B2664" s="315"/>
      <c r="C2664" s="315"/>
      <c r="D2664" s="315"/>
      <c r="E2664" s="315"/>
      <c r="F2664" s="315"/>
      <c r="G2664" s="315"/>
      <c r="H2664" s="315"/>
      <c r="I2664" s="315"/>
      <c r="J2664" s="315"/>
      <c r="K2664" s="315"/>
      <c r="L2664" s="315"/>
    </row>
    <row r="2665" spans="1:12">
      <c r="A2665" s="315"/>
      <c r="B2665" s="315"/>
      <c r="C2665" s="315"/>
      <c r="D2665" s="315"/>
      <c r="E2665" s="315"/>
      <c r="F2665" s="315"/>
      <c r="G2665" s="315"/>
      <c r="H2665" s="315"/>
      <c r="I2665" s="315"/>
      <c r="J2665" s="315"/>
      <c r="K2665" s="315"/>
      <c r="L2665" s="315"/>
    </row>
    <row r="2666" spans="1:12">
      <c r="A2666" s="315"/>
      <c r="B2666" s="315"/>
      <c r="C2666" s="315"/>
      <c r="D2666" s="315"/>
      <c r="E2666" s="315"/>
      <c r="F2666" s="315"/>
      <c r="G2666" s="315"/>
      <c r="H2666" s="315"/>
      <c r="I2666" s="315"/>
      <c r="J2666" s="315"/>
      <c r="K2666" s="315"/>
      <c r="L2666" s="315"/>
    </row>
    <row r="2667" spans="1:12">
      <c r="A2667" s="315"/>
      <c r="B2667" s="315"/>
      <c r="C2667" s="315"/>
      <c r="D2667" s="315"/>
      <c r="E2667" s="315"/>
      <c r="F2667" s="315"/>
      <c r="G2667" s="315"/>
      <c r="H2667" s="315"/>
      <c r="I2667" s="315"/>
      <c r="J2667" s="315"/>
      <c r="K2667" s="315"/>
      <c r="L2667" s="315"/>
    </row>
    <row r="2668" spans="1:12">
      <c r="A2668" s="315"/>
      <c r="B2668" s="315"/>
      <c r="C2668" s="315"/>
      <c r="D2668" s="315"/>
      <c r="E2668" s="315"/>
      <c r="F2668" s="315"/>
      <c r="G2668" s="315"/>
      <c r="H2668" s="315"/>
      <c r="I2668" s="315"/>
      <c r="J2668" s="315"/>
      <c r="K2668" s="315"/>
      <c r="L2668" s="315"/>
    </row>
    <row r="2669" spans="1:12">
      <c r="A2669" s="315"/>
      <c r="B2669" s="315"/>
      <c r="C2669" s="315"/>
      <c r="D2669" s="315"/>
      <c r="E2669" s="315"/>
      <c r="F2669" s="315"/>
      <c r="G2669" s="315"/>
      <c r="H2669" s="315"/>
      <c r="I2669" s="315"/>
      <c r="J2669" s="315"/>
      <c r="K2669" s="315"/>
      <c r="L2669" s="315"/>
    </row>
    <row r="2670" spans="1:12">
      <c r="A2670" s="315"/>
      <c r="B2670" s="315"/>
      <c r="C2670" s="315"/>
      <c r="D2670" s="315"/>
      <c r="E2670" s="315"/>
      <c r="F2670" s="315"/>
      <c r="G2670" s="315"/>
      <c r="H2670" s="315"/>
      <c r="I2670" s="315"/>
      <c r="J2670" s="315"/>
      <c r="K2670" s="315"/>
      <c r="L2670" s="315"/>
    </row>
    <row r="2671" spans="1:12">
      <c r="A2671" s="315"/>
      <c r="B2671" s="315"/>
      <c r="C2671" s="315"/>
      <c r="D2671" s="315"/>
      <c r="E2671" s="315"/>
      <c r="F2671" s="315"/>
      <c r="G2671" s="315"/>
      <c r="H2671" s="315"/>
      <c r="I2671" s="315"/>
      <c r="J2671" s="315"/>
      <c r="K2671" s="315"/>
      <c r="L2671" s="315"/>
    </row>
    <row r="2672" spans="1:12">
      <c r="A2672" s="315"/>
      <c r="B2672" s="315"/>
      <c r="C2672" s="315"/>
      <c r="D2672" s="315"/>
      <c r="E2672" s="315"/>
      <c r="F2672" s="315"/>
      <c r="G2672" s="315"/>
      <c r="H2672" s="315"/>
      <c r="I2672" s="315"/>
      <c r="J2672" s="315"/>
      <c r="K2672" s="315"/>
      <c r="L2672" s="315"/>
    </row>
    <row r="2673" spans="1:12">
      <c r="A2673" s="315"/>
      <c r="B2673" s="315"/>
      <c r="C2673" s="315"/>
      <c r="D2673" s="315"/>
      <c r="E2673" s="315"/>
      <c r="F2673" s="315"/>
      <c r="G2673" s="315"/>
      <c r="H2673" s="315"/>
      <c r="I2673" s="315"/>
      <c r="J2673" s="315"/>
      <c r="K2673" s="315"/>
      <c r="L2673" s="315"/>
    </row>
    <row r="2674" spans="1:12">
      <c r="A2674" s="315"/>
      <c r="B2674" s="315"/>
      <c r="C2674" s="315"/>
      <c r="D2674" s="315"/>
      <c r="E2674" s="315"/>
      <c r="F2674" s="315"/>
      <c r="G2674" s="315"/>
      <c r="H2674" s="315"/>
      <c r="I2674" s="315"/>
      <c r="J2674" s="315"/>
      <c r="K2674" s="315"/>
      <c r="L2674" s="315"/>
    </row>
    <row r="2675" spans="1:12">
      <c r="A2675" s="315"/>
      <c r="B2675" s="315"/>
      <c r="C2675" s="315"/>
      <c r="D2675" s="315"/>
      <c r="E2675" s="315"/>
      <c r="F2675" s="315"/>
      <c r="G2675" s="315"/>
      <c r="H2675" s="315"/>
      <c r="I2675" s="315"/>
      <c r="J2675" s="315"/>
      <c r="K2675" s="315"/>
      <c r="L2675" s="315"/>
    </row>
    <row r="2676" spans="1:12">
      <c r="A2676" s="315"/>
      <c r="B2676" s="315"/>
      <c r="C2676" s="315"/>
      <c r="D2676" s="315"/>
      <c r="E2676" s="315"/>
      <c r="F2676" s="315"/>
      <c r="G2676" s="315"/>
      <c r="H2676" s="315"/>
      <c r="I2676" s="315"/>
      <c r="J2676" s="315"/>
      <c r="K2676" s="315"/>
      <c r="L2676" s="315"/>
    </row>
    <row r="2677" spans="1:12">
      <c r="A2677" s="315"/>
      <c r="B2677" s="315"/>
      <c r="C2677" s="315"/>
      <c r="D2677" s="315"/>
      <c r="E2677" s="315"/>
      <c r="F2677" s="315"/>
      <c r="G2677" s="315"/>
      <c r="H2677" s="315"/>
      <c r="I2677" s="315"/>
      <c r="J2677" s="315"/>
      <c r="K2677" s="315"/>
      <c r="L2677" s="315"/>
    </row>
    <row r="2678" spans="1:12">
      <c r="A2678" s="315"/>
      <c r="B2678" s="315"/>
      <c r="C2678" s="315"/>
      <c r="D2678" s="315"/>
      <c r="E2678" s="315"/>
      <c r="F2678" s="315"/>
      <c r="G2678" s="315"/>
      <c r="H2678" s="315"/>
      <c r="I2678" s="315"/>
      <c r="J2678" s="315"/>
      <c r="K2678" s="315"/>
      <c r="L2678" s="315"/>
    </row>
    <row r="2679" spans="1:12">
      <c r="A2679" s="315"/>
      <c r="B2679" s="315"/>
      <c r="C2679" s="315"/>
      <c r="D2679" s="315"/>
      <c r="E2679" s="315"/>
      <c r="F2679" s="315"/>
      <c r="G2679" s="315"/>
      <c r="H2679" s="315"/>
      <c r="I2679" s="315"/>
      <c r="J2679" s="315"/>
      <c r="K2679" s="315"/>
      <c r="L2679" s="315"/>
    </row>
    <row r="2680" spans="1:12">
      <c r="A2680" s="315"/>
      <c r="B2680" s="315"/>
      <c r="C2680" s="315"/>
      <c r="D2680" s="315"/>
      <c r="E2680" s="315"/>
      <c r="F2680" s="315"/>
      <c r="G2680" s="315"/>
      <c r="H2680" s="315"/>
      <c r="I2680" s="315"/>
      <c r="J2680" s="315"/>
      <c r="K2680" s="315"/>
      <c r="L2680" s="315"/>
    </row>
    <row r="2681" spans="1:12">
      <c r="A2681" s="315"/>
      <c r="B2681" s="315"/>
      <c r="C2681" s="315"/>
      <c r="D2681" s="315"/>
      <c r="E2681" s="315"/>
      <c r="F2681" s="315"/>
      <c r="G2681" s="315"/>
      <c r="H2681" s="315"/>
      <c r="I2681" s="315"/>
      <c r="J2681" s="315"/>
      <c r="K2681" s="315"/>
      <c r="L2681" s="315"/>
    </row>
    <row r="2682" spans="1:12">
      <c r="A2682" s="315"/>
      <c r="B2682" s="315"/>
      <c r="C2682" s="315"/>
      <c r="D2682" s="315"/>
      <c r="E2682" s="315"/>
      <c r="F2682" s="315"/>
      <c r="G2682" s="315"/>
      <c r="H2682" s="315"/>
      <c r="I2682" s="315"/>
      <c r="J2682" s="315"/>
      <c r="K2682" s="315"/>
      <c r="L2682" s="315"/>
    </row>
    <row r="2683" spans="1:12">
      <c r="A2683" s="315"/>
      <c r="B2683" s="315"/>
      <c r="C2683" s="315"/>
      <c r="D2683" s="315"/>
      <c r="E2683" s="315"/>
      <c r="F2683" s="315"/>
      <c r="G2683" s="315"/>
      <c r="H2683" s="315"/>
      <c r="I2683" s="315"/>
      <c r="J2683" s="315"/>
      <c r="K2683" s="315"/>
      <c r="L2683" s="315"/>
    </row>
    <row r="2684" spans="1:12">
      <c r="A2684" s="315"/>
      <c r="B2684" s="315"/>
      <c r="C2684" s="315"/>
      <c r="D2684" s="315"/>
      <c r="E2684" s="315"/>
      <c r="F2684" s="315"/>
      <c r="G2684" s="315"/>
      <c r="H2684" s="315"/>
      <c r="I2684" s="315"/>
      <c r="J2684" s="315"/>
      <c r="K2684" s="315"/>
      <c r="L2684" s="315"/>
    </row>
    <row r="2685" spans="1:12">
      <c r="A2685" s="315"/>
      <c r="B2685" s="315"/>
      <c r="C2685" s="315"/>
      <c r="D2685" s="315"/>
      <c r="E2685" s="315"/>
      <c r="F2685" s="315"/>
      <c r="G2685" s="315"/>
      <c r="H2685" s="315"/>
      <c r="I2685" s="315"/>
      <c r="J2685" s="315"/>
      <c r="K2685" s="315"/>
      <c r="L2685" s="315"/>
    </row>
    <row r="2686" spans="1:12">
      <c r="A2686" s="315"/>
      <c r="B2686" s="315"/>
      <c r="C2686" s="315"/>
      <c r="D2686" s="315"/>
      <c r="E2686" s="315"/>
      <c r="F2686" s="315"/>
      <c r="G2686" s="315"/>
      <c r="H2686" s="315"/>
      <c r="I2686" s="315"/>
      <c r="J2686" s="315"/>
      <c r="K2686" s="315"/>
      <c r="L2686" s="315"/>
    </row>
    <row r="2687" spans="1:12">
      <c r="A2687" s="315"/>
      <c r="B2687" s="315"/>
      <c r="C2687" s="315"/>
      <c r="D2687" s="315"/>
      <c r="E2687" s="315"/>
      <c r="F2687" s="315"/>
      <c r="G2687" s="315"/>
      <c r="H2687" s="315"/>
      <c r="I2687" s="315"/>
      <c r="J2687" s="315"/>
      <c r="K2687" s="315"/>
      <c r="L2687" s="315"/>
    </row>
    <row r="2688" spans="1:12">
      <c r="A2688" s="315"/>
      <c r="B2688" s="315"/>
      <c r="C2688" s="315"/>
      <c r="D2688" s="315"/>
      <c r="E2688" s="315"/>
      <c r="F2688" s="315"/>
      <c r="G2688" s="315"/>
      <c r="H2688" s="315"/>
      <c r="I2688" s="315"/>
      <c r="J2688" s="315"/>
      <c r="K2688" s="315"/>
      <c r="L2688" s="315"/>
    </row>
    <row r="2689" spans="1:12">
      <c r="A2689" s="315"/>
      <c r="B2689" s="315"/>
      <c r="C2689" s="315"/>
      <c r="D2689" s="315"/>
      <c r="E2689" s="315"/>
      <c r="F2689" s="315"/>
      <c r="G2689" s="315"/>
      <c r="H2689" s="315"/>
      <c r="I2689" s="315"/>
      <c r="J2689" s="315"/>
      <c r="K2689" s="315"/>
      <c r="L2689" s="315"/>
    </row>
    <row r="2690" spans="1:12">
      <c r="A2690" s="315"/>
      <c r="B2690" s="315"/>
      <c r="C2690" s="315"/>
      <c r="D2690" s="315"/>
      <c r="E2690" s="315"/>
      <c r="F2690" s="315"/>
      <c r="G2690" s="315"/>
      <c r="H2690" s="315"/>
      <c r="I2690" s="315"/>
      <c r="J2690" s="315"/>
      <c r="K2690" s="315"/>
      <c r="L2690" s="315"/>
    </row>
    <row r="2691" spans="1:12">
      <c r="A2691" s="315"/>
      <c r="B2691" s="315"/>
      <c r="C2691" s="315"/>
      <c r="D2691" s="315"/>
      <c r="E2691" s="315"/>
      <c r="F2691" s="315"/>
      <c r="G2691" s="315"/>
      <c r="H2691" s="315"/>
      <c r="I2691" s="315"/>
      <c r="J2691" s="315"/>
      <c r="K2691" s="315"/>
      <c r="L2691" s="315"/>
    </row>
    <row r="2692" spans="1:12">
      <c r="A2692" s="315"/>
      <c r="B2692" s="315"/>
      <c r="C2692" s="315"/>
      <c r="D2692" s="315"/>
      <c r="E2692" s="315"/>
      <c r="F2692" s="315"/>
      <c r="G2692" s="315"/>
      <c r="H2692" s="315"/>
      <c r="I2692" s="315"/>
      <c r="J2692" s="315"/>
      <c r="K2692" s="315"/>
      <c r="L2692" s="315"/>
    </row>
    <row r="2693" spans="1:12">
      <c r="A2693" s="315"/>
      <c r="B2693" s="315"/>
      <c r="C2693" s="315"/>
      <c r="D2693" s="315"/>
      <c r="E2693" s="315"/>
      <c r="F2693" s="315"/>
      <c r="G2693" s="315"/>
      <c r="H2693" s="315"/>
      <c r="I2693" s="315"/>
      <c r="J2693" s="315"/>
      <c r="K2693" s="315"/>
      <c r="L2693" s="315"/>
    </row>
    <row r="2694" spans="1:12">
      <c r="A2694" s="315"/>
      <c r="B2694" s="315"/>
      <c r="C2694" s="315"/>
      <c r="D2694" s="315"/>
      <c r="E2694" s="315"/>
      <c r="F2694" s="315"/>
      <c r="G2694" s="315"/>
      <c r="H2694" s="315"/>
      <c r="I2694" s="315"/>
      <c r="J2694" s="315"/>
      <c r="K2694" s="315"/>
      <c r="L2694" s="315"/>
    </row>
    <row r="2695" spans="1:12">
      <c r="A2695" s="315"/>
      <c r="B2695" s="315"/>
      <c r="C2695" s="315"/>
      <c r="D2695" s="315"/>
      <c r="E2695" s="315"/>
      <c r="F2695" s="315"/>
      <c r="G2695" s="315"/>
      <c r="H2695" s="315"/>
      <c r="I2695" s="315"/>
      <c r="J2695" s="315"/>
      <c r="K2695" s="315"/>
      <c r="L2695" s="315"/>
    </row>
    <row r="2696" spans="1:12">
      <c r="A2696" s="315"/>
      <c r="B2696" s="315"/>
      <c r="C2696" s="315"/>
      <c r="D2696" s="315"/>
      <c r="E2696" s="315"/>
      <c r="F2696" s="315"/>
      <c r="G2696" s="315"/>
      <c r="H2696" s="315"/>
      <c r="I2696" s="315"/>
      <c r="J2696" s="315"/>
      <c r="K2696" s="315"/>
      <c r="L2696" s="315"/>
    </row>
    <row r="2697" spans="1:12">
      <c r="A2697" s="315"/>
      <c r="B2697" s="315"/>
      <c r="C2697" s="315"/>
      <c r="D2697" s="315"/>
      <c r="E2697" s="315"/>
      <c r="F2697" s="315"/>
      <c r="G2697" s="315"/>
      <c r="H2697" s="315"/>
      <c r="I2697" s="315"/>
      <c r="J2697" s="315"/>
      <c r="K2697" s="315"/>
      <c r="L2697" s="315"/>
    </row>
    <row r="2698" spans="1:12">
      <c r="A2698" s="315"/>
      <c r="B2698" s="315"/>
      <c r="C2698" s="315"/>
      <c r="D2698" s="315"/>
      <c r="E2698" s="315"/>
      <c r="F2698" s="315"/>
      <c r="G2698" s="315"/>
      <c r="H2698" s="315"/>
      <c r="I2698" s="315"/>
      <c r="J2698" s="315"/>
      <c r="K2698" s="315"/>
      <c r="L2698" s="315"/>
    </row>
    <row r="2699" spans="1:12">
      <c r="A2699" s="315"/>
      <c r="B2699" s="315"/>
      <c r="C2699" s="315"/>
      <c r="D2699" s="315"/>
      <c r="E2699" s="315"/>
      <c r="F2699" s="315"/>
      <c r="G2699" s="315"/>
      <c r="H2699" s="315"/>
      <c r="I2699" s="315"/>
      <c r="J2699" s="315"/>
      <c r="K2699" s="315"/>
      <c r="L2699" s="315"/>
    </row>
    <row r="2700" spans="1:12">
      <c r="A2700" s="315"/>
      <c r="B2700" s="315"/>
      <c r="C2700" s="315"/>
      <c r="D2700" s="315"/>
      <c r="E2700" s="315"/>
      <c r="F2700" s="315"/>
      <c r="G2700" s="315"/>
      <c r="H2700" s="315"/>
      <c r="I2700" s="315"/>
      <c r="J2700" s="315"/>
      <c r="K2700" s="315"/>
      <c r="L2700" s="315"/>
    </row>
    <row r="2701" spans="1:12">
      <c r="A2701" s="315"/>
      <c r="B2701" s="315"/>
      <c r="C2701" s="315"/>
      <c r="D2701" s="315"/>
      <c r="E2701" s="315"/>
      <c r="F2701" s="315"/>
      <c r="G2701" s="315"/>
      <c r="H2701" s="315"/>
      <c r="I2701" s="315"/>
      <c r="J2701" s="315"/>
      <c r="K2701" s="315"/>
      <c r="L2701" s="315"/>
    </row>
    <row r="2702" spans="1:12">
      <c r="A2702" s="315"/>
      <c r="B2702" s="315"/>
      <c r="C2702" s="315"/>
      <c r="D2702" s="315"/>
      <c r="E2702" s="315"/>
      <c r="F2702" s="315"/>
      <c r="G2702" s="315"/>
      <c r="H2702" s="315"/>
      <c r="I2702" s="315"/>
      <c r="J2702" s="315"/>
      <c r="K2702" s="315"/>
      <c r="L2702" s="315"/>
    </row>
    <row r="2703" spans="1:12">
      <c r="A2703" s="315"/>
      <c r="B2703" s="315"/>
      <c r="C2703" s="315"/>
      <c r="D2703" s="315"/>
      <c r="E2703" s="315"/>
      <c r="F2703" s="315"/>
      <c r="G2703" s="315"/>
      <c r="H2703" s="315"/>
      <c r="I2703" s="315"/>
      <c r="J2703" s="315"/>
      <c r="K2703" s="315"/>
      <c r="L2703" s="315"/>
    </row>
    <row r="2704" spans="1:12">
      <c r="A2704" s="315"/>
      <c r="B2704" s="315"/>
      <c r="C2704" s="315"/>
      <c r="D2704" s="315"/>
      <c r="E2704" s="315"/>
      <c r="F2704" s="315"/>
      <c r="G2704" s="315"/>
      <c r="H2704" s="315"/>
      <c r="I2704" s="315"/>
      <c r="J2704" s="315"/>
      <c r="K2704" s="315"/>
      <c r="L2704" s="315"/>
    </row>
    <row r="2705" spans="1:12">
      <c r="A2705" s="315"/>
      <c r="B2705" s="315"/>
      <c r="C2705" s="315"/>
      <c r="D2705" s="315"/>
      <c r="E2705" s="315"/>
      <c r="F2705" s="315"/>
      <c r="G2705" s="315"/>
      <c r="H2705" s="315"/>
      <c r="I2705" s="315"/>
      <c r="J2705" s="315"/>
      <c r="K2705" s="315"/>
      <c r="L2705" s="315"/>
    </row>
    <row r="2706" spans="1:12">
      <c r="A2706" s="315"/>
      <c r="B2706" s="315"/>
      <c r="C2706" s="315"/>
      <c r="D2706" s="315"/>
      <c r="E2706" s="315"/>
      <c r="F2706" s="315"/>
      <c r="G2706" s="315"/>
      <c r="H2706" s="315"/>
      <c r="I2706" s="315"/>
      <c r="J2706" s="315"/>
      <c r="K2706" s="315"/>
      <c r="L2706" s="315"/>
    </row>
    <row r="2707" spans="1:12">
      <c r="A2707" s="315"/>
      <c r="B2707" s="315"/>
      <c r="C2707" s="315"/>
      <c r="D2707" s="315"/>
      <c r="E2707" s="315"/>
      <c r="F2707" s="315"/>
      <c r="G2707" s="315"/>
      <c r="H2707" s="315"/>
      <c r="I2707" s="315"/>
      <c r="J2707" s="315"/>
      <c r="K2707" s="315"/>
      <c r="L2707" s="315"/>
    </row>
    <row r="2708" spans="1:12">
      <c r="A2708" s="315"/>
      <c r="B2708" s="315"/>
      <c r="C2708" s="315"/>
      <c r="D2708" s="315"/>
      <c r="E2708" s="315"/>
      <c r="F2708" s="315"/>
      <c r="G2708" s="315"/>
      <c r="H2708" s="315"/>
      <c r="I2708" s="315"/>
      <c r="J2708" s="315"/>
      <c r="K2708" s="315"/>
      <c r="L2708" s="315"/>
    </row>
    <row r="2709" spans="1:12">
      <c r="A2709" s="315"/>
      <c r="B2709" s="315"/>
      <c r="C2709" s="315"/>
      <c r="D2709" s="315"/>
      <c r="E2709" s="315"/>
      <c r="F2709" s="315"/>
      <c r="G2709" s="315"/>
      <c r="H2709" s="315"/>
      <c r="I2709" s="315"/>
      <c r="J2709" s="315"/>
      <c r="K2709" s="315"/>
      <c r="L2709" s="315"/>
    </row>
    <row r="2710" spans="1:12">
      <c r="A2710" s="315"/>
      <c r="B2710" s="315"/>
      <c r="C2710" s="315"/>
      <c r="D2710" s="315"/>
      <c r="E2710" s="315"/>
      <c r="F2710" s="315"/>
      <c r="G2710" s="315"/>
      <c r="H2710" s="315"/>
      <c r="I2710" s="315"/>
      <c r="J2710" s="315"/>
      <c r="K2710" s="315"/>
      <c r="L2710" s="315"/>
    </row>
    <row r="2711" spans="1:12">
      <c r="A2711" s="315"/>
      <c r="B2711" s="315"/>
      <c r="C2711" s="315"/>
      <c r="D2711" s="315"/>
      <c r="E2711" s="315"/>
      <c r="F2711" s="315"/>
      <c r="G2711" s="315"/>
      <c r="H2711" s="315"/>
      <c r="I2711" s="315"/>
      <c r="J2711" s="315"/>
      <c r="K2711" s="315"/>
      <c r="L2711" s="315"/>
    </row>
    <row r="2712" spans="1:12">
      <c r="A2712" s="315"/>
      <c r="B2712" s="315"/>
      <c r="C2712" s="315"/>
      <c r="D2712" s="315"/>
      <c r="E2712" s="315"/>
      <c r="F2712" s="315"/>
      <c r="G2712" s="315"/>
      <c r="H2712" s="315"/>
      <c r="I2712" s="315"/>
      <c r="J2712" s="315"/>
      <c r="K2712" s="315"/>
      <c r="L2712" s="315"/>
    </row>
    <row r="2713" spans="1:12">
      <c r="A2713" s="315"/>
      <c r="B2713" s="315"/>
      <c r="C2713" s="315"/>
      <c r="D2713" s="315"/>
      <c r="E2713" s="315"/>
      <c r="F2713" s="315"/>
      <c r="G2713" s="315"/>
      <c r="H2713" s="315"/>
      <c r="I2713" s="315"/>
      <c r="J2713" s="315"/>
      <c r="K2713" s="315"/>
      <c r="L2713" s="315"/>
    </row>
    <row r="2714" spans="1:12">
      <c r="A2714" s="315"/>
      <c r="B2714" s="315"/>
      <c r="C2714" s="315"/>
      <c r="D2714" s="315"/>
      <c r="E2714" s="315"/>
      <c r="F2714" s="315"/>
      <c r="G2714" s="315"/>
      <c r="H2714" s="315"/>
      <c r="I2714" s="315"/>
      <c r="J2714" s="315"/>
      <c r="K2714" s="315"/>
      <c r="L2714" s="315"/>
    </row>
    <row r="2715" spans="1:12">
      <c r="A2715" s="315"/>
      <c r="B2715" s="315"/>
      <c r="C2715" s="315"/>
      <c r="D2715" s="315"/>
      <c r="E2715" s="315"/>
      <c r="F2715" s="315"/>
      <c r="G2715" s="315"/>
      <c r="H2715" s="315"/>
      <c r="I2715" s="315"/>
      <c r="J2715" s="315"/>
      <c r="K2715" s="315"/>
      <c r="L2715" s="315"/>
    </row>
    <row r="2716" spans="1:12">
      <c r="A2716" s="315"/>
      <c r="B2716" s="315"/>
      <c r="C2716" s="315"/>
      <c r="D2716" s="315"/>
      <c r="E2716" s="315"/>
      <c r="F2716" s="315"/>
      <c r="G2716" s="315"/>
      <c r="H2716" s="315"/>
      <c r="I2716" s="315"/>
      <c r="J2716" s="315"/>
      <c r="K2716" s="315"/>
      <c r="L2716" s="315"/>
    </row>
    <row r="2717" spans="1:12">
      <c r="A2717" s="315"/>
      <c r="B2717" s="315"/>
      <c r="C2717" s="315"/>
      <c r="D2717" s="315"/>
      <c r="E2717" s="315"/>
      <c r="F2717" s="315"/>
      <c r="G2717" s="315"/>
      <c r="H2717" s="315"/>
      <c r="I2717" s="315"/>
      <c r="J2717" s="315"/>
      <c r="K2717" s="315"/>
      <c r="L2717" s="315"/>
    </row>
    <row r="2718" spans="1:12">
      <c r="A2718" s="315"/>
      <c r="B2718" s="315"/>
      <c r="C2718" s="315"/>
      <c r="D2718" s="315"/>
      <c r="E2718" s="315"/>
      <c r="F2718" s="315"/>
      <c r="G2718" s="315"/>
      <c r="H2718" s="315"/>
      <c r="I2718" s="315"/>
      <c r="J2718" s="315"/>
      <c r="K2718" s="315"/>
      <c r="L2718" s="315"/>
    </row>
    <row r="2719" spans="1:12">
      <c r="A2719" s="315"/>
      <c r="B2719" s="315"/>
      <c r="C2719" s="315"/>
      <c r="D2719" s="315"/>
      <c r="E2719" s="315"/>
      <c r="F2719" s="315"/>
      <c r="G2719" s="315"/>
      <c r="H2719" s="315"/>
      <c r="I2719" s="315"/>
      <c r="J2719" s="315"/>
      <c r="K2719" s="315"/>
      <c r="L2719" s="315"/>
    </row>
    <row r="2720" spans="1:12">
      <c r="A2720" s="315"/>
      <c r="B2720" s="315"/>
      <c r="C2720" s="315"/>
      <c r="D2720" s="315"/>
      <c r="E2720" s="315"/>
      <c r="F2720" s="315"/>
      <c r="G2720" s="315"/>
      <c r="H2720" s="315"/>
      <c r="I2720" s="315"/>
      <c r="J2720" s="315"/>
      <c r="K2720" s="315"/>
      <c r="L2720" s="315"/>
    </row>
    <row r="2721" spans="1:12">
      <c r="A2721" s="315"/>
      <c r="B2721" s="315"/>
      <c r="C2721" s="315"/>
      <c r="D2721" s="315"/>
      <c r="E2721" s="315"/>
      <c r="F2721" s="315"/>
      <c r="G2721" s="315"/>
      <c r="H2721" s="315"/>
      <c r="I2721" s="315"/>
      <c r="J2721" s="315"/>
      <c r="K2721" s="315"/>
      <c r="L2721" s="315"/>
    </row>
    <row r="2722" spans="1:12">
      <c r="A2722" s="315"/>
      <c r="B2722" s="315"/>
      <c r="C2722" s="315"/>
      <c r="D2722" s="315"/>
      <c r="E2722" s="315"/>
      <c r="F2722" s="315"/>
      <c r="G2722" s="315"/>
      <c r="H2722" s="315"/>
      <c r="I2722" s="315"/>
      <c r="J2722" s="315"/>
      <c r="K2722" s="315"/>
      <c r="L2722" s="315"/>
    </row>
    <row r="2723" spans="1:12">
      <c r="A2723" s="315"/>
      <c r="B2723" s="315"/>
      <c r="C2723" s="315"/>
      <c r="D2723" s="315"/>
      <c r="E2723" s="315"/>
      <c r="F2723" s="315"/>
      <c r="G2723" s="315"/>
      <c r="H2723" s="315"/>
      <c r="I2723" s="315"/>
      <c r="J2723" s="315"/>
      <c r="K2723" s="315"/>
      <c r="L2723" s="315"/>
    </row>
    <row r="2724" spans="1:12">
      <c r="A2724" s="315"/>
      <c r="B2724" s="315"/>
      <c r="C2724" s="315"/>
      <c r="D2724" s="315"/>
      <c r="E2724" s="315"/>
      <c r="F2724" s="315"/>
      <c r="G2724" s="315"/>
      <c r="H2724" s="315"/>
      <c r="I2724" s="315"/>
      <c r="J2724" s="315"/>
      <c r="K2724" s="315"/>
      <c r="L2724" s="315"/>
    </row>
    <row r="2725" spans="1:12">
      <c r="A2725" s="315"/>
      <c r="B2725" s="315"/>
      <c r="C2725" s="315"/>
      <c r="D2725" s="315"/>
      <c r="E2725" s="315"/>
      <c r="F2725" s="315"/>
      <c r="G2725" s="315"/>
      <c r="H2725" s="315"/>
      <c r="I2725" s="315"/>
      <c r="J2725" s="315"/>
      <c r="K2725" s="315"/>
      <c r="L2725" s="315"/>
    </row>
    <row r="2726" spans="1:12">
      <c r="A2726" s="315"/>
      <c r="B2726" s="315"/>
      <c r="C2726" s="315"/>
      <c r="D2726" s="315"/>
      <c r="E2726" s="315"/>
      <c r="F2726" s="315"/>
      <c r="G2726" s="315"/>
      <c r="H2726" s="315"/>
      <c r="I2726" s="315"/>
      <c r="J2726" s="315"/>
      <c r="K2726" s="315"/>
      <c r="L2726" s="315"/>
    </row>
    <row r="2727" spans="1:12">
      <c r="A2727" s="315"/>
      <c r="B2727" s="315"/>
      <c r="C2727" s="315"/>
      <c r="D2727" s="315"/>
      <c r="E2727" s="315"/>
      <c r="F2727" s="315"/>
      <c r="G2727" s="315"/>
      <c r="H2727" s="315"/>
      <c r="I2727" s="315"/>
      <c r="J2727" s="315"/>
      <c r="K2727" s="315"/>
      <c r="L2727" s="315"/>
    </row>
    <row r="2728" spans="1:12">
      <c r="A2728" s="315"/>
      <c r="B2728" s="315"/>
      <c r="C2728" s="315"/>
      <c r="D2728" s="315"/>
      <c r="E2728" s="315"/>
      <c r="F2728" s="315"/>
      <c r="G2728" s="315"/>
      <c r="H2728" s="315"/>
      <c r="I2728" s="315"/>
      <c r="J2728" s="315"/>
      <c r="K2728" s="315"/>
      <c r="L2728" s="315"/>
    </row>
    <row r="2729" spans="1:12">
      <c r="A2729" s="315"/>
      <c r="B2729" s="315"/>
      <c r="C2729" s="315"/>
      <c r="D2729" s="315"/>
      <c r="E2729" s="315"/>
      <c r="F2729" s="315"/>
      <c r="G2729" s="315"/>
      <c r="H2729" s="315"/>
      <c r="I2729" s="315"/>
      <c r="J2729" s="315"/>
      <c r="K2729" s="315"/>
      <c r="L2729" s="315"/>
    </row>
    <row r="2730" spans="1:12">
      <c r="A2730" s="315"/>
      <c r="B2730" s="315"/>
      <c r="C2730" s="315"/>
      <c r="D2730" s="315"/>
      <c r="E2730" s="315"/>
      <c r="F2730" s="315"/>
      <c r="G2730" s="315"/>
      <c r="H2730" s="315"/>
      <c r="I2730" s="315"/>
      <c r="J2730" s="315"/>
      <c r="K2730" s="315"/>
      <c r="L2730" s="315"/>
    </row>
    <row r="2731" spans="1:12">
      <c r="A2731" s="315"/>
      <c r="B2731" s="315"/>
      <c r="C2731" s="315"/>
      <c r="D2731" s="315"/>
      <c r="E2731" s="315"/>
      <c r="F2731" s="315"/>
      <c r="G2731" s="315"/>
      <c r="H2731" s="315"/>
      <c r="I2731" s="315"/>
      <c r="J2731" s="315"/>
      <c r="K2731" s="315"/>
      <c r="L2731" s="315"/>
    </row>
    <row r="2732" spans="1:12">
      <c r="A2732" s="315"/>
      <c r="B2732" s="315"/>
      <c r="C2732" s="315"/>
      <c r="D2732" s="315"/>
      <c r="E2732" s="315"/>
      <c r="F2732" s="315"/>
      <c r="G2732" s="315"/>
      <c r="H2732" s="315"/>
      <c r="I2732" s="315"/>
      <c r="J2732" s="315"/>
      <c r="K2732" s="315"/>
      <c r="L2732" s="315"/>
    </row>
    <row r="2733" spans="1:12">
      <c r="A2733" s="315"/>
      <c r="B2733" s="315"/>
      <c r="C2733" s="315"/>
      <c r="D2733" s="315"/>
      <c r="E2733" s="315"/>
      <c r="F2733" s="315"/>
      <c r="G2733" s="315"/>
      <c r="H2733" s="315"/>
      <c r="I2733" s="315"/>
      <c r="J2733" s="315"/>
      <c r="K2733" s="315"/>
      <c r="L2733" s="315"/>
    </row>
    <row r="2734" spans="1:12">
      <c r="A2734" s="315"/>
      <c r="B2734" s="315"/>
      <c r="C2734" s="315"/>
      <c r="D2734" s="315"/>
      <c r="E2734" s="315"/>
      <c r="F2734" s="315"/>
      <c r="G2734" s="315"/>
      <c r="H2734" s="315"/>
      <c r="I2734" s="315"/>
      <c r="J2734" s="315"/>
      <c r="K2734" s="315"/>
      <c r="L2734" s="315"/>
    </row>
    <row r="2735" spans="1:12">
      <c r="A2735" s="315"/>
      <c r="B2735" s="315"/>
      <c r="C2735" s="315"/>
      <c r="D2735" s="315"/>
      <c r="E2735" s="315"/>
      <c r="F2735" s="315"/>
      <c r="G2735" s="315"/>
      <c r="H2735" s="315"/>
      <c r="I2735" s="315"/>
      <c r="J2735" s="315"/>
      <c r="K2735" s="315"/>
      <c r="L2735" s="315"/>
    </row>
    <row r="2736" spans="1:12">
      <c r="A2736" s="315"/>
      <c r="B2736" s="315"/>
      <c r="C2736" s="315"/>
      <c r="D2736" s="315"/>
      <c r="E2736" s="315"/>
      <c r="F2736" s="315"/>
      <c r="G2736" s="315"/>
      <c r="H2736" s="315"/>
      <c r="I2736" s="315"/>
      <c r="J2736" s="315"/>
      <c r="K2736" s="315"/>
      <c r="L2736" s="315"/>
    </row>
    <row r="2737" spans="1:12">
      <c r="A2737" s="315"/>
      <c r="B2737" s="315"/>
      <c r="C2737" s="315"/>
      <c r="D2737" s="315"/>
      <c r="E2737" s="315"/>
      <c r="F2737" s="315"/>
      <c r="G2737" s="315"/>
      <c r="H2737" s="315"/>
      <c r="I2737" s="315"/>
      <c r="J2737" s="315"/>
      <c r="K2737" s="315"/>
      <c r="L2737" s="315"/>
    </row>
    <row r="2738" spans="1:12">
      <c r="A2738" s="315"/>
      <c r="B2738" s="315"/>
      <c r="C2738" s="315"/>
      <c r="D2738" s="315"/>
      <c r="E2738" s="315"/>
      <c r="F2738" s="315"/>
      <c r="G2738" s="315"/>
      <c r="H2738" s="315"/>
      <c r="I2738" s="315"/>
      <c r="J2738" s="315"/>
      <c r="K2738" s="315"/>
      <c r="L2738" s="315"/>
    </row>
    <row r="2739" spans="1:12">
      <c r="A2739" s="315"/>
      <c r="B2739" s="315"/>
      <c r="C2739" s="315"/>
      <c r="D2739" s="315"/>
      <c r="E2739" s="315"/>
      <c r="F2739" s="315"/>
      <c r="G2739" s="315"/>
      <c r="H2739" s="315"/>
      <c r="I2739" s="315"/>
      <c r="J2739" s="315"/>
      <c r="K2739" s="315"/>
      <c r="L2739" s="315"/>
    </row>
    <row r="2740" spans="1:12">
      <c r="A2740" s="315"/>
      <c r="B2740" s="315"/>
      <c r="C2740" s="315"/>
      <c r="D2740" s="315"/>
      <c r="E2740" s="315"/>
      <c r="F2740" s="315"/>
      <c r="G2740" s="315"/>
      <c r="H2740" s="315"/>
      <c r="I2740" s="315"/>
      <c r="J2740" s="315"/>
      <c r="K2740" s="315"/>
      <c r="L2740" s="315"/>
    </row>
    <row r="2741" spans="1:12">
      <c r="A2741" s="315"/>
      <c r="B2741" s="315"/>
      <c r="C2741" s="315"/>
      <c r="D2741" s="315"/>
      <c r="E2741" s="315"/>
      <c r="F2741" s="315"/>
      <c r="G2741" s="315"/>
      <c r="H2741" s="315"/>
      <c r="I2741" s="315"/>
      <c r="J2741" s="315"/>
      <c r="K2741" s="315"/>
      <c r="L2741" s="315"/>
    </row>
    <row r="2742" spans="1:12">
      <c r="A2742" s="315"/>
      <c r="B2742" s="315"/>
      <c r="C2742" s="315"/>
      <c r="D2742" s="315"/>
      <c r="E2742" s="315"/>
      <c r="F2742" s="315"/>
      <c r="G2742" s="315"/>
      <c r="H2742" s="315"/>
      <c r="I2742" s="315"/>
      <c r="J2742" s="315"/>
      <c r="K2742" s="315"/>
      <c r="L2742" s="315"/>
    </row>
    <row r="2743" spans="1:12">
      <c r="A2743" s="315"/>
      <c r="B2743" s="315"/>
      <c r="C2743" s="315"/>
      <c r="D2743" s="315"/>
      <c r="E2743" s="315"/>
      <c r="F2743" s="315"/>
      <c r="G2743" s="315"/>
      <c r="H2743" s="315"/>
      <c r="I2743" s="315"/>
      <c r="J2743" s="315"/>
      <c r="K2743" s="315"/>
      <c r="L2743" s="315"/>
    </row>
    <row r="2744" spans="1:12">
      <c r="A2744" s="315"/>
      <c r="B2744" s="315"/>
      <c r="C2744" s="315"/>
      <c r="D2744" s="315"/>
      <c r="E2744" s="315"/>
      <c r="F2744" s="315"/>
      <c r="G2744" s="315"/>
      <c r="H2744" s="315"/>
      <c r="I2744" s="315"/>
      <c r="J2744" s="315"/>
      <c r="K2744" s="315"/>
      <c r="L2744" s="315"/>
    </row>
    <row r="2745" spans="1:12">
      <c r="A2745" s="315"/>
      <c r="B2745" s="315"/>
      <c r="C2745" s="315"/>
      <c r="D2745" s="315"/>
      <c r="E2745" s="315"/>
      <c r="F2745" s="315"/>
      <c r="G2745" s="315"/>
      <c r="H2745" s="315"/>
      <c r="I2745" s="315"/>
      <c r="J2745" s="315"/>
      <c r="K2745" s="315"/>
      <c r="L2745" s="315"/>
    </row>
    <row r="2746" spans="1:12">
      <c r="A2746" s="315"/>
      <c r="B2746" s="315"/>
      <c r="C2746" s="315"/>
      <c r="D2746" s="315"/>
      <c r="E2746" s="315"/>
      <c r="F2746" s="315"/>
      <c r="G2746" s="315"/>
      <c r="H2746" s="315"/>
      <c r="I2746" s="315"/>
      <c r="J2746" s="315"/>
      <c r="K2746" s="315"/>
      <c r="L2746" s="315"/>
    </row>
    <row r="2747" spans="1:12">
      <c r="A2747" s="315"/>
      <c r="B2747" s="315"/>
      <c r="C2747" s="315"/>
      <c r="D2747" s="315"/>
      <c r="E2747" s="315"/>
      <c r="F2747" s="315"/>
      <c r="G2747" s="315"/>
      <c r="H2747" s="315"/>
      <c r="I2747" s="315"/>
      <c r="J2747" s="315"/>
      <c r="K2747" s="315"/>
      <c r="L2747" s="315"/>
    </row>
    <row r="2748" spans="1:12">
      <c r="A2748" s="315"/>
      <c r="B2748" s="315"/>
      <c r="C2748" s="315"/>
      <c r="D2748" s="315"/>
      <c r="E2748" s="315"/>
      <c r="F2748" s="315"/>
      <c r="G2748" s="315"/>
      <c r="H2748" s="315"/>
      <c r="I2748" s="315"/>
      <c r="J2748" s="315"/>
      <c r="K2748" s="315"/>
      <c r="L2748" s="315"/>
    </row>
    <row r="2749" spans="1:12">
      <c r="A2749" s="315"/>
      <c r="B2749" s="315"/>
      <c r="C2749" s="315"/>
      <c r="D2749" s="315"/>
      <c r="E2749" s="315"/>
      <c r="F2749" s="315"/>
      <c r="G2749" s="315"/>
      <c r="H2749" s="315"/>
      <c r="I2749" s="315"/>
      <c r="J2749" s="315"/>
      <c r="K2749" s="315"/>
      <c r="L2749" s="315"/>
    </row>
    <row r="2750" spans="1:12">
      <c r="A2750" s="315"/>
      <c r="B2750" s="315"/>
      <c r="C2750" s="315"/>
      <c r="D2750" s="315"/>
      <c r="E2750" s="315"/>
      <c r="F2750" s="315"/>
      <c r="G2750" s="315"/>
      <c r="H2750" s="315"/>
      <c r="I2750" s="315"/>
      <c r="J2750" s="315"/>
      <c r="K2750" s="315"/>
      <c r="L2750" s="315"/>
    </row>
    <row r="2751" spans="1:12">
      <c r="A2751" s="315"/>
      <c r="B2751" s="315"/>
      <c r="C2751" s="315"/>
      <c r="D2751" s="315"/>
      <c r="E2751" s="315"/>
      <c r="F2751" s="315"/>
      <c r="G2751" s="315"/>
      <c r="H2751" s="315"/>
      <c r="I2751" s="315"/>
      <c r="J2751" s="315"/>
      <c r="K2751" s="315"/>
      <c r="L2751" s="315"/>
    </row>
    <row r="2752" spans="1:12">
      <c r="A2752" s="315"/>
      <c r="B2752" s="315"/>
      <c r="C2752" s="315"/>
      <c r="D2752" s="315"/>
      <c r="E2752" s="315"/>
      <c r="F2752" s="315"/>
      <c r="G2752" s="315"/>
      <c r="H2752" s="315"/>
      <c r="I2752" s="315"/>
      <c r="J2752" s="315"/>
      <c r="K2752" s="315"/>
      <c r="L2752" s="315"/>
    </row>
    <row r="2753" spans="1:12">
      <c r="A2753" s="315"/>
      <c r="B2753" s="315"/>
      <c r="C2753" s="315"/>
      <c r="D2753" s="315"/>
      <c r="E2753" s="315"/>
      <c r="F2753" s="315"/>
      <c r="G2753" s="315"/>
      <c r="H2753" s="315"/>
      <c r="I2753" s="315"/>
      <c r="J2753" s="315"/>
      <c r="K2753" s="315"/>
      <c r="L2753" s="315"/>
    </row>
    <row r="2754" spans="1:12">
      <c r="A2754" s="315"/>
      <c r="B2754" s="315"/>
      <c r="C2754" s="315"/>
      <c r="D2754" s="315"/>
      <c r="E2754" s="315"/>
      <c r="F2754" s="315"/>
      <c r="G2754" s="315"/>
      <c r="H2754" s="315"/>
      <c r="I2754" s="315"/>
      <c r="J2754" s="315"/>
      <c r="K2754" s="315"/>
      <c r="L2754" s="315"/>
    </row>
    <row r="2755" spans="1:12">
      <c r="A2755" s="315"/>
      <c r="B2755" s="315"/>
      <c r="C2755" s="315"/>
      <c r="D2755" s="315"/>
      <c r="E2755" s="315"/>
      <c r="F2755" s="315"/>
      <c r="G2755" s="315"/>
      <c r="H2755" s="315"/>
      <c r="I2755" s="315"/>
      <c r="J2755" s="315"/>
      <c r="K2755" s="315"/>
      <c r="L2755" s="315"/>
    </row>
    <row r="2756" spans="1:12">
      <c r="A2756" s="315"/>
      <c r="B2756" s="315"/>
      <c r="C2756" s="315"/>
      <c r="D2756" s="315"/>
      <c r="E2756" s="315"/>
      <c r="F2756" s="315"/>
      <c r="G2756" s="315"/>
      <c r="H2756" s="315"/>
      <c r="I2756" s="315"/>
      <c r="J2756" s="315"/>
      <c r="K2756" s="315"/>
      <c r="L2756" s="315"/>
    </row>
    <row r="2757" spans="1:12">
      <c r="A2757" s="315"/>
      <c r="B2757" s="315"/>
      <c r="C2757" s="315"/>
      <c r="D2757" s="315"/>
      <c r="E2757" s="315"/>
      <c r="F2757" s="315"/>
      <c r="G2757" s="315"/>
      <c r="H2757" s="315"/>
      <c r="I2757" s="315"/>
      <c r="J2757" s="315"/>
      <c r="K2757" s="315"/>
      <c r="L2757" s="315"/>
    </row>
    <row r="2758" spans="1:12">
      <c r="A2758" s="315"/>
      <c r="B2758" s="315"/>
      <c r="C2758" s="315"/>
      <c r="D2758" s="315"/>
      <c r="E2758" s="315"/>
      <c r="F2758" s="315"/>
      <c r="G2758" s="315"/>
      <c r="H2758" s="315"/>
      <c r="I2758" s="315"/>
      <c r="J2758" s="315"/>
      <c r="K2758" s="315"/>
      <c r="L2758" s="315"/>
    </row>
    <row r="2759" spans="1:12">
      <c r="A2759" s="315"/>
      <c r="B2759" s="315"/>
      <c r="C2759" s="315"/>
      <c r="D2759" s="315"/>
      <c r="E2759" s="315"/>
      <c r="F2759" s="315"/>
      <c r="G2759" s="315"/>
      <c r="H2759" s="315"/>
      <c r="I2759" s="315"/>
      <c r="J2759" s="315"/>
      <c r="K2759" s="315"/>
      <c r="L2759" s="315"/>
    </row>
    <row r="2760" spans="1:12">
      <c r="A2760" s="315"/>
      <c r="B2760" s="315"/>
      <c r="C2760" s="315"/>
      <c r="D2760" s="315"/>
      <c r="E2760" s="315"/>
      <c r="F2760" s="315"/>
      <c r="G2760" s="315"/>
      <c r="H2760" s="315"/>
      <c r="I2760" s="315"/>
      <c r="J2760" s="315"/>
      <c r="K2760" s="315"/>
      <c r="L2760" s="315"/>
    </row>
    <row r="2761" spans="1:12">
      <c r="A2761" s="315"/>
      <c r="B2761" s="315"/>
      <c r="C2761" s="315"/>
      <c r="D2761" s="315"/>
      <c r="E2761" s="315"/>
      <c r="F2761" s="315"/>
      <c r="G2761" s="315"/>
      <c r="H2761" s="315"/>
      <c r="I2761" s="315"/>
      <c r="J2761" s="315"/>
      <c r="K2761" s="315"/>
      <c r="L2761" s="315"/>
    </row>
    <row r="2762" spans="1:12">
      <c r="A2762" s="315"/>
      <c r="B2762" s="315"/>
      <c r="C2762" s="315"/>
      <c r="D2762" s="315"/>
      <c r="E2762" s="315"/>
      <c r="F2762" s="315"/>
      <c r="G2762" s="315"/>
      <c r="H2762" s="315"/>
      <c r="I2762" s="315"/>
      <c r="J2762" s="315"/>
      <c r="K2762" s="315"/>
      <c r="L2762" s="315"/>
    </row>
    <row r="2763" spans="1:12">
      <c r="A2763" s="315"/>
      <c r="B2763" s="315"/>
      <c r="C2763" s="315"/>
      <c r="D2763" s="315"/>
      <c r="E2763" s="315"/>
      <c r="F2763" s="315"/>
      <c r="G2763" s="315"/>
      <c r="H2763" s="315"/>
      <c r="I2763" s="315"/>
      <c r="J2763" s="315"/>
      <c r="K2763" s="315"/>
      <c r="L2763" s="315"/>
    </row>
    <row r="2764" spans="1:12">
      <c r="A2764" s="315"/>
      <c r="B2764" s="315"/>
      <c r="C2764" s="315"/>
      <c r="D2764" s="315"/>
      <c r="E2764" s="315"/>
      <c r="F2764" s="315"/>
      <c r="G2764" s="315"/>
      <c r="H2764" s="315"/>
      <c r="I2764" s="315"/>
      <c r="J2764" s="315"/>
      <c r="K2764" s="315"/>
      <c r="L2764" s="315"/>
    </row>
    <row r="2765" spans="1:12">
      <c r="A2765" s="315"/>
      <c r="B2765" s="315"/>
      <c r="C2765" s="315"/>
      <c r="D2765" s="315"/>
      <c r="E2765" s="315"/>
      <c r="F2765" s="315"/>
      <c r="G2765" s="315"/>
      <c r="H2765" s="315"/>
      <c r="I2765" s="315"/>
      <c r="J2765" s="315"/>
      <c r="K2765" s="315"/>
      <c r="L2765" s="315"/>
    </row>
    <row r="2766" spans="1:12">
      <c r="A2766" s="315"/>
      <c r="B2766" s="315"/>
      <c r="C2766" s="315"/>
      <c r="D2766" s="315"/>
      <c r="E2766" s="315"/>
      <c r="F2766" s="315"/>
      <c r="G2766" s="315"/>
      <c r="H2766" s="315"/>
      <c r="I2766" s="315"/>
      <c r="J2766" s="315"/>
      <c r="K2766" s="315"/>
      <c r="L2766" s="315"/>
    </row>
    <row r="2767" spans="1:12">
      <c r="A2767" s="315"/>
      <c r="B2767" s="315"/>
      <c r="C2767" s="315"/>
      <c r="D2767" s="315"/>
      <c r="E2767" s="315"/>
      <c r="F2767" s="315"/>
      <c r="G2767" s="315"/>
      <c r="H2767" s="315"/>
      <c r="I2767" s="315"/>
      <c r="J2767" s="315"/>
      <c r="K2767" s="315"/>
      <c r="L2767" s="315"/>
    </row>
    <row r="2768" spans="1:12">
      <c r="A2768" s="315"/>
      <c r="B2768" s="315"/>
      <c r="C2768" s="315"/>
      <c r="D2768" s="315"/>
      <c r="E2768" s="315"/>
      <c r="F2768" s="315"/>
      <c r="G2768" s="315"/>
      <c r="H2768" s="315"/>
      <c r="I2768" s="315"/>
      <c r="J2768" s="315"/>
      <c r="K2768" s="315"/>
      <c r="L2768" s="315"/>
    </row>
    <row r="2769" spans="1:12">
      <c r="A2769" s="315"/>
      <c r="B2769" s="315"/>
      <c r="C2769" s="315"/>
      <c r="D2769" s="315"/>
      <c r="E2769" s="315"/>
      <c r="F2769" s="315"/>
      <c r="G2769" s="315"/>
      <c r="H2769" s="315"/>
      <c r="I2769" s="315"/>
      <c r="J2769" s="315"/>
      <c r="K2769" s="315"/>
      <c r="L2769" s="315"/>
    </row>
    <row r="2770" spans="1:12">
      <c r="A2770" s="315"/>
      <c r="B2770" s="315"/>
      <c r="C2770" s="315"/>
      <c r="D2770" s="315"/>
      <c r="E2770" s="315"/>
      <c r="F2770" s="315"/>
      <c r="G2770" s="315"/>
      <c r="H2770" s="315"/>
      <c r="I2770" s="315"/>
      <c r="J2770" s="315"/>
      <c r="K2770" s="315"/>
      <c r="L2770" s="315"/>
    </row>
    <row r="2771" spans="1:12">
      <c r="A2771" s="315"/>
      <c r="B2771" s="315"/>
      <c r="C2771" s="315"/>
      <c r="D2771" s="315"/>
      <c r="E2771" s="315"/>
      <c r="F2771" s="315"/>
      <c r="G2771" s="315"/>
      <c r="H2771" s="315"/>
      <c r="I2771" s="315"/>
      <c r="J2771" s="315"/>
      <c r="K2771" s="315"/>
      <c r="L2771" s="315"/>
    </row>
    <row r="2772" spans="1:12">
      <c r="A2772" s="315"/>
      <c r="B2772" s="315"/>
      <c r="C2772" s="315"/>
      <c r="D2772" s="315"/>
      <c r="E2772" s="315"/>
      <c r="F2772" s="315"/>
      <c r="G2772" s="315"/>
      <c r="H2772" s="315"/>
      <c r="I2772" s="315"/>
      <c r="J2772" s="315"/>
      <c r="K2772" s="315"/>
      <c r="L2772" s="315"/>
    </row>
    <row r="2773" spans="1:12">
      <c r="A2773" s="315"/>
      <c r="B2773" s="315"/>
      <c r="C2773" s="315"/>
      <c r="D2773" s="315"/>
      <c r="E2773" s="315"/>
      <c r="F2773" s="315"/>
      <c r="G2773" s="315"/>
      <c r="H2773" s="315"/>
      <c r="I2773" s="315"/>
      <c r="J2773" s="315"/>
      <c r="K2773" s="315"/>
      <c r="L2773" s="315"/>
    </row>
    <row r="2774" spans="1:12">
      <c r="A2774" s="315"/>
      <c r="B2774" s="315"/>
      <c r="C2774" s="315"/>
      <c r="D2774" s="315"/>
      <c r="E2774" s="315"/>
      <c r="F2774" s="315"/>
      <c r="G2774" s="315"/>
      <c r="H2774" s="315"/>
      <c r="I2774" s="315"/>
      <c r="J2774" s="315"/>
      <c r="K2774" s="315"/>
      <c r="L2774" s="315"/>
    </row>
    <row r="2775" spans="1:12">
      <c r="A2775" s="315"/>
      <c r="B2775" s="315"/>
      <c r="C2775" s="315"/>
      <c r="D2775" s="315"/>
      <c r="E2775" s="315"/>
      <c r="F2775" s="315"/>
      <c r="G2775" s="315"/>
      <c r="H2775" s="315"/>
      <c r="I2775" s="315"/>
      <c r="J2775" s="315"/>
      <c r="K2775" s="315"/>
      <c r="L2775" s="315"/>
    </row>
    <row r="2776" spans="1:12">
      <c r="A2776" s="315"/>
      <c r="B2776" s="315"/>
      <c r="C2776" s="315"/>
      <c r="D2776" s="315"/>
      <c r="E2776" s="315"/>
      <c r="F2776" s="315"/>
      <c r="G2776" s="315"/>
      <c r="H2776" s="315"/>
      <c r="I2776" s="315"/>
      <c r="J2776" s="315"/>
      <c r="K2776" s="315"/>
      <c r="L2776" s="315"/>
    </row>
    <row r="2777" spans="1:12">
      <c r="A2777" s="315"/>
      <c r="B2777" s="315"/>
      <c r="C2777" s="315"/>
      <c r="D2777" s="315"/>
      <c r="E2777" s="315"/>
      <c r="F2777" s="315"/>
      <c r="G2777" s="315"/>
      <c r="H2777" s="315"/>
      <c r="I2777" s="315"/>
      <c r="J2777" s="315"/>
      <c r="K2777" s="315"/>
      <c r="L2777" s="315"/>
    </row>
    <row r="2778" spans="1:12">
      <c r="A2778" s="315"/>
      <c r="B2778" s="315"/>
      <c r="C2778" s="315"/>
      <c r="D2778" s="315"/>
      <c r="E2778" s="315"/>
      <c r="F2778" s="315"/>
      <c r="G2778" s="315"/>
      <c r="H2778" s="315"/>
      <c r="I2778" s="315"/>
      <c r="J2778" s="315"/>
      <c r="K2778" s="315"/>
      <c r="L2778" s="315"/>
    </row>
    <row r="2779" spans="1:12">
      <c r="A2779" s="315"/>
      <c r="B2779" s="315"/>
      <c r="C2779" s="315"/>
      <c r="D2779" s="315"/>
      <c r="E2779" s="315"/>
      <c r="F2779" s="315"/>
      <c r="G2779" s="315"/>
      <c r="H2779" s="315"/>
      <c r="I2779" s="315"/>
      <c r="J2779" s="315"/>
      <c r="K2779" s="315"/>
      <c r="L2779" s="315"/>
    </row>
    <row r="2780" spans="1:12">
      <c r="A2780" s="315"/>
      <c r="B2780" s="315"/>
      <c r="C2780" s="315"/>
      <c r="D2780" s="315"/>
      <c r="E2780" s="315"/>
      <c r="F2780" s="315"/>
      <c r="G2780" s="315"/>
      <c r="H2780" s="315"/>
      <c r="I2780" s="315"/>
      <c r="J2780" s="315"/>
      <c r="K2780" s="315"/>
      <c r="L2780" s="315"/>
    </row>
    <row r="2781" spans="1:12">
      <c r="A2781" s="315"/>
      <c r="B2781" s="315"/>
      <c r="C2781" s="315"/>
      <c r="D2781" s="315"/>
      <c r="E2781" s="315"/>
      <c r="F2781" s="315"/>
      <c r="G2781" s="315"/>
      <c r="H2781" s="315"/>
      <c r="I2781" s="315"/>
      <c r="J2781" s="315"/>
      <c r="K2781" s="315"/>
      <c r="L2781" s="315"/>
    </row>
    <row r="2782" spans="1:12">
      <c r="A2782" s="315"/>
      <c r="B2782" s="315"/>
      <c r="C2782" s="315"/>
      <c r="D2782" s="315"/>
      <c r="E2782" s="315"/>
      <c r="F2782" s="315"/>
      <c r="G2782" s="315"/>
      <c r="H2782" s="315"/>
      <c r="I2782" s="315"/>
      <c r="J2782" s="315"/>
      <c r="K2782" s="315"/>
      <c r="L2782" s="315"/>
    </row>
    <row r="2783" spans="1:12">
      <c r="A2783" s="315"/>
      <c r="B2783" s="315"/>
      <c r="C2783" s="315"/>
      <c r="D2783" s="315"/>
      <c r="E2783" s="315"/>
      <c r="F2783" s="315"/>
      <c r="G2783" s="315"/>
      <c r="H2783" s="315"/>
      <c r="I2783" s="315"/>
      <c r="J2783" s="315"/>
      <c r="K2783" s="315"/>
      <c r="L2783" s="315"/>
    </row>
    <row r="2784" spans="1:12">
      <c r="A2784" s="315"/>
      <c r="B2784" s="315"/>
      <c r="C2784" s="315"/>
      <c r="D2784" s="315"/>
      <c r="E2784" s="315"/>
      <c r="F2784" s="315"/>
      <c r="G2784" s="315"/>
      <c r="H2784" s="315"/>
      <c r="I2784" s="315"/>
      <c r="J2784" s="315"/>
      <c r="K2784" s="315"/>
      <c r="L2784" s="315"/>
    </row>
    <row r="2785" spans="1:12">
      <c r="A2785" s="315"/>
      <c r="B2785" s="315"/>
      <c r="C2785" s="315"/>
      <c r="D2785" s="315"/>
      <c r="E2785" s="315"/>
      <c r="F2785" s="315"/>
      <c r="G2785" s="315"/>
      <c r="H2785" s="315"/>
      <c r="I2785" s="315"/>
      <c r="J2785" s="315"/>
      <c r="K2785" s="315"/>
      <c r="L2785" s="315"/>
    </row>
    <row r="2786" spans="1:12">
      <c r="A2786" s="315"/>
      <c r="B2786" s="315"/>
      <c r="C2786" s="315"/>
      <c r="D2786" s="315"/>
      <c r="E2786" s="315"/>
      <c r="F2786" s="315"/>
      <c r="G2786" s="315"/>
      <c r="H2786" s="315"/>
      <c r="I2786" s="315"/>
      <c r="J2786" s="315"/>
      <c r="K2786" s="315"/>
      <c r="L2786" s="315"/>
    </row>
    <row r="2787" spans="1:12">
      <c r="A2787" s="315"/>
      <c r="B2787" s="315"/>
      <c r="C2787" s="315"/>
      <c r="D2787" s="315"/>
      <c r="E2787" s="315"/>
      <c r="F2787" s="315"/>
      <c r="G2787" s="315"/>
      <c r="H2787" s="315"/>
      <c r="I2787" s="315"/>
      <c r="J2787" s="315"/>
      <c r="K2787" s="315"/>
      <c r="L2787" s="315"/>
    </row>
    <row r="2788" spans="1:12">
      <c r="A2788" s="315"/>
      <c r="B2788" s="315"/>
      <c r="C2788" s="315"/>
      <c r="D2788" s="315"/>
      <c r="E2788" s="315"/>
      <c r="F2788" s="315"/>
      <c r="G2788" s="315"/>
      <c r="H2788" s="315"/>
      <c r="I2788" s="315"/>
      <c r="J2788" s="315"/>
      <c r="K2788" s="315"/>
      <c r="L2788" s="315"/>
    </row>
    <row r="2789" spans="1:12">
      <c r="A2789" s="315"/>
      <c r="B2789" s="315"/>
      <c r="C2789" s="315"/>
      <c r="D2789" s="315"/>
      <c r="E2789" s="315"/>
      <c r="F2789" s="315"/>
      <c r="G2789" s="315"/>
      <c r="H2789" s="315"/>
      <c r="I2789" s="315"/>
      <c r="J2789" s="315"/>
      <c r="K2789" s="315"/>
      <c r="L2789" s="315"/>
    </row>
    <row r="2790" spans="1:12">
      <c r="A2790" s="315"/>
      <c r="B2790" s="315"/>
      <c r="C2790" s="315"/>
      <c r="D2790" s="315"/>
      <c r="E2790" s="315"/>
      <c r="F2790" s="315"/>
      <c r="G2790" s="315"/>
      <c r="H2790" s="315"/>
      <c r="I2790" s="315"/>
      <c r="J2790" s="315"/>
      <c r="K2790" s="315"/>
      <c r="L2790" s="315"/>
    </row>
    <row r="2791" spans="1:12">
      <c r="A2791" s="315"/>
      <c r="B2791" s="315"/>
      <c r="C2791" s="315"/>
      <c r="D2791" s="315"/>
      <c r="E2791" s="315"/>
      <c r="F2791" s="315"/>
      <c r="G2791" s="315"/>
      <c r="H2791" s="315"/>
      <c r="I2791" s="315"/>
      <c r="J2791" s="315"/>
      <c r="K2791" s="315"/>
      <c r="L2791" s="315"/>
    </row>
    <row r="2792" spans="1:12">
      <c r="A2792" s="315"/>
      <c r="B2792" s="315"/>
      <c r="C2792" s="315"/>
      <c r="D2792" s="315"/>
      <c r="E2792" s="315"/>
      <c r="F2792" s="315"/>
      <c r="G2792" s="315"/>
      <c r="H2792" s="315"/>
      <c r="I2792" s="315"/>
      <c r="J2792" s="315"/>
      <c r="K2792" s="315"/>
      <c r="L2792" s="315"/>
    </row>
    <row r="2793" spans="1:12">
      <c r="A2793" s="315"/>
      <c r="B2793" s="315"/>
      <c r="C2793" s="315"/>
      <c r="D2793" s="315"/>
      <c r="E2793" s="315"/>
      <c r="F2793" s="315"/>
      <c r="G2793" s="315"/>
      <c r="H2793" s="315"/>
      <c r="I2793" s="315"/>
      <c r="J2793" s="315"/>
      <c r="K2793" s="315"/>
      <c r="L2793" s="315"/>
    </row>
    <row r="2794" spans="1:12">
      <c r="A2794" s="315"/>
      <c r="B2794" s="315"/>
      <c r="C2794" s="315"/>
      <c r="D2794" s="315"/>
      <c r="E2794" s="315"/>
      <c r="F2794" s="315"/>
      <c r="G2794" s="315"/>
      <c r="H2794" s="315"/>
      <c r="I2794" s="315"/>
      <c r="J2794" s="315"/>
      <c r="K2794" s="315"/>
      <c r="L2794" s="315"/>
    </row>
    <row r="2795" spans="1:12">
      <c r="A2795" s="315"/>
      <c r="B2795" s="315"/>
      <c r="C2795" s="315"/>
      <c r="D2795" s="315"/>
      <c r="E2795" s="315"/>
      <c r="F2795" s="315"/>
      <c r="G2795" s="315"/>
      <c r="H2795" s="315"/>
      <c r="I2795" s="315"/>
      <c r="J2795" s="315"/>
      <c r="K2795" s="315"/>
      <c r="L2795" s="315"/>
    </row>
    <row r="2796" spans="1:12">
      <c r="A2796" s="315"/>
      <c r="B2796" s="315"/>
      <c r="C2796" s="315"/>
      <c r="D2796" s="315"/>
      <c r="E2796" s="315"/>
      <c r="F2796" s="315"/>
      <c r="G2796" s="315"/>
      <c r="H2796" s="315"/>
      <c r="I2796" s="315"/>
      <c r="J2796" s="315"/>
      <c r="K2796" s="315"/>
      <c r="L2796" s="315"/>
    </row>
    <row r="2797" spans="1:12">
      <c r="A2797" s="315"/>
      <c r="B2797" s="315"/>
      <c r="C2797" s="315"/>
      <c r="D2797" s="315"/>
      <c r="E2797" s="315"/>
      <c r="F2797" s="315"/>
      <c r="G2797" s="315"/>
      <c r="H2797" s="315"/>
      <c r="I2797" s="315"/>
      <c r="J2797" s="315"/>
      <c r="K2797" s="315"/>
      <c r="L2797" s="315"/>
    </row>
    <row r="2798" spans="1:12">
      <c r="A2798" s="315"/>
      <c r="B2798" s="315"/>
      <c r="C2798" s="315"/>
      <c r="D2798" s="315"/>
      <c r="E2798" s="315"/>
      <c r="F2798" s="315"/>
      <c r="G2798" s="315"/>
      <c r="H2798" s="315"/>
      <c r="I2798" s="315"/>
      <c r="J2798" s="315"/>
      <c r="K2798" s="315"/>
      <c r="L2798" s="315"/>
    </row>
    <row r="2799" spans="1:12">
      <c r="A2799" s="315"/>
      <c r="B2799" s="315"/>
      <c r="C2799" s="315"/>
      <c r="D2799" s="315"/>
      <c r="E2799" s="315"/>
      <c r="F2799" s="315"/>
      <c r="G2799" s="315"/>
      <c r="H2799" s="315"/>
      <c r="I2799" s="315"/>
      <c r="J2799" s="315"/>
      <c r="K2799" s="315"/>
      <c r="L2799" s="315"/>
    </row>
    <row r="2800" spans="1:12">
      <c r="A2800" s="315"/>
      <c r="B2800" s="315"/>
      <c r="C2800" s="315"/>
      <c r="D2800" s="315"/>
      <c r="E2800" s="315"/>
      <c r="F2800" s="315"/>
      <c r="G2800" s="315"/>
      <c r="H2800" s="315"/>
      <c r="I2800" s="315"/>
      <c r="J2800" s="315"/>
      <c r="K2800" s="315"/>
      <c r="L2800" s="315"/>
    </row>
    <row r="2801" spans="1:12">
      <c r="A2801" s="315"/>
      <c r="B2801" s="315"/>
      <c r="C2801" s="315"/>
      <c r="D2801" s="315"/>
      <c r="E2801" s="315"/>
      <c r="F2801" s="315"/>
      <c r="G2801" s="315"/>
      <c r="H2801" s="315"/>
      <c r="I2801" s="315"/>
      <c r="J2801" s="315"/>
      <c r="K2801" s="315"/>
      <c r="L2801" s="315"/>
    </row>
    <row r="2802" spans="1:12">
      <c r="A2802" s="315"/>
      <c r="B2802" s="315"/>
      <c r="C2802" s="315"/>
      <c r="D2802" s="315"/>
      <c r="E2802" s="315"/>
      <c r="F2802" s="315"/>
      <c r="G2802" s="315"/>
      <c r="H2802" s="315"/>
      <c r="I2802" s="315"/>
      <c r="J2802" s="315"/>
      <c r="K2802" s="315"/>
      <c r="L2802" s="315"/>
    </row>
    <row r="2803" spans="1:12">
      <c r="A2803" s="315"/>
      <c r="B2803" s="315"/>
      <c r="C2803" s="315"/>
      <c r="D2803" s="315"/>
      <c r="E2803" s="315"/>
      <c r="F2803" s="315"/>
      <c r="G2803" s="315"/>
      <c r="H2803" s="315"/>
      <c r="I2803" s="315"/>
      <c r="J2803" s="315"/>
      <c r="K2803" s="315"/>
      <c r="L2803" s="315"/>
    </row>
    <row r="2804" spans="1:12">
      <c r="A2804" s="315"/>
      <c r="B2804" s="315"/>
      <c r="C2804" s="315"/>
      <c r="D2804" s="315"/>
      <c r="E2804" s="315"/>
      <c r="F2804" s="315"/>
      <c r="G2804" s="315"/>
      <c r="H2804" s="315"/>
      <c r="I2804" s="315"/>
      <c r="J2804" s="315"/>
      <c r="K2804" s="315"/>
      <c r="L2804" s="315"/>
    </row>
    <row r="2805" spans="1:12">
      <c r="A2805" s="315"/>
      <c r="B2805" s="315"/>
      <c r="C2805" s="315"/>
      <c r="D2805" s="315"/>
      <c r="E2805" s="315"/>
      <c r="F2805" s="315"/>
      <c r="G2805" s="315"/>
      <c r="H2805" s="315"/>
      <c r="I2805" s="315"/>
      <c r="J2805" s="315"/>
      <c r="K2805" s="315"/>
      <c r="L2805" s="315"/>
    </row>
    <row r="2806" spans="1:12">
      <c r="A2806" s="315"/>
      <c r="B2806" s="315"/>
      <c r="C2806" s="315"/>
      <c r="D2806" s="315"/>
      <c r="E2806" s="315"/>
      <c r="F2806" s="315"/>
      <c r="G2806" s="315"/>
      <c r="H2806" s="315"/>
      <c r="I2806" s="315"/>
      <c r="J2806" s="315"/>
      <c r="K2806" s="315"/>
      <c r="L2806" s="315"/>
    </row>
    <row r="2807" spans="1:12">
      <c r="A2807" s="315"/>
      <c r="B2807" s="315"/>
      <c r="C2807" s="315"/>
      <c r="D2807" s="315"/>
      <c r="E2807" s="315"/>
      <c r="F2807" s="315"/>
      <c r="G2807" s="315"/>
      <c r="H2807" s="315"/>
      <c r="I2807" s="315"/>
      <c r="J2807" s="315"/>
      <c r="K2807" s="315"/>
      <c r="L2807" s="315"/>
    </row>
    <row r="2808" spans="1:12">
      <c r="A2808" s="315"/>
      <c r="B2808" s="315"/>
      <c r="C2808" s="315"/>
      <c r="D2808" s="315"/>
      <c r="E2808" s="315"/>
      <c r="F2808" s="315"/>
      <c r="G2808" s="315"/>
      <c r="H2808" s="315"/>
      <c r="I2808" s="315"/>
      <c r="J2808" s="315"/>
      <c r="K2808" s="315"/>
      <c r="L2808" s="315"/>
    </row>
    <row r="2809" spans="1:12">
      <c r="A2809" s="315"/>
      <c r="B2809" s="315"/>
      <c r="C2809" s="315"/>
      <c r="D2809" s="315"/>
      <c r="E2809" s="315"/>
      <c r="F2809" s="315"/>
      <c r="G2809" s="315"/>
      <c r="H2809" s="315"/>
      <c r="I2809" s="315"/>
      <c r="J2809" s="315"/>
      <c r="K2809" s="315"/>
      <c r="L2809" s="315"/>
    </row>
    <row r="2810" spans="1:12">
      <c r="A2810" s="315"/>
      <c r="B2810" s="315"/>
      <c r="C2810" s="315"/>
      <c r="D2810" s="315"/>
      <c r="E2810" s="315"/>
      <c r="F2810" s="315"/>
      <c r="G2810" s="315"/>
      <c r="H2810" s="315"/>
      <c r="I2810" s="315"/>
      <c r="J2810" s="315"/>
      <c r="K2810" s="315"/>
      <c r="L2810" s="315"/>
    </row>
    <row r="2811" spans="1:12">
      <c r="A2811" s="315"/>
      <c r="B2811" s="315"/>
      <c r="C2811" s="315"/>
      <c r="D2811" s="315"/>
      <c r="E2811" s="315"/>
      <c r="F2811" s="315"/>
      <c r="G2811" s="315"/>
      <c r="H2811" s="315"/>
      <c r="I2811" s="315"/>
      <c r="J2811" s="315"/>
      <c r="K2811" s="315"/>
      <c r="L2811" s="315"/>
    </row>
    <row r="2812" spans="1:12">
      <c r="A2812" s="315"/>
      <c r="B2812" s="315"/>
      <c r="C2812" s="315"/>
      <c r="D2812" s="315"/>
      <c r="E2812" s="315"/>
      <c r="F2812" s="315"/>
      <c r="G2812" s="315"/>
      <c r="H2812" s="315"/>
      <c r="I2812" s="315"/>
      <c r="J2812" s="315"/>
      <c r="K2812" s="315"/>
      <c r="L2812" s="315"/>
    </row>
    <row r="2813" spans="1:12">
      <c r="A2813" s="315"/>
      <c r="B2813" s="315"/>
      <c r="C2813" s="315"/>
      <c r="D2813" s="315"/>
      <c r="E2813" s="315"/>
      <c r="F2813" s="315"/>
      <c r="G2813" s="315"/>
      <c r="H2813" s="315"/>
      <c r="I2813" s="315"/>
      <c r="J2813" s="315"/>
      <c r="K2813" s="315"/>
      <c r="L2813" s="315"/>
    </row>
    <row r="2814" spans="1:12">
      <c r="A2814" s="315"/>
      <c r="B2814" s="315"/>
      <c r="C2814" s="315"/>
      <c r="D2814" s="315"/>
      <c r="E2814" s="315"/>
      <c r="F2814" s="315"/>
      <c r="G2814" s="315"/>
      <c r="H2814" s="315"/>
      <c r="I2814" s="315"/>
      <c r="J2814" s="315"/>
      <c r="K2814" s="315"/>
      <c r="L2814" s="315"/>
    </row>
    <row r="2815" spans="1:12">
      <c r="A2815" s="315"/>
      <c r="B2815" s="315"/>
      <c r="C2815" s="315"/>
      <c r="D2815" s="315"/>
      <c r="E2815" s="315"/>
      <c r="F2815" s="315"/>
      <c r="G2815" s="315"/>
      <c r="H2815" s="315"/>
      <c r="I2815" s="315"/>
      <c r="J2815" s="315"/>
      <c r="K2815" s="315"/>
      <c r="L2815" s="315"/>
    </row>
    <row r="2816" spans="1:12">
      <c r="A2816" s="315"/>
      <c r="B2816" s="315"/>
      <c r="C2816" s="315"/>
      <c r="D2816" s="315"/>
      <c r="E2816" s="315"/>
      <c r="F2816" s="315"/>
      <c r="G2816" s="315"/>
      <c r="H2816" s="315"/>
      <c r="I2816" s="315"/>
      <c r="J2816" s="315"/>
      <c r="K2816" s="315"/>
      <c r="L2816" s="315"/>
    </row>
    <row r="2817" spans="1:12">
      <c r="A2817" s="315"/>
      <c r="B2817" s="315"/>
      <c r="C2817" s="315"/>
      <c r="D2817" s="315"/>
      <c r="E2817" s="315"/>
      <c r="F2817" s="315"/>
      <c r="G2817" s="315"/>
      <c r="H2817" s="315"/>
      <c r="I2817" s="315"/>
      <c r="J2817" s="315"/>
      <c r="K2817" s="315"/>
      <c r="L2817" s="315"/>
    </row>
    <row r="2818" spans="1:12">
      <c r="A2818" s="315"/>
      <c r="B2818" s="315"/>
      <c r="C2818" s="315"/>
      <c r="D2818" s="315"/>
      <c r="E2818" s="315"/>
      <c r="F2818" s="315"/>
      <c r="G2818" s="315"/>
      <c r="H2818" s="315"/>
      <c r="I2818" s="315"/>
      <c r="J2818" s="315"/>
      <c r="K2818" s="315"/>
      <c r="L2818" s="315"/>
    </row>
    <row r="2819" spans="1:12">
      <c r="A2819" s="315"/>
      <c r="B2819" s="315"/>
      <c r="C2819" s="315"/>
      <c r="D2819" s="315"/>
      <c r="E2819" s="315"/>
      <c r="F2819" s="315"/>
      <c r="G2819" s="315"/>
      <c r="H2819" s="315"/>
      <c r="I2819" s="315"/>
      <c r="J2819" s="315"/>
      <c r="K2819" s="315"/>
      <c r="L2819" s="315"/>
    </row>
    <row r="2820" spans="1:12">
      <c r="A2820" s="315"/>
      <c r="B2820" s="315"/>
      <c r="C2820" s="315"/>
      <c r="D2820" s="315"/>
      <c r="E2820" s="315"/>
      <c r="F2820" s="315"/>
      <c r="G2820" s="315"/>
      <c r="H2820" s="315"/>
      <c r="I2820" s="315"/>
      <c r="J2820" s="315"/>
      <c r="K2820" s="315"/>
      <c r="L2820" s="315"/>
    </row>
    <row r="2821" spans="1:12">
      <c r="A2821" s="315"/>
      <c r="B2821" s="315"/>
      <c r="C2821" s="315"/>
      <c r="D2821" s="315"/>
      <c r="E2821" s="315"/>
      <c r="F2821" s="315"/>
      <c r="G2821" s="315"/>
      <c r="H2821" s="315"/>
      <c r="I2821" s="315"/>
      <c r="J2821" s="315"/>
      <c r="K2821" s="315"/>
      <c r="L2821" s="315"/>
    </row>
    <row r="2822" spans="1:12">
      <c r="A2822" s="315"/>
      <c r="B2822" s="315"/>
      <c r="C2822" s="315"/>
      <c r="D2822" s="315"/>
      <c r="E2822" s="315"/>
      <c r="F2822" s="315"/>
      <c r="G2822" s="315"/>
      <c r="H2822" s="315"/>
      <c r="I2822" s="315"/>
      <c r="J2822" s="315"/>
      <c r="K2822" s="315"/>
      <c r="L2822" s="315"/>
    </row>
    <row r="2823" spans="1:12">
      <c r="A2823" s="315"/>
      <c r="B2823" s="315"/>
      <c r="C2823" s="315"/>
      <c r="D2823" s="315"/>
      <c r="E2823" s="315"/>
      <c r="F2823" s="315"/>
      <c r="G2823" s="315"/>
      <c r="H2823" s="315"/>
      <c r="I2823" s="315"/>
      <c r="J2823" s="315"/>
      <c r="K2823" s="315"/>
      <c r="L2823" s="315"/>
    </row>
    <row r="2824" spans="1:12">
      <c r="A2824" s="315"/>
      <c r="B2824" s="315"/>
      <c r="C2824" s="315"/>
      <c r="D2824" s="315"/>
      <c r="E2824" s="315"/>
      <c r="F2824" s="315"/>
      <c r="G2824" s="315"/>
      <c r="H2824" s="315"/>
      <c r="I2824" s="315"/>
      <c r="J2824" s="315"/>
      <c r="K2824" s="315"/>
      <c r="L2824" s="315"/>
    </row>
    <row r="2825" spans="1:12">
      <c r="A2825" s="315"/>
      <c r="B2825" s="315"/>
      <c r="C2825" s="315"/>
      <c r="D2825" s="315"/>
      <c r="E2825" s="315"/>
      <c r="F2825" s="315"/>
      <c r="G2825" s="315"/>
      <c r="H2825" s="315"/>
      <c r="I2825" s="315"/>
      <c r="J2825" s="315"/>
      <c r="K2825" s="315"/>
      <c r="L2825" s="315"/>
    </row>
    <row r="2826" spans="1:12">
      <c r="A2826" s="315"/>
      <c r="B2826" s="315"/>
      <c r="C2826" s="315"/>
      <c r="D2826" s="315"/>
      <c r="E2826" s="315"/>
      <c r="F2826" s="315"/>
      <c r="G2826" s="315"/>
      <c r="H2826" s="315"/>
      <c r="I2826" s="315"/>
      <c r="J2826" s="315"/>
      <c r="K2826" s="315"/>
      <c r="L2826" s="315"/>
    </row>
    <row r="2827" spans="1:12">
      <c r="A2827" s="315"/>
      <c r="B2827" s="315"/>
      <c r="C2827" s="315"/>
      <c r="D2827" s="315"/>
      <c r="E2827" s="315"/>
      <c r="F2827" s="315"/>
      <c r="G2827" s="315"/>
      <c r="H2827" s="315"/>
      <c r="I2827" s="315"/>
      <c r="J2827" s="315"/>
      <c r="K2827" s="315"/>
      <c r="L2827" s="315"/>
    </row>
    <row r="2828" spans="1:12">
      <c r="A2828" s="315"/>
      <c r="B2828" s="315"/>
      <c r="C2828" s="315"/>
      <c r="D2828" s="315"/>
      <c r="E2828" s="315"/>
      <c r="F2828" s="315"/>
      <c r="G2828" s="315"/>
      <c r="H2828" s="315"/>
      <c r="I2828" s="315"/>
      <c r="J2828" s="315"/>
      <c r="K2828" s="315"/>
      <c r="L2828" s="315"/>
    </row>
    <row r="2829" spans="1:12">
      <c r="A2829" s="315"/>
      <c r="B2829" s="315"/>
      <c r="C2829" s="315"/>
      <c r="D2829" s="315"/>
      <c r="E2829" s="315"/>
      <c r="F2829" s="315"/>
      <c r="G2829" s="315"/>
      <c r="H2829" s="315"/>
      <c r="I2829" s="315"/>
      <c r="J2829" s="315"/>
      <c r="K2829" s="315"/>
      <c r="L2829" s="315"/>
    </row>
    <row r="2830" spans="1:12">
      <c r="A2830" s="315"/>
      <c r="B2830" s="315"/>
      <c r="C2830" s="315"/>
      <c r="D2830" s="315"/>
      <c r="E2830" s="315"/>
      <c r="F2830" s="315"/>
      <c r="G2830" s="315"/>
      <c r="H2830" s="315"/>
      <c r="I2830" s="315"/>
      <c r="J2830" s="315"/>
      <c r="K2830" s="315"/>
      <c r="L2830" s="315"/>
    </row>
    <row r="2831" spans="1:12">
      <c r="A2831" s="315"/>
      <c r="B2831" s="315"/>
      <c r="C2831" s="315"/>
      <c r="D2831" s="315"/>
      <c r="E2831" s="315"/>
      <c r="F2831" s="315"/>
      <c r="G2831" s="315"/>
      <c r="H2831" s="315"/>
      <c r="I2831" s="315"/>
      <c r="J2831" s="315"/>
      <c r="K2831" s="315"/>
      <c r="L2831" s="315"/>
    </row>
    <row r="2832" spans="1:12">
      <c r="A2832" s="315"/>
      <c r="B2832" s="315"/>
      <c r="C2832" s="315"/>
      <c r="D2832" s="315"/>
      <c r="E2832" s="315"/>
      <c r="F2832" s="315"/>
      <c r="G2832" s="315"/>
      <c r="H2832" s="315"/>
      <c r="I2832" s="315"/>
      <c r="J2832" s="315"/>
      <c r="K2832" s="315"/>
      <c r="L2832" s="315"/>
    </row>
    <row r="2833" spans="1:12">
      <c r="A2833" s="315"/>
      <c r="B2833" s="315"/>
      <c r="C2833" s="315"/>
      <c r="D2833" s="315"/>
      <c r="E2833" s="315"/>
      <c r="F2833" s="315"/>
      <c r="G2833" s="315"/>
      <c r="H2833" s="315"/>
      <c r="I2833" s="315"/>
      <c r="J2833" s="315"/>
      <c r="K2833" s="315"/>
      <c r="L2833" s="315"/>
    </row>
    <row r="2834" spans="1:12">
      <c r="A2834" s="315"/>
      <c r="B2834" s="315"/>
      <c r="C2834" s="315"/>
      <c r="D2834" s="315"/>
      <c r="E2834" s="315"/>
      <c r="F2834" s="315"/>
      <c r="G2834" s="315"/>
      <c r="H2834" s="315"/>
      <c r="I2834" s="315"/>
      <c r="J2834" s="315"/>
      <c r="K2834" s="315"/>
      <c r="L2834" s="315"/>
    </row>
    <row r="2835" spans="1:12">
      <c r="A2835" s="315"/>
      <c r="B2835" s="315"/>
      <c r="C2835" s="315"/>
      <c r="D2835" s="315"/>
      <c r="E2835" s="315"/>
      <c r="F2835" s="315"/>
      <c r="G2835" s="315"/>
      <c r="H2835" s="315"/>
      <c r="I2835" s="315"/>
      <c r="J2835" s="315"/>
      <c r="K2835" s="315"/>
      <c r="L2835" s="315"/>
    </row>
    <row r="2836" spans="1:12">
      <c r="A2836" s="315"/>
      <c r="B2836" s="315"/>
      <c r="C2836" s="315"/>
      <c r="D2836" s="315"/>
      <c r="E2836" s="315"/>
      <c r="F2836" s="315"/>
      <c r="G2836" s="315"/>
      <c r="H2836" s="315"/>
      <c r="I2836" s="315"/>
      <c r="J2836" s="315"/>
      <c r="K2836" s="315"/>
      <c r="L2836" s="315"/>
    </row>
    <row r="2837" spans="1:12">
      <c r="A2837" s="315"/>
      <c r="B2837" s="315"/>
      <c r="C2837" s="315"/>
      <c r="D2837" s="315"/>
      <c r="E2837" s="315"/>
      <c r="F2837" s="315"/>
      <c r="G2837" s="315"/>
      <c r="H2837" s="315"/>
      <c r="I2837" s="315"/>
      <c r="J2837" s="315"/>
      <c r="K2837" s="315"/>
      <c r="L2837" s="315"/>
    </row>
    <row r="2838" spans="1:12">
      <c r="A2838" s="315"/>
      <c r="B2838" s="315"/>
      <c r="C2838" s="315"/>
      <c r="D2838" s="315"/>
      <c r="E2838" s="315"/>
      <c r="F2838" s="315"/>
      <c r="G2838" s="315"/>
      <c r="H2838" s="315"/>
      <c r="I2838" s="315"/>
      <c r="J2838" s="315"/>
      <c r="K2838" s="315"/>
      <c r="L2838" s="315"/>
    </row>
    <row r="2839" spans="1:12">
      <c r="A2839" s="315"/>
      <c r="B2839" s="315"/>
      <c r="C2839" s="315"/>
      <c r="D2839" s="315"/>
      <c r="E2839" s="315"/>
      <c r="F2839" s="315"/>
      <c r="G2839" s="315"/>
      <c r="H2839" s="315"/>
      <c r="I2839" s="315"/>
      <c r="J2839" s="315"/>
      <c r="K2839" s="315"/>
      <c r="L2839" s="315"/>
    </row>
    <row r="2840" spans="1:12">
      <c r="A2840" s="315"/>
      <c r="B2840" s="315"/>
      <c r="C2840" s="315"/>
      <c r="D2840" s="315"/>
      <c r="E2840" s="315"/>
      <c r="F2840" s="315"/>
      <c r="G2840" s="315"/>
      <c r="H2840" s="315"/>
      <c r="I2840" s="315"/>
      <c r="J2840" s="315"/>
      <c r="K2840" s="315"/>
      <c r="L2840" s="315"/>
    </row>
    <row r="2841" spans="1:12">
      <c r="A2841" s="315"/>
      <c r="B2841" s="315"/>
      <c r="C2841" s="315"/>
      <c r="D2841" s="315"/>
      <c r="E2841" s="315"/>
      <c r="F2841" s="315"/>
      <c r="G2841" s="315"/>
      <c r="H2841" s="315"/>
      <c r="I2841" s="315"/>
      <c r="J2841" s="315"/>
      <c r="K2841" s="315"/>
      <c r="L2841" s="315"/>
    </row>
    <row r="2842" spans="1:12">
      <c r="A2842" s="315"/>
      <c r="B2842" s="315"/>
      <c r="C2842" s="315"/>
      <c r="D2842" s="315"/>
      <c r="E2842" s="315"/>
      <c r="F2842" s="315"/>
      <c r="G2842" s="315"/>
      <c r="H2842" s="315"/>
      <c r="I2842" s="315"/>
      <c r="J2842" s="315"/>
      <c r="K2842" s="315"/>
      <c r="L2842" s="315"/>
    </row>
    <row r="2843" spans="1:12">
      <c r="A2843" s="315"/>
      <c r="B2843" s="315"/>
      <c r="C2843" s="315"/>
      <c r="D2843" s="315"/>
      <c r="E2843" s="315"/>
      <c r="F2843" s="315"/>
      <c r="G2843" s="315"/>
      <c r="H2843" s="315"/>
      <c r="I2843" s="315"/>
      <c r="J2843" s="315"/>
      <c r="K2843" s="315"/>
      <c r="L2843" s="315"/>
    </row>
    <row r="2844" spans="1:12">
      <c r="A2844" s="315"/>
      <c r="B2844" s="315"/>
      <c r="C2844" s="315"/>
      <c r="D2844" s="315"/>
      <c r="E2844" s="315"/>
      <c r="F2844" s="315"/>
      <c r="G2844" s="315"/>
      <c r="H2844" s="315"/>
      <c r="I2844" s="315"/>
      <c r="J2844" s="315"/>
      <c r="K2844" s="315"/>
      <c r="L2844" s="315"/>
    </row>
    <row r="2845" spans="1:12">
      <c r="A2845" s="315"/>
      <c r="B2845" s="315"/>
      <c r="C2845" s="315"/>
      <c r="D2845" s="315"/>
      <c r="E2845" s="315"/>
      <c r="F2845" s="315"/>
      <c r="G2845" s="315"/>
      <c r="H2845" s="315"/>
      <c r="I2845" s="315"/>
      <c r="J2845" s="315"/>
      <c r="K2845" s="315"/>
      <c r="L2845" s="315"/>
    </row>
    <row r="2846" spans="1:12">
      <c r="A2846" s="315"/>
      <c r="B2846" s="315"/>
      <c r="C2846" s="315"/>
      <c r="D2846" s="315"/>
      <c r="E2846" s="315"/>
      <c r="F2846" s="315"/>
      <c r="G2846" s="315"/>
      <c r="H2846" s="315"/>
      <c r="I2846" s="315"/>
      <c r="J2846" s="315"/>
      <c r="K2846" s="315"/>
      <c r="L2846" s="315"/>
    </row>
    <row r="2847" spans="1:12">
      <c r="A2847" s="315"/>
      <c r="B2847" s="315"/>
      <c r="C2847" s="315"/>
      <c r="D2847" s="315"/>
      <c r="E2847" s="315"/>
      <c r="F2847" s="315"/>
      <c r="G2847" s="315"/>
      <c r="H2847" s="315"/>
      <c r="I2847" s="315"/>
      <c r="J2847" s="315"/>
      <c r="K2847" s="315"/>
      <c r="L2847" s="315"/>
    </row>
    <row r="2848" spans="1:12">
      <c r="A2848" s="315"/>
      <c r="B2848" s="315"/>
      <c r="C2848" s="315"/>
      <c r="D2848" s="315"/>
      <c r="E2848" s="315"/>
      <c r="F2848" s="315"/>
      <c r="G2848" s="315"/>
      <c r="H2848" s="315"/>
      <c r="I2848" s="315"/>
      <c r="J2848" s="315"/>
      <c r="K2848" s="315"/>
      <c r="L2848" s="315"/>
    </row>
    <row r="2849" spans="1:12">
      <c r="A2849" s="315"/>
      <c r="B2849" s="315"/>
      <c r="C2849" s="315"/>
      <c r="D2849" s="315"/>
      <c r="E2849" s="315"/>
      <c r="F2849" s="315"/>
      <c r="G2849" s="315"/>
      <c r="H2849" s="315"/>
      <c r="I2849" s="315"/>
      <c r="J2849" s="315"/>
      <c r="K2849" s="315"/>
      <c r="L2849" s="315"/>
    </row>
    <row r="2850" spans="1:12">
      <c r="A2850" s="315"/>
      <c r="B2850" s="315"/>
      <c r="C2850" s="315"/>
      <c r="D2850" s="315"/>
      <c r="E2850" s="315"/>
      <c r="F2850" s="315"/>
      <c r="G2850" s="315"/>
      <c r="H2850" s="315"/>
      <c r="I2850" s="315"/>
      <c r="J2850" s="315"/>
      <c r="K2850" s="315"/>
      <c r="L2850" s="315"/>
    </row>
    <row r="2851" spans="1:12">
      <c r="A2851" s="315"/>
      <c r="B2851" s="315"/>
      <c r="C2851" s="315"/>
      <c r="D2851" s="315"/>
      <c r="E2851" s="315"/>
      <c r="F2851" s="315"/>
      <c r="G2851" s="315"/>
      <c r="H2851" s="315"/>
      <c r="I2851" s="315"/>
      <c r="J2851" s="315"/>
      <c r="K2851" s="315"/>
      <c r="L2851" s="315"/>
    </row>
    <row r="2852" spans="1:12">
      <c r="A2852" s="315"/>
      <c r="B2852" s="315"/>
      <c r="C2852" s="315"/>
      <c r="D2852" s="315"/>
      <c r="E2852" s="315"/>
      <c r="F2852" s="315"/>
      <c r="G2852" s="315"/>
      <c r="H2852" s="315"/>
      <c r="I2852" s="315"/>
      <c r="J2852" s="315"/>
      <c r="K2852" s="315"/>
      <c r="L2852" s="315"/>
    </row>
    <row r="2853" spans="1:12">
      <c r="A2853" s="315"/>
      <c r="B2853" s="315"/>
      <c r="C2853" s="315"/>
      <c r="D2853" s="315"/>
      <c r="E2853" s="315"/>
      <c r="F2853" s="315"/>
      <c r="G2853" s="315"/>
      <c r="H2853" s="315"/>
      <c r="I2853" s="315"/>
      <c r="J2853" s="315"/>
      <c r="K2853" s="315"/>
      <c r="L2853" s="315"/>
    </row>
    <row r="2854" spans="1:12">
      <c r="A2854" s="315"/>
      <c r="B2854" s="315"/>
      <c r="C2854" s="315"/>
      <c r="D2854" s="315"/>
      <c r="E2854" s="315"/>
      <c r="F2854" s="315"/>
      <c r="G2854" s="315"/>
      <c r="H2854" s="315"/>
      <c r="I2854" s="315"/>
      <c r="J2854" s="315"/>
      <c r="K2854" s="315"/>
      <c r="L2854" s="315"/>
    </row>
    <row r="2855" spans="1:12">
      <c r="A2855" s="315"/>
      <c r="B2855" s="315"/>
      <c r="C2855" s="315"/>
      <c r="D2855" s="315"/>
      <c r="E2855" s="315"/>
      <c r="F2855" s="315"/>
      <c r="G2855" s="315"/>
      <c r="H2855" s="315"/>
      <c r="I2855" s="315"/>
      <c r="J2855" s="315"/>
      <c r="K2855" s="315"/>
      <c r="L2855" s="315"/>
    </row>
    <row r="2856" spans="1:12">
      <c r="A2856" s="315"/>
      <c r="B2856" s="315"/>
      <c r="C2856" s="315"/>
      <c r="D2856" s="315"/>
      <c r="E2856" s="315"/>
      <c r="F2856" s="315"/>
      <c r="G2856" s="315"/>
      <c r="H2856" s="315"/>
      <c r="I2856" s="315"/>
      <c r="J2856" s="315"/>
      <c r="K2856" s="315"/>
      <c r="L2856" s="315"/>
    </row>
    <row r="2857" spans="1:12">
      <c r="A2857" s="315"/>
      <c r="B2857" s="315"/>
      <c r="C2857" s="315"/>
      <c r="D2857" s="315"/>
      <c r="E2857" s="315"/>
      <c r="F2857" s="315"/>
      <c r="G2857" s="315"/>
      <c r="H2857" s="315"/>
      <c r="I2857" s="315"/>
      <c r="J2857" s="315"/>
      <c r="K2857" s="315"/>
      <c r="L2857" s="315"/>
    </row>
    <row r="2858" spans="1:12">
      <c r="A2858" s="315"/>
      <c r="B2858" s="315"/>
      <c r="C2858" s="315"/>
      <c r="D2858" s="315"/>
      <c r="E2858" s="315"/>
      <c r="F2858" s="315"/>
      <c r="G2858" s="315"/>
      <c r="H2858" s="315"/>
      <c r="I2858" s="315"/>
      <c r="J2858" s="315"/>
      <c r="K2858" s="315"/>
      <c r="L2858" s="315"/>
    </row>
    <row r="2859" spans="1:12">
      <c r="A2859" s="315"/>
      <c r="B2859" s="315"/>
      <c r="C2859" s="315"/>
      <c r="D2859" s="315"/>
      <c r="E2859" s="315"/>
      <c r="F2859" s="315"/>
      <c r="G2859" s="315"/>
      <c r="H2859" s="315"/>
      <c r="I2859" s="315"/>
      <c r="J2859" s="315"/>
      <c r="K2859" s="315"/>
      <c r="L2859" s="315"/>
    </row>
    <row r="2860" spans="1:12">
      <c r="A2860" s="315"/>
      <c r="B2860" s="315"/>
      <c r="C2860" s="315"/>
      <c r="D2860" s="315"/>
      <c r="E2860" s="315"/>
      <c r="F2860" s="315"/>
      <c r="G2860" s="315"/>
      <c r="H2860" s="315"/>
      <c r="I2860" s="315"/>
      <c r="J2860" s="315"/>
      <c r="K2860" s="315"/>
      <c r="L2860" s="315"/>
    </row>
    <row r="2861" spans="1:12">
      <c r="A2861" s="315"/>
      <c r="B2861" s="315"/>
      <c r="C2861" s="315"/>
      <c r="D2861" s="315"/>
      <c r="E2861" s="315"/>
      <c r="F2861" s="315"/>
      <c r="G2861" s="315"/>
      <c r="H2861" s="315"/>
      <c r="I2861" s="315"/>
      <c r="J2861" s="315"/>
      <c r="K2861" s="315"/>
      <c r="L2861" s="315"/>
    </row>
    <row r="2862" spans="1:12">
      <c r="A2862" s="315"/>
      <c r="B2862" s="315"/>
      <c r="C2862" s="315"/>
      <c r="D2862" s="315"/>
      <c r="E2862" s="315"/>
      <c r="F2862" s="315"/>
      <c r="G2862" s="315"/>
      <c r="H2862" s="315"/>
      <c r="I2862" s="315"/>
      <c r="J2862" s="315"/>
      <c r="K2862" s="315"/>
      <c r="L2862" s="315"/>
    </row>
    <row r="2863" spans="1:12">
      <c r="A2863" s="315"/>
      <c r="B2863" s="315"/>
      <c r="C2863" s="315"/>
      <c r="D2863" s="315"/>
      <c r="E2863" s="315"/>
      <c r="F2863" s="315"/>
      <c r="G2863" s="315"/>
      <c r="H2863" s="315"/>
      <c r="I2863" s="315"/>
      <c r="J2863" s="315"/>
      <c r="K2863" s="315"/>
      <c r="L2863" s="315"/>
    </row>
    <row r="2864" spans="1:12">
      <c r="A2864" s="315"/>
      <c r="B2864" s="315"/>
      <c r="C2864" s="315"/>
      <c r="D2864" s="315"/>
      <c r="E2864" s="315"/>
      <c r="F2864" s="315"/>
      <c r="G2864" s="315"/>
      <c r="H2864" s="315"/>
      <c r="I2864" s="315"/>
      <c r="J2864" s="315"/>
      <c r="K2864" s="315"/>
      <c r="L2864" s="315"/>
    </row>
    <row r="2865" spans="1:12">
      <c r="A2865" s="315"/>
      <c r="B2865" s="315"/>
      <c r="C2865" s="315"/>
      <c r="D2865" s="315"/>
      <c r="E2865" s="315"/>
      <c r="F2865" s="315"/>
      <c r="G2865" s="315"/>
      <c r="H2865" s="315"/>
      <c r="I2865" s="315"/>
      <c r="J2865" s="315"/>
      <c r="K2865" s="315"/>
      <c r="L2865" s="315"/>
    </row>
    <row r="2866" spans="1:12">
      <c r="A2866" s="315"/>
      <c r="B2866" s="315"/>
      <c r="C2866" s="315"/>
      <c r="D2866" s="315"/>
      <c r="E2866" s="315"/>
      <c r="F2866" s="315"/>
      <c r="G2866" s="315"/>
      <c r="H2866" s="315"/>
      <c r="I2866" s="315"/>
      <c r="J2866" s="315"/>
      <c r="K2866" s="315"/>
      <c r="L2866" s="315"/>
    </row>
    <row r="2867" spans="1:12">
      <c r="A2867" s="315"/>
      <c r="B2867" s="315"/>
      <c r="C2867" s="315"/>
      <c r="D2867" s="315"/>
      <c r="E2867" s="315"/>
      <c r="F2867" s="315"/>
      <c r="G2867" s="315"/>
      <c r="H2867" s="315"/>
      <c r="I2867" s="315"/>
      <c r="J2867" s="315"/>
      <c r="K2867" s="315"/>
      <c r="L2867" s="315"/>
    </row>
    <row r="2868" spans="1:12">
      <c r="A2868" s="315"/>
      <c r="B2868" s="315"/>
      <c r="C2868" s="315"/>
      <c r="D2868" s="315"/>
      <c r="E2868" s="315"/>
      <c r="F2868" s="315"/>
      <c r="G2868" s="315"/>
      <c r="H2868" s="315"/>
      <c r="I2868" s="315"/>
      <c r="J2868" s="315"/>
      <c r="K2868" s="315"/>
      <c r="L2868" s="315"/>
    </row>
    <row r="2869" spans="1:12">
      <c r="A2869" s="315"/>
      <c r="B2869" s="315"/>
      <c r="C2869" s="315"/>
      <c r="D2869" s="315"/>
      <c r="E2869" s="315"/>
      <c r="F2869" s="315"/>
      <c r="G2869" s="315"/>
      <c r="H2869" s="315"/>
      <c r="I2869" s="315"/>
      <c r="J2869" s="315"/>
      <c r="K2869" s="315"/>
      <c r="L2869" s="315"/>
    </row>
    <row r="2870" spans="1:12">
      <c r="A2870" s="315"/>
      <c r="B2870" s="315"/>
      <c r="C2870" s="315"/>
      <c r="D2870" s="315"/>
      <c r="E2870" s="315"/>
      <c r="F2870" s="315"/>
      <c r="G2870" s="315"/>
      <c r="H2870" s="315"/>
      <c r="I2870" s="315"/>
      <c r="J2870" s="315"/>
      <c r="K2870" s="315"/>
      <c r="L2870" s="315"/>
    </row>
    <row r="2871" spans="1:12">
      <c r="A2871" s="315"/>
      <c r="B2871" s="315"/>
      <c r="C2871" s="315"/>
      <c r="D2871" s="315"/>
      <c r="E2871" s="315"/>
      <c r="F2871" s="315"/>
      <c r="G2871" s="315"/>
      <c r="H2871" s="315"/>
      <c r="I2871" s="315"/>
      <c r="J2871" s="315"/>
      <c r="K2871" s="315"/>
      <c r="L2871" s="315"/>
    </row>
    <row r="2872" spans="1:12">
      <c r="A2872" s="315"/>
      <c r="B2872" s="315"/>
      <c r="C2872" s="315"/>
      <c r="D2872" s="315"/>
      <c r="E2872" s="315"/>
      <c r="F2872" s="315"/>
      <c r="G2872" s="315"/>
      <c r="H2872" s="315"/>
      <c r="I2872" s="315"/>
      <c r="J2872" s="315"/>
      <c r="K2872" s="315"/>
      <c r="L2872" s="315"/>
    </row>
    <row r="2873" spans="1:12">
      <c r="A2873" s="315"/>
      <c r="B2873" s="315"/>
      <c r="C2873" s="315"/>
      <c r="D2873" s="315"/>
      <c r="E2873" s="315"/>
      <c r="F2873" s="315"/>
      <c r="G2873" s="315"/>
      <c r="H2873" s="315"/>
      <c r="I2873" s="315"/>
      <c r="J2873" s="315"/>
      <c r="K2873" s="315"/>
      <c r="L2873" s="315"/>
    </row>
    <row r="2874" spans="1:12">
      <c r="A2874" s="315"/>
      <c r="B2874" s="315"/>
      <c r="C2874" s="315"/>
      <c r="D2874" s="315"/>
      <c r="E2874" s="315"/>
      <c r="F2874" s="315"/>
      <c r="G2874" s="315"/>
      <c r="H2874" s="315"/>
      <c r="I2874" s="315"/>
      <c r="J2874" s="315"/>
      <c r="K2874" s="315"/>
      <c r="L2874" s="315"/>
    </row>
    <row r="2875" spans="1:12">
      <c r="A2875" s="315"/>
      <c r="B2875" s="315"/>
      <c r="C2875" s="315"/>
      <c r="D2875" s="315"/>
      <c r="E2875" s="315"/>
      <c r="F2875" s="315"/>
      <c r="G2875" s="315"/>
      <c r="H2875" s="315"/>
      <c r="I2875" s="315"/>
      <c r="J2875" s="315"/>
      <c r="K2875" s="315"/>
      <c r="L2875" s="315"/>
    </row>
    <row r="2876" spans="1:12">
      <c r="A2876" s="315"/>
      <c r="B2876" s="315"/>
      <c r="C2876" s="315"/>
      <c r="D2876" s="315"/>
      <c r="E2876" s="315"/>
      <c r="F2876" s="315"/>
      <c r="G2876" s="315"/>
      <c r="H2876" s="315"/>
      <c r="I2876" s="315"/>
      <c r="J2876" s="315"/>
      <c r="K2876" s="315"/>
      <c r="L2876" s="315"/>
    </row>
    <row r="2877" spans="1:12">
      <c r="A2877" s="315"/>
      <c r="B2877" s="315"/>
      <c r="C2877" s="315"/>
      <c r="D2877" s="315"/>
      <c r="E2877" s="315"/>
      <c r="F2877" s="315"/>
      <c r="G2877" s="315"/>
      <c r="H2877" s="315"/>
      <c r="I2877" s="315"/>
      <c r="J2877" s="315"/>
      <c r="K2877" s="315"/>
      <c r="L2877" s="315"/>
    </row>
    <row r="2878" spans="1:12">
      <c r="A2878" s="315"/>
      <c r="B2878" s="315"/>
      <c r="C2878" s="315"/>
      <c r="D2878" s="315"/>
      <c r="E2878" s="315"/>
      <c r="F2878" s="315"/>
      <c r="G2878" s="315"/>
      <c r="H2878" s="315"/>
      <c r="I2878" s="315"/>
      <c r="J2878" s="315"/>
      <c r="K2878" s="315"/>
      <c r="L2878" s="315"/>
    </row>
    <row r="2879" spans="1:12">
      <c r="A2879" s="315"/>
      <c r="B2879" s="315"/>
      <c r="C2879" s="315"/>
      <c r="D2879" s="315"/>
      <c r="E2879" s="315"/>
      <c r="F2879" s="315"/>
      <c r="G2879" s="315"/>
      <c r="H2879" s="315"/>
      <c r="I2879" s="315"/>
      <c r="J2879" s="315"/>
      <c r="K2879" s="315"/>
      <c r="L2879" s="315"/>
    </row>
    <row r="2880" spans="1:12">
      <c r="A2880" s="315"/>
      <c r="B2880" s="315"/>
      <c r="C2880" s="315"/>
      <c r="D2880" s="315"/>
      <c r="E2880" s="315"/>
      <c r="F2880" s="315"/>
      <c r="G2880" s="315"/>
      <c r="H2880" s="315"/>
      <c r="I2880" s="315"/>
      <c r="J2880" s="315"/>
      <c r="K2880" s="315"/>
      <c r="L2880" s="315"/>
    </row>
    <row r="2881" spans="1:12">
      <c r="A2881" s="315"/>
      <c r="B2881" s="315"/>
      <c r="C2881" s="315"/>
      <c r="D2881" s="315"/>
      <c r="E2881" s="315"/>
      <c r="F2881" s="315"/>
      <c r="G2881" s="315"/>
      <c r="H2881" s="315"/>
      <c r="I2881" s="315"/>
      <c r="J2881" s="315"/>
      <c r="K2881" s="315"/>
      <c r="L2881" s="315"/>
    </row>
    <row r="2882" spans="1:12">
      <c r="A2882" s="315"/>
      <c r="B2882" s="315"/>
      <c r="C2882" s="315"/>
      <c r="D2882" s="315"/>
      <c r="E2882" s="315"/>
      <c r="F2882" s="315"/>
      <c r="G2882" s="315"/>
      <c r="H2882" s="315"/>
      <c r="I2882" s="315"/>
      <c r="J2882" s="315"/>
      <c r="K2882" s="315"/>
      <c r="L2882" s="315"/>
    </row>
    <row r="2883" spans="1:12">
      <c r="A2883" s="315"/>
      <c r="B2883" s="315"/>
      <c r="C2883" s="315"/>
      <c r="D2883" s="315"/>
      <c r="E2883" s="315"/>
      <c r="F2883" s="315"/>
      <c r="G2883" s="315"/>
      <c r="H2883" s="315"/>
      <c r="I2883" s="315"/>
      <c r="J2883" s="315"/>
      <c r="K2883" s="315"/>
      <c r="L2883" s="315"/>
    </row>
    <row r="2884" spans="1:12">
      <c r="A2884" s="315"/>
      <c r="B2884" s="315"/>
      <c r="C2884" s="315"/>
      <c r="D2884" s="315"/>
      <c r="E2884" s="315"/>
      <c r="F2884" s="315"/>
      <c r="G2884" s="315"/>
      <c r="H2884" s="315"/>
      <c r="I2884" s="315"/>
      <c r="J2884" s="315"/>
      <c r="K2884" s="315"/>
      <c r="L2884" s="315"/>
    </row>
    <row r="2885" spans="1:12">
      <c r="A2885" s="315"/>
      <c r="B2885" s="315"/>
      <c r="C2885" s="315"/>
      <c r="D2885" s="315"/>
      <c r="E2885" s="315"/>
      <c r="F2885" s="315"/>
      <c r="G2885" s="315"/>
      <c r="H2885" s="315"/>
      <c r="I2885" s="315"/>
      <c r="J2885" s="315"/>
      <c r="K2885" s="315"/>
      <c r="L2885" s="315"/>
    </row>
    <row r="2886" spans="1:12">
      <c r="A2886" s="315"/>
      <c r="B2886" s="315"/>
      <c r="C2886" s="315"/>
      <c r="D2886" s="315"/>
      <c r="E2886" s="315"/>
      <c r="F2886" s="315"/>
      <c r="G2886" s="315"/>
      <c r="H2886" s="315"/>
      <c r="I2886" s="315"/>
      <c r="J2886" s="315"/>
      <c r="K2886" s="315"/>
      <c r="L2886" s="315"/>
    </row>
    <row r="2887" spans="1:12">
      <c r="A2887" s="315"/>
      <c r="B2887" s="315"/>
      <c r="C2887" s="315"/>
      <c r="D2887" s="315"/>
      <c r="E2887" s="315"/>
      <c r="F2887" s="315"/>
      <c r="G2887" s="315"/>
      <c r="H2887" s="315"/>
      <c r="I2887" s="315"/>
      <c r="J2887" s="315"/>
      <c r="K2887" s="315"/>
      <c r="L2887" s="315"/>
    </row>
    <row r="2888" spans="1:12">
      <c r="A2888" s="315"/>
      <c r="B2888" s="315"/>
      <c r="C2888" s="315"/>
      <c r="D2888" s="315"/>
      <c r="E2888" s="315"/>
      <c r="F2888" s="315"/>
      <c r="G2888" s="315"/>
      <c r="H2888" s="315"/>
      <c r="I2888" s="315"/>
      <c r="J2888" s="315"/>
      <c r="K2888" s="315"/>
      <c r="L2888" s="315"/>
    </row>
    <row r="2889" spans="1:12">
      <c r="A2889" s="315"/>
      <c r="B2889" s="315"/>
      <c r="C2889" s="315"/>
      <c r="D2889" s="315"/>
      <c r="E2889" s="315"/>
      <c r="F2889" s="315"/>
      <c r="G2889" s="315"/>
      <c r="H2889" s="315"/>
      <c r="I2889" s="315"/>
      <c r="J2889" s="315"/>
      <c r="K2889" s="315"/>
      <c r="L2889" s="315"/>
    </row>
    <row r="2890" spans="1:12">
      <c r="A2890" s="315"/>
      <c r="B2890" s="315"/>
      <c r="C2890" s="315"/>
      <c r="D2890" s="315"/>
      <c r="E2890" s="315"/>
      <c r="F2890" s="315"/>
      <c r="G2890" s="315"/>
      <c r="H2890" s="315"/>
      <c r="I2890" s="315"/>
      <c r="J2890" s="315"/>
      <c r="K2890" s="315"/>
      <c r="L2890" s="315"/>
    </row>
    <row r="2891" spans="1:12">
      <c r="A2891" s="315"/>
      <c r="B2891" s="315"/>
      <c r="C2891" s="315"/>
      <c r="D2891" s="315"/>
      <c r="E2891" s="315"/>
      <c r="F2891" s="315"/>
      <c r="G2891" s="315"/>
      <c r="H2891" s="315"/>
      <c r="I2891" s="315"/>
      <c r="J2891" s="315"/>
      <c r="K2891" s="315"/>
      <c r="L2891" s="315"/>
    </row>
    <row r="2892" spans="1:12">
      <c r="A2892" s="315"/>
      <c r="B2892" s="315"/>
      <c r="C2892" s="315"/>
      <c r="D2892" s="315"/>
      <c r="E2892" s="315"/>
      <c r="F2892" s="315"/>
      <c r="G2892" s="315"/>
      <c r="H2892" s="315"/>
      <c r="I2892" s="315"/>
      <c r="J2892" s="315"/>
      <c r="K2892" s="315"/>
      <c r="L2892" s="315"/>
    </row>
    <row r="2893" spans="1:12">
      <c r="A2893" s="315"/>
      <c r="B2893" s="315"/>
      <c r="C2893" s="315"/>
      <c r="D2893" s="315"/>
      <c r="E2893" s="315"/>
      <c r="F2893" s="315"/>
      <c r="G2893" s="315"/>
      <c r="H2893" s="315"/>
      <c r="I2893" s="315"/>
      <c r="J2893" s="315"/>
      <c r="K2893" s="315"/>
      <c r="L2893" s="315"/>
    </row>
    <row r="2894" spans="1:12">
      <c r="A2894" s="315"/>
      <c r="B2894" s="315"/>
      <c r="C2894" s="315"/>
      <c r="D2894" s="315"/>
      <c r="E2894" s="315"/>
      <c r="F2894" s="315"/>
      <c r="G2894" s="315"/>
      <c r="H2894" s="315"/>
      <c r="I2894" s="315"/>
      <c r="J2894" s="315"/>
      <c r="K2894" s="315"/>
      <c r="L2894" s="315"/>
    </row>
    <row r="2895" spans="1:12">
      <c r="A2895" s="315"/>
      <c r="B2895" s="315"/>
      <c r="C2895" s="315"/>
      <c r="D2895" s="315"/>
      <c r="E2895" s="315"/>
      <c r="F2895" s="315"/>
      <c r="G2895" s="315"/>
      <c r="H2895" s="315"/>
      <c r="I2895" s="315"/>
      <c r="J2895" s="315"/>
      <c r="K2895" s="315"/>
      <c r="L2895" s="315"/>
    </row>
    <row r="2896" spans="1:12">
      <c r="A2896" s="315"/>
      <c r="B2896" s="315"/>
      <c r="C2896" s="315"/>
      <c r="D2896" s="315"/>
      <c r="E2896" s="315"/>
      <c r="F2896" s="315"/>
      <c r="G2896" s="315"/>
      <c r="H2896" s="315"/>
      <c r="I2896" s="315"/>
      <c r="J2896" s="315"/>
      <c r="K2896" s="315"/>
      <c r="L2896" s="315"/>
    </row>
    <row r="2897" spans="1:12">
      <c r="A2897" s="315"/>
      <c r="B2897" s="315"/>
      <c r="C2897" s="315"/>
      <c r="D2897" s="315"/>
      <c r="E2897" s="315"/>
      <c r="F2897" s="315"/>
      <c r="G2897" s="315"/>
      <c r="H2897" s="315"/>
      <c r="I2897" s="315"/>
      <c r="J2897" s="315"/>
      <c r="K2897" s="315"/>
      <c r="L2897" s="315"/>
    </row>
    <row r="2898" spans="1:12">
      <c r="A2898" s="315"/>
      <c r="B2898" s="315"/>
      <c r="C2898" s="315"/>
      <c r="D2898" s="315"/>
      <c r="E2898" s="315"/>
      <c r="F2898" s="315"/>
      <c r="G2898" s="315"/>
      <c r="H2898" s="315"/>
      <c r="I2898" s="315"/>
      <c r="J2898" s="315"/>
      <c r="K2898" s="315"/>
      <c r="L2898" s="315"/>
    </row>
    <row r="2899" spans="1:12">
      <c r="A2899" s="315"/>
      <c r="B2899" s="315"/>
      <c r="C2899" s="315"/>
      <c r="D2899" s="315"/>
      <c r="E2899" s="315"/>
      <c r="F2899" s="315"/>
      <c r="G2899" s="315"/>
      <c r="H2899" s="315"/>
      <c r="I2899" s="315"/>
      <c r="J2899" s="315"/>
      <c r="K2899" s="315"/>
      <c r="L2899" s="315"/>
    </row>
    <row r="2900" spans="1:12">
      <c r="A2900" s="315"/>
      <c r="B2900" s="315"/>
      <c r="C2900" s="315"/>
      <c r="D2900" s="315"/>
      <c r="E2900" s="315"/>
      <c r="F2900" s="315"/>
      <c r="G2900" s="315"/>
      <c r="H2900" s="315"/>
      <c r="I2900" s="315"/>
      <c r="J2900" s="315"/>
      <c r="K2900" s="315"/>
      <c r="L2900" s="315"/>
    </row>
    <row r="2901" spans="1:12">
      <c r="A2901" s="315"/>
      <c r="B2901" s="315"/>
      <c r="C2901" s="315"/>
      <c r="D2901" s="315"/>
      <c r="E2901" s="315"/>
      <c r="F2901" s="315"/>
      <c r="G2901" s="315"/>
      <c r="H2901" s="315"/>
      <c r="I2901" s="315"/>
      <c r="J2901" s="315"/>
      <c r="K2901" s="315"/>
      <c r="L2901" s="315"/>
    </row>
    <row r="2902" spans="1:12">
      <c r="A2902" s="315"/>
      <c r="B2902" s="315"/>
      <c r="C2902" s="315"/>
      <c r="D2902" s="315"/>
      <c r="E2902" s="315"/>
      <c r="F2902" s="315"/>
      <c r="G2902" s="315"/>
      <c r="H2902" s="315"/>
      <c r="I2902" s="315"/>
      <c r="J2902" s="315"/>
      <c r="K2902" s="315"/>
      <c r="L2902" s="315"/>
    </row>
    <row r="2903" spans="1:12">
      <c r="A2903" s="315"/>
      <c r="B2903" s="315"/>
      <c r="C2903" s="315"/>
      <c r="D2903" s="315"/>
      <c r="E2903" s="315"/>
      <c r="F2903" s="315"/>
      <c r="G2903" s="315"/>
      <c r="H2903" s="315"/>
      <c r="I2903" s="315"/>
      <c r="J2903" s="315"/>
      <c r="K2903" s="315"/>
      <c r="L2903" s="315"/>
    </row>
    <row r="2904" spans="1:12">
      <c r="A2904" s="315"/>
      <c r="B2904" s="315"/>
      <c r="C2904" s="315"/>
      <c r="D2904" s="315"/>
      <c r="E2904" s="315"/>
      <c r="F2904" s="315"/>
      <c r="G2904" s="315"/>
      <c r="H2904" s="315"/>
      <c r="I2904" s="315"/>
      <c r="J2904" s="315"/>
      <c r="K2904" s="315"/>
      <c r="L2904" s="315"/>
    </row>
    <row r="2905" spans="1:12">
      <c r="A2905" s="315"/>
      <c r="B2905" s="315"/>
      <c r="C2905" s="315"/>
      <c r="D2905" s="315"/>
      <c r="E2905" s="315"/>
      <c r="F2905" s="315"/>
      <c r="G2905" s="315"/>
      <c r="H2905" s="315"/>
      <c r="I2905" s="315"/>
      <c r="J2905" s="315"/>
      <c r="K2905" s="315"/>
      <c r="L2905" s="315"/>
    </row>
    <row r="2906" spans="1:12">
      <c r="A2906" s="315"/>
      <c r="B2906" s="315"/>
      <c r="C2906" s="315"/>
      <c r="D2906" s="315"/>
      <c r="E2906" s="315"/>
      <c r="F2906" s="315"/>
      <c r="G2906" s="315"/>
      <c r="H2906" s="315"/>
      <c r="I2906" s="315"/>
      <c r="J2906" s="315"/>
      <c r="K2906" s="315"/>
      <c r="L2906" s="315"/>
    </row>
    <row r="2907" spans="1:12">
      <c r="A2907" s="315"/>
      <c r="B2907" s="315"/>
      <c r="C2907" s="315"/>
      <c r="D2907" s="315"/>
      <c r="E2907" s="315"/>
      <c r="F2907" s="315"/>
      <c r="G2907" s="315"/>
      <c r="H2907" s="315"/>
      <c r="I2907" s="315"/>
      <c r="J2907" s="315"/>
      <c r="K2907" s="315"/>
      <c r="L2907" s="315"/>
    </row>
    <row r="2908" spans="1:12">
      <c r="A2908" s="315"/>
      <c r="B2908" s="315"/>
      <c r="C2908" s="315"/>
      <c r="D2908" s="315"/>
      <c r="E2908" s="315"/>
      <c r="F2908" s="315"/>
      <c r="G2908" s="315"/>
      <c r="H2908" s="315"/>
      <c r="I2908" s="315"/>
      <c r="J2908" s="315"/>
      <c r="K2908" s="315"/>
      <c r="L2908" s="315"/>
    </row>
    <row r="2909" spans="1:12">
      <c r="A2909" s="315"/>
      <c r="B2909" s="315"/>
      <c r="C2909" s="315"/>
      <c r="D2909" s="315"/>
      <c r="E2909" s="315"/>
      <c r="F2909" s="315"/>
      <c r="G2909" s="315"/>
      <c r="H2909" s="315"/>
      <c r="I2909" s="315"/>
      <c r="J2909" s="315"/>
      <c r="K2909" s="315"/>
      <c r="L2909" s="315"/>
    </row>
    <row r="2910" spans="1:12">
      <c r="A2910" s="315"/>
      <c r="B2910" s="315"/>
      <c r="C2910" s="315"/>
      <c r="D2910" s="315"/>
      <c r="E2910" s="315"/>
      <c r="F2910" s="315"/>
      <c r="G2910" s="315"/>
      <c r="H2910" s="315"/>
      <c r="I2910" s="315"/>
      <c r="J2910" s="315"/>
      <c r="K2910" s="315"/>
      <c r="L2910" s="315"/>
    </row>
    <row r="2911" spans="1:12">
      <c r="A2911" s="315"/>
      <c r="B2911" s="315"/>
      <c r="C2911" s="315"/>
      <c r="D2911" s="315"/>
      <c r="E2911" s="315"/>
      <c r="F2911" s="315"/>
      <c r="G2911" s="315"/>
      <c r="H2911" s="315"/>
      <c r="I2911" s="315"/>
      <c r="J2911" s="315"/>
      <c r="K2911" s="315"/>
      <c r="L2911" s="315"/>
    </row>
    <row r="2912" spans="1:12">
      <c r="A2912" s="315"/>
      <c r="B2912" s="315"/>
      <c r="C2912" s="315"/>
      <c r="D2912" s="315"/>
      <c r="E2912" s="315"/>
      <c r="F2912" s="315"/>
      <c r="G2912" s="315"/>
      <c r="H2912" s="315"/>
      <c r="I2912" s="315"/>
      <c r="J2912" s="315"/>
      <c r="K2912" s="315"/>
      <c r="L2912" s="315"/>
    </row>
    <row r="2913" spans="1:12">
      <c r="A2913" s="315"/>
      <c r="B2913" s="315"/>
      <c r="C2913" s="315"/>
      <c r="D2913" s="315"/>
      <c r="E2913" s="315"/>
      <c r="F2913" s="315"/>
      <c r="G2913" s="315"/>
      <c r="H2913" s="315"/>
      <c r="I2913" s="315"/>
      <c r="J2913" s="315"/>
      <c r="K2913" s="315"/>
      <c r="L2913" s="315"/>
    </row>
    <row r="2914" spans="1:12">
      <c r="A2914" s="315"/>
      <c r="B2914" s="315"/>
      <c r="C2914" s="315"/>
      <c r="D2914" s="315"/>
      <c r="E2914" s="315"/>
      <c r="F2914" s="315"/>
      <c r="G2914" s="315"/>
      <c r="H2914" s="315"/>
      <c r="I2914" s="315"/>
      <c r="J2914" s="315"/>
      <c r="K2914" s="315"/>
      <c r="L2914" s="315"/>
    </row>
    <row r="2915" spans="1:12">
      <c r="A2915" s="315"/>
      <c r="B2915" s="315"/>
      <c r="C2915" s="315"/>
      <c r="D2915" s="315"/>
      <c r="E2915" s="315"/>
      <c r="F2915" s="315"/>
      <c r="G2915" s="315"/>
      <c r="H2915" s="315"/>
      <c r="I2915" s="315"/>
      <c r="J2915" s="315"/>
      <c r="K2915" s="315"/>
      <c r="L2915" s="315"/>
    </row>
    <row r="2916" spans="1:12">
      <c r="A2916" s="315"/>
      <c r="B2916" s="315"/>
      <c r="C2916" s="315"/>
      <c r="D2916" s="315"/>
      <c r="E2916" s="315"/>
      <c r="F2916" s="315"/>
      <c r="G2916" s="315"/>
      <c r="H2916" s="315"/>
      <c r="I2916" s="315"/>
      <c r="J2916" s="315"/>
      <c r="K2916" s="315"/>
      <c r="L2916" s="315"/>
    </row>
    <row r="2917" spans="1:12">
      <c r="A2917" s="315"/>
      <c r="B2917" s="315"/>
      <c r="C2917" s="315"/>
      <c r="D2917" s="315"/>
      <c r="E2917" s="315"/>
      <c r="F2917" s="315"/>
      <c r="G2917" s="315"/>
      <c r="H2917" s="315"/>
      <c r="I2917" s="315"/>
      <c r="J2917" s="315"/>
      <c r="K2917" s="315"/>
      <c r="L2917" s="315"/>
    </row>
    <row r="2918" spans="1:12">
      <c r="A2918" s="315"/>
      <c r="B2918" s="315"/>
      <c r="C2918" s="315"/>
      <c r="D2918" s="315"/>
      <c r="E2918" s="315"/>
      <c r="F2918" s="315"/>
      <c r="G2918" s="315"/>
      <c r="H2918" s="315"/>
      <c r="I2918" s="315"/>
      <c r="J2918" s="315"/>
      <c r="K2918" s="315"/>
      <c r="L2918" s="315"/>
    </row>
    <row r="2919" spans="1:12">
      <c r="A2919" s="315"/>
      <c r="B2919" s="315"/>
      <c r="C2919" s="315"/>
      <c r="D2919" s="315"/>
      <c r="E2919" s="315"/>
      <c r="F2919" s="315"/>
      <c r="G2919" s="315"/>
      <c r="H2919" s="315"/>
      <c r="I2919" s="315"/>
      <c r="J2919" s="315"/>
      <c r="K2919" s="315"/>
      <c r="L2919" s="315"/>
    </row>
    <row r="2920" spans="1:12">
      <c r="A2920" s="315"/>
      <c r="B2920" s="315"/>
      <c r="C2920" s="315"/>
      <c r="D2920" s="315"/>
      <c r="E2920" s="315"/>
      <c r="F2920" s="315"/>
      <c r="G2920" s="315"/>
      <c r="H2920" s="315"/>
      <c r="I2920" s="315"/>
      <c r="J2920" s="315"/>
      <c r="K2920" s="315"/>
      <c r="L2920" s="315"/>
    </row>
    <row r="2921" spans="1:12">
      <c r="A2921" s="315"/>
      <c r="B2921" s="315"/>
      <c r="C2921" s="315"/>
      <c r="D2921" s="315"/>
      <c r="E2921" s="315"/>
      <c r="F2921" s="315"/>
      <c r="G2921" s="315"/>
      <c r="H2921" s="315"/>
      <c r="I2921" s="315"/>
      <c r="J2921" s="315"/>
      <c r="K2921" s="315"/>
      <c r="L2921" s="315"/>
    </row>
    <row r="2922" spans="1:12">
      <c r="A2922" s="315"/>
      <c r="B2922" s="315"/>
      <c r="C2922" s="315"/>
      <c r="D2922" s="315"/>
      <c r="E2922" s="315"/>
      <c r="F2922" s="315"/>
      <c r="G2922" s="315"/>
      <c r="H2922" s="315"/>
      <c r="I2922" s="315"/>
      <c r="J2922" s="315"/>
      <c r="K2922" s="315"/>
      <c r="L2922" s="315"/>
    </row>
    <row r="2923" spans="1:12">
      <c r="A2923" s="315"/>
      <c r="B2923" s="315"/>
      <c r="C2923" s="315"/>
      <c r="D2923" s="315"/>
      <c r="E2923" s="315"/>
      <c r="F2923" s="315"/>
      <c r="G2923" s="315"/>
      <c r="H2923" s="315"/>
      <c r="I2923" s="315"/>
      <c r="J2923" s="315"/>
      <c r="K2923" s="315"/>
      <c r="L2923" s="315"/>
    </row>
    <row r="2924" spans="1:12">
      <c r="A2924" s="315"/>
      <c r="B2924" s="315"/>
      <c r="C2924" s="315"/>
      <c r="D2924" s="315"/>
      <c r="E2924" s="315"/>
      <c r="F2924" s="315"/>
      <c r="G2924" s="315"/>
      <c r="H2924" s="315"/>
      <c r="I2924" s="315"/>
      <c r="J2924" s="315"/>
      <c r="K2924" s="315"/>
      <c r="L2924" s="315"/>
    </row>
    <row r="2925" spans="1:12">
      <c r="A2925" s="315"/>
      <c r="B2925" s="315"/>
      <c r="C2925" s="315"/>
      <c r="D2925" s="315"/>
      <c r="E2925" s="315"/>
      <c r="F2925" s="315"/>
      <c r="G2925" s="315"/>
      <c r="H2925" s="315"/>
      <c r="I2925" s="315"/>
      <c r="J2925" s="315"/>
      <c r="K2925" s="315"/>
      <c r="L2925" s="315"/>
    </row>
    <row r="2926" spans="1:12">
      <c r="A2926" s="315"/>
      <c r="B2926" s="315"/>
      <c r="C2926" s="315"/>
      <c r="D2926" s="315"/>
      <c r="E2926" s="315"/>
      <c r="F2926" s="315"/>
      <c r="G2926" s="315"/>
      <c r="H2926" s="315"/>
      <c r="I2926" s="315"/>
      <c r="J2926" s="315"/>
      <c r="K2926" s="315"/>
      <c r="L2926" s="315"/>
    </row>
    <row r="2927" spans="1:12">
      <c r="A2927" s="315"/>
      <c r="B2927" s="315"/>
      <c r="C2927" s="315"/>
      <c r="D2927" s="315"/>
      <c r="E2927" s="315"/>
      <c r="F2927" s="315"/>
      <c r="G2927" s="315"/>
      <c r="H2927" s="315"/>
      <c r="I2927" s="315"/>
      <c r="J2927" s="315"/>
      <c r="K2927" s="315"/>
      <c r="L2927" s="315"/>
    </row>
    <row r="2928" spans="1:12">
      <c r="A2928" s="315"/>
      <c r="B2928" s="315"/>
      <c r="C2928" s="315"/>
      <c r="D2928" s="315"/>
      <c r="E2928" s="315"/>
      <c r="F2928" s="315"/>
      <c r="G2928" s="315"/>
      <c r="H2928" s="315"/>
      <c r="I2928" s="315"/>
      <c r="J2928" s="315"/>
      <c r="K2928" s="315"/>
      <c r="L2928" s="315"/>
    </row>
    <row r="2929" spans="1:12">
      <c r="A2929" s="315"/>
      <c r="B2929" s="315"/>
      <c r="C2929" s="315"/>
      <c r="D2929" s="315"/>
      <c r="E2929" s="315"/>
      <c r="F2929" s="315"/>
      <c r="G2929" s="315"/>
      <c r="H2929" s="315"/>
      <c r="I2929" s="315"/>
      <c r="J2929" s="315"/>
      <c r="K2929" s="315"/>
      <c r="L2929" s="315"/>
    </row>
    <row r="2930" spans="1:12">
      <c r="A2930" s="315"/>
      <c r="B2930" s="315"/>
      <c r="C2930" s="315"/>
      <c r="D2930" s="315"/>
      <c r="E2930" s="315"/>
      <c r="F2930" s="315"/>
      <c r="G2930" s="315"/>
      <c r="H2930" s="315"/>
      <c r="I2930" s="315"/>
      <c r="J2930" s="315"/>
      <c r="K2930" s="315"/>
      <c r="L2930" s="315"/>
    </row>
    <row r="2931" spans="1:12">
      <c r="A2931" s="315"/>
      <c r="B2931" s="315"/>
      <c r="C2931" s="315"/>
      <c r="D2931" s="315"/>
      <c r="E2931" s="315"/>
      <c r="F2931" s="315"/>
      <c r="G2931" s="315"/>
      <c r="H2931" s="315"/>
      <c r="I2931" s="315"/>
      <c r="J2931" s="315"/>
      <c r="K2931" s="315"/>
      <c r="L2931" s="315"/>
    </row>
    <row r="2932" spans="1:12">
      <c r="A2932" s="315"/>
      <c r="B2932" s="315"/>
      <c r="C2932" s="315"/>
      <c r="D2932" s="315"/>
      <c r="E2932" s="315"/>
      <c r="F2932" s="315"/>
      <c r="G2932" s="315"/>
      <c r="H2932" s="315"/>
      <c r="I2932" s="315"/>
      <c r="J2932" s="315"/>
      <c r="K2932" s="315"/>
      <c r="L2932" s="315"/>
    </row>
    <row r="2933" spans="1:12">
      <c r="A2933" s="315"/>
      <c r="B2933" s="315"/>
      <c r="C2933" s="315"/>
      <c r="D2933" s="315"/>
      <c r="E2933" s="315"/>
      <c r="F2933" s="315"/>
      <c r="G2933" s="315"/>
      <c r="H2933" s="315"/>
      <c r="I2933" s="315"/>
      <c r="J2933" s="315"/>
      <c r="K2933" s="315"/>
      <c r="L2933" s="315"/>
    </row>
    <row r="2934" spans="1:12">
      <c r="A2934" s="315"/>
      <c r="B2934" s="315"/>
      <c r="C2934" s="315"/>
      <c r="D2934" s="315"/>
      <c r="E2934" s="315"/>
      <c r="F2934" s="315"/>
      <c r="G2934" s="315"/>
      <c r="H2934" s="315"/>
      <c r="I2934" s="315"/>
      <c r="J2934" s="315"/>
      <c r="K2934" s="315"/>
      <c r="L2934" s="315"/>
    </row>
    <row r="2935" spans="1:12">
      <c r="A2935" s="315"/>
      <c r="B2935" s="315"/>
      <c r="C2935" s="315"/>
      <c r="D2935" s="315"/>
      <c r="E2935" s="315"/>
      <c r="F2935" s="315"/>
      <c r="G2935" s="315"/>
      <c r="H2935" s="315"/>
      <c r="I2935" s="315"/>
      <c r="J2935" s="315"/>
      <c r="K2935" s="315"/>
      <c r="L2935" s="315"/>
    </row>
    <row r="2936" spans="1:12">
      <c r="A2936" s="315"/>
      <c r="B2936" s="315"/>
      <c r="C2936" s="315"/>
      <c r="D2936" s="315"/>
      <c r="E2936" s="315"/>
      <c r="F2936" s="315"/>
      <c r="G2936" s="315"/>
      <c r="H2936" s="315"/>
      <c r="I2936" s="315"/>
      <c r="J2936" s="315"/>
      <c r="K2936" s="315"/>
      <c r="L2936" s="315"/>
    </row>
    <row r="2937" spans="1:12">
      <c r="A2937" s="315"/>
      <c r="B2937" s="315"/>
      <c r="C2937" s="315"/>
      <c r="D2937" s="315"/>
      <c r="E2937" s="315"/>
      <c r="F2937" s="315"/>
      <c r="G2937" s="315"/>
      <c r="H2937" s="315"/>
      <c r="I2937" s="315"/>
      <c r="J2937" s="315"/>
      <c r="K2937" s="315"/>
      <c r="L2937" s="315"/>
    </row>
    <row r="2938" spans="1:12">
      <c r="A2938" s="315"/>
      <c r="B2938" s="315"/>
      <c r="C2938" s="315"/>
      <c r="D2938" s="315"/>
      <c r="E2938" s="315"/>
      <c r="F2938" s="315"/>
      <c r="G2938" s="315"/>
      <c r="H2938" s="315"/>
      <c r="I2938" s="315"/>
      <c r="J2938" s="315"/>
      <c r="K2938" s="315"/>
      <c r="L2938" s="315"/>
    </row>
    <row r="2939" spans="1:12">
      <c r="A2939" s="315"/>
      <c r="B2939" s="315"/>
      <c r="C2939" s="315"/>
      <c r="D2939" s="315"/>
      <c r="E2939" s="315"/>
      <c r="F2939" s="315"/>
      <c r="G2939" s="315"/>
      <c r="H2939" s="315"/>
      <c r="I2939" s="315"/>
      <c r="J2939" s="315"/>
      <c r="K2939" s="315"/>
      <c r="L2939" s="315"/>
    </row>
    <row r="2940" spans="1:12">
      <c r="A2940" s="315"/>
      <c r="B2940" s="315"/>
      <c r="C2940" s="315"/>
      <c r="D2940" s="315"/>
      <c r="E2940" s="315"/>
      <c r="F2940" s="315"/>
      <c r="G2940" s="315"/>
      <c r="H2940" s="315"/>
      <c r="I2940" s="315"/>
      <c r="J2940" s="315"/>
      <c r="K2940" s="315"/>
      <c r="L2940" s="315"/>
    </row>
    <row r="2941" spans="1:12">
      <c r="A2941" s="315"/>
      <c r="B2941" s="315"/>
      <c r="C2941" s="315"/>
      <c r="D2941" s="315"/>
      <c r="E2941" s="315"/>
      <c r="F2941" s="315"/>
      <c r="G2941" s="315"/>
      <c r="H2941" s="315"/>
      <c r="I2941" s="315"/>
      <c r="J2941" s="315"/>
      <c r="K2941" s="315"/>
      <c r="L2941" s="315"/>
    </row>
    <row r="2942" spans="1:12">
      <c r="A2942" s="315"/>
      <c r="B2942" s="315"/>
      <c r="C2942" s="315"/>
      <c r="D2942" s="315"/>
      <c r="E2942" s="315"/>
      <c r="F2942" s="315"/>
      <c r="G2942" s="315"/>
      <c r="H2942" s="315"/>
      <c r="I2942" s="315"/>
      <c r="J2942" s="315"/>
      <c r="K2942" s="315"/>
      <c r="L2942" s="315"/>
    </row>
    <row r="2943" spans="1:12">
      <c r="A2943" s="315"/>
      <c r="B2943" s="315"/>
      <c r="C2943" s="315"/>
      <c r="D2943" s="315"/>
      <c r="E2943" s="315"/>
      <c r="F2943" s="315"/>
      <c r="G2943" s="315"/>
      <c r="H2943" s="315"/>
      <c r="I2943" s="315"/>
      <c r="J2943" s="315"/>
      <c r="K2943" s="315"/>
      <c r="L2943" s="315"/>
    </row>
    <row r="2944" spans="1:12">
      <c r="A2944" s="315"/>
      <c r="B2944" s="315"/>
      <c r="C2944" s="315"/>
      <c r="D2944" s="315"/>
      <c r="E2944" s="315"/>
      <c r="F2944" s="315"/>
      <c r="G2944" s="315"/>
      <c r="H2944" s="315"/>
      <c r="I2944" s="315"/>
      <c r="J2944" s="315"/>
      <c r="K2944" s="315"/>
      <c r="L2944" s="315"/>
    </row>
    <row r="2945" spans="1:12">
      <c r="A2945" s="315"/>
      <c r="B2945" s="315"/>
      <c r="C2945" s="315"/>
      <c r="D2945" s="315"/>
      <c r="E2945" s="315"/>
      <c r="F2945" s="315"/>
      <c r="G2945" s="315"/>
      <c r="H2945" s="315"/>
      <c r="I2945" s="315"/>
      <c r="J2945" s="315"/>
      <c r="K2945" s="315"/>
      <c r="L2945" s="315"/>
    </row>
    <row r="2946" spans="1:12">
      <c r="A2946" s="315"/>
      <c r="B2946" s="315"/>
      <c r="C2946" s="315"/>
      <c r="D2946" s="315"/>
      <c r="E2946" s="315"/>
      <c r="F2946" s="315"/>
      <c r="G2946" s="315"/>
      <c r="H2946" s="315"/>
      <c r="I2946" s="315"/>
      <c r="J2946" s="315"/>
      <c r="K2946" s="315"/>
      <c r="L2946" s="315"/>
    </row>
    <row r="2947" spans="1:12">
      <c r="A2947" s="315"/>
      <c r="B2947" s="315"/>
      <c r="C2947" s="315"/>
      <c r="D2947" s="315"/>
      <c r="E2947" s="315"/>
      <c r="F2947" s="315"/>
      <c r="G2947" s="315"/>
      <c r="H2947" s="315"/>
      <c r="I2947" s="315"/>
      <c r="J2947" s="315"/>
      <c r="K2947" s="315"/>
      <c r="L2947" s="315"/>
    </row>
    <row r="2948" spans="1:12">
      <c r="A2948" s="315"/>
      <c r="B2948" s="315"/>
      <c r="C2948" s="315"/>
      <c r="D2948" s="315"/>
      <c r="E2948" s="315"/>
      <c r="F2948" s="315"/>
      <c r="G2948" s="315"/>
      <c r="H2948" s="315"/>
      <c r="I2948" s="315"/>
      <c r="J2948" s="315"/>
      <c r="K2948" s="315"/>
      <c r="L2948" s="315"/>
    </row>
    <row r="2949" spans="1:12">
      <c r="A2949" s="315"/>
      <c r="B2949" s="315"/>
      <c r="C2949" s="315"/>
      <c r="D2949" s="315"/>
      <c r="E2949" s="315"/>
      <c r="F2949" s="315"/>
      <c r="G2949" s="315"/>
      <c r="H2949" s="315"/>
      <c r="I2949" s="315"/>
      <c r="J2949" s="315"/>
      <c r="K2949" s="315"/>
      <c r="L2949" s="315"/>
    </row>
    <row r="2950" spans="1:12">
      <c r="A2950" s="315"/>
      <c r="B2950" s="315"/>
      <c r="C2950" s="315"/>
      <c r="D2950" s="315"/>
      <c r="E2950" s="315"/>
      <c r="F2950" s="315"/>
      <c r="G2950" s="315"/>
      <c r="H2950" s="315"/>
      <c r="I2950" s="315"/>
      <c r="J2950" s="315"/>
      <c r="K2950" s="315"/>
      <c r="L2950" s="315"/>
    </row>
    <row r="2951" spans="1:12">
      <c r="A2951" s="315"/>
      <c r="B2951" s="315"/>
      <c r="C2951" s="315"/>
      <c r="D2951" s="315"/>
      <c r="E2951" s="315"/>
      <c r="F2951" s="315"/>
      <c r="G2951" s="315"/>
      <c r="H2951" s="315"/>
      <c r="I2951" s="315"/>
      <c r="J2951" s="315"/>
      <c r="K2951" s="315"/>
      <c r="L2951" s="315"/>
    </row>
    <row r="2952" spans="1:12">
      <c r="A2952" s="315"/>
      <c r="B2952" s="315"/>
      <c r="C2952" s="315"/>
      <c r="D2952" s="315"/>
      <c r="E2952" s="315"/>
      <c r="F2952" s="315"/>
      <c r="G2952" s="315"/>
      <c r="H2952" s="315"/>
      <c r="I2952" s="315"/>
      <c r="J2952" s="315"/>
      <c r="K2952" s="315"/>
      <c r="L2952" s="315"/>
    </row>
    <row r="2953" spans="1:12">
      <c r="A2953" s="315"/>
      <c r="B2953" s="315"/>
      <c r="C2953" s="315"/>
      <c r="D2953" s="315"/>
      <c r="E2953" s="315"/>
      <c r="F2953" s="315"/>
      <c r="G2953" s="315"/>
      <c r="H2953" s="315"/>
      <c r="I2953" s="315"/>
      <c r="J2953" s="315"/>
      <c r="K2953" s="315"/>
      <c r="L2953" s="315"/>
    </row>
    <row r="2954" spans="1:12">
      <c r="A2954" s="315"/>
      <c r="B2954" s="315"/>
      <c r="C2954" s="315"/>
      <c r="D2954" s="315"/>
      <c r="E2954" s="315"/>
      <c r="F2954" s="315"/>
      <c r="G2954" s="315"/>
      <c r="H2954" s="315"/>
      <c r="I2954" s="315"/>
      <c r="J2954" s="315"/>
      <c r="K2954" s="315"/>
      <c r="L2954" s="315"/>
    </row>
    <row r="2955" spans="1:12">
      <c r="A2955" s="315"/>
      <c r="B2955" s="315"/>
      <c r="C2955" s="315"/>
      <c r="D2955" s="315"/>
      <c r="E2955" s="315"/>
      <c r="F2955" s="315"/>
      <c r="G2955" s="315"/>
      <c r="H2955" s="315"/>
      <c r="I2955" s="315"/>
      <c r="J2955" s="315"/>
      <c r="K2955" s="315"/>
      <c r="L2955" s="315"/>
    </row>
    <row r="2956" spans="1:12">
      <c r="A2956" s="315"/>
      <c r="B2956" s="315"/>
      <c r="C2956" s="315"/>
      <c r="D2956" s="315"/>
      <c r="E2956" s="315"/>
      <c r="F2956" s="315"/>
      <c r="G2956" s="315"/>
      <c r="H2956" s="315"/>
      <c r="I2956" s="315"/>
      <c r="J2956" s="315"/>
      <c r="K2956" s="315"/>
      <c r="L2956" s="315"/>
    </row>
    <row r="2957" spans="1:12">
      <c r="A2957" s="315"/>
      <c r="B2957" s="315"/>
      <c r="C2957" s="315"/>
      <c r="D2957" s="315"/>
      <c r="E2957" s="315"/>
      <c r="F2957" s="315"/>
      <c r="G2957" s="315"/>
      <c r="H2957" s="315"/>
      <c r="I2957" s="315"/>
      <c r="J2957" s="315"/>
      <c r="K2957" s="315"/>
      <c r="L2957" s="315"/>
    </row>
    <row r="2958" spans="1:12">
      <c r="A2958" s="315"/>
      <c r="B2958" s="315"/>
      <c r="C2958" s="315"/>
      <c r="D2958" s="315"/>
      <c r="E2958" s="315"/>
      <c r="F2958" s="315"/>
      <c r="G2958" s="315"/>
      <c r="H2958" s="315"/>
      <c r="I2958" s="315"/>
      <c r="J2958" s="315"/>
      <c r="K2958" s="315"/>
      <c r="L2958" s="315"/>
    </row>
    <row r="2959" spans="1:12">
      <c r="A2959" s="315"/>
      <c r="B2959" s="315"/>
      <c r="C2959" s="315"/>
      <c r="D2959" s="315"/>
      <c r="E2959" s="315"/>
      <c r="F2959" s="315"/>
      <c r="G2959" s="315"/>
      <c r="H2959" s="315"/>
      <c r="I2959" s="315"/>
      <c r="J2959" s="315"/>
      <c r="K2959" s="315"/>
      <c r="L2959" s="315"/>
    </row>
    <row r="2960" spans="1:12">
      <c r="A2960" s="315"/>
      <c r="B2960" s="315"/>
      <c r="C2960" s="315"/>
      <c r="D2960" s="315"/>
      <c r="E2960" s="315"/>
      <c r="F2960" s="315"/>
      <c r="G2960" s="315"/>
      <c r="H2960" s="315"/>
      <c r="I2960" s="315"/>
      <c r="J2960" s="315"/>
      <c r="K2960" s="315"/>
      <c r="L2960" s="315"/>
    </row>
    <row r="2961" spans="1:12">
      <c r="A2961" s="315"/>
      <c r="B2961" s="315"/>
      <c r="C2961" s="315"/>
      <c r="D2961" s="315"/>
      <c r="E2961" s="315"/>
      <c r="F2961" s="315"/>
      <c r="G2961" s="315"/>
      <c r="H2961" s="315"/>
      <c r="I2961" s="315"/>
      <c r="J2961" s="315"/>
      <c r="K2961" s="315"/>
      <c r="L2961" s="315"/>
    </row>
    <row r="2962" spans="1:12">
      <c r="A2962" s="315"/>
      <c r="B2962" s="315"/>
      <c r="C2962" s="315"/>
      <c r="D2962" s="315"/>
      <c r="E2962" s="315"/>
      <c r="F2962" s="315"/>
      <c r="G2962" s="315"/>
      <c r="H2962" s="315"/>
      <c r="I2962" s="315"/>
      <c r="J2962" s="315"/>
      <c r="K2962" s="315"/>
      <c r="L2962" s="315"/>
    </row>
    <row r="2963" spans="1:12">
      <c r="A2963" s="315"/>
      <c r="B2963" s="315"/>
      <c r="C2963" s="315"/>
      <c r="D2963" s="315"/>
      <c r="E2963" s="315"/>
      <c r="F2963" s="315"/>
      <c r="G2963" s="315"/>
      <c r="H2963" s="315"/>
      <c r="I2963" s="315"/>
      <c r="J2963" s="315"/>
      <c r="K2963" s="315"/>
      <c r="L2963" s="315"/>
    </row>
    <row r="2964" spans="1:12">
      <c r="A2964" s="315"/>
      <c r="B2964" s="315"/>
      <c r="C2964" s="315"/>
      <c r="D2964" s="315"/>
      <c r="E2964" s="315"/>
      <c r="F2964" s="315"/>
      <c r="G2964" s="315"/>
      <c r="H2964" s="315"/>
      <c r="I2964" s="315"/>
      <c r="J2964" s="315"/>
      <c r="K2964" s="315"/>
      <c r="L2964" s="315"/>
    </row>
    <row r="2965" spans="1:12">
      <c r="A2965" s="315"/>
      <c r="B2965" s="315"/>
      <c r="C2965" s="315"/>
      <c r="D2965" s="315"/>
      <c r="E2965" s="315"/>
      <c r="F2965" s="315"/>
      <c r="G2965" s="315"/>
      <c r="H2965" s="315"/>
      <c r="I2965" s="315"/>
      <c r="J2965" s="315"/>
      <c r="K2965" s="315"/>
      <c r="L2965" s="315"/>
    </row>
    <row r="2966" spans="1:12">
      <c r="A2966" s="315"/>
      <c r="B2966" s="315"/>
      <c r="C2966" s="315"/>
      <c r="D2966" s="315"/>
      <c r="E2966" s="315"/>
      <c r="F2966" s="315"/>
      <c r="G2966" s="315"/>
      <c r="H2966" s="315"/>
      <c r="I2966" s="315"/>
      <c r="J2966" s="315"/>
      <c r="K2966" s="315"/>
      <c r="L2966" s="315"/>
    </row>
    <row r="2967" spans="1:12">
      <c r="A2967" s="315"/>
      <c r="B2967" s="315"/>
      <c r="C2967" s="315"/>
      <c r="D2967" s="315"/>
      <c r="E2967" s="315"/>
      <c r="F2967" s="315"/>
      <c r="G2967" s="315"/>
      <c r="H2967" s="315"/>
      <c r="I2967" s="315"/>
      <c r="J2967" s="315"/>
      <c r="K2967" s="315"/>
      <c r="L2967" s="315"/>
    </row>
    <row r="2968" spans="1:12">
      <c r="A2968" s="315"/>
      <c r="B2968" s="315"/>
      <c r="C2968" s="315"/>
      <c r="D2968" s="315"/>
      <c r="E2968" s="315"/>
      <c r="F2968" s="315"/>
      <c r="G2968" s="315"/>
      <c r="H2968" s="315"/>
      <c r="I2968" s="315"/>
      <c r="J2968" s="315"/>
      <c r="K2968" s="315"/>
      <c r="L2968" s="315"/>
    </row>
    <row r="2969" spans="1:12">
      <c r="A2969" s="315"/>
      <c r="B2969" s="315"/>
      <c r="C2969" s="315"/>
      <c r="D2969" s="315"/>
      <c r="E2969" s="315"/>
      <c r="F2969" s="315"/>
      <c r="G2969" s="315"/>
      <c r="H2969" s="315"/>
      <c r="I2969" s="315"/>
      <c r="J2969" s="315"/>
      <c r="K2969" s="315"/>
      <c r="L2969" s="315"/>
    </row>
    <row r="2970" spans="1:12">
      <c r="A2970" s="315"/>
      <c r="B2970" s="315"/>
      <c r="C2970" s="315"/>
      <c r="D2970" s="315"/>
      <c r="E2970" s="315"/>
      <c r="F2970" s="315"/>
      <c r="G2970" s="315"/>
      <c r="H2970" s="315"/>
      <c r="I2970" s="315"/>
      <c r="J2970" s="315"/>
      <c r="K2970" s="315"/>
      <c r="L2970" s="315"/>
    </row>
    <row r="2971" spans="1:12">
      <c r="A2971" s="315"/>
      <c r="B2971" s="315"/>
      <c r="C2971" s="315"/>
      <c r="D2971" s="315"/>
      <c r="E2971" s="315"/>
      <c r="F2971" s="315"/>
      <c r="G2971" s="315"/>
      <c r="H2971" s="315"/>
      <c r="I2971" s="315"/>
      <c r="J2971" s="315"/>
      <c r="K2971" s="315"/>
      <c r="L2971" s="315"/>
    </row>
    <row r="2972" spans="1:12">
      <c r="A2972" s="315"/>
      <c r="B2972" s="315"/>
      <c r="C2972" s="315"/>
      <c r="D2972" s="315"/>
      <c r="E2972" s="315"/>
      <c r="F2972" s="315"/>
      <c r="G2972" s="315"/>
      <c r="H2972" s="315"/>
      <c r="I2972" s="315"/>
      <c r="J2972" s="315"/>
      <c r="K2972" s="315"/>
      <c r="L2972" s="315"/>
    </row>
    <row r="2973" spans="1:12">
      <c r="A2973" s="315"/>
      <c r="B2973" s="315"/>
      <c r="C2973" s="315"/>
      <c r="D2973" s="315"/>
      <c r="E2973" s="315"/>
      <c r="F2973" s="315"/>
      <c r="G2973" s="315"/>
      <c r="H2973" s="315"/>
      <c r="I2973" s="315"/>
      <c r="J2973" s="315"/>
      <c r="K2973" s="315"/>
      <c r="L2973" s="315"/>
    </row>
    <row r="2974" spans="1:12">
      <c r="A2974" s="315"/>
      <c r="B2974" s="315"/>
      <c r="C2974" s="315"/>
      <c r="D2974" s="315"/>
      <c r="E2974" s="315"/>
      <c r="F2974" s="315"/>
      <c r="G2974" s="315"/>
      <c r="H2974" s="315"/>
      <c r="I2974" s="315"/>
      <c r="J2974" s="315"/>
      <c r="K2974" s="315"/>
      <c r="L2974" s="315"/>
    </row>
    <row r="2975" spans="1:12">
      <c r="A2975" s="315"/>
      <c r="B2975" s="315"/>
      <c r="C2975" s="315"/>
      <c r="D2975" s="315"/>
      <c r="E2975" s="315"/>
      <c r="F2975" s="315"/>
      <c r="G2975" s="315"/>
      <c r="H2975" s="315"/>
      <c r="I2975" s="315"/>
      <c r="J2975" s="315"/>
      <c r="K2975" s="315"/>
      <c r="L2975" s="315"/>
    </row>
    <row r="2976" spans="1:12">
      <c r="A2976" s="315"/>
      <c r="B2976" s="315"/>
      <c r="C2976" s="315"/>
      <c r="D2976" s="315"/>
      <c r="E2976" s="315"/>
      <c r="F2976" s="315"/>
      <c r="G2976" s="315"/>
      <c r="H2976" s="315"/>
      <c r="I2976" s="315"/>
      <c r="J2976" s="315"/>
      <c r="K2976" s="315"/>
      <c r="L2976" s="315"/>
    </row>
    <row r="2977" spans="1:12">
      <c r="A2977" s="315"/>
      <c r="B2977" s="315"/>
      <c r="C2977" s="315"/>
      <c r="D2977" s="315"/>
      <c r="E2977" s="315"/>
      <c r="F2977" s="315"/>
      <c r="G2977" s="315"/>
      <c r="H2977" s="315"/>
      <c r="I2977" s="315"/>
      <c r="J2977" s="315"/>
      <c r="K2977" s="315"/>
      <c r="L2977" s="315"/>
    </row>
    <row r="2978" spans="1:12">
      <c r="A2978" s="315"/>
      <c r="B2978" s="315"/>
      <c r="C2978" s="315"/>
      <c r="D2978" s="315"/>
      <c r="E2978" s="315"/>
      <c r="F2978" s="315"/>
      <c r="G2978" s="315"/>
      <c r="H2978" s="315"/>
      <c r="I2978" s="315"/>
      <c r="J2978" s="315"/>
      <c r="K2978" s="315"/>
      <c r="L2978" s="315"/>
    </row>
    <row r="2979" spans="1:12">
      <c r="A2979" s="315"/>
      <c r="B2979" s="315"/>
      <c r="C2979" s="315"/>
      <c r="D2979" s="315"/>
      <c r="E2979" s="315"/>
      <c r="F2979" s="315"/>
      <c r="G2979" s="315"/>
      <c r="H2979" s="315"/>
      <c r="I2979" s="315"/>
      <c r="J2979" s="315"/>
      <c r="K2979" s="315"/>
      <c r="L2979" s="315"/>
    </row>
    <row r="2980" spans="1:12">
      <c r="A2980" s="315"/>
      <c r="B2980" s="315"/>
      <c r="C2980" s="315"/>
      <c r="D2980" s="315"/>
      <c r="E2980" s="315"/>
      <c r="F2980" s="315"/>
      <c r="G2980" s="315"/>
      <c r="H2980" s="315"/>
      <c r="I2980" s="315"/>
      <c r="J2980" s="315"/>
      <c r="K2980" s="315"/>
      <c r="L2980" s="315"/>
    </row>
    <row r="2981" spans="1:12">
      <c r="A2981" s="315"/>
      <c r="B2981" s="315"/>
      <c r="C2981" s="315"/>
      <c r="D2981" s="315"/>
      <c r="E2981" s="315"/>
      <c r="F2981" s="315"/>
      <c r="G2981" s="315"/>
      <c r="H2981" s="315"/>
      <c r="I2981" s="315"/>
      <c r="J2981" s="315"/>
      <c r="K2981" s="315"/>
      <c r="L2981" s="315"/>
    </row>
    <row r="2982" spans="1:12">
      <c r="A2982" s="315"/>
      <c r="B2982" s="315"/>
      <c r="C2982" s="315"/>
      <c r="D2982" s="315"/>
      <c r="E2982" s="315"/>
      <c r="F2982" s="315"/>
      <c r="G2982" s="315"/>
      <c r="H2982" s="315"/>
      <c r="I2982" s="315"/>
      <c r="J2982" s="315"/>
      <c r="K2982" s="315"/>
      <c r="L2982" s="315"/>
    </row>
    <row r="2983" spans="1:12">
      <c r="A2983" s="315"/>
      <c r="B2983" s="315"/>
      <c r="C2983" s="315"/>
      <c r="D2983" s="315"/>
      <c r="E2983" s="315"/>
      <c r="F2983" s="315"/>
      <c r="G2983" s="315"/>
      <c r="H2983" s="315"/>
      <c r="I2983" s="315"/>
      <c r="J2983" s="315"/>
      <c r="K2983" s="315"/>
      <c r="L2983" s="315"/>
    </row>
    <row r="2984" spans="1:12">
      <c r="A2984" s="315"/>
      <c r="B2984" s="315"/>
      <c r="C2984" s="315"/>
      <c r="D2984" s="315"/>
      <c r="E2984" s="315"/>
      <c r="F2984" s="315"/>
      <c r="G2984" s="315"/>
      <c r="H2984" s="315"/>
      <c r="I2984" s="315"/>
      <c r="J2984" s="315"/>
      <c r="K2984" s="315"/>
      <c r="L2984" s="315"/>
    </row>
    <row r="2985" spans="1:12">
      <c r="A2985" s="315"/>
      <c r="B2985" s="315"/>
      <c r="C2985" s="315"/>
      <c r="D2985" s="315"/>
      <c r="E2985" s="315"/>
      <c r="F2985" s="315"/>
      <c r="G2985" s="315"/>
      <c r="H2985" s="315"/>
      <c r="I2985" s="315"/>
      <c r="J2985" s="315"/>
      <c r="K2985" s="315"/>
      <c r="L2985" s="315"/>
    </row>
    <row r="2986" spans="1:12">
      <c r="A2986" s="315"/>
      <c r="B2986" s="315"/>
      <c r="C2986" s="315"/>
      <c r="D2986" s="315"/>
      <c r="E2986" s="315"/>
      <c r="F2986" s="315"/>
      <c r="G2986" s="315"/>
      <c r="H2986" s="315"/>
      <c r="I2986" s="315"/>
      <c r="J2986" s="315"/>
      <c r="K2986" s="315"/>
      <c r="L2986" s="315"/>
    </row>
    <row r="2987" spans="1:12">
      <c r="A2987" s="315"/>
      <c r="B2987" s="315"/>
      <c r="C2987" s="315"/>
      <c r="D2987" s="315"/>
      <c r="E2987" s="315"/>
      <c r="F2987" s="315"/>
      <c r="G2987" s="315"/>
      <c r="H2987" s="315"/>
      <c r="I2987" s="315"/>
      <c r="J2987" s="315"/>
      <c r="K2987" s="315"/>
      <c r="L2987" s="315"/>
    </row>
    <row r="2988" spans="1:12">
      <c r="A2988" s="315"/>
      <c r="B2988" s="315"/>
      <c r="C2988" s="315"/>
      <c r="D2988" s="315"/>
      <c r="E2988" s="315"/>
      <c r="F2988" s="315"/>
      <c r="G2988" s="315"/>
      <c r="H2988" s="315"/>
      <c r="I2988" s="315"/>
      <c r="J2988" s="315"/>
      <c r="K2988" s="315"/>
      <c r="L2988" s="315"/>
    </row>
    <row r="2989" spans="1:12">
      <c r="A2989" s="315"/>
      <c r="B2989" s="315"/>
      <c r="C2989" s="315"/>
      <c r="D2989" s="315"/>
      <c r="E2989" s="315"/>
      <c r="F2989" s="315"/>
      <c r="G2989" s="315"/>
      <c r="H2989" s="315"/>
      <c r="I2989" s="315"/>
      <c r="J2989" s="315"/>
      <c r="K2989" s="315"/>
      <c r="L2989" s="315"/>
    </row>
    <row r="2990" spans="1:12">
      <c r="A2990" s="315"/>
      <c r="B2990" s="315"/>
      <c r="C2990" s="315"/>
      <c r="D2990" s="315"/>
      <c r="E2990" s="315"/>
      <c r="F2990" s="315"/>
      <c r="G2990" s="315"/>
      <c r="H2990" s="315"/>
      <c r="I2990" s="315"/>
      <c r="J2990" s="315"/>
      <c r="K2990" s="315"/>
      <c r="L2990" s="315"/>
    </row>
    <row r="2991" spans="1:12">
      <c r="A2991" s="315"/>
      <c r="B2991" s="315"/>
      <c r="C2991" s="315"/>
      <c r="D2991" s="315"/>
      <c r="E2991" s="315"/>
      <c r="F2991" s="315"/>
      <c r="G2991" s="315"/>
      <c r="H2991" s="315"/>
      <c r="I2991" s="315"/>
      <c r="J2991" s="315"/>
      <c r="K2991" s="315"/>
      <c r="L2991" s="315"/>
    </row>
    <row r="2992" spans="1:12">
      <c r="A2992" s="315"/>
      <c r="B2992" s="315"/>
      <c r="C2992" s="315"/>
      <c r="D2992" s="315"/>
      <c r="E2992" s="315"/>
      <c r="F2992" s="315"/>
      <c r="G2992" s="315"/>
      <c r="H2992" s="315"/>
      <c r="I2992" s="315"/>
      <c r="J2992" s="315"/>
      <c r="K2992" s="315"/>
      <c r="L2992" s="315"/>
    </row>
    <row r="2993" spans="1:12">
      <c r="A2993" s="315"/>
      <c r="B2993" s="315"/>
      <c r="C2993" s="315"/>
      <c r="D2993" s="315"/>
      <c r="E2993" s="315"/>
      <c r="F2993" s="315"/>
      <c r="G2993" s="315"/>
      <c r="H2993" s="315"/>
      <c r="I2993" s="315"/>
      <c r="J2993" s="315"/>
      <c r="K2993" s="315"/>
      <c r="L2993" s="315"/>
    </row>
    <row r="2994" spans="1:12">
      <c r="A2994" s="315"/>
      <c r="B2994" s="315"/>
      <c r="C2994" s="315"/>
      <c r="D2994" s="315"/>
      <c r="E2994" s="315"/>
      <c r="F2994" s="315"/>
      <c r="G2994" s="315"/>
      <c r="H2994" s="315"/>
      <c r="I2994" s="315"/>
      <c r="J2994" s="315"/>
      <c r="K2994" s="315"/>
      <c r="L2994" s="315"/>
    </row>
    <row r="2995" spans="1:12">
      <c r="A2995" s="315"/>
      <c r="B2995" s="315"/>
      <c r="C2995" s="315"/>
      <c r="D2995" s="315"/>
      <c r="E2995" s="315"/>
      <c r="F2995" s="315"/>
      <c r="G2995" s="315"/>
      <c r="H2995" s="315"/>
      <c r="I2995" s="315"/>
      <c r="J2995" s="315"/>
      <c r="K2995" s="315"/>
      <c r="L2995" s="315"/>
    </row>
    <row r="2996" spans="1:12">
      <c r="A2996" s="315"/>
      <c r="B2996" s="315"/>
      <c r="C2996" s="315"/>
      <c r="D2996" s="315"/>
      <c r="E2996" s="315"/>
      <c r="F2996" s="315"/>
      <c r="G2996" s="315"/>
      <c r="H2996" s="315"/>
      <c r="I2996" s="315"/>
      <c r="J2996" s="315"/>
      <c r="K2996" s="315"/>
      <c r="L2996" s="315"/>
    </row>
    <row r="2997" spans="1:12">
      <c r="A2997" s="315"/>
      <c r="B2997" s="315"/>
      <c r="C2997" s="315"/>
      <c r="D2997" s="315"/>
      <c r="E2997" s="315"/>
      <c r="F2997" s="315"/>
      <c r="G2997" s="315"/>
      <c r="H2997" s="315"/>
      <c r="I2997" s="315"/>
      <c r="J2997" s="315"/>
      <c r="K2997" s="315"/>
      <c r="L2997" s="315"/>
    </row>
    <row r="2998" spans="1:12">
      <c r="A2998" s="315"/>
      <c r="B2998" s="315"/>
      <c r="C2998" s="315"/>
      <c r="D2998" s="315"/>
      <c r="E2998" s="315"/>
      <c r="F2998" s="315"/>
      <c r="G2998" s="315"/>
      <c r="H2998" s="315"/>
      <c r="I2998" s="315"/>
      <c r="J2998" s="315"/>
      <c r="K2998" s="315"/>
      <c r="L2998" s="315"/>
    </row>
    <row r="2999" spans="1:12">
      <c r="A2999" s="315"/>
      <c r="B2999" s="315"/>
      <c r="C2999" s="315"/>
      <c r="D2999" s="315"/>
      <c r="E2999" s="315"/>
      <c r="F2999" s="315"/>
      <c r="G2999" s="315"/>
      <c r="H2999" s="315"/>
      <c r="I2999" s="315"/>
      <c r="J2999" s="315"/>
      <c r="K2999" s="315"/>
      <c r="L2999" s="315"/>
    </row>
    <row r="3000" spans="1:12">
      <c r="A3000" s="315"/>
      <c r="B3000" s="315"/>
      <c r="C3000" s="315"/>
      <c r="D3000" s="315"/>
      <c r="E3000" s="315"/>
      <c r="F3000" s="315"/>
      <c r="G3000" s="315"/>
      <c r="H3000" s="315"/>
      <c r="I3000" s="315"/>
      <c r="J3000" s="315"/>
      <c r="K3000" s="315"/>
      <c r="L3000" s="315"/>
    </row>
    <row r="3001" spans="1:12">
      <c r="A3001" s="315"/>
      <c r="B3001" s="315"/>
      <c r="C3001" s="315"/>
      <c r="D3001" s="315"/>
      <c r="E3001" s="315"/>
      <c r="F3001" s="315"/>
      <c r="G3001" s="315"/>
      <c r="H3001" s="315"/>
      <c r="I3001" s="315"/>
      <c r="J3001" s="315"/>
      <c r="K3001" s="315"/>
      <c r="L3001" s="315"/>
    </row>
    <row r="3002" spans="1:12">
      <c r="A3002" s="315"/>
      <c r="B3002" s="315"/>
      <c r="C3002" s="315"/>
      <c r="D3002" s="315"/>
      <c r="E3002" s="315"/>
      <c r="F3002" s="315"/>
      <c r="G3002" s="315"/>
      <c r="H3002" s="315"/>
      <c r="I3002" s="315"/>
      <c r="J3002" s="315"/>
      <c r="K3002" s="315"/>
      <c r="L3002" s="315"/>
    </row>
    <row r="3003" spans="1:12">
      <c r="A3003" s="315"/>
      <c r="B3003" s="315"/>
      <c r="C3003" s="315"/>
      <c r="D3003" s="315"/>
      <c r="E3003" s="315"/>
      <c r="F3003" s="315"/>
      <c r="G3003" s="315"/>
      <c r="H3003" s="315"/>
      <c r="I3003" s="315"/>
      <c r="J3003" s="315"/>
      <c r="K3003" s="315"/>
      <c r="L3003" s="315"/>
    </row>
    <row r="3004" spans="1:12">
      <c r="A3004" s="315"/>
      <c r="B3004" s="315"/>
      <c r="C3004" s="315"/>
      <c r="D3004" s="315"/>
      <c r="E3004" s="315"/>
      <c r="F3004" s="315"/>
      <c r="G3004" s="315"/>
      <c r="H3004" s="315"/>
      <c r="I3004" s="315"/>
      <c r="J3004" s="315"/>
      <c r="K3004" s="315"/>
      <c r="L3004" s="315"/>
    </row>
    <row r="3005" spans="1:12">
      <c r="A3005" s="315"/>
      <c r="B3005" s="315"/>
      <c r="C3005" s="315"/>
      <c r="D3005" s="315"/>
      <c r="E3005" s="315"/>
      <c r="F3005" s="315"/>
      <c r="G3005" s="315"/>
      <c r="H3005" s="315"/>
      <c r="I3005" s="315"/>
      <c r="J3005" s="315"/>
      <c r="K3005" s="315"/>
      <c r="L3005" s="315"/>
    </row>
    <row r="3006" spans="1:12">
      <c r="A3006" s="315"/>
      <c r="B3006" s="315"/>
      <c r="C3006" s="315"/>
      <c r="D3006" s="315"/>
      <c r="E3006" s="315"/>
      <c r="F3006" s="315"/>
      <c r="G3006" s="315"/>
      <c r="H3006" s="315"/>
      <c r="I3006" s="315"/>
      <c r="J3006" s="315"/>
      <c r="K3006" s="315"/>
      <c r="L3006" s="315"/>
    </row>
    <row r="3007" spans="1:12">
      <c r="A3007" s="315"/>
      <c r="B3007" s="315"/>
      <c r="C3007" s="315"/>
      <c r="D3007" s="315"/>
      <c r="E3007" s="315"/>
      <c r="F3007" s="315"/>
      <c r="G3007" s="315"/>
      <c r="H3007" s="315"/>
      <c r="I3007" s="315"/>
      <c r="J3007" s="315"/>
      <c r="K3007" s="315"/>
      <c r="L3007" s="315"/>
    </row>
    <row r="3008" spans="1:12">
      <c r="A3008" s="315"/>
      <c r="B3008" s="315"/>
      <c r="C3008" s="315"/>
      <c r="D3008" s="315"/>
      <c r="E3008" s="315"/>
      <c r="F3008" s="315"/>
      <c r="G3008" s="315"/>
      <c r="H3008" s="315"/>
      <c r="I3008" s="315"/>
      <c r="J3008" s="315"/>
      <c r="K3008" s="315"/>
      <c r="L3008" s="315"/>
    </row>
    <row r="3009" spans="1:12">
      <c r="A3009" s="315"/>
      <c r="B3009" s="315"/>
      <c r="C3009" s="315"/>
      <c r="D3009" s="315"/>
      <c r="E3009" s="315"/>
      <c r="F3009" s="315"/>
      <c r="G3009" s="315"/>
      <c r="H3009" s="315"/>
      <c r="I3009" s="315"/>
      <c r="J3009" s="315"/>
      <c r="K3009" s="315"/>
      <c r="L3009" s="315"/>
    </row>
    <row r="3010" spans="1:12">
      <c r="A3010" s="315"/>
      <c r="B3010" s="315"/>
      <c r="C3010" s="315"/>
      <c r="D3010" s="315"/>
      <c r="E3010" s="315"/>
      <c r="F3010" s="315"/>
      <c r="G3010" s="315"/>
      <c r="H3010" s="315"/>
      <c r="I3010" s="315"/>
      <c r="J3010" s="315"/>
      <c r="K3010" s="315"/>
      <c r="L3010" s="315"/>
    </row>
    <row r="3011" spans="1:12">
      <c r="A3011" s="315"/>
      <c r="B3011" s="315"/>
      <c r="C3011" s="315"/>
      <c r="D3011" s="315"/>
      <c r="E3011" s="315"/>
      <c r="F3011" s="315"/>
      <c r="G3011" s="315"/>
      <c r="H3011" s="315"/>
      <c r="I3011" s="315"/>
      <c r="J3011" s="315"/>
      <c r="K3011" s="315"/>
      <c r="L3011" s="315"/>
    </row>
    <row r="3012" spans="1:12">
      <c r="A3012" s="315"/>
      <c r="B3012" s="315"/>
      <c r="C3012" s="315"/>
      <c r="D3012" s="315"/>
      <c r="E3012" s="315"/>
      <c r="F3012" s="315"/>
      <c r="G3012" s="315"/>
      <c r="H3012" s="315"/>
      <c r="I3012" s="315"/>
      <c r="J3012" s="315"/>
      <c r="K3012" s="315"/>
      <c r="L3012" s="315"/>
    </row>
    <row r="3013" spans="1:12">
      <c r="A3013" s="315"/>
      <c r="B3013" s="315"/>
      <c r="C3013" s="315"/>
      <c r="D3013" s="315"/>
      <c r="E3013" s="315"/>
      <c r="F3013" s="315"/>
      <c r="G3013" s="315"/>
      <c r="H3013" s="315"/>
      <c r="I3013" s="315"/>
      <c r="J3013" s="315"/>
      <c r="K3013" s="315"/>
      <c r="L3013" s="315"/>
    </row>
    <row r="3014" spans="1:12">
      <c r="A3014" s="315"/>
      <c r="B3014" s="315"/>
      <c r="C3014" s="315"/>
      <c r="D3014" s="315"/>
      <c r="E3014" s="315"/>
      <c r="F3014" s="315"/>
      <c r="G3014" s="315"/>
      <c r="H3014" s="315"/>
      <c r="I3014" s="315"/>
      <c r="J3014" s="315"/>
      <c r="K3014" s="315"/>
      <c r="L3014" s="315"/>
    </row>
    <row r="3015" spans="1:12">
      <c r="A3015" s="315"/>
      <c r="B3015" s="315"/>
      <c r="C3015" s="315"/>
      <c r="D3015" s="315"/>
      <c r="E3015" s="315"/>
      <c r="F3015" s="315"/>
      <c r="G3015" s="315"/>
      <c r="H3015" s="315"/>
      <c r="I3015" s="315"/>
      <c r="J3015" s="315"/>
      <c r="K3015" s="315"/>
      <c r="L3015" s="315"/>
    </row>
    <row r="3016" spans="1:12">
      <c r="A3016" s="315"/>
      <c r="B3016" s="315"/>
      <c r="C3016" s="315"/>
      <c r="D3016" s="315"/>
      <c r="E3016" s="315"/>
      <c r="F3016" s="315"/>
      <c r="G3016" s="315"/>
      <c r="H3016" s="315"/>
      <c r="I3016" s="315"/>
      <c r="J3016" s="315"/>
      <c r="K3016" s="315"/>
      <c r="L3016" s="315"/>
    </row>
    <row r="3017" spans="1:12">
      <c r="A3017" s="315"/>
      <c r="B3017" s="315"/>
      <c r="C3017" s="315"/>
      <c r="D3017" s="315"/>
      <c r="E3017" s="315"/>
      <c r="F3017" s="315"/>
      <c r="G3017" s="315"/>
      <c r="H3017" s="315"/>
      <c r="I3017" s="315"/>
      <c r="J3017" s="315"/>
      <c r="K3017" s="315"/>
      <c r="L3017" s="315"/>
    </row>
    <row r="3018" spans="1:12">
      <c r="A3018" s="315"/>
      <c r="B3018" s="315"/>
      <c r="C3018" s="315"/>
      <c r="D3018" s="315"/>
      <c r="E3018" s="315"/>
      <c r="F3018" s="315"/>
      <c r="G3018" s="315"/>
      <c r="H3018" s="315"/>
      <c r="I3018" s="315"/>
      <c r="J3018" s="315"/>
      <c r="K3018" s="315"/>
      <c r="L3018" s="315"/>
    </row>
    <row r="3019" spans="1:12">
      <c r="A3019" s="315"/>
      <c r="B3019" s="315"/>
      <c r="C3019" s="315"/>
      <c r="D3019" s="315"/>
      <c r="E3019" s="315"/>
      <c r="F3019" s="315"/>
      <c r="G3019" s="315"/>
      <c r="H3019" s="315"/>
      <c r="I3019" s="315"/>
      <c r="J3019" s="315"/>
      <c r="K3019" s="315"/>
      <c r="L3019" s="315"/>
    </row>
    <row r="3020" spans="1:12">
      <c r="A3020" s="315"/>
      <c r="B3020" s="315"/>
      <c r="C3020" s="315"/>
      <c r="D3020" s="315"/>
      <c r="E3020" s="315"/>
      <c r="F3020" s="315"/>
      <c r="G3020" s="315"/>
      <c r="H3020" s="315"/>
      <c r="I3020" s="315"/>
      <c r="J3020" s="315"/>
      <c r="K3020" s="315"/>
      <c r="L3020" s="315"/>
    </row>
    <row r="3021" spans="1:12">
      <c r="A3021" s="315"/>
      <c r="B3021" s="315"/>
      <c r="C3021" s="315"/>
      <c r="D3021" s="315"/>
      <c r="E3021" s="315"/>
      <c r="F3021" s="315"/>
      <c r="G3021" s="315"/>
      <c r="H3021" s="315"/>
      <c r="I3021" s="315"/>
      <c r="J3021" s="315"/>
      <c r="K3021" s="315"/>
      <c r="L3021" s="315"/>
    </row>
    <row r="3022" spans="1:12">
      <c r="A3022" s="315"/>
      <c r="B3022" s="315"/>
      <c r="C3022" s="315"/>
      <c r="D3022" s="315"/>
      <c r="E3022" s="315"/>
      <c r="F3022" s="315"/>
      <c r="G3022" s="315"/>
      <c r="H3022" s="315"/>
      <c r="I3022" s="315"/>
      <c r="J3022" s="315"/>
      <c r="K3022" s="315"/>
      <c r="L3022" s="315"/>
    </row>
    <row r="3023" spans="1:12">
      <c r="A3023" s="315"/>
      <c r="B3023" s="315"/>
      <c r="C3023" s="315"/>
      <c r="D3023" s="315"/>
      <c r="E3023" s="315"/>
      <c r="F3023" s="315"/>
      <c r="G3023" s="315"/>
      <c r="H3023" s="315"/>
      <c r="I3023" s="315"/>
      <c r="J3023" s="315"/>
      <c r="K3023" s="315"/>
      <c r="L3023" s="315"/>
    </row>
    <row r="3024" spans="1:12">
      <c r="A3024" s="315"/>
      <c r="B3024" s="315"/>
      <c r="C3024" s="315"/>
      <c r="D3024" s="315"/>
      <c r="E3024" s="315"/>
      <c r="F3024" s="315"/>
      <c r="G3024" s="315"/>
      <c r="H3024" s="315"/>
      <c r="I3024" s="315"/>
      <c r="J3024" s="315"/>
      <c r="K3024" s="315"/>
      <c r="L3024" s="315"/>
    </row>
    <row r="3025" spans="1:12">
      <c r="A3025" s="315"/>
      <c r="B3025" s="315"/>
      <c r="C3025" s="315"/>
      <c r="D3025" s="315"/>
      <c r="E3025" s="315"/>
      <c r="F3025" s="315"/>
      <c r="G3025" s="315"/>
      <c r="H3025" s="315"/>
      <c r="I3025" s="315"/>
      <c r="J3025" s="315"/>
      <c r="K3025" s="315"/>
      <c r="L3025" s="315"/>
    </row>
    <row r="3026" spans="1:12">
      <c r="A3026" s="315"/>
      <c r="B3026" s="315"/>
      <c r="C3026" s="315"/>
      <c r="D3026" s="315"/>
      <c r="E3026" s="315"/>
      <c r="F3026" s="315"/>
      <c r="G3026" s="315"/>
      <c r="H3026" s="315"/>
      <c r="I3026" s="315"/>
      <c r="J3026" s="315"/>
      <c r="K3026" s="315"/>
      <c r="L3026" s="315"/>
    </row>
    <row r="3027" spans="1:12">
      <c r="A3027" s="315"/>
      <c r="B3027" s="315"/>
      <c r="C3027" s="315"/>
      <c r="D3027" s="315"/>
      <c r="E3027" s="315"/>
      <c r="F3027" s="315"/>
      <c r="G3027" s="315"/>
      <c r="H3027" s="315"/>
      <c r="I3027" s="315"/>
      <c r="J3027" s="315"/>
      <c r="K3027" s="315"/>
      <c r="L3027" s="315"/>
    </row>
    <row r="3028" spans="1:12">
      <c r="A3028" s="315"/>
      <c r="B3028" s="315"/>
      <c r="C3028" s="315"/>
      <c r="D3028" s="315"/>
      <c r="E3028" s="315"/>
      <c r="F3028" s="315"/>
      <c r="G3028" s="315"/>
      <c r="H3028" s="315"/>
      <c r="I3028" s="315"/>
      <c r="J3028" s="315"/>
      <c r="K3028" s="315"/>
      <c r="L3028" s="315"/>
    </row>
    <row r="3029" spans="1:12">
      <c r="A3029" s="315"/>
      <c r="B3029" s="315"/>
      <c r="C3029" s="315"/>
      <c r="D3029" s="315"/>
      <c r="E3029" s="315"/>
      <c r="F3029" s="315"/>
      <c r="G3029" s="315"/>
      <c r="H3029" s="315"/>
      <c r="I3029" s="315"/>
      <c r="J3029" s="315"/>
      <c r="K3029" s="315"/>
      <c r="L3029" s="315"/>
    </row>
    <row r="3030" spans="1:12">
      <c r="A3030" s="315"/>
      <c r="B3030" s="315"/>
      <c r="C3030" s="315"/>
      <c r="D3030" s="315"/>
      <c r="E3030" s="315"/>
      <c r="F3030" s="315"/>
      <c r="G3030" s="315"/>
      <c r="H3030" s="315"/>
      <c r="I3030" s="315"/>
      <c r="J3030" s="315"/>
      <c r="K3030" s="315"/>
      <c r="L3030" s="315"/>
    </row>
    <row r="3031" spans="1:12">
      <c r="A3031" s="315"/>
      <c r="B3031" s="315"/>
      <c r="C3031" s="315"/>
      <c r="D3031" s="315"/>
      <c r="E3031" s="315"/>
      <c r="F3031" s="315"/>
      <c r="G3031" s="315"/>
      <c r="H3031" s="315"/>
      <c r="I3031" s="315"/>
      <c r="J3031" s="315"/>
      <c r="K3031" s="315"/>
      <c r="L3031" s="315"/>
    </row>
    <row r="3032" spans="1:12">
      <c r="A3032" s="315"/>
      <c r="B3032" s="315"/>
      <c r="C3032" s="315"/>
      <c r="D3032" s="315"/>
      <c r="E3032" s="315"/>
      <c r="F3032" s="315"/>
      <c r="G3032" s="315"/>
      <c r="H3032" s="315"/>
      <c r="I3032" s="315"/>
      <c r="J3032" s="315"/>
      <c r="K3032" s="315"/>
      <c r="L3032" s="315"/>
    </row>
    <row r="3033" spans="1:12">
      <c r="A3033" s="315"/>
      <c r="B3033" s="315"/>
      <c r="C3033" s="315"/>
      <c r="D3033" s="315"/>
      <c r="E3033" s="315"/>
      <c r="F3033" s="315"/>
      <c r="G3033" s="315"/>
      <c r="H3033" s="315"/>
      <c r="I3033" s="315"/>
      <c r="J3033" s="315"/>
      <c r="K3033" s="315"/>
      <c r="L3033" s="315"/>
    </row>
    <row r="3034" spans="1:12">
      <c r="A3034" s="315"/>
      <c r="B3034" s="315"/>
      <c r="C3034" s="315"/>
      <c r="D3034" s="315"/>
      <c r="E3034" s="315"/>
      <c r="F3034" s="315"/>
      <c r="G3034" s="315"/>
      <c r="H3034" s="315"/>
      <c r="I3034" s="315"/>
      <c r="J3034" s="315"/>
      <c r="K3034" s="315"/>
      <c r="L3034" s="315"/>
    </row>
    <row r="3035" spans="1:12">
      <c r="A3035" s="315"/>
      <c r="B3035" s="315"/>
      <c r="C3035" s="315"/>
      <c r="D3035" s="315"/>
      <c r="E3035" s="315"/>
      <c r="F3035" s="315"/>
      <c r="G3035" s="315"/>
      <c r="H3035" s="315"/>
      <c r="I3035" s="315"/>
      <c r="J3035" s="315"/>
      <c r="K3035" s="315"/>
      <c r="L3035" s="315"/>
    </row>
    <row r="3036" spans="1:12">
      <c r="A3036" s="315"/>
      <c r="B3036" s="315"/>
      <c r="C3036" s="315"/>
      <c r="D3036" s="315"/>
      <c r="E3036" s="315"/>
      <c r="F3036" s="315"/>
      <c r="G3036" s="315"/>
      <c r="H3036" s="315"/>
      <c r="I3036" s="315"/>
      <c r="J3036" s="315"/>
      <c r="K3036" s="315"/>
      <c r="L3036" s="315"/>
    </row>
    <row r="3037" spans="1:12">
      <c r="A3037" s="315"/>
      <c r="B3037" s="315"/>
      <c r="C3037" s="315"/>
      <c r="D3037" s="315"/>
      <c r="E3037" s="315"/>
      <c r="F3037" s="315"/>
      <c r="G3037" s="315"/>
      <c r="H3037" s="315"/>
      <c r="I3037" s="315"/>
      <c r="J3037" s="315"/>
      <c r="K3037" s="315"/>
      <c r="L3037" s="315"/>
    </row>
    <row r="3038" spans="1:12">
      <c r="A3038" s="315"/>
      <c r="B3038" s="315"/>
      <c r="C3038" s="315"/>
      <c r="D3038" s="315"/>
      <c r="E3038" s="315"/>
      <c r="F3038" s="315"/>
      <c r="G3038" s="315"/>
      <c r="H3038" s="315"/>
      <c r="I3038" s="315"/>
      <c r="J3038" s="315"/>
      <c r="K3038" s="315"/>
      <c r="L3038" s="315"/>
    </row>
    <row r="3039" spans="1:12">
      <c r="A3039" s="315"/>
      <c r="B3039" s="315"/>
      <c r="C3039" s="315"/>
      <c r="D3039" s="315"/>
      <c r="E3039" s="315"/>
      <c r="F3039" s="315"/>
      <c r="G3039" s="315"/>
      <c r="H3039" s="315"/>
      <c r="I3039" s="315"/>
      <c r="J3039" s="315"/>
      <c r="K3039" s="315"/>
      <c r="L3039" s="315"/>
    </row>
    <row r="3040" spans="1:12">
      <c r="A3040" s="315"/>
      <c r="B3040" s="315"/>
      <c r="C3040" s="315"/>
      <c r="D3040" s="315"/>
      <c r="E3040" s="315"/>
      <c r="F3040" s="315"/>
      <c r="G3040" s="315"/>
      <c r="H3040" s="315"/>
      <c r="I3040" s="315"/>
      <c r="J3040" s="315"/>
      <c r="K3040" s="315"/>
      <c r="L3040" s="315"/>
    </row>
    <row r="3041" spans="1:12">
      <c r="A3041" s="315"/>
      <c r="B3041" s="315"/>
      <c r="C3041" s="315"/>
      <c r="D3041" s="315"/>
      <c r="E3041" s="315"/>
      <c r="F3041" s="315"/>
      <c r="G3041" s="315"/>
      <c r="H3041" s="315"/>
      <c r="I3041" s="315"/>
      <c r="J3041" s="315"/>
      <c r="K3041" s="315"/>
      <c r="L3041" s="315"/>
    </row>
    <row r="3042" spans="1:12">
      <c r="A3042" s="315"/>
      <c r="B3042" s="315"/>
      <c r="C3042" s="315"/>
      <c r="D3042" s="315"/>
      <c r="E3042" s="315"/>
      <c r="F3042" s="315"/>
      <c r="G3042" s="315"/>
      <c r="H3042" s="315"/>
      <c r="I3042" s="315"/>
      <c r="J3042" s="315"/>
      <c r="K3042" s="315"/>
      <c r="L3042" s="315"/>
    </row>
    <row r="3043" spans="1:12">
      <c r="A3043" s="315"/>
      <c r="B3043" s="315"/>
      <c r="C3043" s="315"/>
      <c r="D3043" s="315"/>
      <c r="E3043" s="315"/>
      <c r="F3043" s="315"/>
      <c r="G3043" s="315"/>
      <c r="H3043" s="315"/>
      <c r="I3043" s="315"/>
      <c r="J3043" s="315"/>
      <c r="K3043" s="315"/>
      <c r="L3043" s="315"/>
    </row>
    <row r="3044" spans="1:12">
      <c r="A3044" s="315"/>
      <c r="B3044" s="315"/>
      <c r="C3044" s="315"/>
      <c r="D3044" s="315"/>
      <c r="E3044" s="315"/>
      <c r="F3044" s="315"/>
      <c r="G3044" s="315"/>
      <c r="H3044" s="315"/>
      <c r="I3044" s="315"/>
      <c r="J3044" s="315"/>
      <c r="K3044" s="315"/>
      <c r="L3044" s="315"/>
    </row>
    <row r="3045" spans="1:12">
      <c r="A3045" s="315"/>
      <c r="B3045" s="315"/>
      <c r="C3045" s="315"/>
      <c r="D3045" s="315"/>
      <c r="E3045" s="315"/>
      <c r="F3045" s="315"/>
      <c r="G3045" s="315"/>
      <c r="H3045" s="315"/>
      <c r="I3045" s="315"/>
      <c r="J3045" s="315"/>
      <c r="K3045" s="315"/>
      <c r="L3045" s="315"/>
    </row>
    <row r="3046" spans="1:12">
      <c r="A3046" s="315"/>
      <c r="B3046" s="315"/>
      <c r="C3046" s="315"/>
      <c r="D3046" s="315"/>
      <c r="E3046" s="315"/>
      <c r="F3046" s="315"/>
      <c r="G3046" s="315"/>
      <c r="H3046" s="315"/>
      <c r="I3046" s="315"/>
      <c r="J3046" s="315"/>
      <c r="K3046" s="315"/>
      <c r="L3046" s="315"/>
    </row>
    <row r="3047" spans="1:12">
      <c r="A3047" s="315"/>
      <c r="B3047" s="315"/>
      <c r="C3047" s="315"/>
      <c r="D3047" s="315"/>
      <c r="E3047" s="315"/>
      <c r="F3047" s="315"/>
      <c r="G3047" s="315"/>
      <c r="H3047" s="315"/>
      <c r="I3047" s="315"/>
      <c r="J3047" s="315"/>
      <c r="K3047" s="315"/>
      <c r="L3047" s="315"/>
    </row>
    <row r="3048" spans="1:12">
      <c r="A3048" s="315"/>
      <c r="B3048" s="315"/>
      <c r="C3048" s="315"/>
      <c r="D3048" s="315"/>
      <c r="E3048" s="315"/>
      <c r="F3048" s="315"/>
      <c r="G3048" s="315"/>
      <c r="H3048" s="315"/>
      <c r="I3048" s="315"/>
      <c r="J3048" s="315"/>
      <c r="K3048" s="315"/>
      <c r="L3048" s="315"/>
    </row>
    <row r="3049" spans="1:12">
      <c r="A3049" s="315"/>
      <c r="B3049" s="315"/>
      <c r="C3049" s="315"/>
      <c r="D3049" s="315"/>
      <c r="E3049" s="315"/>
      <c r="F3049" s="315"/>
      <c r="G3049" s="315"/>
      <c r="H3049" s="315"/>
      <c r="I3049" s="315"/>
      <c r="J3049" s="315"/>
      <c r="K3049" s="315"/>
      <c r="L3049" s="315"/>
    </row>
    <row r="3050" spans="1:12">
      <c r="A3050" s="315"/>
      <c r="B3050" s="315"/>
      <c r="C3050" s="315"/>
      <c r="D3050" s="315"/>
      <c r="E3050" s="315"/>
      <c r="F3050" s="315"/>
      <c r="G3050" s="315"/>
      <c r="H3050" s="315"/>
      <c r="I3050" s="315"/>
      <c r="J3050" s="315"/>
      <c r="K3050" s="315"/>
      <c r="L3050" s="315"/>
    </row>
    <row r="3051" spans="1:12">
      <c r="A3051" s="315"/>
      <c r="B3051" s="315"/>
      <c r="C3051" s="315"/>
      <c r="D3051" s="315"/>
      <c r="E3051" s="315"/>
      <c r="F3051" s="315"/>
      <c r="G3051" s="315"/>
      <c r="H3051" s="315"/>
      <c r="I3051" s="315"/>
      <c r="J3051" s="315"/>
      <c r="K3051" s="315"/>
      <c r="L3051" s="315"/>
    </row>
    <row r="3052" spans="1:12">
      <c r="A3052" s="315"/>
      <c r="B3052" s="315"/>
      <c r="C3052" s="315"/>
      <c r="D3052" s="315"/>
      <c r="E3052" s="315"/>
      <c r="F3052" s="315"/>
      <c r="G3052" s="315"/>
      <c r="H3052" s="315"/>
      <c r="I3052" s="315"/>
      <c r="J3052" s="315"/>
      <c r="K3052" s="315"/>
      <c r="L3052" s="315"/>
    </row>
    <row r="3053" spans="1:12">
      <c r="A3053" s="315"/>
      <c r="B3053" s="315"/>
      <c r="C3053" s="315"/>
      <c r="D3053" s="315"/>
      <c r="E3053" s="315"/>
      <c r="F3053" s="315"/>
      <c r="G3053" s="315"/>
      <c r="H3053" s="315"/>
      <c r="I3053" s="315"/>
      <c r="J3053" s="315"/>
      <c r="K3053" s="315"/>
      <c r="L3053" s="315"/>
    </row>
    <row r="3054" spans="1:12">
      <c r="A3054" s="315"/>
      <c r="B3054" s="315"/>
      <c r="C3054" s="315"/>
      <c r="D3054" s="315"/>
      <c r="E3054" s="315"/>
      <c r="F3054" s="315"/>
      <c r="G3054" s="315"/>
      <c r="H3054" s="315"/>
      <c r="I3054" s="315"/>
      <c r="J3054" s="315"/>
      <c r="K3054" s="315"/>
      <c r="L3054" s="315"/>
    </row>
    <row r="3055" spans="1:12">
      <c r="A3055" s="315"/>
      <c r="B3055" s="315"/>
      <c r="C3055" s="315"/>
      <c r="D3055" s="315"/>
      <c r="E3055" s="315"/>
      <c r="F3055" s="315"/>
      <c r="G3055" s="315"/>
      <c r="H3055" s="315"/>
      <c r="I3055" s="315"/>
      <c r="J3055" s="315"/>
      <c r="K3055" s="315"/>
      <c r="L3055" s="315"/>
    </row>
    <row r="3056" spans="1:12">
      <c r="A3056" s="315"/>
      <c r="B3056" s="315"/>
      <c r="C3056" s="315"/>
      <c r="D3056" s="315"/>
      <c r="E3056" s="315"/>
      <c r="F3056" s="315"/>
      <c r="G3056" s="315"/>
      <c r="H3056" s="315"/>
      <c r="I3056" s="315"/>
      <c r="J3056" s="315"/>
      <c r="K3056" s="315"/>
      <c r="L3056" s="315"/>
    </row>
    <row r="3057" spans="1:12">
      <c r="A3057" s="315"/>
      <c r="B3057" s="315"/>
      <c r="C3057" s="315"/>
      <c r="D3057" s="315"/>
      <c r="E3057" s="315"/>
      <c r="F3057" s="315"/>
      <c r="G3057" s="315"/>
      <c r="H3057" s="315"/>
      <c r="I3057" s="315"/>
      <c r="J3057" s="315"/>
      <c r="K3057" s="315"/>
      <c r="L3057" s="315"/>
    </row>
    <row r="3058" spans="1:12">
      <c r="A3058" s="315"/>
      <c r="B3058" s="315"/>
      <c r="C3058" s="315"/>
      <c r="D3058" s="315"/>
      <c r="E3058" s="315"/>
      <c r="F3058" s="315"/>
      <c r="G3058" s="315"/>
      <c r="H3058" s="315"/>
      <c r="I3058" s="315"/>
      <c r="J3058" s="315"/>
      <c r="K3058" s="315"/>
      <c r="L3058" s="315"/>
    </row>
    <row r="3059" spans="1:12">
      <c r="A3059" s="315"/>
      <c r="B3059" s="315"/>
      <c r="C3059" s="315"/>
      <c r="D3059" s="315"/>
      <c r="E3059" s="315"/>
      <c r="F3059" s="315"/>
      <c r="G3059" s="315"/>
      <c r="H3059" s="315"/>
      <c r="I3059" s="315"/>
      <c r="J3059" s="315"/>
      <c r="K3059" s="315"/>
      <c r="L3059" s="315"/>
    </row>
    <row r="3060" spans="1:12">
      <c r="A3060" s="315"/>
      <c r="B3060" s="315"/>
      <c r="C3060" s="315"/>
      <c r="D3060" s="315"/>
      <c r="E3060" s="315"/>
      <c r="F3060" s="315"/>
      <c r="G3060" s="315"/>
      <c r="H3060" s="315"/>
      <c r="I3060" s="315"/>
      <c r="J3060" s="315"/>
      <c r="K3060" s="315"/>
      <c r="L3060" s="315"/>
    </row>
    <row r="3061" spans="1:12">
      <c r="A3061" s="315"/>
      <c r="B3061" s="315"/>
      <c r="C3061" s="315"/>
      <c r="D3061" s="315"/>
      <c r="E3061" s="315"/>
      <c r="F3061" s="315"/>
      <c r="G3061" s="315"/>
      <c r="H3061" s="315"/>
      <c r="I3061" s="315"/>
      <c r="J3061" s="315"/>
      <c r="K3061" s="315"/>
      <c r="L3061" s="315"/>
    </row>
    <row r="3062" spans="1:12">
      <c r="A3062" s="315"/>
      <c r="B3062" s="315"/>
      <c r="C3062" s="315"/>
      <c r="D3062" s="315"/>
      <c r="E3062" s="315"/>
      <c r="F3062" s="315"/>
      <c r="G3062" s="315"/>
      <c r="H3062" s="315"/>
      <c r="I3062" s="315"/>
      <c r="J3062" s="315"/>
      <c r="K3062" s="315"/>
      <c r="L3062" s="315"/>
    </row>
    <row r="3063" spans="1:12">
      <c r="A3063" s="315"/>
      <c r="B3063" s="315"/>
      <c r="C3063" s="315"/>
      <c r="D3063" s="315"/>
      <c r="E3063" s="315"/>
      <c r="F3063" s="315"/>
      <c r="G3063" s="315"/>
      <c r="H3063" s="315"/>
      <c r="I3063" s="315"/>
      <c r="J3063" s="315"/>
      <c r="K3063" s="315"/>
      <c r="L3063" s="315"/>
    </row>
    <row r="3064" spans="1:12">
      <c r="A3064" s="315"/>
      <c r="B3064" s="315"/>
      <c r="C3064" s="315"/>
      <c r="D3064" s="315"/>
      <c r="E3064" s="315"/>
      <c r="F3064" s="315"/>
      <c r="G3064" s="315"/>
      <c r="H3064" s="315"/>
      <c r="I3064" s="315"/>
      <c r="J3064" s="315"/>
      <c r="K3064" s="315"/>
      <c r="L3064" s="315"/>
    </row>
    <row r="3065" spans="1:12">
      <c r="A3065" s="315"/>
      <c r="B3065" s="315"/>
      <c r="C3065" s="315"/>
      <c r="D3065" s="315"/>
      <c r="E3065" s="315"/>
      <c r="F3065" s="315"/>
      <c r="G3065" s="315"/>
      <c r="H3065" s="315"/>
      <c r="I3065" s="315"/>
      <c r="J3065" s="315"/>
      <c r="K3065" s="315"/>
      <c r="L3065" s="315"/>
    </row>
    <row r="3066" spans="1:12">
      <c r="A3066" s="315"/>
      <c r="B3066" s="315"/>
      <c r="C3066" s="315"/>
      <c r="D3066" s="315"/>
      <c r="E3066" s="315"/>
      <c r="F3066" s="315"/>
      <c r="G3066" s="315"/>
      <c r="H3066" s="315"/>
      <c r="I3066" s="315"/>
      <c r="J3066" s="315"/>
      <c r="K3066" s="315"/>
      <c r="L3066" s="315"/>
    </row>
    <row r="3067" spans="1:12">
      <c r="A3067" s="315"/>
      <c r="B3067" s="315"/>
      <c r="C3067" s="315"/>
      <c r="D3067" s="315"/>
      <c r="E3067" s="315"/>
      <c r="F3067" s="315"/>
      <c r="G3067" s="315"/>
      <c r="H3067" s="315"/>
      <c r="I3067" s="315"/>
      <c r="J3067" s="315"/>
      <c r="K3067" s="315"/>
      <c r="L3067" s="315"/>
    </row>
    <row r="3068" spans="1:12">
      <c r="A3068" s="315"/>
      <c r="B3068" s="315"/>
      <c r="C3068" s="315"/>
      <c r="D3068" s="315"/>
      <c r="E3068" s="315"/>
      <c r="F3068" s="315"/>
      <c r="G3068" s="315"/>
      <c r="H3068" s="315"/>
      <c r="I3068" s="315"/>
      <c r="J3068" s="315"/>
      <c r="K3068" s="315"/>
      <c r="L3068" s="315"/>
    </row>
    <row r="3069" spans="1:12">
      <c r="A3069" s="315"/>
      <c r="B3069" s="315"/>
      <c r="C3069" s="315"/>
      <c r="D3069" s="315"/>
      <c r="E3069" s="315"/>
      <c r="F3069" s="315"/>
      <c r="G3069" s="315"/>
      <c r="H3069" s="315"/>
      <c r="I3069" s="315"/>
      <c r="J3069" s="315"/>
      <c r="K3069" s="315"/>
      <c r="L3069" s="315"/>
    </row>
    <row r="3070" spans="1:12">
      <c r="A3070" s="315"/>
      <c r="B3070" s="315"/>
      <c r="C3070" s="315"/>
      <c r="D3070" s="315"/>
      <c r="E3070" s="315"/>
      <c r="F3070" s="315"/>
      <c r="G3070" s="315"/>
      <c r="H3070" s="315"/>
      <c r="I3070" s="315"/>
      <c r="J3070" s="315"/>
      <c r="K3070" s="315"/>
      <c r="L3070" s="315"/>
    </row>
    <row r="3071" spans="1:12">
      <c r="A3071" s="315"/>
      <c r="B3071" s="315"/>
      <c r="C3071" s="315"/>
      <c r="D3071" s="315"/>
      <c r="E3071" s="315"/>
      <c r="F3071" s="315"/>
      <c r="G3071" s="315"/>
      <c r="H3071" s="315"/>
      <c r="I3071" s="315"/>
      <c r="J3071" s="315"/>
      <c r="K3071" s="315"/>
      <c r="L3071" s="315"/>
    </row>
    <row r="3072" spans="1:12">
      <c r="A3072" s="315"/>
      <c r="B3072" s="315"/>
      <c r="C3072" s="315"/>
      <c r="D3072" s="315"/>
      <c r="E3072" s="315"/>
      <c r="F3072" s="315"/>
      <c r="G3072" s="315"/>
      <c r="H3072" s="315"/>
      <c r="I3072" s="315"/>
      <c r="J3072" s="315"/>
      <c r="K3072" s="315"/>
      <c r="L3072" s="315"/>
    </row>
    <row r="3073" spans="1:12">
      <c r="A3073" s="315"/>
      <c r="B3073" s="315"/>
      <c r="C3073" s="315"/>
      <c r="D3073" s="315"/>
      <c r="E3073" s="315"/>
      <c r="F3073" s="315"/>
      <c r="G3073" s="315"/>
      <c r="H3073" s="315"/>
      <c r="I3073" s="315"/>
      <c r="J3073" s="315"/>
      <c r="K3073" s="315"/>
      <c r="L3073" s="315"/>
    </row>
    <row r="3074" spans="1:12">
      <c r="A3074" s="315"/>
      <c r="B3074" s="315"/>
      <c r="C3074" s="315"/>
      <c r="D3074" s="315"/>
      <c r="E3074" s="315"/>
      <c r="F3074" s="315"/>
      <c r="G3074" s="315"/>
      <c r="H3074" s="315"/>
      <c r="I3074" s="315"/>
      <c r="J3074" s="315"/>
      <c r="K3074" s="315"/>
      <c r="L3074" s="315"/>
    </row>
    <row r="3075" spans="1:12">
      <c r="A3075" s="315"/>
      <c r="B3075" s="315"/>
      <c r="C3075" s="315"/>
      <c r="D3075" s="315"/>
      <c r="E3075" s="315"/>
      <c r="F3075" s="315"/>
      <c r="G3075" s="315"/>
      <c r="H3075" s="315"/>
      <c r="I3075" s="315"/>
      <c r="J3075" s="315"/>
      <c r="K3075" s="315"/>
      <c r="L3075" s="315"/>
    </row>
    <row r="3076" spans="1:12">
      <c r="A3076" s="315"/>
      <c r="B3076" s="315"/>
      <c r="C3076" s="315"/>
      <c r="D3076" s="315"/>
      <c r="E3076" s="315"/>
      <c r="F3076" s="315"/>
      <c r="G3076" s="315"/>
      <c r="H3076" s="315"/>
      <c r="I3076" s="315"/>
      <c r="J3076" s="315"/>
      <c r="K3076" s="315"/>
      <c r="L3076" s="315"/>
    </row>
    <row r="3077" spans="1:12">
      <c r="A3077" s="315"/>
      <c r="B3077" s="315"/>
      <c r="C3077" s="315"/>
      <c r="D3077" s="315"/>
      <c r="E3077" s="315"/>
      <c r="F3077" s="315"/>
      <c r="G3077" s="315"/>
      <c r="H3077" s="315"/>
      <c r="I3077" s="315"/>
      <c r="J3077" s="315"/>
      <c r="K3077" s="315"/>
      <c r="L3077" s="315"/>
    </row>
    <row r="3078" spans="1:12">
      <c r="A3078" s="315"/>
      <c r="B3078" s="315"/>
      <c r="C3078" s="315"/>
      <c r="D3078" s="315"/>
      <c r="E3078" s="315"/>
      <c r="F3078" s="315"/>
      <c r="G3078" s="315"/>
      <c r="H3078" s="315"/>
      <c r="I3078" s="315"/>
      <c r="J3078" s="315"/>
      <c r="K3078" s="315"/>
      <c r="L3078" s="315"/>
    </row>
    <row r="3079" spans="1:12">
      <c r="A3079" s="315"/>
      <c r="B3079" s="315"/>
      <c r="C3079" s="315"/>
      <c r="D3079" s="315"/>
      <c r="E3079" s="315"/>
      <c r="F3079" s="315"/>
      <c r="G3079" s="315"/>
      <c r="H3079" s="315"/>
      <c r="I3079" s="315"/>
      <c r="J3079" s="315"/>
      <c r="K3079" s="315"/>
      <c r="L3079" s="315"/>
    </row>
    <row r="3080" spans="1:12">
      <c r="A3080" s="315"/>
      <c r="B3080" s="315"/>
      <c r="C3080" s="315"/>
      <c r="D3080" s="315"/>
      <c r="E3080" s="315"/>
      <c r="F3080" s="315"/>
      <c r="G3080" s="315"/>
      <c r="H3080" s="315"/>
      <c r="I3080" s="315"/>
      <c r="J3080" s="315"/>
      <c r="K3080" s="315"/>
      <c r="L3080" s="315"/>
    </row>
    <row r="3081" spans="1:12">
      <c r="A3081" s="315"/>
      <c r="B3081" s="315"/>
      <c r="C3081" s="315"/>
      <c r="D3081" s="315"/>
      <c r="E3081" s="315"/>
      <c r="F3081" s="315"/>
      <c r="G3081" s="315"/>
      <c r="H3081" s="315"/>
      <c r="I3081" s="315"/>
      <c r="J3081" s="315"/>
      <c r="K3081" s="315"/>
      <c r="L3081" s="315"/>
    </row>
    <row r="3082" spans="1:12">
      <c r="A3082" s="315"/>
      <c r="B3082" s="315"/>
      <c r="C3082" s="315"/>
      <c r="D3082" s="315"/>
      <c r="E3082" s="315"/>
      <c r="F3082" s="315"/>
      <c r="G3082" s="315"/>
      <c r="H3082" s="315"/>
      <c r="I3082" s="315"/>
      <c r="J3082" s="315"/>
      <c r="K3082" s="315"/>
      <c r="L3082" s="315"/>
    </row>
    <row r="3083" spans="1:12">
      <c r="A3083" s="315"/>
      <c r="B3083" s="315"/>
      <c r="C3083" s="315"/>
      <c r="D3083" s="315"/>
      <c r="E3083" s="315"/>
      <c r="F3083" s="315"/>
      <c r="G3083" s="315"/>
      <c r="H3083" s="315"/>
      <c r="I3083" s="315"/>
      <c r="J3083" s="315"/>
      <c r="K3083" s="315"/>
      <c r="L3083" s="315"/>
    </row>
    <row r="3084" spans="1:12">
      <c r="A3084" s="315"/>
      <c r="B3084" s="315"/>
      <c r="C3084" s="315"/>
      <c r="D3084" s="315"/>
      <c r="E3084" s="315"/>
      <c r="F3084" s="315"/>
      <c r="G3084" s="315"/>
      <c r="H3084" s="315"/>
      <c r="I3084" s="315"/>
      <c r="J3084" s="315"/>
      <c r="K3084" s="315"/>
      <c r="L3084" s="315"/>
    </row>
    <row r="3085" spans="1:12">
      <c r="A3085" s="315"/>
      <c r="B3085" s="315"/>
      <c r="C3085" s="315"/>
      <c r="D3085" s="315"/>
      <c r="E3085" s="315"/>
      <c r="F3085" s="315"/>
      <c r="G3085" s="315"/>
      <c r="H3085" s="315"/>
      <c r="I3085" s="315"/>
      <c r="J3085" s="315"/>
      <c r="K3085" s="315"/>
      <c r="L3085" s="315"/>
    </row>
    <row r="3086" spans="1:12">
      <c r="A3086" s="315"/>
      <c r="B3086" s="315"/>
      <c r="C3086" s="315"/>
      <c r="D3086" s="315"/>
      <c r="E3086" s="315"/>
      <c r="F3086" s="315"/>
      <c r="G3086" s="315"/>
      <c r="H3086" s="315"/>
      <c r="I3086" s="315"/>
      <c r="J3086" s="315"/>
      <c r="K3086" s="315"/>
      <c r="L3086" s="315"/>
    </row>
    <row r="3087" spans="1:12">
      <c r="A3087" s="315"/>
      <c r="B3087" s="315"/>
      <c r="C3087" s="315"/>
      <c r="D3087" s="315"/>
      <c r="E3087" s="315"/>
      <c r="F3087" s="315"/>
      <c r="G3087" s="315"/>
      <c r="H3087" s="315"/>
      <c r="I3087" s="315"/>
      <c r="J3087" s="315"/>
      <c r="K3087" s="315"/>
      <c r="L3087" s="315"/>
    </row>
    <row r="3088" spans="1:12">
      <c r="A3088" s="315"/>
      <c r="B3088" s="315"/>
      <c r="C3088" s="315"/>
      <c r="D3088" s="315"/>
      <c r="E3088" s="315"/>
      <c r="F3088" s="315"/>
      <c r="G3088" s="315"/>
      <c r="H3088" s="315"/>
      <c r="I3088" s="315"/>
      <c r="J3088" s="315"/>
      <c r="K3088" s="315"/>
      <c r="L3088" s="315"/>
    </row>
    <row r="3089" spans="1:12">
      <c r="A3089" s="315"/>
      <c r="B3089" s="315"/>
      <c r="C3089" s="315"/>
      <c r="D3089" s="315"/>
      <c r="E3089" s="315"/>
      <c r="F3089" s="315"/>
      <c r="G3089" s="315"/>
      <c r="H3089" s="315"/>
      <c r="I3089" s="315"/>
      <c r="J3089" s="315"/>
      <c r="K3089" s="315"/>
      <c r="L3089" s="315"/>
    </row>
    <row r="3090" spans="1:12">
      <c r="A3090" s="315"/>
      <c r="B3090" s="315"/>
      <c r="C3090" s="315"/>
      <c r="D3090" s="315"/>
      <c r="E3090" s="315"/>
      <c r="F3090" s="315"/>
      <c r="G3090" s="315"/>
      <c r="H3090" s="315"/>
      <c r="I3090" s="315"/>
      <c r="J3090" s="315"/>
      <c r="K3090" s="315"/>
      <c r="L3090" s="315"/>
    </row>
    <row r="3091" spans="1:12">
      <c r="A3091" s="315"/>
      <c r="B3091" s="315"/>
      <c r="C3091" s="315"/>
      <c r="D3091" s="315"/>
      <c r="E3091" s="315"/>
      <c r="F3091" s="315"/>
      <c r="G3091" s="315"/>
      <c r="H3091" s="315"/>
      <c r="I3091" s="315"/>
      <c r="J3091" s="315"/>
      <c r="K3091" s="315"/>
      <c r="L3091" s="315"/>
    </row>
    <row r="3092" spans="1:12">
      <c r="A3092" s="315"/>
      <c r="B3092" s="315"/>
      <c r="C3092" s="315"/>
      <c r="D3092" s="315"/>
      <c r="E3092" s="315"/>
      <c r="F3092" s="315"/>
      <c r="G3092" s="315"/>
      <c r="H3092" s="315"/>
      <c r="I3092" s="315"/>
      <c r="J3092" s="315"/>
      <c r="K3092" s="315"/>
      <c r="L3092" s="315"/>
    </row>
    <row r="3093" spans="1:12">
      <c r="A3093" s="315"/>
      <c r="B3093" s="315"/>
      <c r="C3093" s="315"/>
      <c r="D3093" s="315"/>
      <c r="E3093" s="315"/>
      <c r="F3093" s="315"/>
      <c r="G3093" s="315"/>
      <c r="H3093" s="315"/>
      <c r="I3093" s="315"/>
      <c r="J3093" s="315"/>
      <c r="K3093" s="315"/>
      <c r="L3093" s="315"/>
    </row>
    <row r="3094" spans="1:12">
      <c r="A3094" s="315"/>
      <c r="B3094" s="315"/>
      <c r="C3094" s="315"/>
      <c r="D3094" s="315"/>
      <c r="E3094" s="315"/>
      <c r="F3094" s="315"/>
      <c r="G3094" s="315"/>
      <c r="H3094" s="315"/>
      <c r="I3094" s="315"/>
      <c r="J3094" s="315"/>
      <c r="K3094" s="315"/>
      <c r="L3094" s="315"/>
    </row>
    <row r="3095" spans="1:12">
      <c r="A3095" s="315"/>
      <c r="B3095" s="315"/>
      <c r="C3095" s="315"/>
      <c r="D3095" s="315"/>
      <c r="E3095" s="315"/>
      <c r="F3095" s="315"/>
      <c r="G3095" s="315"/>
      <c r="H3095" s="315"/>
      <c r="I3095" s="315"/>
      <c r="J3095" s="315"/>
      <c r="K3095" s="315"/>
      <c r="L3095" s="315"/>
    </row>
    <row r="3096" spans="1:12">
      <c r="A3096" s="315"/>
      <c r="B3096" s="315"/>
      <c r="C3096" s="315"/>
      <c r="D3096" s="315"/>
      <c r="E3096" s="315"/>
      <c r="F3096" s="315"/>
      <c r="G3096" s="315"/>
      <c r="H3096" s="315"/>
      <c r="I3096" s="315"/>
      <c r="J3096" s="315"/>
      <c r="K3096" s="315"/>
      <c r="L3096" s="315"/>
    </row>
    <row r="3097" spans="1:12">
      <c r="A3097" s="315"/>
      <c r="B3097" s="315"/>
      <c r="C3097" s="315"/>
      <c r="D3097" s="315"/>
      <c r="E3097" s="315"/>
      <c r="F3097" s="315"/>
      <c r="G3097" s="315"/>
      <c r="H3097" s="315"/>
      <c r="I3097" s="315"/>
      <c r="J3097" s="315"/>
      <c r="K3097" s="315"/>
      <c r="L3097" s="315"/>
    </row>
    <row r="3098" spans="1:12">
      <c r="A3098" s="315"/>
      <c r="B3098" s="315"/>
      <c r="C3098" s="315"/>
      <c r="D3098" s="315"/>
      <c r="E3098" s="315"/>
      <c r="F3098" s="315"/>
      <c r="G3098" s="315"/>
      <c r="H3098" s="315"/>
      <c r="I3098" s="315"/>
      <c r="J3098" s="315"/>
      <c r="K3098" s="315"/>
      <c r="L3098" s="315"/>
    </row>
    <row r="3099" spans="1:12">
      <c r="A3099" s="315"/>
      <c r="B3099" s="315"/>
      <c r="C3099" s="315"/>
      <c r="D3099" s="315"/>
      <c r="E3099" s="315"/>
      <c r="F3099" s="315"/>
      <c r="G3099" s="315"/>
      <c r="H3099" s="315"/>
      <c r="I3099" s="315"/>
      <c r="J3099" s="315"/>
      <c r="K3099" s="315"/>
      <c r="L3099" s="315"/>
    </row>
    <row r="3100" spans="1:12">
      <c r="A3100" s="315"/>
      <c r="B3100" s="315"/>
      <c r="C3100" s="315"/>
      <c r="D3100" s="315"/>
      <c r="E3100" s="315"/>
      <c r="F3100" s="315"/>
      <c r="G3100" s="315"/>
      <c r="H3100" s="315"/>
      <c r="I3100" s="315"/>
      <c r="J3100" s="315"/>
      <c r="K3100" s="315"/>
      <c r="L3100" s="315"/>
    </row>
    <row r="3101" spans="1:12">
      <c r="A3101" s="315"/>
      <c r="B3101" s="315"/>
      <c r="C3101" s="315"/>
      <c r="D3101" s="315"/>
      <c r="E3101" s="315"/>
      <c r="F3101" s="315"/>
      <c r="G3101" s="315"/>
      <c r="H3101" s="315"/>
      <c r="I3101" s="315"/>
      <c r="J3101" s="315"/>
      <c r="K3101" s="315"/>
      <c r="L3101" s="315"/>
    </row>
    <row r="3102" spans="1:12">
      <c r="A3102" s="315"/>
      <c r="B3102" s="315"/>
      <c r="C3102" s="315"/>
      <c r="D3102" s="315"/>
      <c r="E3102" s="315"/>
      <c r="F3102" s="315"/>
      <c r="G3102" s="315"/>
      <c r="H3102" s="315"/>
      <c r="I3102" s="315"/>
      <c r="J3102" s="315"/>
      <c r="K3102" s="315"/>
      <c r="L3102" s="315"/>
    </row>
    <row r="3103" spans="1:12">
      <c r="A3103" s="315"/>
      <c r="B3103" s="315"/>
      <c r="C3103" s="315"/>
      <c r="D3103" s="315"/>
      <c r="E3103" s="315"/>
      <c r="F3103" s="315"/>
      <c r="G3103" s="315"/>
      <c r="H3103" s="315"/>
      <c r="I3103" s="315"/>
      <c r="J3103" s="315"/>
      <c r="K3103" s="315"/>
      <c r="L3103" s="315"/>
    </row>
    <row r="3104" spans="1:12">
      <c r="A3104" s="315"/>
      <c r="B3104" s="315"/>
      <c r="C3104" s="315"/>
      <c r="D3104" s="315"/>
      <c r="E3104" s="315"/>
      <c r="F3104" s="315"/>
      <c r="G3104" s="315"/>
      <c r="H3104" s="315"/>
      <c r="I3104" s="315"/>
      <c r="J3104" s="315"/>
      <c r="K3104" s="315"/>
      <c r="L3104" s="315"/>
    </row>
    <row r="3105" spans="1:12">
      <c r="A3105" s="315"/>
      <c r="B3105" s="315"/>
      <c r="C3105" s="315"/>
      <c r="D3105" s="315"/>
      <c r="E3105" s="315"/>
      <c r="F3105" s="315"/>
      <c r="G3105" s="315"/>
      <c r="H3105" s="315"/>
      <c r="I3105" s="315"/>
      <c r="J3105" s="315"/>
      <c r="K3105" s="315"/>
      <c r="L3105" s="315"/>
    </row>
    <row r="3106" spans="1:12">
      <c r="A3106" s="315"/>
      <c r="B3106" s="315"/>
      <c r="C3106" s="315"/>
      <c r="D3106" s="315"/>
      <c r="E3106" s="315"/>
      <c r="F3106" s="315"/>
      <c r="G3106" s="315"/>
      <c r="H3106" s="315"/>
      <c r="I3106" s="315"/>
      <c r="J3106" s="315"/>
      <c r="K3106" s="315"/>
      <c r="L3106" s="315"/>
    </row>
    <row r="3107" spans="1:12">
      <c r="A3107" s="315"/>
      <c r="B3107" s="315"/>
      <c r="C3107" s="315"/>
      <c r="D3107" s="315"/>
      <c r="E3107" s="315"/>
      <c r="F3107" s="315"/>
      <c r="G3107" s="315"/>
      <c r="H3107" s="315"/>
      <c r="I3107" s="315"/>
      <c r="J3107" s="315"/>
      <c r="K3107" s="315"/>
      <c r="L3107" s="315"/>
    </row>
    <row r="3108" spans="1:12">
      <c r="A3108" s="315"/>
      <c r="B3108" s="315"/>
      <c r="C3108" s="315"/>
      <c r="D3108" s="315"/>
      <c r="E3108" s="315"/>
      <c r="F3108" s="315"/>
      <c r="G3108" s="315"/>
      <c r="H3108" s="315"/>
      <c r="I3108" s="315"/>
      <c r="J3108" s="315"/>
      <c r="K3108" s="315"/>
      <c r="L3108" s="315"/>
    </row>
    <row r="3109" spans="1:12">
      <c r="A3109" s="315"/>
      <c r="B3109" s="315"/>
      <c r="C3109" s="315"/>
      <c r="D3109" s="315"/>
      <c r="E3109" s="315"/>
      <c r="F3109" s="315"/>
      <c r="G3109" s="315"/>
      <c r="H3109" s="315"/>
      <c r="I3109" s="315"/>
      <c r="J3109" s="315"/>
      <c r="K3109" s="315"/>
      <c r="L3109" s="315"/>
    </row>
    <row r="3110" spans="1:12">
      <c r="A3110" s="315"/>
      <c r="B3110" s="315"/>
      <c r="C3110" s="315"/>
      <c r="D3110" s="315"/>
      <c r="E3110" s="315"/>
      <c r="F3110" s="315"/>
      <c r="G3110" s="315"/>
      <c r="H3110" s="315"/>
      <c r="I3110" s="315"/>
      <c r="J3110" s="315"/>
      <c r="K3110" s="315"/>
      <c r="L3110" s="315"/>
    </row>
    <row r="3111" spans="1:12">
      <c r="A3111" s="315"/>
      <c r="B3111" s="315"/>
      <c r="C3111" s="315"/>
      <c r="D3111" s="315"/>
      <c r="E3111" s="315"/>
      <c r="F3111" s="315"/>
      <c r="G3111" s="315"/>
      <c r="H3111" s="315"/>
      <c r="I3111" s="315"/>
      <c r="J3111" s="315"/>
      <c r="K3111" s="315"/>
      <c r="L3111" s="315"/>
    </row>
    <row r="3112" spans="1:12">
      <c r="A3112" s="315"/>
      <c r="B3112" s="315"/>
      <c r="C3112" s="315"/>
      <c r="D3112" s="315"/>
      <c r="E3112" s="315"/>
      <c r="F3112" s="315"/>
      <c r="G3112" s="315"/>
      <c r="H3112" s="315"/>
      <c r="I3112" s="315"/>
      <c r="J3112" s="315"/>
      <c r="K3112" s="315"/>
      <c r="L3112" s="315"/>
    </row>
    <row r="3113" spans="1:12">
      <c r="A3113" s="315"/>
      <c r="B3113" s="315"/>
      <c r="C3113" s="315"/>
      <c r="D3113" s="315"/>
      <c r="E3113" s="315"/>
      <c r="F3113" s="315"/>
      <c r="G3113" s="315"/>
      <c r="H3113" s="315"/>
      <c r="I3113" s="315"/>
      <c r="J3113" s="315"/>
      <c r="K3113" s="315"/>
      <c r="L3113" s="315"/>
    </row>
    <row r="3114" spans="1:12">
      <c r="A3114" s="315"/>
      <c r="B3114" s="315"/>
      <c r="C3114" s="315"/>
      <c r="D3114" s="315"/>
      <c r="E3114" s="315"/>
      <c r="F3114" s="315"/>
      <c r="G3114" s="315"/>
      <c r="H3114" s="315"/>
      <c r="I3114" s="315"/>
      <c r="J3114" s="315"/>
      <c r="K3114" s="315"/>
      <c r="L3114" s="315"/>
    </row>
    <row r="3115" spans="1:12">
      <c r="A3115" s="315"/>
      <c r="B3115" s="315"/>
      <c r="C3115" s="315"/>
      <c r="D3115" s="315"/>
      <c r="E3115" s="315"/>
      <c r="F3115" s="315"/>
      <c r="G3115" s="315"/>
      <c r="H3115" s="315"/>
      <c r="I3115" s="315"/>
      <c r="J3115" s="315"/>
      <c r="K3115" s="315"/>
      <c r="L3115" s="315"/>
    </row>
    <row r="3116" spans="1:12">
      <c r="A3116" s="315"/>
      <c r="B3116" s="315"/>
      <c r="C3116" s="315"/>
      <c r="D3116" s="315"/>
      <c r="E3116" s="315"/>
      <c r="F3116" s="315"/>
      <c r="G3116" s="315"/>
      <c r="H3116" s="315"/>
      <c r="I3116" s="315"/>
      <c r="J3116" s="315"/>
      <c r="K3116" s="315"/>
      <c r="L3116" s="315"/>
    </row>
    <row r="3117" spans="1:12">
      <c r="A3117" s="315"/>
      <c r="B3117" s="315"/>
      <c r="C3117" s="315"/>
      <c r="D3117" s="315"/>
      <c r="E3117" s="315"/>
      <c r="F3117" s="315"/>
      <c r="G3117" s="315"/>
      <c r="H3117" s="315"/>
      <c r="I3117" s="315"/>
      <c r="J3117" s="315"/>
      <c r="K3117" s="315"/>
      <c r="L3117" s="315"/>
    </row>
    <row r="3118" spans="1:12">
      <c r="A3118" s="315"/>
      <c r="B3118" s="315"/>
      <c r="C3118" s="315"/>
      <c r="D3118" s="315"/>
      <c r="E3118" s="315"/>
      <c r="F3118" s="315"/>
      <c r="G3118" s="315"/>
      <c r="H3118" s="315"/>
      <c r="I3118" s="315"/>
      <c r="J3118" s="315"/>
      <c r="K3118" s="315"/>
      <c r="L3118" s="315"/>
    </row>
    <row r="3119" spans="1:12">
      <c r="A3119" s="315"/>
      <c r="B3119" s="315"/>
      <c r="C3119" s="315"/>
      <c r="D3119" s="315"/>
      <c r="E3119" s="315"/>
      <c r="F3119" s="315"/>
      <c r="G3119" s="315"/>
      <c r="H3119" s="315"/>
      <c r="I3119" s="315"/>
      <c r="J3119" s="315"/>
      <c r="K3119" s="315"/>
      <c r="L3119" s="315"/>
    </row>
    <row r="3120" spans="1:12">
      <c r="A3120" s="315"/>
      <c r="B3120" s="315"/>
      <c r="C3120" s="315"/>
      <c r="D3120" s="315"/>
      <c r="E3120" s="315"/>
      <c r="F3120" s="315"/>
      <c r="G3120" s="315"/>
      <c r="H3120" s="315"/>
      <c r="I3120" s="315"/>
      <c r="J3120" s="315"/>
      <c r="K3120" s="315"/>
      <c r="L3120" s="315"/>
    </row>
    <row r="3121" spans="1:12">
      <c r="A3121" s="315"/>
      <c r="B3121" s="315"/>
      <c r="C3121" s="315"/>
      <c r="D3121" s="315"/>
      <c r="E3121" s="315"/>
      <c r="F3121" s="315"/>
      <c r="G3121" s="315"/>
      <c r="H3121" s="315"/>
      <c r="I3121" s="315"/>
      <c r="J3121" s="315"/>
      <c r="K3121" s="315"/>
      <c r="L3121" s="315"/>
    </row>
    <row r="3122" spans="1:12">
      <c r="A3122" s="315"/>
      <c r="B3122" s="315"/>
      <c r="C3122" s="315"/>
      <c r="D3122" s="315"/>
      <c r="E3122" s="315"/>
      <c r="F3122" s="315"/>
      <c r="G3122" s="315"/>
      <c r="H3122" s="315"/>
      <c r="I3122" s="315"/>
      <c r="J3122" s="315"/>
      <c r="K3122" s="315"/>
      <c r="L3122" s="315"/>
    </row>
    <row r="3123" spans="1:12">
      <c r="A3123" s="315"/>
      <c r="B3123" s="315"/>
      <c r="C3123" s="315"/>
      <c r="D3123" s="315"/>
      <c r="E3123" s="315"/>
      <c r="F3123" s="315"/>
      <c r="G3123" s="315"/>
      <c r="H3123" s="315"/>
      <c r="I3123" s="315"/>
      <c r="J3123" s="315"/>
      <c r="K3123" s="315"/>
      <c r="L3123" s="315"/>
    </row>
    <row r="3124" spans="1:12">
      <c r="A3124" s="315"/>
      <c r="B3124" s="315"/>
      <c r="C3124" s="315"/>
      <c r="D3124" s="315"/>
      <c r="E3124" s="315"/>
      <c r="F3124" s="315"/>
      <c r="G3124" s="315"/>
      <c r="H3124" s="315"/>
      <c r="I3124" s="315"/>
      <c r="J3124" s="315"/>
      <c r="K3124" s="315"/>
      <c r="L3124" s="315"/>
    </row>
    <row r="3125" spans="1:12">
      <c r="A3125" s="315"/>
      <c r="B3125" s="315"/>
      <c r="C3125" s="315"/>
      <c r="D3125" s="315"/>
      <c r="E3125" s="315"/>
      <c r="F3125" s="315"/>
      <c r="G3125" s="315"/>
      <c r="H3125" s="315"/>
      <c r="I3125" s="315"/>
      <c r="J3125" s="315"/>
      <c r="K3125" s="315"/>
      <c r="L3125" s="315"/>
    </row>
    <row r="3126" spans="1:12">
      <c r="A3126" s="315"/>
      <c r="B3126" s="315"/>
      <c r="C3126" s="315"/>
      <c r="D3126" s="315"/>
      <c r="E3126" s="315"/>
      <c r="F3126" s="315"/>
      <c r="G3126" s="315"/>
      <c r="H3126" s="315"/>
      <c r="I3126" s="315"/>
      <c r="J3126" s="315"/>
      <c r="K3126" s="315"/>
      <c r="L3126" s="315"/>
    </row>
    <row r="3127" spans="1:12">
      <c r="A3127" s="315"/>
      <c r="B3127" s="315"/>
      <c r="C3127" s="315"/>
      <c r="D3127" s="315"/>
      <c r="E3127" s="315"/>
      <c r="F3127" s="315"/>
      <c r="G3127" s="315"/>
      <c r="H3127" s="315"/>
      <c r="I3127" s="315"/>
      <c r="J3127" s="315"/>
      <c r="K3127" s="315"/>
      <c r="L3127" s="315"/>
    </row>
    <row r="3128" spans="1:12">
      <c r="A3128" s="315"/>
      <c r="B3128" s="315"/>
      <c r="C3128" s="315"/>
      <c r="D3128" s="315"/>
      <c r="E3128" s="315"/>
      <c r="F3128" s="315"/>
      <c r="G3128" s="315"/>
      <c r="H3128" s="315"/>
      <c r="I3128" s="315"/>
      <c r="J3128" s="315"/>
      <c r="K3128" s="315"/>
      <c r="L3128" s="315"/>
    </row>
    <row r="3129" spans="1:12">
      <c r="A3129" s="315"/>
      <c r="B3129" s="315"/>
      <c r="C3129" s="315"/>
      <c r="D3129" s="315"/>
      <c r="E3129" s="315"/>
      <c r="F3129" s="315"/>
      <c r="G3129" s="315"/>
      <c r="H3129" s="315"/>
      <c r="I3129" s="315"/>
      <c r="J3129" s="315"/>
      <c r="K3129" s="315"/>
      <c r="L3129" s="315"/>
    </row>
    <row r="3130" spans="1:12">
      <c r="A3130" s="315"/>
      <c r="B3130" s="315"/>
      <c r="C3130" s="315"/>
      <c r="D3130" s="315"/>
      <c r="E3130" s="315"/>
      <c r="F3130" s="315"/>
      <c r="G3130" s="315"/>
      <c r="H3130" s="315"/>
      <c r="I3130" s="315"/>
      <c r="J3130" s="315"/>
      <c r="K3130" s="315"/>
      <c r="L3130" s="315"/>
    </row>
    <row r="3131" spans="1:12">
      <c r="A3131" s="315"/>
      <c r="B3131" s="315"/>
      <c r="C3131" s="315"/>
      <c r="D3131" s="315"/>
      <c r="E3131" s="315"/>
      <c r="F3131" s="315"/>
      <c r="G3131" s="315"/>
      <c r="H3131" s="315"/>
      <c r="I3131" s="315"/>
      <c r="J3131" s="315"/>
      <c r="K3131" s="315"/>
      <c r="L3131" s="315"/>
    </row>
    <row r="3132" spans="1:12">
      <c r="A3132" s="315"/>
      <c r="B3132" s="315"/>
      <c r="C3132" s="315"/>
      <c r="D3132" s="315"/>
      <c r="E3132" s="315"/>
      <c r="F3132" s="315"/>
      <c r="G3132" s="315"/>
      <c r="H3132" s="315"/>
      <c r="I3132" s="315"/>
      <c r="J3132" s="315"/>
      <c r="K3132" s="315"/>
      <c r="L3132" s="315"/>
    </row>
    <row r="3133" spans="1:12">
      <c r="A3133" s="315"/>
      <c r="B3133" s="315"/>
      <c r="C3133" s="315"/>
      <c r="D3133" s="315"/>
      <c r="E3133" s="315"/>
      <c r="F3133" s="315"/>
      <c r="G3133" s="315"/>
      <c r="H3133" s="315"/>
      <c r="I3133" s="315"/>
      <c r="J3133" s="315"/>
      <c r="K3133" s="315"/>
      <c r="L3133" s="315"/>
    </row>
    <row r="3134" spans="1:12">
      <c r="A3134" s="315"/>
      <c r="B3134" s="315"/>
      <c r="C3134" s="315"/>
      <c r="D3134" s="315"/>
      <c r="E3134" s="315"/>
      <c r="F3134" s="315"/>
      <c r="G3134" s="315"/>
      <c r="H3134" s="315"/>
      <c r="I3134" s="315"/>
      <c r="J3134" s="315"/>
      <c r="K3134" s="315"/>
      <c r="L3134" s="315"/>
    </row>
    <row r="3135" spans="1:12">
      <c r="A3135" s="315"/>
      <c r="B3135" s="315"/>
      <c r="C3135" s="315"/>
      <c r="D3135" s="315"/>
      <c r="E3135" s="315"/>
      <c r="F3135" s="315"/>
      <c r="G3135" s="315"/>
      <c r="H3135" s="315"/>
      <c r="I3135" s="315"/>
      <c r="J3135" s="315"/>
      <c r="K3135" s="315"/>
      <c r="L3135" s="315"/>
    </row>
    <row r="3136" spans="1:12">
      <c r="A3136" s="315"/>
      <c r="B3136" s="315"/>
      <c r="C3136" s="315"/>
      <c r="D3136" s="315"/>
      <c r="E3136" s="315"/>
      <c r="F3136" s="315"/>
      <c r="G3136" s="315"/>
      <c r="H3136" s="315"/>
      <c r="I3136" s="315"/>
      <c r="J3136" s="315"/>
      <c r="K3136" s="315"/>
      <c r="L3136" s="315"/>
    </row>
    <row r="3137" spans="1:12">
      <c r="A3137" s="315"/>
      <c r="B3137" s="315"/>
      <c r="C3137" s="315"/>
      <c r="D3137" s="315"/>
      <c r="E3137" s="315"/>
      <c r="F3137" s="315"/>
      <c r="G3137" s="315"/>
      <c r="H3137" s="315"/>
      <c r="I3137" s="315"/>
      <c r="J3137" s="315"/>
      <c r="K3137" s="315"/>
      <c r="L3137" s="315"/>
    </row>
    <row r="3138" spans="1:12">
      <c r="A3138" s="315"/>
      <c r="B3138" s="315"/>
      <c r="C3138" s="315"/>
      <c r="D3138" s="315"/>
      <c r="E3138" s="315"/>
      <c r="F3138" s="315"/>
      <c r="G3138" s="315"/>
      <c r="H3138" s="315"/>
      <c r="I3138" s="315"/>
      <c r="J3138" s="315"/>
      <c r="K3138" s="315"/>
      <c r="L3138" s="315"/>
    </row>
    <row r="3139" spans="1:12">
      <c r="A3139" s="315"/>
      <c r="B3139" s="315"/>
      <c r="C3139" s="315"/>
      <c r="D3139" s="315"/>
      <c r="E3139" s="315"/>
      <c r="F3139" s="315"/>
      <c r="G3139" s="315"/>
      <c r="H3139" s="315"/>
      <c r="I3139" s="315"/>
      <c r="J3139" s="315"/>
      <c r="K3139" s="315"/>
      <c r="L3139" s="315"/>
    </row>
    <row r="3140" spans="1:12">
      <c r="A3140" s="315"/>
      <c r="B3140" s="315"/>
      <c r="C3140" s="315"/>
      <c r="D3140" s="315"/>
      <c r="E3140" s="315"/>
      <c r="F3140" s="315"/>
      <c r="G3140" s="315"/>
      <c r="H3140" s="315"/>
      <c r="I3140" s="315"/>
      <c r="J3140" s="315"/>
      <c r="K3140" s="315"/>
      <c r="L3140" s="315"/>
    </row>
    <row r="3141" spans="1:12">
      <c r="A3141" s="315"/>
      <c r="B3141" s="315"/>
      <c r="C3141" s="315"/>
      <c r="D3141" s="315"/>
      <c r="E3141" s="315"/>
      <c r="F3141" s="315"/>
      <c r="G3141" s="315"/>
      <c r="H3141" s="315"/>
      <c r="I3141" s="315"/>
      <c r="J3141" s="315"/>
      <c r="K3141" s="315"/>
      <c r="L3141" s="315"/>
    </row>
    <row r="3142" spans="1:12">
      <c r="A3142" s="315"/>
      <c r="B3142" s="315"/>
      <c r="C3142" s="315"/>
      <c r="D3142" s="315"/>
      <c r="E3142" s="315"/>
      <c r="F3142" s="315"/>
      <c r="G3142" s="315"/>
      <c r="H3142" s="315"/>
      <c r="I3142" s="315"/>
      <c r="J3142" s="315"/>
      <c r="K3142" s="315"/>
      <c r="L3142" s="315"/>
    </row>
    <row r="3143" spans="1:12">
      <c r="A3143" s="315"/>
      <c r="B3143" s="315"/>
      <c r="C3143" s="315"/>
      <c r="D3143" s="315"/>
      <c r="E3143" s="315"/>
      <c r="F3143" s="315"/>
      <c r="G3143" s="315"/>
      <c r="H3143" s="315"/>
      <c r="I3143" s="315"/>
      <c r="J3143" s="315"/>
      <c r="K3143" s="315"/>
      <c r="L3143" s="315"/>
    </row>
    <row r="3144" spans="1:12">
      <c r="A3144" s="315"/>
      <c r="B3144" s="315"/>
      <c r="C3144" s="315"/>
      <c r="D3144" s="315"/>
      <c r="E3144" s="315"/>
      <c r="F3144" s="315"/>
      <c r="G3144" s="315"/>
      <c r="H3144" s="315"/>
      <c r="I3144" s="315"/>
      <c r="J3144" s="315"/>
      <c r="K3144" s="315"/>
      <c r="L3144" s="315"/>
    </row>
    <row r="3145" spans="1:12">
      <c r="A3145" s="315"/>
      <c r="B3145" s="315"/>
      <c r="C3145" s="315"/>
      <c r="D3145" s="315"/>
      <c r="E3145" s="315"/>
      <c r="F3145" s="315"/>
      <c r="G3145" s="315"/>
      <c r="H3145" s="315"/>
      <c r="I3145" s="315"/>
      <c r="J3145" s="315"/>
      <c r="K3145" s="315"/>
      <c r="L3145" s="315"/>
    </row>
    <row r="3146" spans="1:12">
      <c r="A3146" s="315"/>
      <c r="B3146" s="315"/>
      <c r="C3146" s="315"/>
      <c r="D3146" s="315"/>
      <c r="E3146" s="315"/>
      <c r="F3146" s="315"/>
      <c r="G3146" s="315"/>
      <c r="H3146" s="315"/>
      <c r="I3146" s="315"/>
      <c r="J3146" s="315"/>
      <c r="K3146" s="315"/>
      <c r="L3146" s="315"/>
    </row>
    <row r="3147" spans="1:12">
      <c r="A3147" s="315"/>
      <c r="B3147" s="315"/>
      <c r="C3147" s="315"/>
      <c r="D3147" s="315"/>
      <c r="E3147" s="315"/>
      <c r="F3147" s="315"/>
      <c r="G3147" s="315"/>
      <c r="H3147" s="315"/>
      <c r="I3147" s="315"/>
      <c r="J3147" s="315"/>
      <c r="K3147" s="315"/>
      <c r="L3147" s="315"/>
    </row>
    <row r="3148" spans="1:12">
      <c r="A3148" s="315"/>
      <c r="B3148" s="315"/>
      <c r="C3148" s="315"/>
      <c r="D3148" s="315"/>
      <c r="E3148" s="315"/>
      <c r="F3148" s="315"/>
      <c r="G3148" s="315"/>
      <c r="H3148" s="315"/>
      <c r="I3148" s="315"/>
      <c r="J3148" s="315"/>
      <c r="K3148" s="315"/>
      <c r="L3148" s="315"/>
    </row>
    <row r="3149" spans="1:12">
      <c r="A3149" s="315"/>
      <c r="B3149" s="315"/>
      <c r="C3149" s="315"/>
      <c r="D3149" s="315"/>
      <c r="E3149" s="315"/>
      <c r="F3149" s="315"/>
      <c r="G3149" s="315"/>
      <c r="H3149" s="315"/>
      <c r="I3149" s="315"/>
      <c r="J3149" s="315"/>
      <c r="K3149" s="315"/>
      <c r="L3149" s="315"/>
    </row>
    <row r="3150" spans="1:12">
      <c r="A3150" s="315"/>
      <c r="B3150" s="315"/>
      <c r="C3150" s="315"/>
      <c r="D3150" s="315"/>
      <c r="E3150" s="315"/>
      <c r="F3150" s="315"/>
      <c r="G3150" s="315"/>
      <c r="H3150" s="315"/>
      <c r="I3150" s="315"/>
      <c r="J3150" s="315"/>
      <c r="K3150" s="315"/>
      <c r="L3150" s="315"/>
    </row>
    <row r="3151" spans="1:12">
      <c r="A3151" s="315"/>
      <c r="B3151" s="315"/>
      <c r="C3151" s="315"/>
      <c r="D3151" s="315"/>
      <c r="E3151" s="315"/>
      <c r="F3151" s="315"/>
      <c r="G3151" s="315"/>
      <c r="H3151" s="315"/>
      <c r="I3151" s="315"/>
      <c r="J3151" s="315"/>
      <c r="K3151" s="315"/>
      <c r="L3151" s="315"/>
    </row>
    <row r="3152" spans="1:12">
      <c r="A3152" s="315"/>
      <c r="B3152" s="315"/>
      <c r="C3152" s="315"/>
      <c r="D3152" s="315"/>
      <c r="E3152" s="315"/>
      <c r="F3152" s="315"/>
      <c r="G3152" s="315"/>
      <c r="H3152" s="315"/>
      <c r="I3152" s="315"/>
      <c r="J3152" s="315"/>
      <c r="K3152" s="315"/>
      <c r="L3152" s="315"/>
    </row>
    <row r="3153" spans="1:12">
      <c r="A3153" s="315"/>
      <c r="B3153" s="315"/>
      <c r="C3153" s="315"/>
      <c r="D3153" s="315"/>
      <c r="E3153" s="315"/>
      <c r="F3153" s="315"/>
      <c r="G3153" s="315"/>
      <c r="H3153" s="315"/>
      <c r="I3153" s="315"/>
      <c r="J3153" s="315"/>
      <c r="K3153" s="315"/>
      <c r="L3153" s="315"/>
    </row>
    <row r="3154" spans="1:12">
      <c r="A3154" s="315"/>
      <c r="B3154" s="315"/>
      <c r="C3154" s="315"/>
      <c r="D3154" s="315"/>
      <c r="E3154" s="315"/>
      <c r="F3154" s="315"/>
      <c r="G3154" s="315"/>
      <c r="H3154" s="315"/>
      <c r="I3154" s="315"/>
      <c r="J3154" s="315"/>
      <c r="K3154" s="315"/>
      <c r="L3154" s="315"/>
    </row>
    <row r="3155" spans="1:12">
      <c r="A3155" s="315"/>
      <c r="B3155" s="315"/>
      <c r="C3155" s="315"/>
      <c r="D3155" s="315"/>
      <c r="E3155" s="315"/>
      <c r="F3155" s="315"/>
      <c r="G3155" s="315"/>
      <c r="H3155" s="315"/>
      <c r="I3155" s="315"/>
      <c r="J3155" s="315"/>
      <c r="K3155" s="315"/>
      <c r="L3155" s="315"/>
    </row>
    <row r="3156" spans="1:12">
      <c r="A3156" s="315"/>
      <c r="B3156" s="315"/>
      <c r="C3156" s="315"/>
      <c r="D3156" s="315"/>
      <c r="E3156" s="315"/>
      <c r="F3156" s="315"/>
      <c r="G3156" s="315"/>
      <c r="H3156" s="315"/>
      <c r="I3156" s="315"/>
      <c r="J3156" s="315"/>
      <c r="K3156" s="315"/>
      <c r="L3156" s="315"/>
    </row>
    <row r="3157" spans="1:12">
      <c r="A3157" s="315"/>
      <c r="B3157" s="315"/>
      <c r="C3157" s="315"/>
      <c r="D3157" s="315"/>
      <c r="E3157" s="315"/>
      <c r="F3157" s="315"/>
      <c r="G3157" s="315"/>
      <c r="H3157" s="315"/>
      <c r="I3157" s="315"/>
      <c r="J3157" s="315"/>
      <c r="K3157" s="315"/>
      <c r="L3157" s="315"/>
    </row>
    <row r="3158" spans="1:12">
      <c r="A3158" s="315"/>
      <c r="B3158" s="315"/>
      <c r="C3158" s="315"/>
      <c r="D3158" s="315"/>
      <c r="E3158" s="315"/>
      <c r="F3158" s="315"/>
      <c r="G3158" s="315"/>
      <c r="H3158" s="315"/>
      <c r="I3158" s="315"/>
      <c r="J3158" s="315"/>
      <c r="K3158" s="315"/>
      <c r="L3158" s="315"/>
    </row>
    <row r="3159" spans="1:12">
      <c r="A3159" s="315"/>
      <c r="B3159" s="315"/>
      <c r="C3159" s="315"/>
      <c r="D3159" s="315"/>
      <c r="E3159" s="315"/>
      <c r="F3159" s="315"/>
      <c r="G3159" s="315"/>
      <c r="H3159" s="315"/>
      <c r="I3159" s="315"/>
      <c r="J3159" s="315"/>
      <c r="K3159" s="315"/>
      <c r="L3159" s="315"/>
    </row>
    <row r="3160" spans="1:12">
      <c r="A3160" s="315"/>
      <c r="B3160" s="315"/>
      <c r="C3160" s="315"/>
      <c r="D3160" s="315"/>
      <c r="E3160" s="315"/>
      <c r="F3160" s="315"/>
      <c r="G3160" s="315"/>
      <c r="H3160" s="315"/>
      <c r="I3160" s="315"/>
      <c r="J3160" s="315"/>
      <c r="K3160" s="315"/>
      <c r="L3160" s="315"/>
    </row>
    <row r="3161" spans="1:12">
      <c r="A3161" s="315"/>
      <c r="B3161" s="315"/>
      <c r="C3161" s="315"/>
      <c r="D3161" s="315"/>
      <c r="E3161" s="315"/>
      <c r="F3161" s="315"/>
      <c r="G3161" s="315"/>
      <c r="H3161" s="315"/>
      <c r="I3161" s="315"/>
      <c r="J3161" s="315"/>
      <c r="K3161" s="315"/>
      <c r="L3161" s="315"/>
    </row>
    <row r="3162" spans="1:12">
      <c r="A3162" s="315"/>
      <c r="B3162" s="315"/>
      <c r="C3162" s="315"/>
      <c r="D3162" s="315"/>
      <c r="E3162" s="315"/>
      <c r="F3162" s="315"/>
      <c r="G3162" s="315"/>
      <c r="H3162" s="315"/>
      <c r="I3162" s="315"/>
      <c r="J3162" s="315"/>
      <c r="K3162" s="315"/>
      <c r="L3162" s="315"/>
    </row>
    <row r="3163" spans="1:12">
      <c r="A3163" s="315"/>
      <c r="B3163" s="315"/>
      <c r="C3163" s="315"/>
      <c r="D3163" s="315"/>
      <c r="E3163" s="315"/>
      <c r="F3163" s="315"/>
      <c r="G3163" s="315"/>
      <c r="H3163" s="315"/>
      <c r="I3163" s="315"/>
      <c r="J3163" s="315"/>
      <c r="K3163" s="315"/>
      <c r="L3163" s="315"/>
    </row>
    <row r="3164" spans="1:12">
      <c r="A3164" s="315"/>
      <c r="B3164" s="315"/>
      <c r="C3164" s="315"/>
      <c r="D3164" s="315"/>
      <c r="E3164" s="315"/>
      <c r="F3164" s="315"/>
      <c r="G3164" s="315"/>
      <c r="H3164" s="315"/>
      <c r="I3164" s="315"/>
      <c r="J3164" s="315"/>
      <c r="K3164" s="315"/>
      <c r="L3164" s="315"/>
    </row>
    <row r="3165" spans="1:12">
      <c r="A3165" s="315"/>
      <c r="B3165" s="315"/>
      <c r="C3165" s="315"/>
      <c r="D3165" s="315"/>
      <c r="E3165" s="315"/>
      <c r="F3165" s="315"/>
      <c r="G3165" s="315"/>
      <c r="H3165" s="315"/>
      <c r="I3165" s="315"/>
      <c r="J3165" s="315"/>
      <c r="K3165" s="315"/>
      <c r="L3165" s="315"/>
    </row>
    <row r="3166" spans="1:12">
      <c r="A3166" s="315"/>
      <c r="B3166" s="315"/>
      <c r="C3166" s="315"/>
      <c r="D3166" s="315"/>
      <c r="E3166" s="315"/>
      <c r="F3166" s="315"/>
      <c r="G3166" s="315"/>
      <c r="H3166" s="315"/>
      <c r="I3166" s="315"/>
      <c r="J3166" s="315"/>
      <c r="K3166" s="315"/>
      <c r="L3166" s="315"/>
    </row>
    <row r="3167" spans="1:12">
      <c r="A3167" s="315"/>
      <c r="B3167" s="315"/>
      <c r="C3167" s="315"/>
      <c r="D3167" s="315"/>
      <c r="E3167" s="315"/>
      <c r="F3167" s="315"/>
      <c r="G3167" s="315"/>
      <c r="H3167" s="315"/>
      <c r="I3167" s="315"/>
      <c r="J3167" s="315"/>
      <c r="K3167" s="315"/>
      <c r="L3167" s="315"/>
    </row>
    <row r="3168" spans="1:12">
      <c r="A3168" s="315"/>
      <c r="B3168" s="315"/>
      <c r="C3168" s="315"/>
      <c r="D3168" s="315"/>
      <c r="E3168" s="315"/>
      <c r="F3168" s="315"/>
      <c r="G3168" s="315"/>
      <c r="H3168" s="315"/>
      <c r="I3168" s="315"/>
      <c r="J3168" s="315"/>
      <c r="K3168" s="315"/>
      <c r="L3168" s="315"/>
    </row>
    <row r="3169" spans="1:12">
      <c r="A3169" s="315"/>
      <c r="B3169" s="315"/>
      <c r="C3169" s="315"/>
      <c r="D3169" s="315"/>
      <c r="E3169" s="315"/>
      <c r="F3169" s="315"/>
      <c r="G3169" s="315"/>
      <c r="H3169" s="315"/>
      <c r="I3169" s="315"/>
      <c r="J3169" s="315"/>
      <c r="K3169" s="315"/>
      <c r="L3169" s="315"/>
    </row>
    <row r="3170" spans="1:12">
      <c r="A3170" s="315"/>
      <c r="B3170" s="315"/>
      <c r="C3170" s="315"/>
      <c r="D3170" s="315"/>
      <c r="E3170" s="315"/>
      <c r="F3170" s="315"/>
      <c r="G3170" s="315"/>
      <c r="H3170" s="315"/>
      <c r="I3170" s="315"/>
      <c r="J3170" s="315"/>
      <c r="K3170" s="315"/>
      <c r="L3170" s="315"/>
    </row>
    <row r="3171" spans="1:12">
      <c r="A3171" s="315"/>
      <c r="B3171" s="315"/>
      <c r="C3171" s="315"/>
      <c r="D3171" s="315"/>
      <c r="E3171" s="315"/>
      <c r="F3171" s="315"/>
      <c r="G3171" s="315"/>
      <c r="H3171" s="315"/>
      <c r="I3171" s="315"/>
      <c r="J3171" s="315"/>
      <c r="K3171" s="315"/>
      <c r="L3171" s="315"/>
    </row>
    <row r="3172" spans="1:12">
      <c r="A3172" s="315"/>
      <c r="B3172" s="315"/>
      <c r="C3172" s="315"/>
      <c r="D3172" s="315"/>
      <c r="E3172" s="315"/>
      <c r="F3172" s="315"/>
      <c r="G3172" s="315"/>
      <c r="H3172" s="315"/>
      <c r="I3172" s="315"/>
      <c r="J3172" s="315"/>
      <c r="K3172" s="315"/>
      <c r="L3172" s="315"/>
    </row>
    <row r="3173" spans="1:12">
      <c r="A3173" s="315"/>
      <c r="B3173" s="315"/>
      <c r="C3173" s="315"/>
      <c r="D3173" s="315"/>
      <c r="E3173" s="315"/>
      <c r="F3173" s="315"/>
      <c r="G3173" s="315"/>
      <c r="H3173" s="315"/>
      <c r="I3173" s="315"/>
      <c r="J3173" s="315"/>
      <c r="K3173" s="315"/>
      <c r="L3173" s="315"/>
    </row>
    <row r="3174" spans="1:12">
      <c r="A3174" s="315"/>
      <c r="B3174" s="315"/>
      <c r="C3174" s="315"/>
      <c r="D3174" s="315"/>
      <c r="E3174" s="315"/>
      <c r="F3174" s="315"/>
      <c r="G3174" s="315"/>
      <c r="H3174" s="315"/>
      <c r="I3174" s="315"/>
      <c r="J3174" s="315"/>
      <c r="K3174" s="315"/>
      <c r="L3174" s="315"/>
    </row>
    <row r="3175" spans="1:12">
      <c r="A3175" s="315"/>
      <c r="B3175" s="315"/>
      <c r="C3175" s="315"/>
      <c r="D3175" s="315"/>
      <c r="E3175" s="315"/>
      <c r="F3175" s="315"/>
      <c r="G3175" s="315"/>
      <c r="H3175" s="315"/>
      <c r="I3175" s="315"/>
      <c r="J3175" s="315"/>
      <c r="K3175" s="315"/>
      <c r="L3175" s="315"/>
    </row>
    <row r="3176" spans="1:12">
      <c r="A3176" s="315"/>
      <c r="B3176" s="315"/>
      <c r="C3176" s="315"/>
      <c r="D3176" s="315"/>
      <c r="E3176" s="315"/>
      <c r="F3176" s="315"/>
      <c r="G3176" s="315"/>
      <c r="H3176" s="315"/>
      <c r="I3176" s="315"/>
      <c r="J3176" s="315"/>
      <c r="K3176" s="315"/>
      <c r="L3176" s="315"/>
    </row>
    <row r="3177" spans="1:12">
      <c r="A3177" s="315"/>
      <c r="B3177" s="315"/>
      <c r="C3177" s="315"/>
      <c r="D3177" s="315"/>
      <c r="E3177" s="315"/>
      <c r="F3177" s="315"/>
      <c r="G3177" s="315"/>
      <c r="H3177" s="315"/>
      <c r="I3177" s="315"/>
      <c r="J3177" s="315"/>
      <c r="K3177" s="315"/>
      <c r="L3177" s="315"/>
    </row>
    <row r="3178" spans="1:12">
      <c r="A3178" s="315"/>
      <c r="B3178" s="315"/>
      <c r="C3178" s="315"/>
      <c r="D3178" s="315"/>
      <c r="E3178" s="315"/>
      <c r="F3178" s="315"/>
      <c r="G3178" s="315"/>
      <c r="H3178" s="315"/>
      <c r="I3178" s="315"/>
      <c r="J3178" s="315"/>
      <c r="K3178" s="315"/>
      <c r="L3178" s="315"/>
    </row>
    <row r="3179" spans="1:12">
      <c r="A3179" s="315"/>
      <c r="B3179" s="315"/>
      <c r="C3179" s="315"/>
      <c r="D3179" s="315"/>
      <c r="E3179" s="315"/>
      <c r="F3179" s="315"/>
      <c r="G3179" s="315"/>
      <c r="H3179" s="315"/>
      <c r="I3179" s="315"/>
      <c r="J3179" s="315"/>
      <c r="K3179" s="315"/>
      <c r="L3179" s="315"/>
    </row>
    <row r="3180" spans="1:12">
      <c r="A3180" s="315"/>
      <c r="B3180" s="315"/>
      <c r="C3180" s="315"/>
      <c r="D3180" s="315"/>
      <c r="E3180" s="315"/>
      <c r="F3180" s="315"/>
      <c r="G3180" s="315"/>
      <c r="H3180" s="315"/>
      <c r="I3180" s="315"/>
      <c r="J3180" s="315"/>
      <c r="K3180" s="315"/>
      <c r="L3180" s="315"/>
    </row>
    <row r="3181" spans="1:12">
      <c r="A3181" s="315"/>
      <c r="B3181" s="315"/>
      <c r="C3181" s="315"/>
      <c r="D3181" s="315"/>
      <c r="E3181" s="315"/>
      <c r="F3181" s="315"/>
      <c r="G3181" s="315"/>
      <c r="H3181" s="315"/>
      <c r="I3181" s="315"/>
      <c r="J3181" s="315"/>
      <c r="K3181" s="315"/>
      <c r="L3181" s="315"/>
    </row>
    <row r="3182" spans="1:12">
      <c r="A3182" s="315"/>
      <c r="B3182" s="315"/>
      <c r="C3182" s="315"/>
      <c r="D3182" s="315"/>
      <c r="E3182" s="315"/>
      <c r="F3182" s="315"/>
      <c r="G3182" s="315"/>
      <c r="H3182" s="315"/>
      <c r="I3182" s="315"/>
      <c r="J3182" s="315"/>
      <c r="K3182" s="315"/>
      <c r="L3182" s="315"/>
    </row>
    <row r="3183" spans="1:12">
      <c r="A3183" s="315"/>
      <c r="B3183" s="315"/>
      <c r="C3183" s="315"/>
      <c r="D3183" s="315"/>
      <c r="E3183" s="315"/>
      <c r="F3183" s="315"/>
      <c r="G3183" s="315"/>
      <c r="H3183" s="315"/>
      <c r="I3183" s="315"/>
      <c r="J3183" s="315"/>
      <c r="K3183" s="315"/>
      <c r="L3183" s="315"/>
    </row>
    <row r="3184" spans="1:12">
      <c r="A3184" s="315"/>
      <c r="B3184" s="315"/>
      <c r="C3184" s="315"/>
      <c r="D3184" s="315"/>
      <c r="E3184" s="315"/>
      <c r="F3184" s="315"/>
      <c r="G3184" s="315"/>
      <c r="H3184" s="315"/>
      <c r="I3184" s="315"/>
      <c r="J3184" s="315"/>
      <c r="K3184" s="315"/>
      <c r="L3184" s="315"/>
    </row>
    <row r="3185" spans="1:12">
      <c r="A3185" s="315"/>
      <c r="B3185" s="315"/>
      <c r="C3185" s="315"/>
      <c r="D3185" s="315"/>
      <c r="E3185" s="315"/>
      <c r="F3185" s="315"/>
      <c r="G3185" s="315"/>
      <c r="H3185" s="315"/>
      <c r="I3185" s="315"/>
      <c r="J3185" s="315"/>
      <c r="K3185" s="315"/>
      <c r="L3185" s="315"/>
    </row>
    <row r="3186" spans="1:12">
      <c r="A3186" s="315"/>
      <c r="B3186" s="315"/>
      <c r="C3186" s="315"/>
      <c r="D3186" s="315"/>
      <c r="E3186" s="315"/>
      <c r="F3186" s="315"/>
      <c r="G3186" s="315"/>
      <c r="H3186" s="315"/>
      <c r="I3186" s="315"/>
      <c r="J3186" s="315"/>
      <c r="K3186" s="315"/>
      <c r="L3186" s="315"/>
    </row>
    <row r="3187" spans="1:12">
      <c r="A3187" s="315"/>
      <c r="B3187" s="315"/>
      <c r="C3187" s="315"/>
      <c r="D3187" s="315"/>
      <c r="E3187" s="315"/>
      <c r="F3187" s="315"/>
      <c r="G3187" s="315"/>
      <c r="H3187" s="315"/>
      <c r="I3187" s="315"/>
      <c r="J3187" s="315"/>
      <c r="K3187" s="315"/>
      <c r="L3187" s="315"/>
    </row>
    <row r="3188" spans="1:12">
      <c r="A3188" s="315"/>
      <c r="B3188" s="315"/>
      <c r="C3188" s="315"/>
      <c r="D3188" s="315"/>
      <c r="E3188" s="315"/>
      <c r="F3188" s="315"/>
      <c r="G3188" s="315"/>
      <c r="H3188" s="315"/>
      <c r="I3188" s="315"/>
      <c r="J3188" s="315"/>
      <c r="K3188" s="315"/>
      <c r="L3188" s="315"/>
    </row>
    <row r="3189" spans="1:12">
      <c r="A3189" s="315"/>
      <c r="B3189" s="315"/>
      <c r="C3189" s="315"/>
      <c r="D3189" s="315"/>
      <c r="E3189" s="315"/>
      <c r="F3189" s="315"/>
      <c r="G3189" s="315"/>
      <c r="H3189" s="315"/>
      <c r="I3189" s="315"/>
      <c r="J3189" s="315"/>
      <c r="K3189" s="315"/>
      <c r="L3189" s="315"/>
    </row>
    <row r="3190" spans="1:12">
      <c r="A3190" s="315"/>
      <c r="B3190" s="315"/>
      <c r="C3190" s="315"/>
      <c r="D3190" s="315"/>
      <c r="E3190" s="315"/>
      <c r="F3190" s="315"/>
      <c r="G3190" s="315"/>
      <c r="H3190" s="315"/>
      <c r="I3190" s="315"/>
      <c r="J3190" s="315"/>
      <c r="K3190" s="315"/>
      <c r="L3190" s="315"/>
    </row>
    <row r="3191" spans="1:12">
      <c r="A3191" s="315"/>
      <c r="B3191" s="315"/>
      <c r="C3191" s="315"/>
      <c r="D3191" s="315"/>
      <c r="E3191" s="315"/>
      <c r="F3191" s="315"/>
      <c r="G3191" s="315"/>
      <c r="H3191" s="315"/>
      <c r="I3191" s="315"/>
      <c r="J3191" s="315"/>
      <c r="K3191" s="315"/>
      <c r="L3191" s="315"/>
    </row>
    <row r="3192" spans="1:12">
      <c r="A3192" s="315"/>
      <c r="B3192" s="315"/>
      <c r="C3192" s="315"/>
      <c r="D3192" s="315"/>
      <c r="E3192" s="315"/>
      <c r="F3192" s="315"/>
      <c r="G3192" s="315"/>
      <c r="H3192" s="315"/>
      <c r="I3192" s="315"/>
      <c r="J3192" s="315"/>
      <c r="K3192" s="315"/>
      <c r="L3192" s="315"/>
    </row>
    <row r="3193" spans="1:12">
      <c r="A3193" s="315"/>
      <c r="B3193" s="315"/>
      <c r="C3193" s="315"/>
      <c r="D3193" s="315"/>
      <c r="E3193" s="315"/>
      <c r="F3193" s="315"/>
      <c r="G3193" s="315"/>
      <c r="H3193" s="315"/>
      <c r="I3193" s="315"/>
      <c r="J3193" s="315"/>
      <c r="K3193" s="315"/>
      <c r="L3193" s="315"/>
    </row>
    <row r="3194" spans="1:12">
      <c r="A3194" s="315"/>
      <c r="B3194" s="315"/>
      <c r="C3194" s="315"/>
      <c r="D3194" s="315"/>
      <c r="E3194" s="315"/>
      <c r="F3194" s="315"/>
      <c r="G3194" s="315"/>
      <c r="H3194" s="315"/>
      <c r="I3194" s="315"/>
      <c r="J3194" s="315"/>
      <c r="K3194" s="315"/>
      <c r="L3194" s="315"/>
    </row>
    <row r="3195" spans="1:12">
      <c r="A3195" s="315"/>
      <c r="B3195" s="315"/>
      <c r="C3195" s="315"/>
      <c r="D3195" s="315"/>
      <c r="E3195" s="315"/>
      <c r="F3195" s="315"/>
      <c r="G3195" s="315"/>
      <c r="H3195" s="315"/>
      <c r="I3195" s="315"/>
      <c r="J3195" s="315"/>
      <c r="K3195" s="315"/>
      <c r="L3195" s="315"/>
    </row>
    <row r="3196" spans="1:12">
      <c r="A3196" s="315"/>
      <c r="B3196" s="315"/>
      <c r="C3196" s="315"/>
      <c r="D3196" s="315"/>
      <c r="E3196" s="315"/>
      <c r="F3196" s="315"/>
      <c r="G3196" s="315"/>
      <c r="H3196" s="315"/>
      <c r="I3196" s="315"/>
      <c r="J3196" s="315"/>
      <c r="K3196" s="315"/>
      <c r="L3196" s="315"/>
    </row>
    <row r="3197" spans="1:12">
      <c r="A3197" s="315"/>
      <c r="B3197" s="315"/>
      <c r="C3197" s="315"/>
      <c r="D3197" s="315"/>
      <c r="E3197" s="315"/>
      <c r="F3197" s="315"/>
      <c r="G3197" s="315"/>
      <c r="H3197" s="315"/>
      <c r="I3197" s="315"/>
      <c r="J3197" s="315"/>
      <c r="K3197" s="315"/>
      <c r="L3197" s="315"/>
    </row>
    <row r="3198" spans="1:12">
      <c r="A3198" s="315"/>
      <c r="B3198" s="315"/>
      <c r="C3198" s="315"/>
      <c r="D3198" s="315"/>
      <c r="E3198" s="315"/>
      <c r="F3198" s="315"/>
      <c r="G3198" s="315"/>
      <c r="H3198" s="315"/>
      <c r="I3198" s="315"/>
      <c r="J3198" s="315"/>
      <c r="K3198" s="315"/>
      <c r="L3198" s="315"/>
    </row>
    <row r="3199" spans="1:12">
      <c r="A3199" s="315"/>
      <c r="B3199" s="315"/>
      <c r="C3199" s="315"/>
      <c r="D3199" s="315"/>
      <c r="E3199" s="315"/>
      <c r="F3199" s="315"/>
      <c r="G3199" s="315"/>
      <c r="H3199" s="315"/>
      <c r="I3199" s="315"/>
      <c r="J3199" s="315"/>
      <c r="K3199" s="315"/>
      <c r="L3199" s="315"/>
    </row>
    <row r="3200" spans="1:12">
      <c r="A3200" s="315"/>
      <c r="B3200" s="315"/>
      <c r="C3200" s="315"/>
      <c r="D3200" s="315"/>
      <c r="E3200" s="315"/>
      <c r="F3200" s="315"/>
      <c r="G3200" s="315"/>
      <c r="H3200" s="315"/>
      <c r="I3200" s="315"/>
      <c r="J3200" s="315"/>
      <c r="K3200" s="315"/>
      <c r="L3200" s="315"/>
    </row>
    <row r="3201" spans="1:12">
      <c r="A3201" s="315"/>
      <c r="B3201" s="315"/>
      <c r="C3201" s="315"/>
      <c r="D3201" s="315"/>
      <c r="E3201" s="315"/>
      <c r="F3201" s="315"/>
      <c r="G3201" s="315"/>
      <c r="H3201" s="315"/>
      <c r="I3201" s="315"/>
      <c r="J3201" s="315"/>
      <c r="K3201" s="315"/>
      <c r="L3201" s="315"/>
    </row>
    <row r="3202" spans="1:12">
      <c r="A3202" s="315"/>
      <c r="B3202" s="315"/>
      <c r="C3202" s="315"/>
      <c r="D3202" s="315"/>
      <c r="E3202" s="315"/>
      <c r="F3202" s="315"/>
      <c r="G3202" s="315"/>
      <c r="H3202" s="315"/>
      <c r="I3202" s="315"/>
      <c r="J3202" s="315"/>
      <c r="K3202" s="315"/>
      <c r="L3202" s="315"/>
    </row>
    <row r="3203" spans="1:12">
      <c r="A3203" s="315"/>
      <c r="B3203" s="315"/>
      <c r="C3203" s="315"/>
      <c r="D3203" s="315"/>
      <c r="E3203" s="315"/>
      <c r="F3203" s="315"/>
      <c r="G3203" s="315"/>
      <c r="H3203" s="315"/>
      <c r="I3203" s="315"/>
      <c r="J3203" s="315"/>
      <c r="K3203" s="315"/>
      <c r="L3203" s="315"/>
    </row>
    <row r="3204" spans="1:12">
      <c r="A3204" s="315"/>
      <c r="B3204" s="315"/>
      <c r="C3204" s="315"/>
      <c r="D3204" s="315"/>
      <c r="E3204" s="315"/>
      <c r="F3204" s="315"/>
      <c r="G3204" s="315"/>
      <c r="H3204" s="315"/>
      <c r="I3204" s="315"/>
      <c r="J3204" s="315"/>
      <c r="K3204" s="315"/>
      <c r="L3204" s="315"/>
    </row>
    <row r="3205" spans="1:12">
      <c r="A3205" s="315"/>
      <c r="B3205" s="315"/>
      <c r="C3205" s="315"/>
      <c r="D3205" s="315"/>
      <c r="E3205" s="315"/>
      <c r="F3205" s="315"/>
      <c r="G3205" s="315"/>
      <c r="H3205" s="315"/>
      <c r="I3205" s="315"/>
      <c r="J3205" s="315"/>
      <c r="K3205" s="315"/>
      <c r="L3205" s="315"/>
    </row>
    <row r="3206" spans="1:12">
      <c r="A3206" s="315"/>
      <c r="B3206" s="315"/>
      <c r="C3206" s="315"/>
      <c r="D3206" s="315"/>
      <c r="E3206" s="315"/>
      <c r="F3206" s="315"/>
      <c r="G3206" s="315"/>
      <c r="H3206" s="315"/>
      <c r="I3206" s="315"/>
      <c r="J3206" s="315"/>
      <c r="K3206" s="315"/>
      <c r="L3206" s="315"/>
    </row>
    <row r="3207" spans="1:12">
      <c r="A3207" s="315"/>
      <c r="B3207" s="315"/>
      <c r="C3207" s="315"/>
      <c r="D3207" s="315"/>
      <c r="E3207" s="315"/>
      <c r="F3207" s="315"/>
      <c r="G3207" s="315"/>
      <c r="H3207" s="315"/>
      <c r="I3207" s="315"/>
      <c r="J3207" s="315"/>
      <c r="K3207" s="315"/>
      <c r="L3207" s="315"/>
    </row>
    <row r="3208" spans="1:12">
      <c r="A3208" s="315"/>
      <c r="B3208" s="315"/>
      <c r="C3208" s="315"/>
      <c r="D3208" s="315"/>
      <c r="E3208" s="315"/>
      <c r="F3208" s="315"/>
      <c r="G3208" s="315"/>
      <c r="H3208" s="315"/>
      <c r="I3208" s="315"/>
      <c r="J3208" s="315"/>
      <c r="K3208" s="315"/>
      <c r="L3208" s="315"/>
    </row>
    <row r="3209" spans="1:12">
      <c r="A3209" s="315"/>
      <c r="B3209" s="315"/>
      <c r="C3209" s="315"/>
      <c r="D3209" s="315"/>
      <c r="E3209" s="315"/>
      <c r="F3209" s="315"/>
      <c r="G3209" s="315"/>
      <c r="H3209" s="315"/>
      <c r="I3209" s="315"/>
      <c r="J3209" s="315"/>
      <c r="K3209" s="315"/>
      <c r="L3209" s="315"/>
    </row>
    <row r="3210" spans="1:12">
      <c r="A3210" s="315"/>
      <c r="B3210" s="315"/>
      <c r="C3210" s="315"/>
      <c r="D3210" s="315"/>
      <c r="E3210" s="315"/>
      <c r="F3210" s="315"/>
      <c r="G3210" s="315"/>
      <c r="H3210" s="315"/>
      <c r="I3210" s="315"/>
      <c r="J3210" s="315"/>
      <c r="K3210" s="315"/>
      <c r="L3210" s="315"/>
    </row>
    <row r="3211" spans="1:12">
      <c r="A3211" s="315"/>
      <c r="B3211" s="315"/>
      <c r="C3211" s="315"/>
      <c r="D3211" s="315"/>
      <c r="E3211" s="315"/>
      <c r="F3211" s="315"/>
      <c r="G3211" s="315"/>
      <c r="H3211" s="315"/>
      <c r="I3211" s="315"/>
      <c r="J3211" s="315"/>
      <c r="K3211" s="315"/>
      <c r="L3211" s="315"/>
    </row>
    <row r="3212" spans="1:12">
      <c r="A3212" s="315"/>
      <c r="B3212" s="315"/>
      <c r="C3212" s="315"/>
      <c r="D3212" s="315"/>
      <c r="E3212" s="315"/>
      <c r="F3212" s="315"/>
      <c r="G3212" s="315"/>
      <c r="H3212" s="315"/>
      <c r="I3212" s="315"/>
      <c r="J3212" s="315"/>
      <c r="K3212" s="315"/>
      <c r="L3212" s="315"/>
    </row>
    <row r="3213" spans="1:12">
      <c r="A3213" s="315"/>
      <c r="B3213" s="315"/>
      <c r="C3213" s="315"/>
      <c r="D3213" s="315"/>
      <c r="E3213" s="315"/>
      <c r="F3213" s="315"/>
      <c r="G3213" s="315"/>
      <c r="H3213" s="315"/>
      <c r="I3213" s="315"/>
      <c r="J3213" s="315"/>
      <c r="K3213" s="315"/>
      <c r="L3213" s="315"/>
    </row>
    <row r="3214" spans="1:12">
      <c r="A3214" s="315"/>
      <c r="B3214" s="315"/>
      <c r="C3214" s="315"/>
      <c r="D3214" s="315"/>
      <c r="E3214" s="315"/>
      <c r="F3214" s="315"/>
      <c r="G3214" s="315"/>
      <c r="H3214" s="315"/>
      <c r="I3214" s="315"/>
      <c r="J3214" s="315"/>
      <c r="K3214" s="315"/>
      <c r="L3214" s="315"/>
    </row>
    <row r="3215" spans="1:12">
      <c r="A3215" s="315"/>
      <c r="B3215" s="315"/>
      <c r="C3215" s="315"/>
      <c r="D3215" s="315"/>
      <c r="E3215" s="315"/>
      <c r="F3215" s="315"/>
      <c r="G3215" s="315"/>
      <c r="H3215" s="315"/>
      <c r="I3215" s="315"/>
      <c r="J3215" s="315"/>
      <c r="K3215" s="315"/>
      <c r="L3215" s="315"/>
    </row>
    <row r="3216" spans="1:12">
      <c r="A3216" s="315"/>
      <c r="B3216" s="315"/>
      <c r="C3216" s="315"/>
      <c r="D3216" s="315"/>
      <c r="E3216" s="315"/>
      <c r="F3216" s="315"/>
      <c r="G3216" s="315"/>
      <c r="H3216" s="315"/>
      <c r="I3216" s="315"/>
      <c r="J3216" s="315"/>
      <c r="K3216" s="315"/>
      <c r="L3216" s="315"/>
    </row>
    <row r="3217" spans="1:12">
      <c r="A3217" s="315"/>
      <c r="B3217" s="315"/>
      <c r="C3217" s="315"/>
      <c r="D3217" s="315"/>
      <c r="E3217" s="315"/>
      <c r="F3217" s="315"/>
      <c r="G3217" s="315"/>
      <c r="H3217" s="315"/>
      <c r="I3217" s="315"/>
      <c r="J3217" s="315"/>
      <c r="K3217" s="315"/>
      <c r="L3217" s="315"/>
    </row>
    <row r="3218" spans="1:12">
      <c r="A3218" s="315"/>
      <c r="B3218" s="315"/>
      <c r="C3218" s="315"/>
      <c r="D3218" s="315"/>
      <c r="E3218" s="315"/>
      <c r="F3218" s="315"/>
      <c r="G3218" s="315"/>
      <c r="H3218" s="315"/>
      <c r="I3218" s="315"/>
      <c r="J3218" s="315"/>
      <c r="K3218" s="315"/>
      <c r="L3218" s="315"/>
    </row>
    <row r="3219" spans="1:12">
      <c r="A3219" s="315"/>
      <c r="B3219" s="315"/>
      <c r="C3219" s="315"/>
      <c r="D3219" s="315"/>
      <c r="E3219" s="315"/>
      <c r="F3219" s="315"/>
      <c r="G3219" s="315"/>
      <c r="H3219" s="315"/>
      <c r="I3219" s="315"/>
      <c r="J3219" s="315"/>
      <c r="K3219" s="315"/>
      <c r="L3219" s="315"/>
    </row>
    <row r="3220" spans="1:12">
      <c r="A3220" s="315"/>
      <c r="B3220" s="315"/>
      <c r="C3220" s="315"/>
      <c r="D3220" s="315"/>
      <c r="E3220" s="315"/>
      <c r="F3220" s="315"/>
      <c r="G3220" s="315"/>
      <c r="H3220" s="315"/>
      <c r="I3220" s="315"/>
      <c r="J3220" s="315"/>
      <c r="K3220" s="315"/>
      <c r="L3220" s="315"/>
    </row>
    <row r="3221" spans="1:12">
      <c r="A3221" s="315"/>
      <c r="B3221" s="315"/>
      <c r="C3221" s="315"/>
      <c r="D3221" s="315"/>
      <c r="E3221" s="315"/>
      <c r="F3221" s="315"/>
      <c r="G3221" s="315"/>
      <c r="H3221" s="315"/>
      <c r="I3221" s="315"/>
      <c r="J3221" s="315"/>
      <c r="K3221" s="315"/>
      <c r="L3221" s="315"/>
    </row>
    <row r="3222" spans="1:12">
      <c r="A3222" s="315"/>
      <c r="B3222" s="315"/>
      <c r="C3222" s="315"/>
      <c r="D3222" s="315"/>
      <c r="E3222" s="315"/>
      <c r="F3222" s="315"/>
      <c r="G3222" s="315"/>
      <c r="H3222" s="315"/>
      <c r="I3222" s="315"/>
      <c r="J3222" s="315"/>
      <c r="K3222" s="315"/>
      <c r="L3222" s="315"/>
    </row>
    <row r="3223" spans="1:12">
      <c r="A3223" s="315"/>
      <c r="B3223" s="315"/>
      <c r="C3223" s="315"/>
      <c r="D3223" s="315"/>
      <c r="E3223" s="315"/>
      <c r="F3223" s="315"/>
      <c r="G3223" s="315"/>
      <c r="H3223" s="315"/>
      <c r="I3223" s="315"/>
      <c r="J3223" s="315"/>
      <c r="K3223" s="315"/>
      <c r="L3223" s="315"/>
    </row>
    <row r="3224" spans="1:12">
      <c r="A3224" s="315"/>
      <c r="B3224" s="315"/>
      <c r="C3224" s="315"/>
      <c r="D3224" s="315"/>
      <c r="E3224" s="315"/>
      <c r="F3224" s="315"/>
      <c r="G3224" s="315"/>
      <c r="H3224" s="315"/>
      <c r="I3224" s="315"/>
      <c r="J3224" s="315"/>
      <c r="K3224" s="315"/>
      <c r="L3224" s="315"/>
    </row>
    <row r="3225" spans="1:12">
      <c r="A3225" s="315"/>
      <c r="B3225" s="315"/>
      <c r="C3225" s="315"/>
      <c r="D3225" s="315"/>
      <c r="E3225" s="315"/>
      <c r="F3225" s="315"/>
      <c r="G3225" s="315"/>
      <c r="H3225" s="315"/>
      <c r="I3225" s="315"/>
      <c r="J3225" s="315"/>
      <c r="K3225" s="315"/>
      <c r="L3225" s="315"/>
    </row>
    <row r="3226" spans="1:12">
      <c r="A3226" s="315"/>
      <c r="B3226" s="315"/>
      <c r="C3226" s="315"/>
      <c r="D3226" s="315"/>
      <c r="E3226" s="315"/>
      <c r="F3226" s="315"/>
      <c r="G3226" s="315"/>
      <c r="H3226" s="315"/>
      <c r="I3226" s="315"/>
      <c r="J3226" s="315"/>
      <c r="K3226" s="315"/>
      <c r="L3226" s="315"/>
    </row>
    <row r="3227" spans="1:12">
      <c r="A3227" s="315"/>
      <c r="B3227" s="315"/>
      <c r="C3227" s="315"/>
      <c r="D3227" s="315"/>
      <c r="E3227" s="315"/>
      <c r="F3227" s="315"/>
      <c r="G3227" s="315"/>
      <c r="H3227" s="315"/>
      <c r="I3227" s="315"/>
      <c r="J3227" s="315"/>
      <c r="K3227" s="315"/>
      <c r="L3227" s="315"/>
    </row>
    <row r="3228" spans="1:12">
      <c r="A3228" s="315"/>
      <c r="B3228" s="315"/>
      <c r="C3228" s="315"/>
      <c r="D3228" s="315"/>
      <c r="E3228" s="315"/>
      <c r="F3228" s="315"/>
      <c r="G3228" s="315"/>
      <c r="H3228" s="315"/>
      <c r="I3228" s="315"/>
      <c r="J3228" s="315"/>
      <c r="K3228" s="315"/>
      <c r="L3228" s="315"/>
    </row>
    <row r="3229" spans="1:12">
      <c r="A3229" s="315"/>
      <c r="B3229" s="315"/>
      <c r="C3229" s="315"/>
      <c r="D3229" s="315"/>
      <c r="E3229" s="315"/>
      <c r="F3229" s="315"/>
      <c r="G3229" s="315"/>
      <c r="H3229" s="315"/>
      <c r="I3229" s="315"/>
      <c r="J3229" s="315"/>
      <c r="K3229" s="315"/>
      <c r="L3229" s="315"/>
    </row>
    <row r="3230" spans="1:12">
      <c r="A3230" s="315"/>
      <c r="B3230" s="315"/>
      <c r="C3230" s="315"/>
      <c r="D3230" s="315"/>
      <c r="E3230" s="315"/>
      <c r="F3230" s="315"/>
      <c r="G3230" s="315"/>
      <c r="H3230" s="315"/>
      <c r="I3230" s="315"/>
      <c r="J3230" s="315"/>
      <c r="K3230" s="315"/>
      <c r="L3230" s="315"/>
    </row>
    <row r="3231" spans="1:12">
      <c r="A3231" s="315"/>
      <c r="B3231" s="315"/>
      <c r="C3231" s="315"/>
      <c r="D3231" s="315"/>
      <c r="E3231" s="315"/>
      <c r="F3231" s="315"/>
      <c r="G3231" s="315"/>
      <c r="H3231" s="315"/>
      <c r="I3231" s="315"/>
      <c r="J3231" s="315"/>
      <c r="K3231" s="315"/>
      <c r="L3231" s="315"/>
    </row>
    <row r="3232" spans="1:12">
      <c r="A3232" s="315"/>
      <c r="B3232" s="315"/>
      <c r="C3232" s="315"/>
      <c r="D3232" s="315"/>
      <c r="E3232" s="315"/>
      <c r="F3232" s="315"/>
      <c r="G3232" s="315"/>
      <c r="H3232" s="315"/>
      <c r="I3232" s="315"/>
      <c r="J3232" s="315"/>
      <c r="K3232" s="315"/>
      <c r="L3232" s="315"/>
    </row>
    <row r="3233" spans="1:12">
      <c r="A3233" s="315"/>
      <c r="B3233" s="315"/>
      <c r="C3233" s="315"/>
      <c r="D3233" s="315"/>
      <c r="E3233" s="315"/>
      <c r="F3233" s="315"/>
      <c r="G3233" s="315"/>
      <c r="H3233" s="315"/>
      <c r="I3233" s="315"/>
      <c r="J3233" s="315"/>
      <c r="K3233" s="315"/>
      <c r="L3233" s="315"/>
    </row>
    <row r="3234" spans="1:12">
      <c r="A3234" s="315"/>
      <c r="B3234" s="315"/>
      <c r="C3234" s="315"/>
      <c r="D3234" s="315"/>
      <c r="E3234" s="315"/>
      <c r="F3234" s="315"/>
      <c r="G3234" s="315"/>
      <c r="H3234" s="315"/>
      <c r="I3234" s="315"/>
      <c r="J3234" s="315"/>
      <c r="K3234" s="315"/>
      <c r="L3234" s="315"/>
    </row>
    <row r="3235" spans="1:12">
      <c r="A3235" s="315"/>
      <c r="B3235" s="315"/>
      <c r="C3235" s="315"/>
      <c r="D3235" s="315"/>
      <c r="E3235" s="315"/>
      <c r="F3235" s="315"/>
      <c r="G3235" s="315"/>
      <c r="H3235" s="315"/>
      <c r="I3235" s="315"/>
      <c r="J3235" s="315"/>
      <c r="K3235" s="315"/>
      <c r="L3235" s="315"/>
    </row>
    <row r="3236" spans="1:12">
      <c r="A3236" s="315"/>
      <c r="B3236" s="315"/>
      <c r="C3236" s="315"/>
      <c r="D3236" s="315"/>
      <c r="E3236" s="315"/>
      <c r="F3236" s="315"/>
      <c r="G3236" s="315"/>
      <c r="H3236" s="315"/>
      <c r="I3236" s="315"/>
      <c r="J3236" s="315"/>
      <c r="K3236" s="315"/>
      <c r="L3236" s="315"/>
    </row>
    <row r="3237" spans="1:12">
      <c r="A3237" s="315"/>
      <c r="B3237" s="315"/>
      <c r="C3237" s="315"/>
      <c r="D3237" s="315"/>
      <c r="E3237" s="315"/>
      <c r="F3237" s="315"/>
      <c r="G3237" s="315"/>
      <c r="H3237" s="315"/>
      <c r="I3237" s="315"/>
      <c r="J3237" s="315"/>
      <c r="K3237" s="315"/>
      <c r="L3237" s="315"/>
    </row>
    <row r="3238" spans="1:12">
      <c r="A3238" s="315"/>
      <c r="B3238" s="315"/>
      <c r="C3238" s="315"/>
      <c r="D3238" s="315"/>
      <c r="E3238" s="315"/>
      <c r="F3238" s="315"/>
      <c r="G3238" s="315"/>
      <c r="H3238" s="315"/>
      <c r="I3238" s="315"/>
      <c r="J3238" s="315"/>
      <c r="K3238" s="315"/>
      <c r="L3238" s="315"/>
    </row>
    <row r="3239" spans="1:12">
      <c r="A3239" s="315"/>
      <c r="B3239" s="315"/>
      <c r="C3239" s="315"/>
      <c r="D3239" s="315"/>
      <c r="E3239" s="315"/>
      <c r="F3239" s="315"/>
      <c r="G3239" s="315"/>
      <c r="H3239" s="315"/>
      <c r="I3239" s="315"/>
      <c r="J3239" s="315"/>
      <c r="K3239" s="315"/>
      <c r="L3239" s="315"/>
    </row>
    <row r="3240" spans="1:12">
      <c r="A3240" s="315"/>
      <c r="B3240" s="315"/>
      <c r="C3240" s="315"/>
      <c r="D3240" s="315"/>
      <c r="E3240" s="315"/>
      <c r="F3240" s="315"/>
      <c r="G3240" s="315"/>
      <c r="H3240" s="315"/>
      <c r="I3240" s="315"/>
      <c r="J3240" s="315"/>
      <c r="K3240" s="315"/>
      <c r="L3240" s="315"/>
    </row>
    <row r="3241" spans="1:12">
      <c r="A3241" s="315"/>
      <c r="B3241" s="315"/>
      <c r="C3241" s="315"/>
      <c r="D3241" s="315"/>
      <c r="E3241" s="315"/>
      <c r="F3241" s="315"/>
      <c r="G3241" s="315"/>
      <c r="H3241" s="315"/>
      <c r="I3241" s="315"/>
      <c r="J3241" s="315"/>
      <c r="K3241" s="315"/>
      <c r="L3241" s="315"/>
    </row>
    <row r="3242" spans="1:12">
      <c r="A3242" s="315"/>
      <c r="B3242" s="315"/>
      <c r="C3242" s="315"/>
      <c r="D3242" s="315"/>
      <c r="E3242" s="315"/>
      <c r="F3242" s="315"/>
      <c r="G3242" s="315"/>
      <c r="H3242" s="315"/>
      <c r="I3242" s="315"/>
      <c r="J3242" s="315"/>
      <c r="K3242" s="315"/>
      <c r="L3242" s="315"/>
    </row>
    <row r="3243" spans="1:12">
      <c r="A3243" s="315"/>
      <c r="B3243" s="315"/>
      <c r="C3243" s="315"/>
      <c r="D3243" s="315"/>
      <c r="E3243" s="315"/>
      <c r="F3243" s="315"/>
      <c r="G3243" s="315"/>
      <c r="H3243" s="315"/>
      <c r="I3243" s="315"/>
      <c r="J3243" s="315"/>
      <c r="K3243" s="315"/>
      <c r="L3243" s="315"/>
    </row>
    <row r="3244" spans="1:12">
      <c r="A3244" s="315"/>
      <c r="B3244" s="315"/>
      <c r="C3244" s="315"/>
      <c r="D3244" s="315"/>
      <c r="E3244" s="315"/>
      <c r="F3244" s="315"/>
      <c r="G3244" s="315"/>
      <c r="H3244" s="315"/>
      <c r="I3244" s="315"/>
      <c r="J3244" s="315"/>
      <c r="K3244" s="315"/>
      <c r="L3244" s="315"/>
    </row>
    <row r="3245" spans="1:12">
      <c r="A3245" s="315"/>
      <c r="B3245" s="315"/>
      <c r="C3245" s="315"/>
      <c r="D3245" s="315"/>
      <c r="E3245" s="315"/>
      <c r="F3245" s="315"/>
      <c r="G3245" s="315"/>
      <c r="H3245" s="315"/>
      <c r="I3245" s="315"/>
      <c r="J3245" s="315"/>
      <c r="K3245" s="315"/>
      <c r="L3245" s="315"/>
    </row>
    <row r="3246" spans="1:12">
      <c r="A3246" s="315"/>
      <c r="B3246" s="315"/>
      <c r="C3246" s="315"/>
      <c r="D3246" s="315"/>
      <c r="E3246" s="315"/>
      <c r="F3246" s="315"/>
      <c r="G3246" s="315"/>
      <c r="H3246" s="315"/>
      <c r="I3246" s="315"/>
      <c r="J3246" s="315"/>
      <c r="K3246" s="315"/>
      <c r="L3246" s="315"/>
    </row>
    <row r="3247" spans="1:12">
      <c r="A3247" s="315"/>
      <c r="B3247" s="315"/>
      <c r="C3247" s="315"/>
      <c r="D3247" s="315"/>
      <c r="E3247" s="315"/>
      <c r="F3247" s="315"/>
      <c r="G3247" s="315"/>
      <c r="H3247" s="315"/>
      <c r="I3247" s="315"/>
      <c r="J3247" s="315"/>
      <c r="K3247" s="315"/>
      <c r="L3247" s="315"/>
    </row>
    <row r="3248" spans="1:12">
      <c r="A3248" s="315"/>
      <c r="B3248" s="315"/>
      <c r="C3248" s="315"/>
      <c r="D3248" s="315"/>
      <c r="E3248" s="315"/>
      <c r="F3248" s="315"/>
      <c r="G3248" s="315"/>
      <c r="H3248" s="315"/>
      <c r="I3248" s="315"/>
      <c r="J3248" s="315"/>
      <c r="K3248" s="315"/>
      <c r="L3248" s="315"/>
    </row>
    <row r="3249" spans="1:12">
      <c r="A3249" s="315"/>
      <c r="B3249" s="315"/>
      <c r="C3249" s="315"/>
      <c r="D3249" s="315"/>
      <c r="E3249" s="315"/>
      <c r="F3249" s="315"/>
      <c r="G3249" s="315"/>
      <c r="H3249" s="315"/>
      <c r="I3249" s="315"/>
      <c r="J3249" s="315"/>
      <c r="K3249" s="315"/>
      <c r="L3249" s="315"/>
    </row>
    <row r="3250" spans="1:12">
      <c r="A3250" s="315"/>
      <c r="B3250" s="315"/>
      <c r="C3250" s="315"/>
      <c r="D3250" s="315"/>
      <c r="E3250" s="315"/>
      <c r="F3250" s="315"/>
      <c r="G3250" s="315"/>
      <c r="H3250" s="315"/>
      <c r="I3250" s="315"/>
      <c r="J3250" s="315"/>
      <c r="K3250" s="315"/>
      <c r="L3250" s="315"/>
    </row>
    <row r="3251" spans="1:12">
      <c r="A3251" s="315"/>
      <c r="B3251" s="315"/>
      <c r="C3251" s="315"/>
      <c r="D3251" s="315"/>
      <c r="E3251" s="315"/>
      <c r="F3251" s="315"/>
      <c r="G3251" s="315"/>
      <c r="H3251" s="315"/>
      <c r="I3251" s="315"/>
      <c r="J3251" s="315"/>
      <c r="K3251" s="315"/>
      <c r="L3251" s="315"/>
    </row>
    <row r="3252" spans="1:12">
      <c r="A3252" s="315"/>
      <c r="B3252" s="315"/>
      <c r="C3252" s="315"/>
      <c r="D3252" s="315"/>
      <c r="E3252" s="315"/>
      <c r="F3252" s="315"/>
      <c r="G3252" s="315"/>
      <c r="H3252" s="315"/>
      <c r="I3252" s="315"/>
      <c r="J3252" s="315"/>
      <c r="K3252" s="315"/>
      <c r="L3252" s="315"/>
    </row>
    <row r="3253" spans="1:12">
      <c r="A3253" s="315"/>
      <c r="B3253" s="315"/>
      <c r="C3253" s="315"/>
      <c r="D3253" s="315"/>
      <c r="E3253" s="315"/>
      <c r="F3253" s="315"/>
      <c r="G3253" s="315"/>
      <c r="H3253" s="315"/>
      <c r="I3253" s="315"/>
      <c r="J3253" s="315"/>
      <c r="K3253" s="315"/>
      <c r="L3253" s="315"/>
    </row>
    <row r="3254" spans="1:12">
      <c r="A3254" s="315"/>
      <c r="B3254" s="315"/>
      <c r="C3254" s="315"/>
      <c r="D3254" s="315"/>
      <c r="E3254" s="315"/>
      <c r="F3254" s="315"/>
      <c r="G3254" s="315"/>
      <c r="H3254" s="315"/>
      <c r="I3254" s="315"/>
      <c r="J3254" s="315"/>
      <c r="K3254" s="315"/>
      <c r="L3254" s="315"/>
    </row>
    <row r="3255" spans="1:12">
      <c r="A3255" s="315"/>
      <c r="B3255" s="315"/>
      <c r="C3255" s="315"/>
      <c r="D3255" s="315"/>
      <c r="E3255" s="315"/>
      <c r="F3255" s="315"/>
      <c r="G3255" s="315"/>
      <c r="H3255" s="315"/>
      <c r="I3255" s="315"/>
      <c r="J3255" s="315"/>
      <c r="K3255" s="315"/>
      <c r="L3255" s="315"/>
    </row>
    <row r="3256" spans="1:12">
      <c r="A3256" s="315"/>
      <c r="B3256" s="315"/>
      <c r="C3256" s="315"/>
      <c r="D3256" s="315"/>
      <c r="E3256" s="315"/>
      <c r="F3256" s="315"/>
      <c r="G3256" s="315"/>
      <c r="H3256" s="315"/>
      <c r="I3256" s="315"/>
      <c r="J3256" s="315"/>
      <c r="K3256" s="315"/>
      <c r="L3256" s="315"/>
    </row>
    <row r="3257" spans="1:12">
      <c r="A3257" s="315"/>
      <c r="B3257" s="315"/>
      <c r="C3257" s="315"/>
      <c r="D3257" s="315"/>
      <c r="E3257" s="315"/>
      <c r="F3257" s="315"/>
      <c r="G3257" s="315"/>
      <c r="H3257" s="315"/>
      <c r="I3257" s="315"/>
      <c r="J3257" s="315"/>
      <c r="K3257" s="315"/>
      <c r="L3257" s="315"/>
    </row>
    <row r="3258" spans="1:12">
      <c r="A3258" s="315"/>
      <c r="B3258" s="315"/>
      <c r="C3258" s="315"/>
      <c r="D3258" s="315"/>
      <c r="E3258" s="315"/>
      <c r="F3258" s="315"/>
      <c r="G3258" s="315"/>
      <c r="H3258" s="315"/>
      <c r="I3258" s="315"/>
      <c r="J3258" s="315"/>
      <c r="K3258" s="315"/>
      <c r="L3258" s="315"/>
    </row>
    <row r="3259" spans="1:12">
      <c r="A3259" s="315"/>
      <c r="B3259" s="315"/>
      <c r="C3259" s="315"/>
      <c r="D3259" s="315"/>
      <c r="E3259" s="315"/>
      <c r="F3259" s="315"/>
      <c r="G3259" s="315"/>
      <c r="H3259" s="315"/>
      <c r="I3259" s="315"/>
      <c r="J3259" s="315"/>
      <c r="K3259" s="315"/>
      <c r="L3259" s="315"/>
    </row>
    <row r="3260" spans="1:12">
      <c r="A3260" s="315"/>
      <c r="B3260" s="315"/>
      <c r="C3260" s="315"/>
      <c r="D3260" s="315"/>
      <c r="E3260" s="315"/>
      <c r="F3260" s="315"/>
      <c r="G3260" s="315"/>
      <c r="H3260" s="315"/>
      <c r="I3260" s="315"/>
      <c r="J3260" s="315"/>
      <c r="K3260" s="315"/>
      <c r="L3260" s="315"/>
    </row>
    <row r="3261" spans="1:12">
      <c r="A3261" s="315"/>
      <c r="B3261" s="315"/>
      <c r="C3261" s="315"/>
      <c r="D3261" s="315"/>
      <c r="E3261" s="315"/>
      <c r="F3261" s="315"/>
      <c r="G3261" s="315"/>
      <c r="H3261" s="315"/>
      <c r="I3261" s="315"/>
      <c r="J3261" s="315"/>
      <c r="K3261" s="315"/>
      <c r="L3261" s="315"/>
    </row>
    <row r="3262" spans="1:12">
      <c r="A3262" s="315"/>
      <c r="B3262" s="315"/>
      <c r="C3262" s="315"/>
      <c r="D3262" s="315"/>
      <c r="E3262" s="315"/>
      <c r="F3262" s="315"/>
      <c r="G3262" s="315"/>
      <c r="H3262" s="315"/>
      <c r="I3262" s="315"/>
      <c r="J3262" s="315"/>
      <c r="K3262" s="315"/>
      <c r="L3262" s="315"/>
    </row>
    <row r="3263" spans="1:12">
      <c r="A3263" s="315"/>
      <c r="B3263" s="315"/>
      <c r="C3263" s="315"/>
      <c r="D3263" s="315"/>
      <c r="E3263" s="315"/>
      <c r="F3263" s="315"/>
      <c r="G3263" s="315"/>
      <c r="H3263" s="315"/>
      <c r="I3263" s="315"/>
      <c r="J3263" s="315"/>
      <c r="K3263" s="315"/>
      <c r="L3263" s="315"/>
    </row>
    <row r="3264" spans="1:12">
      <c r="A3264" s="315"/>
      <c r="B3264" s="315"/>
      <c r="C3264" s="315"/>
      <c r="D3264" s="315"/>
      <c r="E3264" s="315"/>
      <c r="F3264" s="315"/>
      <c r="G3264" s="315"/>
      <c r="H3264" s="315"/>
      <c r="I3264" s="315"/>
      <c r="J3264" s="315"/>
      <c r="K3264" s="315"/>
      <c r="L3264" s="315"/>
    </row>
    <row r="3265" spans="1:12">
      <c r="A3265" s="315"/>
      <c r="B3265" s="315"/>
      <c r="C3265" s="315"/>
      <c r="D3265" s="315"/>
      <c r="E3265" s="315"/>
      <c r="F3265" s="315"/>
      <c r="G3265" s="315"/>
      <c r="H3265" s="315"/>
      <c r="I3265" s="315"/>
      <c r="J3265" s="315"/>
      <c r="K3265" s="315"/>
      <c r="L3265" s="315"/>
    </row>
    <row r="3266" spans="1:12">
      <c r="A3266" s="315"/>
      <c r="B3266" s="315"/>
      <c r="C3266" s="315"/>
      <c r="D3266" s="315"/>
      <c r="E3266" s="315"/>
      <c r="F3266" s="315"/>
      <c r="G3266" s="315"/>
      <c r="H3266" s="315"/>
      <c r="I3266" s="315"/>
      <c r="J3266" s="315"/>
      <c r="K3266" s="315"/>
      <c r="L3266" s="315"/>
    </row>
    <row r="3267" spans="1:12">
      <c r="A3267" s="315"/>
      <c r="B3267" s="315"/>
      <c r="C3267" s="315"/>
      <c r="D3267" s="315"/>
      <c r="E3267" s="315"/>
      <c r="F3267" s="315"/>
      <c r="G3267" s="315"/>
      <c r="H3267" s="315"/>
      <c r="I3267" s="315"/>
      <c r="J3267" s="315"/>
      <c r="K3267" s="315"/>
      <c r="L3267" s="315"/>
    </row>
    <row r="3268" spans="1:12">
      <c r="A3268" s="315"/>
      <c r="B3268" s="315"/>
      <c r="C3268" s="315"/>
      <c r="D3268" s="315"/>
      <c r="E3268" s="315"/>
      <c r="F3268" s="315"/>
      <c r="G3268" s="315"/>
      <c r="H3268" s="315"/>
      <c r="I3268" s="315"/>
      <c r="J3268" s="315"/>
      <c r="K3268" s="315"/>
      <c r="L3268" s="315"/>
    </row>
    <row r="3269" spans="1:12">
      <c r="A3269" s="315"/>
      <c r="B3269" s="315"/>
      <c r="C3269" s="315"/>
      <c r="D3269" s="315"/>
      <c r="E3269" s="315"/>
      <c r="F3269" s="315"/>
      <c r="G3269" s="315"/>
      <c r="H3269" s="315"/>
      <c r="I3269" s="315"/>
      <c r="J3269" s="315"/>
      <c r="K3269" s="315"/>
      <c r="L3269" s="315"/>
    </row>
    <row r="3270" spans="1:12">
      <c r="A3270" s="315"/>
      <c r="B3270" s="315"/>
      <c r="C3270" s="315"/>
      <c r="D3270" s="315"/>
      <c r="E3270" s="315"/>
      <c r="F3270" s="315"/>
      <c r="G3270" s="315"/>
      <c r="H3270" s="315"/>
      <c r="I3270" s="315"/>
      <c r="J3270" s="315"/>
      <c r="K3270" s="315"/>
      <c r="L3270" s="315"/>
    </row>
    <row r="3271" spans="1:12">
      <c r="A3271" s="315"/>
      <c r="B3271" s="315"/>
      <c r="C3271" s="315"/>
      <c r="D3271" s="315"/>
      <c r="E3271" s="315"/>
      <c r="F3271" s="315"/>
      <c r="G3271" s="315"/>
      <c r="H3271" s="315"/>
      <c r="I3271" s="315"/>
      <c r="J3271" s="315"/>
      <c r="K3271" s="315"/>
      <c r="L3271" s="315"/>
    </row>
    <row r="3272" spans="1:12">
      <c r="A3272" s="315"/>
      <c r="B3272" s="315"/>
      <c r="C3272" s="315"/>
      <c r="D3272" s="315"/>
      <c r="E3272" s="315"/>
      <c r="F3272" s="315"/>
      <c r="G3272" s="315"/>
      <c r="H3272" s="315"/>
      <c r="I3272" s="315"/>
      <c r="J3272" s="315"/>
      <c r="K3272" s="315"/>
      <c r="L3272" s="315"/>
    </row>
    <row r="3273" spans="1:12">
      <c r="A3273" s="315"/>
      <c r="B3273" s="315"/>
      <c r="C3273" s="315"/>
      <c r="D3273" s="315"/>
      <c r="E3273" s="315"/>
      <c r="F3273" s="315"/>
      <c r="G3273" s="315"/>
      <c r="H3273" s="315"/>
      <c r="I3273" s="315"/>
      <c r="J3273" s="315"/>
      <c r="K3273" s="315"/>
      <c r="L3273" s="315"/>
    </row>
    <row r="3274" spans="1:12">
      <c r="A3274" s="315"/>
      <c r="B3274" s="315"/>
      <c r="C3274" s="315"/>
      <c r="D3274" s="315"/>
      <c r="E3274" s="315"/>
      <c r="F3274" s="315"/>
      <c r="G3274" s="315"/>
      <c r="H3274" s="315"/>
      <c r="I3274" s="315"/>
      <c r="J3274" s="315"/>
      <c r="K3274" s="315"/>
      <c r="L3274" s="315"/>
    </row>
    <row r="3275" spans="1:12">
      <c r="A3275" s="315"/>
      <c r="B3275" s="315"/>
      <c r="C3275" s="315"/>
      <c r="D3275" s="315"/>
      <c r="E3275" s="315"/>
      <c r="F3275" s="315"/>
      <c r="G3275" s="315"/>
      <c r="H3275" s="315"/>
      <c r="I3275" s="315"/>
      <c r="J3275" s="315"/>
      <c r="K3275" s="315"/>
      <c r="L3275" s="315"/>
    </row>
    <row r="3276" spans="1:12">
      <c r="A3276" s="315"/>
      <c r="B3276" s="315"/>
      <c r="C3276" s="315"/>
      <c r="D3276" s="315"/>
      <c r="E3276" s="315"/>
      <c r="F3276" s="315"/>
      <c r="G3276" s="315"/>
      <c r="H3276" s="315"/>
      <c r="I3276" s="315"/>
      <c r="J3276" s="315"/>
      <c r="K3276" s="315"/>
      <c r="L3276" s="315"/>
    </row>
    <row r="3277" spans="1:12">
      <c r="A3277" s="315"/>
      <c r="B3277" s="315"/>
      <c r="C3277" s="315"/>
      <c r="D3277" s="315"/>
      <c r="E3277" s="315"/>
      <c r="F3277" s="315"/>
      <c r="G3277" s="315"/>
      <c r="H3277" s="315"/>
      <c r="I3277" s="315"/>
      <c r="J3277" s="315"/>
      <c r="K3277" s="315"/>
      <c r="L3277" s="315"/>
    </row>
    <row r="3278" spans="1:12">
      <c r="A3278" s="315"/>
      <c r="B3278" s="315"/>
      <c r="C3278" s="315"/>
      <c r="D3278" s="315"/>
      <c r="E3278" s="315"/>
      <c r="F3278" s="315"/>
      <c r="G3278" s="315"/>
      <c r="H3278" s="315"/>
      <c r="I3278" s="315"/>
      <c r="J3278" s="315"/>
      <c r="K3278" s="315"/>
      <c r="L3278" s="315"/>
    </row>
    <row r="3279" spans="1:12">
      <c r="A3279" s="315"/>
      <c r="B3279" s="315"/>
      <c r="C3279" s="315"/>
      <c r="D3279" s="315"/>
      <c r="E3279" s="315"/>
      <c r="F3279" s="315"/>
      <c r="G3279" s="315"/>
      <c r="H3279" s="315"/>
      <c r="I3279" s="315"/>
      <c r="J3279" s="315"/>
      <c r="K3279" s="315"/>
      <c r="L3279" s="315"/>
    </row>
    <row r="3280" spans="1:12">
      <c r="A3280" s="315"/>
      <c r="B3280" s="315"/>
      <c r="C3280" s="315"/>
      <c r="D3280" s="315"/>
      <c r="E3280" s="315"/>
      <c r="F3280" s="315"/>
      <c r="G3280" s="315"/>
      <c r="H3280" s="315"/>
      <c r="I3280" s="315"/>
      <c r="J3280" s="315"/>
      <c r="K3280" s="315"/>
      <c r="L3280" s="315"/>
    </row>
    <row r="3281" spans="1:12">
      <c r="A3281" s="315"/>
      <c r="B3281" s="315"/>
      <c r="C3281" s="315"/>
      <c r="D3281" s="315"/>
      <c r="E3281" s="315"/>
      <c r="F3281" s="315"/>
      <c r="G3281" s="315"/>
      <c r="H3281" s="315"/>
      <c r="I3281" s="315"/>
      <c r="J3281" s="315"/>
      <c r="K3281" s="315"/>
      <c r="L3281" s="315"/>
    </row>
    <row r="3282" spans="1:12">
      <c r="A3282" s="315"/>
      <c r="B3282" s="315"/>
      <c r="C3282" s="315"/>
      <c r="D3282" s="315"/>
      <c r="E3282" s="315"/>
      <c r="F3282" s="315"/>
      <c r="G3282" s="315"/>
      <c r="H3282" s="315"/>
      <c r="I3282" s="315"/>
      <c r="J3282" s="315"/>
      <c r="K3282" s="315"/>
      <c r="L3282" s="315"/>
    </row>
    <row r="3283" spans="1:12">
      <c r="A3283" s="315"/>
      <c r="B3283" s="315"/>
      <c r="C3283" s="315"/>
      <c r="D3283" s="315"/>
      <c r="E3283" s="315"/>
      <c r="F3283" s="315"/>
      <c r="G3283" s="315"/>
      <c r="H3283" s="315"/>
      <c r="I3283" s="315"/>
      <c r="J3283" s="315"/>
      <c r="K3283" s="315"/>
      <c r="L3283" s="315"/>
    </row>
    <row r="3284" spans="1:12">
      <c r="A3284" s="315"/>
      <c r="B3284" s="315"/>
      <c r="C3284" s="315"/>
      <c r="D3284" s="315"/>
      <c r="E3284" s="315"/>
      <c r="F3284" s="315"/>
      <c r="G3284" s="315"/>
      <c r="H3284" s="315"/>
      <c r="I3284" s="315"/>
      <c r="J3284" s="315"/>
      <c r="K3284" s="315"/>
      <c r="L3284" s="315"/>
    </row>
    <row r="3285" spans="1:12">
      <c r="A3285" s="315"/>
      <c r="B3285" s="315"/>
      <c r="C3285" s="315"/>
      <c r="D3285" s="315"/>
      <c r="E3285" s="315"/>
      <c r="F3285" s="315"/>
      <c r="G3285" s="315"/>
      <c r="H3285" s="315"/>
      <c r="I3285" s="315"/>
      <c r="J3285" s="315"/>
      <c r="K3285" s="315"/>
      <c r="L3285" s="315"/>
    </row>
    <row r="3286" spans="1:12">
      <c r="A3286" s="315"/>
      <c r="B3286" s="315"/>
      <c r="C3286" s="315"/>
      <c r="D3286" s="315"/>
      <c r="E3286" s="315"/>
      <c r="F3286" s="315"/>
      <c r="G3286" s="315"/>
      <c r="H3286" s="315"/>
      <c r="I3286" s="315"/>
      <c r="J3286" s="315"/>
      <c r="K3286" s="315"/>
      <c r="L3286" s="315"/>
    </row>
    <row r="3287" spans="1:12">
      <c r="A3287" s="315"/>
      <c r="B3287" s="315"/>
      <c r="C3287" s="315"/>
      <c r="D3287" s="315"/>
      <c r="E3287" s="315"/>
      <c r="F3287" s="315"/>
      <c r="G3287" s="315"/>
      <c r="H3287" s="315"/>
      <c r="I3287" s="315"/>
      <c r="J3287" s="315"/>
      <c r="K3287" s="315"/>
      <c r="L3287" s="315"/>
    </row>
    <row r="3288" spans="1:12">
      <c r="A3288" s="315"/>
      <c r="B3288" s="315"/>
      <c r="C3288" s="315"/>
      <c r="D3288" s="315"/>
      <c r="E3288" s="315"/>
      <c r="F3288" s="315"/>
      <c r="G3288" s="315"/>
      <c r="H3288" s="315"/>
      <c r="I3288" s="315"/>
      <c r="J3288" s="315"/>
      <c r="K3288" s="315"/>
      <c r="L3288" s="315"/>
    </row>
    <row r="3289" spans="1:12">
      <c r="A3289" s="315"/>
      <c r="B3289" s="315"/>
      <c r="C3289" s="315"/>
      <c r="D3289" s="315"/>
      <c r="E3289" s="315"/>
      <c r="F3289" s="315"/>
      <c r="G3289" s="315"/>
      <c r="H3289" s="315"/>
      <c r="I3289" s="315"/>
      <c r="J3289" s="315"/>
      <c r="K3289" s="315"/>
      <c r="L3289" s="315"/>
    </row>
    <row r="3290" spans="1:12">
      <c r="A3290" s="315"/>
      <c r="B3290" s="315"/>
      <c r="C3290" s="315"/>
      <c r="D3290" s="315"/>
      <c r="E3290" s="315"/>
      <c r="F3290" s="315"/>
      <c r="G3290" s="315"/>
      <c r="H3290" s="315"/>
      <c r="I3290" s="315"/>
      <c r="J3290" s="315"/>
      <c r="K3290" s="315"/>
      <c r="L3290" s="315"/>
    </row>
    <row r="3291" spans="1:12">
      <c r="A3291" s="315"/>
      <c r="B3291" s="315"/>
      <c r="C3291" s="315"/>
      <c r="D3291" s="315"/>
      <c r="E3291" s="315"/>
      <c r="F3291" s="315"/>
      <c r="G3291" s="315"/>
      <c r="H3291" s="315"/>
      <c r="I3291" s="315"/>
      <c r="J3291" s="315"/>
      <c r="K3291" s="315"/>
      <c r="L3291" s="315"/>
    </row>
    <row r="3292" spans="1:12">
      <c r="A3292" s="315"/>
      <c r="B3292" s="315"/>
      <c r="C3292" s="315"/>
      <c r="D3292" s="315"/>
      <c r="E3292" s="315"/>
      <c r="F3292" s="315"/>
      <c r="G3292" s="315"/>
      <c r="H3292" s="315"/>
      <c r="I3292" s="315"/>
      <c r="J3292" s="315"/>
      <c r="K3292" s="315"/>
      <c r="L3292" s="315"/>
    </row>
    <row r="3293" spans="1:12">
      <c r="A3293" s="315"/>
      <c r="B3293" s="315"/>
      <c r="C3293" s="315"/>
      <c r="D3293" s="315"/>
      <c r="E3293" s="315"/>
      <c r="F3293" s="315"/>
      <c r="G3293" s="315"/>
      <c r="H3293" s="315"/>
      <c r="I3293" s="315"/>
      <c r="J3293" s="315"/>
      <c r="K3293" s="315"/>
      <c r="L3293" s="315"/>
    </row>
    <row r="3294" spans="1:12">
      <c r="A3294" s="315"/>
      <c r="B3294" s="315"/>
      <c r="C3294" s="315"/>
      <c r="D3294" s="315"/>
      <c r="E3294" s="315"/>
      <c r="F3294" s="315"/>
      <c r="G3294" s="315"/>
      <c r="H3294" s="315"/>
      <c r="I3294" s="315"/>
      <c r="J3294" s="315"/>
      <c r="K3294" s="315"/>
      <c r="L3294" s="315"/>
    </row>
    <row r="3295" spans="1:12">
      <c r="A3295" s="315"/>
      <c r="B3295" s="315"/>
      <c r="C3295" s="315"/>
      <c r="D3295" s="315"/>
      <c r="E3295" s="315"/>
      <c r="F3295" s="315"/>
      <c r="G3295" s="315"/>
      <c r="H3295" s="315"/>
      <c r="I3295" s="315"/>
      <c r="J3295" s="315"/>
      <c r="K3295" s="315"/>
      <c r="L3295" s="315"/>
    </row>
    <row r="3296" spans="1:12">
      <c r="A3296" s="315"/>
      <c r="B3296" s="315"/>
      <c r="C3296" s="315"/>
      <c r="D3296" s="315"/>
      <c r="E3296" s="315"/>
      <c r="F3296" s="315"/>
      <c r="G3296" s="315"/>
      <c r="H3296" s="315"/>
      <c r="I3296" s="315"/>
      <c r="J3296" s="315"/>
      <c r="K3296" s="315"/>
      <c r="L3296" s="315"/>
    </row>
    <row r="3297" spans="1:12">
      <c r="A3297" s="315"/>
      <c r="B3297" s="315"/>
      <c r="C3297" s="315"/>
      <c r="D3297" s="315"/>
      <c r="E3297" s="315"/>
      <c r="F3297" s="315"/>
      <c r="G3297" s="315"/>
      <c r="H3297" s="315"/>
      <c r="I3297" s="315"/>
      <c r="J3297" s="315"/>
      <c r="K3297" s="315"/>
      <c r="L3297" s="315"/>
    </row>
    <row r="3298" spans="1:12">
      <c r="A3298" s="315"/>
      <c r="B3298" s="315"/>
      <c r="C3298" s="315"/>
      <c r="D3298" s="315"/>
      <c r="E3298" s="315"/>
      <c r="F3298" s="315"/>
      <c r="G3298" s="315"/>
      <c r="H3298" s="315"/>
      <c r="I3298" s="315"/>
      <c r="J3298" s="315"/>
      <c r="K3298" s="315"/>
      <c r="L3298" s="315"/>
    </row>
    <row r="3299" spans="1:12">
      <c r="A3299" s="315"/>
      <c r="B3299" s="315"/>
      <c r="C3299" s="315"/>
      <c r="D3299" s="315"/>
      <c r="E3299" s="315"/>
      <c r="F3299" s="315"/>
      <c r="G3299" s="315"/>
      <c r="H3299" s="315"/>
      <c r="I3299" s="315"/>
      <c r="J3299" s="315"/>
      <c r="K3299" s="315"/>
      <c r="L3299" s="315"/>
    </row>
    <row r="3300" spans="1:12">
      <c r="A3300" s="315"/>
      <c r="B3300" s="315"/>
      <c r="C3300" s="315"/>
      <c r="D3300" s="315"/>
      <c r="E3300" s="315"/>
      <c r="F3300" s="315"/>
      <c r="G3300" s="315"/>
      <c r="H3300" s="315"/>
      <c r="I3300" s="315"/>
      <c r="J3300" s="315"/>
      <c r="K3300" s="315"/>
      <c r="L3300" s="315"/>
    </row>
    <row r="3301" spans="1:12">
      <c r="A3301" s="315"/>
      <c r="B3301" s="315"/>
      <c r="C3301" s="315"/>
      <c r="D3301" s="315"/>
      <c r="E3301" s="315"/>
      <c r="F3301" s="315"/>
      <c r="G3301" s="315"/>
      <c r="H3301" s="315"/>
      <c r="I3301" s="315"/>
      <c r="J3301" s="315"/>
      <c r="K3301" s="315"/>
      <c r="L3301" s="315"/>
    </row>
    <row r="3302" spans="1:12">
      <c r="A3302" s="315"/>
      <c r="B3302" s="315"/>
      <c r="C3302" s="315"/>
      <c r="D3302" s="315"/>
      <c r="E3302" s="315"/>
      <c r="F3302" s="315"/>
      <c r="G3302" s="315"/>
      <c r="H3302" s="315"/>
      <c r="I3302" s="315"/>
      <c r="J3302" s="315"/>
      <c r="K3302" s="315"/>
      <c r="L3302" s="315"/>
    </row>
    <row r="3303" spans="1:12">
      <c r="A3303" s="315"/>
      <c r="B3303" s="315"/>
      <c r="C3303" s="315"/>
      <c r="D3303" s="315"/>
      <c r="E3303" s="315"/>
      <c r="F3303" s="315"/>
      <c r="G3303" s="315"/>
      <c r="H3303" s="315"/>
      <c r="I3303" s="315"/>
      <c r="J3303" s="315"/>
      <c r="K3303" s="315"/>
      <c r="L3303" s="315"/>
    </row>
    <row r="3304" spans="1:12">
      <c r="A3304" s="315"/>
      <c r="B3304" s="315"/>
      <c r="C3304" s="315"/>
      <c r="D3304" s="315"/>
      <c r="E3304" s="315"/>
      <c r="F3304" s="315"/>
      <c r="G3304" s="315"/>
      <c r="H3304" s="315"/>
      <c r="I3304" s="315"/>
      <c r="J3304" s="315"/>
      <c r="K3304" s="315"/>
      <c r="L3304" s="315"/>
    </row>
    <row r="3305" spans="1:12">
      <c r="A3305" s="315"/>
      <c r="B3305" s="315"/>
      <c r="C3305" s="315"/>
      <c r="D3305" s="315"/>
      <c r="E3305" s="315"/>
      <c r="F3305" s="315"/>
      <c r="G3305" s="315"/>
      <c r="H3305" s="315"/>
      <c r="I3305" s="315"/>
      <c r="J3305" s="315"/>
      <c r="K3305" s="315"/>
      <c r="L3305" s="315"/>
    </row>
    <row r="3306" spans="1:12">
      <c r="A3306" s="315"/>
      <c r="B3306" s="315"/>
      <c r="C3306" s="315"/>
      <c r="D3306" s="315"/>
      <c r="E3306" s="315"/>
      <c r="F3306" s="315"/>
      <c r="G3306" s="315"/>
      <c r="H3306" s="315"/>
      <c r="I3306" s="315"/>
      <c r="J3306" s="315"/>
      <c r="K3306" s="315"/>
      <c r="L3306" s="315"/>
    </row>
    <row r="3307" spans="1:12">
      <c r="A3307" s="315"/>
      <c r="B3307" s="315"/>
      <c r="C3307" s="315"/>
      <c r="D3307" s="315"/>
      <c r="E3307" s="315"/>
      <c r="F3307" s="315"/>
      <c r="G3307" s="315"/>
      <c r="H3307" s="315"/>
      <c r="I3307" s="315"/>
      <c r="J3307" s="315"/>
      <c r="K3307" s="315"/>
      <c r="L3307" s="315"/>
    </row>
    <row r="3308" spans="1:12">
      <c r="A3308" s="315"/>
      <c r="B3308" s="315"/>
      <c r="C3308" s="315"/>
      <c r="D3308" s="315"/>
      <c r="E3308" s="315"/>
      <c r="F3308" s="315"/>
      <c r="G3308" s="315"/>
      <c r="H3308" s="315"/>
      <c r="I3308" s="315"/>
      <c r="J3308" s="315"/>
      <c r="K3308" s="315"/>
      <c r="L3308" s="315"/>
    </row>
    <row r="3309" spans="1:12">
      <c r="A3309" s="315"/>
      <c r="B3309" s="315"/>
      <c r="C3309" s="315"/>
      <c r="D3309" s="315"/>
      <c r="E3309" s="315"/>
      <c r="F3309" s="315"/>
      <c r="G3309" s="315"/>
      <c r="H3309" s="315"/>
      <c r="I3309" s="315"/>
      <c r="J3309" s="315"/>
      <c r="K3309" s="315"/>
      <c r="L3309" s="315"/>
    </row>
    <row r="3310" spans="1:12">
      <c r="A3310" s="315"/>
      <c r="B3310" s="315"/>
      <c r="C3310" s="315"/>
      <c r="D3310" s="315"/>
      <c r="E3310" s="315"/>
      <c r="F3310" s="315"/>
      <c r="G3310" s="315"/>
      <c r="H3310" s="315"/>
      <c r="I3310" s="315"/>
      <c r="J3310" s="315"/>
      <c r="K3310" s="315"/>
      <c r="L3310" s="315"/>
    </row>
    <row r="3311" spans="1:12">
      <c r="A3311" s="315"/>
      <c r="B3311" s="315"/>
      <c r="C3311" s="315"/>
      <c r="D3311" s="315"/>
      <c r="E3311" s="315"/>
      <c r="F3311" s="315"/>
      <c r="G3311" s="315"/>
      <c r="H3311" s="315"/>
      <c r="I3311" s="315"/>
      <c r="J3311" s="315"/>
      <c r="K3311" s="315"/>
      <c r="L3311" s="315"/>
    </row>
    <row r="3312" spans="1:12">
      <c r="A3312" s="315"/>
      <c r="B3312" s="315"/>
      <c r="C3312" s="315"/>
      <c r="D3312" s="315"/>
      <c r="E3312" s="315"/>
      <c r="F3312" s="315"/>
      <c r="G3312" s="315"/>
      <c r="H3312" s="315"/>
      <c r="I3312" s="315"/>
      <c r="J3312" s="315"/>
      <c r="K3312" s="315"/>
      <c r="L3312" s="315"/>
    </row>
    <row r="3313" spans="1:12">
      <c r="A3313" s="315"/>
      <c r="B3313" s="315"/>
      <c r="C3313" s="315"/>
      <c r="D3313" s="315"/>
      <c r="E3313" s="315"/>
      <c r="F3313" s="315"/>
      <c r="G3313" s="315"/>
      <c r="H3313" s="315"/>
      <c r="I3313" s="315"/>
      <c r="J3313" s="315"/>
      <c r="K3313" s="315"/>
      <c r="L3313" s="315"/>
    </row>
    <row r="3314" spans="1:12">
      <c r="A3314" s="315"/>
      <c r="B3314" s="315"/>
      <c r="C3314" s="315"/>
      <c r="D3314" s="315"/>
      <c r="E3314" s="315"/>
      <c r="F3314" s="315"/>
      <c r="G3314" s="315"/>
      <c r="H3314" s="315"/>
      <c r="I3314" s="315"/>
      <c r="J3314" s="315"/>
      <c r="K3314" s="315"/>
      <c r="L3314" s="315"/>
    </row>
    <row r="3315" spans="1:12">
      <c r="A3315" s="315"/>
      <c r="B3315" s="315"/>
      <c r="C3315" s="315"/>
      <c r="D3315" s="315"/>
      <c r="E3315" s="315"/>
      <c r="F3315" s="315"/>
      <c r="G3315" s="315"/>
      <c r="H3315" s="315"/>
      <c r="I3315" s="315"/>
      <c r="J3315" s="315"/>
      <c r="K3315" s="315"/>
      <c r="L3315" s="315"/>
    </row>
    <row r="3316" spans="1:12">
      <c r="A3316" s="315"/>
      <c r="B3316" s="315"/>
      <c r="C3316" s="315"/>
      <c r="D3316" s="315"/>
      <c r="E3316" s="315"/>
      <c r="F3316" s="315"/>
      <c r="G3316" s="315"/>
      <c r="H3316" s="315"/>
      <c r="I3316" s="315"/>
      <c r="J3316" s="315"/>
      <c r="K3316" s="315"/>
      <c r="L3316" s="315"/>
    </row>
    <row r="3317" spans="1:12">
      <c r="A3317" s="315"/>
      <c r="B3317" s="315"/>
      <c r="C3317" s="315"/>
      <c r="D3317" s="315"/>
      <c r="E3317" s="315"/>
      <c r="F3317" s="315"/>
      <c r="G3317" s="315"/>
      <c r="H3317" s="315"/>
      <c r="I3317" s="315"/>
      <c r="J3317" s="315"/>
      <c r="K3317" s="315"/>
      <c r="L3317" s="315"/>
    </row>
    <row r="3318" spans="1:12">
      <c r="A3318" s="315"/>
      <c r="B3318" s="315"/>
      <c r="C3318" s="315"/>
      <c r="D3318" s="315"/>
      <c r="E3318" s="315"/>
      <c r="F3318" s="315"/>
      <c r="G3318" s="315"/>
      <c r="H3318" s="315"/>
      <c r="I3318" s="315"/>
      <c r="J3318" s="315"/>
      <c r="K3318" s="315"/>
      <c r="L3318" s="315"/>
    </row>
    <row r="3319" spans="1:12">
      <c r="A3319" s="315"/>
      <c r="B3319" s="315"/>
      <c r="C3319" s="315"/>
      <c r="D3319" s="315"/>
      <c r="E3319" s="315"/>
      <c r="F3319" s="315"/>
      <c r="G3319" s="315"/>
      <c r="H3319" s="315"/>
      <c r="I3319" s="315"/>
      <c r="J3319" s="315"/>
      <c r="K3319" s="315"/>
      <c r="L3319" s="315"/>
    </row>
    <row r="3320" spans="1:12">
      <c r="A3320" s="315"/>
      <c r="B3320" s="315"/>
      <c r="C3320" s="315"/>
      <c r="D3320" s="315"/>
      <c r="E3320" s="315"/>
      <c r="F3320" s="315"/>
      <c r="G3320" s="315"/>
      <c r="H3320" s="315"/>
      <c r="I3320" s="315"/>
      <c r="J3320" s="315"/>
      <c r="K3320" s="315"/>
      <c r="L3320" s="315"/>
    </row>
    <row r="3321" spans="1:12">
      <c r="A3321" s="315"/>
      <c r="B3321" s="315"/>
      <c r="C3321" s="315"/>
      <c r="D3321" s="315"/>
      <c r="E3321" s="315"/>
      <c r="F3321" s="315"/>
      <c r="G3321" s="315"/>
      <c r="H3321" s="315"/>
      <c r="I3321" s="315"/>
      <c r="J3321" s="315"/>
      <c r="K3321" s="315"/>
      <c r="L3321" s="315"/>
    </row>
    <row r="3322" spans="1:12">
      <c r="A3322" s="315"/>
      <c r="B3322" s="315"/>
      <c r="C3322" s="315"/>
      <c r="D3322" s="315"/>
      <c r="E3322" s="315"/>
      <c r="F3322" s="315"/>
      <c r="G3322" s="315"/>
      <c r="H3322" s="315"/>
      <c r="I3322" s="315"/>
      <c r="J3322" s="315"/>
      <c r="K3322" s="315"/>
      <c r="L3322" s="315"/>
    </row>
    <row r="3323" spans="1:12">
      <c r="A3323" s="315"/>
      <c r="B3323" s="315"/>
      <c r="C3323" s="315"/>
      <c r="D3323" s="315"/>
      <c r="E3323" s="315"/>
      <c r="F3323" s="315"/>
      <c r="G3323" s="315"/>
      <c r="H3323" s="315"/>
      <c r="I3323" s="315"/>
      <c r="J3323" s="315"/>
      <c r="K3323" s="315"/>
      <c r="L3323" s="315"/>
    </row>
    <row r="3324" spans="1:12">
      <c r="A3324" s="315"/>
      <c r="B3324" s="315"/>
      <c r="C3324" s="315"/>
      <c r="D3324" s="315"/>
      <c r="E3324" s="315"/>
      <c r="F3324" s="315"/>
      <c r="G3324" s="315"/>
      <c r="H3324" s="315"/>
      <c r="I3324" s="315"/>
      <c r="J3324" s="315"/>
      <c r="K3324" s="315"/>
      <c r="L3324" s="315"/>
    </row>
    <row r="3325" spans="1:12">
      <c r="A3325" s="315"/>
      <c r="B3325" s="315"/>
      <c r="C3325" s="315"/>
      <c r="D3325" s="315"/>
      <c r="E3325" s="315"/>
      <c r="F3325" s="315"/>
      <c r="G3325" s="315"/>
      <c r="H3325" s="315"/>
      <c r="I3325" s="315"/>
      <c r="J3325" s="315"/>
      <c r="K3325" s="315"/>
      <c r="L3325" s="315"/>
    </row>
    <row r="3326" spans="1:12">
      <c r="A3326" s="315"/>
      <c r="B3326" s="315"/>
      <c r="C3326" s="315"/>
      <c r="D3326" s="315"/>
      <c r="E3326" s="315"/>
      <c r="F3326" s="315"/>
      <c r="G3326" s="315"/>
      <c r="H3326" s="315"/>
      <c r="I3326" s="315"/>
      <c r="J3326" s="315"/>
      <c r="K3326" s="315"/>
      <c r="L3326" s="315"/>
    </row>
    <row r="3327" spans="1:12">
      <c r="A3327" s="315"/>
      <c r="B3327" s="315"/>
      <c r="C3327" s="315"/>
      <c r="D3327" s="315"/>
      <c r="E3327" s="315"/>
      <c r="F3327" s="315"/>
      <c r="G3327" s="315"/>
      <c r="H3327" s="315"/>
      <c r="I3327" s="315"/>
      <c r="J3327" s="315"/>
      <c r="K3327" s="315"/>
      <c r="L3327" s="315"/>
    </row>
    <row r="3328" spans="1:12">
      <c r="A3328" s="315"/>
      <c r="B3328" s="315"/>
      <c r="C3328" s="315"/>
      <c r="D3328" s="315"/>
      <c r="E3328" s="315"/>
      <c r="F3328" s="315"/>
      <c r="G3328" s="315"/>
      <c r="H3328" s="315"/>
      <c r="I3328" s="315"/>
      <c r="J3328" s="315"/>
      <c r="K3328" s="315"/>
      <c r="L3328" s="315"/>
    </row>
    <row r="3329" spans="1:12">
      <c r="A3329" s="315"/>
      <c r="B3329" s="315"/>
      <c r="C3329" s="315"/>
      <c r="D3329" s="315"/>
      <c r="E3329" s="315"/>
      <c r="F3329" s="315"/>
      <c r="G3329" s="315"/>
      <c r="H3329" s="315"/>
      <c r="I3329" s="315"/>
      <c r="J3329" s="315"/>
      <c r="K3329" s="315"/>
      <c r="L3329" s="315"/>
    </row>
    <row r="3330" spans="1:12">
      <c r="A3330" s="315"/>
      <c r="B3330" s="315"/>
      <c r="C3330" s="315"/>
      <c r="D3330" s="315"/>
      <c r="E3330" s="315"/>
      <c r="F3330" s="315"/>
      <c r="G3330" s="315"/>
      <c r="H3330" s="315"/>
      <c r="I3330" s="315"/>
      <c r="J3330" s="315"/>
      <c r="K3330" s="315"/>
      <c r="L3330" s="315"/>
    </row>
    <row r="3331" spans="1:12">
      <c r="A3331" s="315"/>
      <c r="B3331" s="315"/>
      <c r="C3331" s="315"/>
      <c r="D3331" s="315"/>
      <c r="E3331" s="315"/>
      <c r="F3331" s="315"/>
      <c r="G3331" s="315"/>
      <c r="H3331" s="315"/>
      <c r="I3331" s="315"/>
      <c r="J3331" s="315"/>
      <c r="K3331" s="315"/>
      <c r="L3331" s="315"/>
    </row>
    <row r="3332" spans="1:12">
      <c r="A3332" s="315"/>
      <c r="B3332" s="315"/>
      <c r="C3332" s="315"/>
      <c r="D3332" s="315"/>
      <c r="E3332" s="315"/>
      <c r="F3332" s="315"/>
      <c r="G3332" s="315"/>
      <c r="H3332" s="315"/>
      <c r="I3332" s="315"/>
      <c r="J3332" s="315"/>
      <c r="K3332" s="315"/>
      <c r="L3332" s="315"/>
    </row>
    <row r="3333" spans="1:12">
      <c r="A3333" s="315"/>
      <c r="B3333" s="315"/>
      <c r="C3333" s="315"/>
      <c r="D3333" s="315"/>
      <c r="E3333" s="315"/>
      <c r="F3333" s="315"/>
      <c r="G3333" s="315"/>
      <c r="H3333" s="315"/>
      <c r="I3333" s="315"/>
      <c r="J3333" s="315"/>
      <c r="K3333" s="315"/>
      <c r="L3333" s="315"/>
    </row>
    <row r="3334" spans="1:12">
      <c r="A3334" s="315"/>
      <c r="B3334" s="315"/>
      <c r="C3334" s="315"/>
      <c r="D3334" s="315"/>
      <c r="E3334" s="315"/>
      <c r="F3334" s="315"/>
      <c r="G3334" s="315"/>
      <c r="H3334" s="315"/>
      <c r="I3334" s="315"/>
      <c r="J3334" s="315"/>
      <c r="K3334" s="315"/>
      <c r="L3334" s="315"/>
    </row>
    <row r="3335" spans="1:12">
      <c r="A3335" s="315"/>
      <c r="B3335" s="315"/>
      <c r="C3335" s="315"/>
      <c r="D3335" s="315"/>
      <c r="E3335" s="315"/>
      <c r="F3335" s="315"/>
      <c r="G3335" s="315"/>
      <c r="H3335" s="315"/>
      <c r="I3335" s="315"/>
      <c r="J3335" s="315"/>
      <c r="K3335" s="315"/>
      <c r="L3335" s="315"/>
    </row>
    <row r="3336" spans="1:12">
      <c r="A3336" s="315"/>
      <c r="B3336" s="315"/>
      <c r="C3336" s="315"/>
      <c r="D3336" s="315"/>
      <c r="E3336" s="315"/>
      <c r="F3336" s="315"/>
      <c r="G3336" s="315"/>
      <c r="H3336" s="315"/>
      <c r="I3336" s="315"/>
      <c r="J3336" s="315"/>
      <c r="K3336" s="315"/>
      <c r="L3336" s="315"/>
    </row>
    <row r="3337" spans="1:12">
      <c r="A3337" s="315"/>
      <c r="B3337" s="315"/>
      <c r="C3337" s="315"/>
      <c r="D3337" s="315"/>
      <c r="E3337" s="315"/>
      <c r="F3337" s="315"/>
      <c r="G3337" s="315"/>
      <c r="H3337" s="315"/>
      <c r="I3337" s="315"/>
      <c r="J3337" s="315"/>
      <c r="K3337" s="315"/>
      <c r="L3337" s="315"/>
    </row>
    <row r="3338" spans="1:12">
      <c r="A3338" s="315"/>
      <c r="B3338" s="315"/>
      <c r="C3338" s="315"/>
      <c r="D3338" s="315"/>
      <c r="E3338" s="315"/>
      <c r="F3338" s="315"/>
      <c r="G3338" s="315"/>
      <c r="H3338" s="315"/>
      <c r="I3338" s="315"/>
      <c r="J3338" s="315"/>
      <c r="K3338" s="315"/>
      <c r="L3338" s="315"/>
    </row>
    <row r="3339" spans="1:12">
      <c r="A3339" s="315"/>
      <c r="B3339" s="315"/>
      <c r="C3339" s="315"/>
      <c r="D3339" s="315"/>
      <c r="E3339" s="315"/>
      <c r="F3339" s="315"/>
      <c r="G3339" s="315"/>
      <c r="H3339" s="315"/>
      <c r="I3339" s="315"/>
      <c r="J3339" s="315"/>
      <c r="K3339" s="315"/>
      <c r="L3339" s="315"/>
    </row>
    <row r="3340" spans="1:12">
      <c r="A3340" s="315"/>
      <c r="B3340" s="315"/>
      <c r="C3340" s="315"/>
      <c r="D3340" s="315"/>
      <c r="E3340" s="315"/>
      <c r="F3340" s="315"/>
      <c r="G3340" s="315"/>
      <c r="H3340" s="315"/>
      <c r="I3340" s="315"/>
      <c r="J3340" s="315"/>
      <c r="K3340" s="315"/>
      <c r="L3340" s="315"/>
    </row>
    <row r="3341" spans="1:12">
      <c r="A3341" s="315"/>
      <c r="B3341" s="315"/>
      <c r="C3341" s="315"/>
      <c r="D3341" s="315"/>
      <c r="E3341" s="315"/>
      <c r="F3341" s="315"/>
      <c r="G3341" s="315"/>
      <c r="H3341" s="315"/>
      <c r="I3341" s="315"/>
      <c r="J3341" s="315"/>
      <c r="K3341" s="315"/>
      <c r="L3341" s="315"/>
    </row>
    <row r="3342" spans="1:12">
      <c r="A3342" s="315"/>
      <c r="B3342" s="315"/>
      <c r="C3342" s="315"/>
      <c r="D3342" s="315"/>
      <c r="E3342" s="315"/>
      <c r="F3342" s="315"/>
      <c r="G3342" s="315"/>
      <c r="H3342" s="315"/>
      <c r="I3342" s="315"/>
      <c r="J3342" s="315"/>
      <c r="K3342" s="315"/>
      <c r="L3342" s="315"/>
    </row>
    <row r="3343" spans="1:12">
      <c r="A3343" s="315"/>
      <c r="B3343" s="315"/>
      <c r="C3343" s="315"/>
      <c r="D3343" s="315"/>
      <c r="E3343" s="315"/>
      <c r="F3343" s="315"/>
      <c r="G3343" s="315"/>
      <c r="H3343" s="315"/>
      <c r="I3343" s="315"/>
      <c r="J3343" s="315"/>
      <c r="K3343" s="315"/>
      <c r="L3343" s="315"/>
    </row>
    <row r="3344" spans="1:12">
      <c r="A3344" s="315"/>
      <c r="B3344" s="315"/>
      <c r="C3344" s="315"/>
      <c r="D3344" s="315"/>
      <c r="E3344" s="315"/>
      <c r="F3344" s="315"/>
      <c r="G3344" s="315"/>
      <c r="H3344" s="315"/>
      <c r="I3344" s="315"/>
      <c r="J3344" s="315"/>
      <c r="K3344" s="315"/>
      <c r="L3344" s="315"/>
    </row>
    <row r="3345" spans="1:12">
      <c r="A3345" s="315"/>
      <c r="B3345" s="315"/>
      <c r="C3345" s="315"/>
      <c r="D3345" s="315"/>
      <c r="E3345" s="315"/>
      <c r="F3345" s="315"/>
      <c r="G3345" s="315"/>
      <c r="H3345" s="315"/>
      <c r="I3345" s="315"/>
      <c r="J3345" s="315"/>
      <c r="K3345" s="315"/>
      <c r="L3345" s="315"/>
    </row>
    <row r="3346" spans="1:12">
      <c r="A3346" s="315"/>
      <c r="B3346" s="315"/>
      <c r="C3346" s="315"/>
      <c r="D3346" s="315"/>
      <c r="E3346" s="315"/>
      <c r="F3346" s="315"/>
      <c r="G3346" s="315"/>
      <c r="H3346" s="315"/>
      <c r="I3346" s="315"/>
      <c r="J3346" s="315"/>
      <c r="K3346" s="315"/>
      <c r="L3346" s="315"/>
    </row>
    <row r="3347" spans="1:12">
      <c r="A3347" s="315"/>
      <c r="B3347" s="315"/>
      <c r="C3347" s="315"/>
      <c r="D3347" s="315"/>
      <c r="E3347" s="315"/>
      <c r="F3347" s="315"/>
      <c r="G3347" s="315"/>
      <c r="H3347" s="315"/>
      <c r="I3347" s="315"/>
      <c r="J3347" s="315"/>
      <c r="K3347" s="315"/>
      <c r="L3347" s="315"/>
    </row>
    <row r="3348" spans="1:12">
      <c r="A3348" s="315"/>
      <c r="B3348" s="315"/>
      <c r="C3348" s="315"/>
      <c r="D3348" s="315"/>
      <c r="E3348" s="315"/>
      <c r="F3348" s="315"/>
      <c r="G3348" s="315"/>
      <c r="H3348" s="315"/>
      <c r="I3348" s="315"/>
      <c r="J3348" s="315"/>
      <c r="K3348" s="315"/>
      <c r="L3348" s="315"/>
    </row>
    <row r="3349" spans="1:12">
      <c r="A3349" s="315"/>
      <c r="B3349" s="315"/>
      <c r="C3349" s="315"/>
      <c r="D3349" s="315"/>
      <c r="E3349" s="315"/>
      <c r="F3349" s="315"/>
      <c r="G3349" s="315"/>
      <c r="H3349" s="315"/>
      <c r="I3349" s="315"/>
      <c r="J3349" s="315"/>
      <c r="K3349" s="315"/>
      <c r="L3349" s="315"/>
    </row>
    <row r="3350" spans="1:12">
      <c r="A3350" s="315"/>
      <c r="B3350" s="315"/>
      <c r="C3350" s="315"/>
      <c r="D3350" s="315"/>
      <c r="E3350" s="315"/>
      <c r="F3350" s="315"/>
      <c r="G3350" s="315"/>
      <c r="H3350" s="315"/>
      <c r="I3350" s="315"/>
      <c r="J3350" s="315"/>
      <c r="K3350" s="315"/>
      <c r="L3350" s="315"/>
    </row>
    <row r="3351" spans="1:12">
      <c r="A3351" s="315"/>
      <c r="B3351" s="315"/>
      <c r="C3351" s="315"/>
      <c r="D3351" s="315"/>
      <c r="E3351" s="315"/>
      <c r="F3351" s="315"/>
      <c r="G3351" s="315"/>
      <c r="H3351" s="315"/>
      <c r="I3351" s="315"/>
      <c r="J3351" s="315"/>
      <c r="K3351" s="315"/>
      <c r="L3351" s="315"/>
    </row>
    <row r="3352" spans="1:12">
      <c r="A3352" s="315"/>
      <c r="B3352" s="315"/>
      <c r="C3352" s="315"/>
      <c r="D3352" s="315"/>
      <c r="E3352" s="315"/>
      <c r="F3352" s="315"/>
      <c r="G3352" s="315"/>
      <c r="H3352" s="315"/>
      <c r="I3352" s="315"/>
      <c r="J3352" s="315"/>
      <c r="K3352" s="315"/>
      <c r="L3352" s="315"/>
    </row>
    <row r="3353" spans="1:12">
      <c r="A3353" s="315"/>
      <c r="B3353" s="315"/>
      <c r="C3353" s="315"/>
      <c r="D3353" s="315"/>
      <c r="E3353" s="315"/>
      <c r="F3353" s="315"/>
      <c r="G3353" s="315"/>
      <c r="H3353" s="315"/>
      <c r="I3353" s="315"/>
      <c r="J3353" s="315"/>
      <c r="K3353" s="315"/>
      <c r="L3353" s="315"/>
    </row>
    <row r="3354" spans="1:12">
      <c r="A3354" s="315"/>
      <c r="B3354" s="315"/>
      <c r="C3354" s="315"/>
      <c r="D3354" s="315"/>
      <c r="E3354" s="315"/>
      <c r="F3354" s="315"/>
      <c r="G3354" s="315"/>
      <c r="H3354" s="315"/>
      <c r="I3354" s="315"/>
      <c r="J3354" s="315"/>
      <c r="K3354" s="315"/>
      <c r="L3354" s="315"/>
    </row>
    <row r="3355" spans="1:12">
      <c r="A3355" s="315"/>
      <c r="B3355" s="315"/>
      <c r="C3355" s="315"/>
      <c r="D3355" s="315"/>
      <c r="E3355" s="315"/>
      <c r="F3355" s="315"/>
      <c r="G3355" s="315"/>
      <c r="H3355" s="315"/>
      <c r="I3355" s="315"/>
      <c r="J3355" s="315"/>
      <c r="K3355" s="315"/>
      <c r="L3355" s="315"/>
    </row>
    <row r="3356" spans="1:12">
      <c r="A3356" s="315"/>
      <c r="B3356" s="315"/>
      <c r="C3356" s="315"/>
      <c r="D3356" s="315"/>
      <c r="E3356" s="315"/>
      <c r="F3356" s="315"/>
      <c r="G3356" s="315"/>
      <c r="H3356" s="315"/>
      <c r="I3356" s="315"/>
      <c r="J3356" s="315"/>
      <c r="K3356" s="315"/>
      <c r="L3356" s="315"/>
    </row>
    <row r="3357" spans="1:12">
      <c r="A3357" s="315"/>
      <c r="B3357" s="315"/>
      <c r="C3357" s="315"/>
      <c r="D3357" s="315"/>
      <c r="E3357" s="315"/>
      <c r="F3357" s="315"/>
      <c r="G3357" s="315"/>
      <c r="H3357" s="315"/>
      <c r="I3357" s="315"/>
      <c r="J3357" s="315"/>
      <c r="K3357" s="315"/>
      <c r="L3357" s="315"/>
    </row>
    <row r="3358" spans="1:12">
      <c r="A3358" s="315"/>
      <c r="B3358" s="315"/>
      <c r="C3358" s="315"/>
      <c r="D3358" s="315"/>
      <c r="E3358" s="315"/>
      <c r="F3358" s="315"/>
      <c r="G3358" s="315"/>
      <c r="H3358" s="315"/>
      <c r="I3358" s="315"/>
      <c r="J3358" s="315"/>
      <c r="K3358" s="315"/>
      <c r="L3358" s="315"/>
    </row>
    <row r="3359" spans="1:12">
      <c r="A3359" s="315"/>
      <c r="B3359" s="315"/>
      <c r="C3359" s="315"/>
      <c r="D3359" s="315"/>
      <c r="E3359" s="315"/>
      <c r="F3359" s="315"/>
      <c r="G3359" s="315"/>
      <c r="H3359" s="315"/>
      <c r="I3359" s="315"/>
      <c r="J3359" s="315"/>
      <c r="K3359" s="315"/>
      <c r="L3359" s="315"/>
    </row>
    <row r="3360" spans="1:12">
      <c r="A3360" s="315"/>
      <c r="B3360" s="315"/>
      <c r="C3360" s="315"/>
      <c r="D3360" s="315"/>
      <c r="E3360" s="315"/>
      <c r="F3360" s="315"/>
      <c r="G3360" s="315"/>
      <c r="H3360" s="315"/>
      <c r="I3360" s="315"/>
      <c r="J3360" s="315"/>
      <c r="K3360" s="315"/>
      <c r="L3360" s="315"/>
    </row>
    <row r="3361" spans="1:12">
      <c r="A3361" s="315"/>
      <c r="B3361" s="315"/>
      <c r="C3361" s="315"/>
      <c r="D3361" s="315"/>
      <c r="E3361" s="315"/>
      <c r="F3361" s="315"/>
      <c r="G3361" s="315"/>
      <c r="H3361" s="315"/>
      <c r="I3361" s="315"/>
      <c r="J3361" s="315"/>
      <c r="K3361" s="315"/>
      <c r="L3361" s="315"/>
    </row>
    <row r="3362" spans="1:12">
      <c r="A3362" s="315"/>
      <c r="B3362" s="315"/>
      <c r="C3362" s="315"/>
      <c r="D3362" s="315"/>
      <c r="E3362" s="315"/>
      <c r="F3362" s="315"/>
      <c r="G3362" s="315"/>
      <c r="H3362" s="315"/>
      <c r="I3362" s="315"/>
      <c r="J3362" s="315"/>
      <c r="K3362" s="315"/>
      <c r="L3362" s="315"/>
    </row>
    <row r="3363" spans="1:12">
      <c r="A3363" s="315"/>
      <c r="B3363" s="315"/>
      <c r="C3363" s="315"/>
      <c r="D3363" s="315"/>
      <c r="E3363" s="315"/>
      <c r="F3363" s="315"/>
      <c r="G3363" s="315"/>
      <c r="H3363" s="315"/>
      <c r="I3363" s="315"/>
      <c r="J3363" s="315"/>
      <c r="K3363" s="315"/>
      <c r="L3363" s="315"/>
    </row>
    <row r="3364" spans="1:12">
      <c r="A3364" s="315"/>
      <c r="B3364" s="315"/>
      <c r="C3364" s="315"/>
      <c r="D3364" s="315"/>
      <c r="E3364" s="315"/>
      <c r="F3364" s="315"/>
      <c r="G3364" s="315"/>
      <c r="H3364" s="315"/>
      <c r="I3364" s="315"/>
      <c r="J3364" s="315"/>
      <c r="K3364" s="315"/>
      <c r="L3364" s="315"/>
    </row>
    <row r="3365" spans="1:12">
      <c r="A3365" s="315"/>
      <c r="B3365" s="315"/>
      <c r="C3365" s="315"/>
      <c r="D3365" s="315"/>
      <c r="E3365" s="315"/>
      <c r="F3365" s="315"/>
      <c r="G3365" s="315"/>
      <c r="H3365" s="315"/>
      <c r="I3365" s="315"/>
      <c r="J3365" s="315"/>
      <c r="K3365" s="315"/>
      <c r="L3365" s="315"/>
    </row>
    <row r="3366" spans="1:12">
      <c r="A3366" s="315"/>
      <c r="B3366" s="315"/>
      <c r="C3366" s="315"/>
      <c r="D3366" s="315"/>
      <c r="E3366" s="315"/>
      <c r="F3366" s="315"/>
      <c r="G3366" s="315"/>
      <c r="H3366" s="315"/>
      <c r="I3366" s="315"/>
      <c r="J3366" s="315"/>
      <c r="K3366" s="315"/>
      <c r="L3366" s="315"/>
    </row>
    <row r="3367" spans="1:12">
      <c r="A3367" s="315"/>
      <c r="B3367" s="315"/>
      <c r="C3367" s="315"/>
      <c r="D3367" s="315"/>
      <c r="E3367" s="315"/>
      <c r="F3367" s="315"/>
      <c r="G3367" s="315"/>
      <c r="H3367" s="315"/>
      <c r="I3367" s="315"/>
      <c r="J3367" s="315"/>
      <c r="K3367" s="315"/>
      <c r="L3367" s="315"/>
    </row>
    <row r="3368" spans="1:12">
      <c r="A3368" s="315"/>
      <c r="B3368" s="315"/>
      <c r="C3368" s="315"/>
      <c r="D3368" s="315"/>
      <c r="E3368" s="315"/>
      <c r="F3368" s="315"/>
      <c r="G3368" s="315"/>
      <c r="H3368" s="315"/>
      <c r="I3368" s="315"/>
      <c r="J3368" s="315"/>
      <c r="K3368" s="315"/>
      <c r="L3368" s="315"/>
    </row>
    <row r="3369" spans="1:12">
      <c r="A3369" s="315"/>
      <c r="B3369" s="315"/>
      <c r="C3369" s="315"/>
      <c r="D3369" s="315"/>
      <c r="E3369" s="315"/>
      <c r="F3369" s="315"/>
      <c r="G3369" s="315"/>
      <c r="H3369" s="315"/>
      <c r="I3369" s="315"/>
      <c r="J3369" s="315"/>
      <c r="K3369" s="315"/>
      <c r="L3369" s="315"/>
    </row>
    <row r="3370" spans="1:12">
      <c r="A3370" s="315"/>
      <c r="B3370" s="315"/>
      <c r="C3370" s="315"/>
      <c r="D3370" s="315"/>
      <c r="E3370" s="315"/>
      <c r="F3370" s="315"/>
      <c r="G3370" s="315"/>
      <c r="H3370" s="315"/>
      <c r="I3370" s="315"/>
      <c r="J3370" s="315"/>
      <c r="K3370" s="315"/>
      <c r="L3370" s="315"/>
    </row>
    <row r="3371" spans="1:12">
      <c r="A3371" s="315"/>
      <c r="B3371" s="315"/>
      <c r="C3371" s="315"/>
      <c r="D3371" s="315"/>
      <c r="E3371" s="315"/>
      <c r="F3371" s="315"/>
      <c r="G3371" s="315"/>
      <c r="H3371" s="315"/>
      <c r="I3371" s="315"/>
      <c r="J3371" s="315"/>
      <c r="K3371" s="315"/>
      <c r="L3371" s="315"/>
    </row>
    <row r="3372" spans="1:12">
      <c r="A3372" s="315"/>
      <c r="B3372" s="315"/>
      <c r="C3372" s="315"/>
      <c r="D3372" s="315"/>
      <c r="E3372" s="315"/>
      <c r="F3372" s="315"/>
      <c r="G3372" s="315"/>
      <c r="H3372" s="315"/>
      <c r="I3372" s="315"/>
      <c r="J3372" s="315"/>
      <c r="K3372" s="315"/>
      <c r="L3372" s="315"/>
    </row>
    <row r="3373" spans="1:12">
      <c r="A3373" s="315"/>
      <c r="B3373" s="315"/>
      <c r="C3373" s="315"/>
      <c r="D3373" s="315"/>
      <c r="E3373" s="315"/>
      <c r="F3373" s="315"/>
      <c r="G3373" s="315"/>
      <c r="H3373" s="315"/>
      <c r="I3373" s="315"/>
      <c r="J3373" s="315"/>
      <c r="K3373" s="315"/>
      <c r="L3373" s="315"/>
    </row>
    <row r="3374" spans="1:12">
      <c r="A3374" s="315"/>
      <c r="B3374" s="315"/>
      <c r="C3374" s="315"/>
      <c r="D3374" s="315"/>
      <c r="E3374" s="315"/>
      <c r="F3374" s="315"/>
      <c r="G3374" s="315"/>
      <c r="H3374" s="315"/>
      <c r="I3374" s="315"/>
      <c r="J3374" s="315"/>
      <c r="K3374" s="315"/>
      <c r="L3374" s="315"/>
    </row>
    <row r="3375" spans="1:12">
      <c r="A3375" s="315"/>
      <c r="B3375" s="315"/>
      <c r="C3375" s="315"/>
      <c r="D3375" s="315"/>
      <c r="E3375" s="315"/>
      <c r="F3375" s="315"/>
      <c r="G3375" s="315"/>
      <c r="H3375" s="315"/>
      <c r="I3375" s="315"/>
      <c r="J3375" s="315"/>
      <c r="K3375" s="315"/>
      <c r="L3375" s="315"/>
    </row>
    <row r="3376" spans="1:12">
      <c r="A3376" s="315"/>
      <c r="B3376" s="315"/>
      <c r="C3376" s="315"/>
      <c r="D3376" s="315"/>
      <c r="E3376" s="315"/>
      <c r="F3376" s="315"/>
      <c r="G3376" s="315"/>
      <c r="H3376" s="315"/>
      <c r="I3376" s="315"/>
      <c r="J3376" s="315"/>
      <c r="K3376" s="315"/>
      <c r="L3376" s="315"/>
    </row>
    <row r="3377" spans="1:12">
      <c r="A3377" s="315"/>
      <c r="B3377" s="315"/>
      <c r="C3377" s="315"/>
      <c r="D3377" s="315"/>
      <c r="E3377" s="315"/>
      <c r="F3377" s="315"/>
      <c r="G3377" s="315"/>
      <c r="H3377" s="315"/>
      <c r="I3377" s="315"/>
      <c r="J3377" s="315"/>
      <c r="K3377" s="315"/>
      <c r="L3377" s="315"/>
    </row>
    <row r="3378" spans="1:12">
      <c r="A3378" s="315"/>
      <c r="B3378" s="315"/>
      <c r="C3378" s="315"/>
      <c r="D3378" s="315"/>
      <c r="E3378" s="315"/>
      <c r="F3378" s="315"/>
      <c r="G3378" s="315"/>
      <c r="H3378" s="315"/>
      <c r="I3378" s="315"/>
      <c r="J3378" s="315"/>
      <c r="K3378" s="315"/>
      <c r="L3378" s="315"/>
    </row>
    <row r="3379" spans="1:12">
      <c r="A3379" s="315"/>
      <c r="B3379" s="315"/>
      <c r="C3379" s="315"/>
      <c r="D3379" s="315"/>
      <c r="E3379" s="315"/>
      <c r="F3379" s="315"/>
      <c r="G3379" s="315"/>
      <c r="H3379" s="315"/>
      <c r="I3379" s="315"/>
      <c r="J3379" s="315"/>
      <c r="K3379" s="315"/>
      <c r="L3379" s="315"/>
    </row>
    <row r="3380" spans="1:12">
      <c r="A3380" s="315"/>
      <c r="B3380" s="315"/>
      <c r="C3380" s="315"/>
      <c r="D3380" s="315"/>
      <c r="E3380" s="315"/>
      <c r="F3380" s="315"/>
      <c r="G3380" s="315"/>
      <c r="H3380" s="315"/>
      <c r="I3380" s="315"/>
      <c r="J3380" s="315"/>
      <c r="K3380" s="315"/>
      <c r="L3380" s="315"/>
    </row>
    <row r="3381" spans="1:12">
      <c r="A3381" s="315"/>
      <c r="B3381" s="315"/>
      <c r="C3381" s="315"/>
      <c r="D3381" s="315"/>
      <c r="E3381" s="315"/>
      <c r="F3381" s="315"/>
      <c r="G3381" s="315"/>
      <c r="H3381" s="315"/>
      <c r="I3381" s="315"/>
      <c r="J3381" s="315"/>
      <c r="K3381" s="315"/>
      <c r="L3381" s="315"/>
    </row>
    <row r="3382" spans="1:12">
      <c r="A3382" s="315"/>
      <c r="B3382" s="315"/>
      <c r="C3382" s="315"/>
      <c r="D3382" s="315"/>
      <c r="E3382" s="315"/>
      <c r="F3382" s="315"/>
      <c r="G3382" s="315"/>
      <c r="H3382" s="315"/>
      <c r="I3382" s="315"/>
      <c r="J3382" s="315"/>
      <c r="K3382" s="315"/>
      <c r="L3382" s="315"/>
    </row>
    <row r="3383" spans="1:12">
      <c r="A3383" s="315"/>
      <c r="B3383" s="315"/>
      <c r="C3383" s="315"/>
      <c r="D3383" s="315"/>
      <c r="E3383" s="315"/>
      <c r="F3383" s="315"/>
      <c r="G3383" s="315"/>
      <c r="H3383" s="315"/>
      <c r="I3383" s="315"/>
      <c r="J3383" s="315"/>
      <c r="K3383" s="315"/>
      <c r="L3383" s="315"/>
    </row>
    <row r="3384" spans="1:12">
      <c r="A3384" s="315"/>
      <c r="B3384" s="315"/>
      <c r="C3384" s="315"/>
      <c r="D3384" s="315"/>
      <c r="E3384" s="315"/>
      <c r="F3384" s="315"/>
      <c r="G3384" s="315"/>
      <c r="H3384" s="315"/>
      <c r="I3384" s="315"/>
      <c r="J3384" s="315"/>
      <c r="K3384" s="315"/>
      <c r="L3384" s="315"/>
    </row>
    <row r="3385" spans="1:12">
      <c r="A3385" s="315"/>
      <c r="B3385" s="315"/>
      <c r="C3385" s="315"/>
      <c r="D3385" s="315"/>
      <c r="E3385" s="315"/>
      <c r="F3385" s="315"/>
      <c r="G3385" s="315"/>
      <c r="H3385" s="315"/>
      <c r="I3385" s="315"/>
      <c r="J3385" s="315"/>
      <c r="K3385" s="315"/>
      <c r="L3385" s="315"/>
    </row>
    <row r="3386" spans="1:12">
      <c r="A3386" s="315"/>
      <c r="B3386" s="315"/>
      <c r="C3386" s="315"/>
      <c r="D3386" s="315"/>
      <c r="E3386" s="315"/>
      <c r="F3386" s="315"/>
      <c r="G3386" s="315"/>
      <c r="H3386" s="315"/>
      <c r="I3386" s="315"/>
      <c r="J3386" s="315"/>
      <c r="K3386" s="315"/>
      <c r="L3386" s="315"/>
    </row>
    <row r="3387" spans="1:12">
      <c r="A3387" s="315"/>
      <c r="B3387" s="315"/>
      <c r="C3387" s="315"/>
      <c r="D3387" s="315"/>
      <c r="E3387" s="315"/>
      <c r="F3387" s="315"/>
      <c r="G3387" s="315"/>
      <c r="H3387" s="315"/>
      <c r="I3387" s="315"/>
      <c r="J3387" s="315"/>
      <c r="K3387" s="315"/>
      <c r="L3387" s="315"/>
    </row>
    <row r="3388" spans="1:12">
      <c r="A3388" s="315"/>
      <c r="B3388" s="315"/>
      <c r="C3388" s="315"/>
      <c r="D3388" s="315"/>
      <c r="E3388" s="315"/>
      <c r="F3388" s="315"/>
      <c r="G3388" s="315"/>
      <c r="H3388" s="315"/>
      <c r="I3388" s="315"/>
      <c r="J3388" s="315"/>
      <c r="K3388" s="315"/>
      <c r="L3388" s="315"/>
    </row>
    <row r="3389" spans="1:12">
      <c r="A3389" s="315"/>
      <c r="B3389" s="315"/>
      <c r="C3389" s="315"/>
      <c r="D3389" s="315"/>
      <c r="E3389" s="315"/>
      <c r="F3389" s="315"/>
      <c r="G3389" s="315"/>
      <c r="H3389" s="315"/>
      <c r="I3389" s="315"/>
      <c r="J3389" s="315"/>
      <c r="K3389" s="315"/>
      <c r="L3389" s="315"/>
    </row>
    <row r="3390" spans="1:12">
      <c r="A3390" s="315"/>
      <c r="B3390" s="315"/>
      <c r="C3390" s="315"/>
      <c r="D3390" s="315"/>
      <c r="E3390" s="315"/>
      <c r="F3390" s="315"/>
      <c r="G3390" s="315"/>
      <c r="H3390" s="315"/>
      <c r="I3390" s="315"/>
      <c r="J3390" s="315"/>
      <c r="K3390" s="315"/>
      <c r="L3390" s="315"/>
    </row>
    <row r="3391" spans="1:12">
      <c r="A3391" s="315"/>
      <c r="B3391" s="315"/>
      <c r="C3391" s="315"/>
      <c r="D3391" s="315"/>
      <c r="E3391" s="315"/>
      <c r="F3391" s="315"/>
      <c r="G3391" s="315"/>
      <c r="H3391" s="315"/>
      <c r="I3391" s="315"/>
      <c r="J3391" s="315"/>
      <c r="K3391" s="315"/>
      <c r="L3391" s="315"/>
    </row>
    <row r="3392" spans="1:12">
      <c r="A3392" s="315"/>
      <c r="B3392" s="315"/>
      <c r="C3392" s="315"/>
      <c r="D3392" s="315"/>
      <c r="E3392" s="315"/>
      <c r="F3392" s="315"/>
      <c r="G3392" s="315"/>
      <c r="H3392" s="315"/>
      <c r="I3392" s="315"/>
      <c r="J3392" s="315"/>
      <c r="K3392" s="315"/>
      <c r="L3392" s="315"/>
    </row>
    <row r="3393" spans="1:12">
      <c r="A3393" s="315"/>
      <c r="B3393" s="315"/>
      <c r="C3393" s="315"/>
      <c r="D3393" s="315"/>
      <c r="E3393" s="315"/>
      <c r="F3393" s="315"/>
      <c r="G3393" s="315"/>
      <c r="H3393" s="315"/>
      <c r="I3393" s="315"/>
      <c r="J3393" s="315"/>
      <c r="K3393" s="315"/>
      <c r="L3393" s="315"/>
    </row>
    <row r="3394" spans="1:12">
      <c r="A3394" s="315"/>
      <c r="B3394" s="315"/>
      <c r="C3394" s="315"/>
      <c r="D3394" s="315"/>
      <c r="E3394" s="315"/>
      <c r="F3394" s="315"/>
      <c r="G3394" s="315"/>
      <c r="H3394" s="315"/>
      <c r="I3394" s="315"/>
      <c r="J3394" s="315"/>
      <c r="K3394" s="315"/>
      <c r="L3394" s="315"/>
    </row>
    <row r="3395" spans="1:12">
      <c r="A3395" s="315"/>
      <c r="B3395" s="315"/>
      <c r="C3395" s="315"/>
      <c r="D3395" s="315"/>
      <c r="E3395" s="315"/>
      <c r="F3395" s="315"/>
      <c r="G3395" s="315"/>
      <c r="H3395" s="315"/>
      <c r="I3395" s="315"/>
      <c r="J3395" s="315"/>
      <c r="K3395" s="315"/>
      <c r="L3395" s="315"/>
    </row>
    <row r="3396" spans="1:12">
      <c r="A3396" s="315"/>
      <c r="B3396" s="315"/>
      <c r="C3396" s="315"/>
      <c r="D3396" s="315"/>
      <c r="E3396" s="315"/>
      <c r="F3396" s="315"/>
      <c r="G3396" s="315"/>
      <c r="H3396" s="315"/>
      <c r="I3396" s="315"/>
      <c r="J3396" s="315"/>
      <c r="K3396" s="315"/>
      <c r="L3396" s="315"/>
    </row>
    <row r="3397" spans="1:12">
      <c r="A3397" s="315"/>
      <c r="B3397" s="315"/>
      <c r="C3397" s="315"/>
      <c r="D3397" s="315"/>
      <c r="E3397" s="315"/>
      <c r="F3397" s="315"/>
      <c r="G3397" s="315"/>
      <c r="H3397" s="315"/>
      <c r="I3397" s="315"/>
      <c r="J3397" s="315"/>
      <c r="K3397" s="315"/>
      <c r="L3397" s="315"/>
    </row>
    <row r="3398" spans="1:12">
      <c r="A3398" s="315"/>
      <c r="B3398" s="315"/>
      <c r="C3398" s="315"/>
      <c r="D3398" s="315"/>
      <c r="E3398" s="315"/>
      <c r="F3398" s="315"/>
      <c r="G3398" s="315"/>
      <c r="H3398" s="315"/>
      <c r="I3398" s="315"/>
      <c r="J3398" s="315"/>
      <c r="K3398" s="315"/>
      <c r="L3398" s="315"/>
    </row>
    <row r="3399" spans="1:12">
      <c r="A3399" s="315"/>
      <c r="B3399" s="315"/>
      <c r="C3399" s="315"/>
      <c r="D3399" s="315"/>
      <c r="E3399" s="315"/>
      <c r="F3399" s="315"/>
      <c r="G3399" s="315"/>
      <c r="H3399" s="315"/>
      <c r="I3399" s="315"/>
      <c r="J3399" s="315"/>
      <c r="K3399" s="315"/>
      <c r="L3399" s="315"/>
    </row>
    <row r="3400" spans="1:12">
      <c r="A3400" s="315"/>
      <c r="B3400" s="315"/>
      <c r="C3400" s="315"/>
      <c r="D3400" s="315"/>
      <c r="E3400" s="315"/>
      <c r="F3400" s="315"/>
      <c r="G3400" s="315"/>
      <c r="H3400" s="315"/>
      <c r="I3400" s="315"/>
      <c r="J3400" s="315"/>
      <c r="K3400" s="315"/>
      <c r="L3400" s="315"/>
    </row>
    <row r="3401" spans="1:12">
      <c r="A3401" s="315"/>
      <c r="B3401" s="315"/>
      <c r="C3401" s="315"/>
      <c r="D3401" s="315"/>
      <c r="E3401" s="315"/>
      <c r="F3401" s="315"/>
      <c r="G3401" s="315"/>
      <c r="H3401" s="315"/>
      <c r="I3401" s="315"/>
      <c r="J3401" s="315"/>
      <c r="K3401" s="315"/>
      <c r="L3401" s="315"/>
    </row>
    <row r="3402" spans="1:12">
      <c r="A3402" s="315"/>
      <c r="B3402" s="315"/>
      <c r="C3402" s="315"/>
      <c r="D3402" s="315"/>
      <c r="E3402" s="315"/>
      <c r="F3402" s="315"/>
      <c r="G3402" s="315"/>
      <c r="H3402" s="315"/>
      <c r="I3402" s="315"/>
      <c r="J3402" s="315"/>
      <c r="K3402" s="315"/>
      <c r="L3402" s="315"/>
    </row>
    <row r="3403" spans="1:12">
      <c r="A3403" s="315"/>
      <c r="B3403" s="315"/>
      <c r="C3403" s="315"/>
      <c r="D3403" s="315"/>
      <c r="E3403" s="315"/>
      <c r="F3403" s="315"/>
      <c r="G3403" s="315"/>
      <c r="H3403" s="315"/>
      <c r="I3403" s="315"/>
      <c r="J3403" s="315"/>
      <c r="K3403" s="315"/>
      <c r="L3403" s="315"/>
    </row>
    <row r="3404" spans="1:12">
      <c r="A3404" s="315"/>
      <c r="B3404" s="315"/>
      <c r="C3404" s="315"/>
      <c r="D3404" s="315"/>
      <c r="E3404" s="315"/>
      <c r="F3404" s="315"/>
      <c r="G3404" s="315"/>
      <c r="H3404" s="315"/>
      <c r="I3404" s="315"/>
      <c r="J3404" s="315"/>
      <c r="K3404" s="315"/>
      <c r="L3404" s="315"/>
    </row>
    <row r="3405" spans="1:12">
      <c r="A3405" s="315"/>
      <c r="B3405" s="315"/>
      <c r="C3405" s="315"/>
      <c r="D3405" s="315"/>
      <c r="E3405" s="315"/>
      <c r="F3405" s="315"/>
      <c r="G3405" s="315"/>
      <c r="H3405" s="315"/>
      <c r="I3405" s="315"/>
      <c r="J3405" s="315"/>
      <c r="K3405" s="315"/>
      <c r="L3405" s="315"/>
    </row>
    <row r="3406" spans="1:12">
      <c r="A3406" s="315"/>
      <c r="B3406" s="315"/>
      <c r="C3406" s="315"/>
      <c r="D3406" s="315"/>
      <c r="E3406" s="315"/>
      <c r="F3406" s="315"/>
      <c r="G3406" s="315"/>
      <c r="H3406" s="315"/>
      <c r="I3406" s="315"/>
      <c r="J3406" s="315"/>
      <c r="K3406" s="315"/>
      <c r="L3406" s="315"/>
    </row>
    <row r="3407" spans="1:12">
      <c r="A3407" s="315"/>
      <c r="B3407" s="315"/>
      <c r="C3407" s="315"/>
      <c r="D3407" s="315"/>
      <c r="E3407" s="315"/>
      <c r="F3407" s="315"/>
      <c r="G3407" s="315"/>
      <c r="H3407" s="315"/>
      <c r="I3407" s="315"/>
      <c r="J3407" s="315"/>
      <c r="K3407" s="315"/>
      <c r="L3407" s="315"/>
    </row>
    <row r="3408" spans="1:12">
      <c r="A3408" s="315"/>
      <c r="B3408" s="315"/>
      <c r="C3408" s="315"/>
      <c r="D3408" s="315"/>
      <c r="E3408" s="315"/>
      <c r="F3408" s="315"/>
      <c r="G3408" s="315"/>
      <c r="H3408" s="315"/>
      <c r="I3408" s="315"/>
      <c r="J3408" s="315"/>
      <c r="K3408" s="315"/>
      <c r="L3408" s="315"/>
    </row>
    <row r="3409" spans="1:12">
      <c r="A3409" s="315"/>
      <c r="B3409" s="315"/>
      <c r="C3409" s="315"/>
      <c r="D3409" s="315"/>
      <c r="E3409" s="315"/>
      <c r="F3409" s="315"/>
      <c r="G3409" s="315"/>
      <c r="H3409" s="315"/>
      <c r="I3409" s="315"/>
      <c r="J3409" s="315"/>
      <c r="K3409" s="315"/>
      <c r="L3409" s="315"/>
    </row>
    <row r="3410" spans="1:12">
      <c r="A3410" s="315"/>
      <c r="B3410" s="315"/>
      <c r="C3410" s="315"/>
      <c r="D3410" s="315"/>
      <c r="E3410" s="315"/>
      <c r="F3410" s="315"/>
      <c r="G3410" s="315"/>
      <c r="H3410" s="315"/>
      <c r="I3410" s="315"/>
      <c r="J3410" s="315"/>
      <c r="K3410" s="315"/>
      <c r="L3410" s="315"/>
    </row>
    <row r="3411" spans="1:12">
      <c r="A3411" s="315"/>
      <c r="B3411" s="315"/>
      <c r="C3411" s="315"/>
      <c r="D3411" s="315"/>
      <c r="E3411" s="315"/>
      <c r="F3411" s="315"/>
      <c r="G3411" s="315"/>
      <c r="H3411" s="315"/>
      <c r="I3411" s="315"/>
      <c r="J3411" s="315"/>
      <c r="K3411" s="315"/>
      <c r="L3411" s="315"/>
    </row>
    <row r="3412" spans="1:12">
      <c r="A3412" s="315"/>
      <c r="B3412" s="315"/>
      <c r="C3412" s="315"/>
      <c r="D3412" s="315"/>
      <c r="E3412" s="315"/>
      <c r="F3412" s="315"/>
      <c r="G3412" s="315"/>
      <c r="H3412" s="315"/>
      <c r="I3412" s="315"/>
      <c r="J3412" s="315"/>
      <c r="K3412" s="315"/>
      <c r="L3412" s="315"/>
    </row>
    <row r="3413" spans="1:12">
      <c r="A3413" s="315"/>
      <c r="B3413" s="315"/>
      <c r="C3413" s="315"/>
      <c r="D3413" s="315"/>
      <c r="E3413" s="315"/>
      <c r="F3413" s="315"/>
      <c r="G3413" s="315"/>
      <c r="H3413" s="315"/>
      <c r="I3413" s="315"/>
      <c r="J3413" s="315"/>
      <c r="K3413" s="315"/>
      <c r="L3413" s="315"/>
    </row>
    <row r="3414" spans="1:12">
      <c r="A3414" s="315"/>
      <c r="B3414" s="315"/>
      <c r="C3414" s="315"/>
      <c r="D3414" s="315"/>
      <c r="E3414" s="315"/>
      <c r="F3414" s="315"/>
      <c r="G3414" s="315"/>
      <c r="H3414" s="315"/>
      <c r="I3414" s="315"/>
      <c r="J3414" s="315"/>
      <c r="K3414" s="315"/>
      <c r="L3414" s="315"/>
    </row>
    <row r="3415" spans="1:12">
      <c r="A3415" s="315"/>
      <c r="B3415" s="315"/>
      <c r="C3415" s="315"/>
      <c r="D3415" s="315"/>
      <c r="E3415" s="315"/>
      <c r="F3415" s="315"/>
      <c r="G3415" s="315"/>
      <c r="H3415" s="315"/>
      <c r="I3415" s="315"/>
      <c r="J3415" s="315"/>
      <c r="K3415" s="315"/>
      <c r="L3415" s="315"/>
    </row>
    <row r="3416" spans="1:12">
      <c r="A3416" s="315"/>
      <c r="B3416" s="315"/>
      <c r="C3416" s="315"/>
      <c r="D3416" s="315"/>
      <c r="E3416" s="315"/>
      <c r="F3416" s="315"/>
      <c r="G3416" s="315"/>
      <c r="H3416" s="315"/>
      <c r="I3416" s="315"/>
      <c r="J3416" s="315"/>
      <c r="K3416" s="315"/>
      <c r="L3416" s="315"/>
    </row>
    <row r="3417" spans="1:12">
      <c r="A3417" s="315"/>
      <c r="B3417" s="315"/>
      <c r="C3417" s="315"/>
      <c r="D3417" s="315"/>
      <c r="E3417" s="315"/>
      <c r="F3417" s="315"/>
      <c r="G3417" s="315"/>
      <c r="H3417" s="315"/>
      <c r="I3417" s="315"/>
      <c r="J3417" s="315"/>
      <c r="K3417" s="315"/>
      <c r="L3417" s="315"/>
    </row>
    <row r="3418" spans="1:12">
      <c r="A3418" s="315"/>
      <c r="B3418" s="315"/>
      <c r="C3418" s="315"/>
      <c r="D3418" s="315"/>
      <c r="E3418" s="315"/>
      <c r="F3418" s="315"/>
      <c r="G3418" s="315"/>
      <c r="H3418" s="315"/>
      <c r="I3418" s="315"/>
      <c r="J3418" s="315"/>
      <c r="K3418" s="315"/>
      <c r="L3418" s="315"/>
    </row>
    <row r="3419" spans="1:12">
      <c r="A3419" s="315"/>
      <c r="B3419" s="315"/>
      <c r="C3419" s="315"/>
      <c r="D3419" s="315"/>
      <c r="E3419" s="315"/>
      <c r="F3419" s="315"/>
      <c r="G3419" s="315"/>
      <c r="H3419" s="315"/>
      <c r="I3419" s="315"/>
      <c r="J3419" s="315"/>
      <c r="K3419" s="315"/>
      <c r="L3419" s="315"/>
    </row>
    <row r="3420" spans="1:12">
      <c r="A3420" s="315"/>
      <c r="B3420" s="315"/>
      <c r="C3420" s="315"/>
      <c r="D3420" s="315"/>
      <c r="E3420" s="315"/>
      <c r="F3420" s="315"/>
      <c r="G3420" s="315"/>
      <c r="H3420" s="315"/>
      <c r="I3420" s="315"/>
      <c r="J3420" s="315"/>
      <c r="K3420" s="315"/>
      <c r="L3420" s="315"/>
    </row>
    <row r="3421" spans="1:12">
      <c r="A3421" s="315"/>
      <c r="B3421" s="315"/>
      <c r="C3421" s="315"/>
      <c r="D3421" s="315"/>
      <c r="E3421" s="315"/>
      <c r="F3421" s="315"/>
      <c r="G3421" s="315"/>
      <c r="H3421" s="315"/>
      <c r="I3421" s="315"/>
      <c r="J3421" s="315"/>
      <c r="K3421" s="315"/>
      <c r="L3421" s="315"/>
    </row>
    <row r="3422" spans="1:12">
      <c r="A3422" s="315"/>
      <c r="B3422" s="315"/>
      <c r="C3422" s="315"/>
      <c r="D3422" s="315"/>
      <c r="E3422" s="315"/>
      <c r="F3422" s="315"/>
      <c r="G3422" s="315"/>
      <c r="H3422" s="315"/>
      <c r="I3422" s="315"/>
      <c r="J3422" s="315"/>
      <c r="K3422" s="315"/>
      <c r="L3422" s="315"/>
    </row>
    <row r="3423" spans="1:12">
      <c r="A3423" s="315"/>
      <c r="B3423" s="315"/>
      <c r="C3423" s="315"/>
      <c r="D3423" s="315"/>
      <c r="E3423" s="315"/>
      <c r="F3423" s="315"/>
      <c r="G3423" s="315"/>
      <c r="H3423" s="315"/>
      <c r="I3423" s="315"/>
      <c r="J3423" s="315"/>
      <c r="K3423" s="315"/>
      <c r="L3423" s="315"/>
    </row>
    <row r="3424" spans="1:12">
      <c r="A3424" s="315"/>
      <c r="B3424" s="315"/>
      <c r="C3424" s="315"/>
      <c r="D3424" s="315"/>
      <c r="E3424" s="315"/>
      <c r="F3424" s="315"/>
      <c r="G3424" s="315"/>
      <c r="H3424" s="315"/>
      <c r="I3424" s="315"/>
      <c r="J3424" s="315"/>
      <c r="K3424" s="315"/>
      <c r="L3424" s="315"/>
    </row>
    <row r="3425" spans="1:12">
      <c r="A3425" s="315"/>
      <c r="B3425" s="315"/>
      <c r="C3425" s="315"/>
      <c r="D3425" s="315"/>
      <c r="E3425" s="315"/>
      <c r="F3425" s="315"/>
      <c r="G3425" s="315"/>
      <c r="H3425" s="315"/>
      <c r="I3425" s="315"/>
      <c r="J3425" s="315"/>
      <c r="K3425" s="315"/>
      <c r="L3425" s="315"/>
    </row>
    <row r="3426" spans="1:12">
      <c r="A3426" s="315"/>
      <c r="B3426" s="315"/>
      <c r="C3426" s="315"/>
      <c r="D3426" s="315"/>
      <c r="E3426" s="315"/>
      <c r="F3426" s="315"/>
      <c r="G3426" s="315"/>
      <c r="H3426" s="315"/>
      <c r="I3426" s="315"/>
      <c r="J3426" s="315"/>
      <c r="K3426" s="315"/>
      <c r="L3426" s="315"/>
    </row>
    <row r="3427" spans="1:12">
      <c r="A3427" s="315"/>
      <c r="B3427" s="315"/>
      <c r="C3427" s="315"/>
      <c r="D3427" s="315"/>
      <c r="E3427" s="315"/>
      <c r="F3427" s="315"/>
      <c r="G3427" s="315"/>
      <c r="H3427" s="315"/>
      <c r="I3427" s="315"/>
      <c r="J3427" s="315"/>
      <c r="K3427" s="315"/>
      <c r="L3427" s="315"/>
    </row>
    <row r="3428" spans="1:12">
      <c r="A3428" s="315"/>
      <c r="B3428" s="315"/>
      <c r="C3428" s="315"/>
      <c r="D3428" s="315"/>
      <c r="E3428" s="315"/>
      <c r="F3428" s="315"/>
      <c r="G3428" s="315"/>
      <c r="H3428" s="315"/>
      <c r="I3428" s="315"/>
      <c r="J3428" s="315"/>
      <c r="K3428" s="315"/>
      <c r="L3428" s="315"/>
    </row>
    <row r="3429" spans="1:12">
      <c r="A3429" s="315"/>
      <c r="B3429" s="315"/>
      <c r="C3429" s="315"/>
      <c r="D3429" s="315"/>
      <c r="E3429" s="315"/>
      <c r="F3429" s="315"/>
      <c r="G3429" s="315"/>
      <c r="H3429" s="315"/>
      <c r="I3429" s="315"/>
      <c r="J3429" s="315"/>
      <c r="K3429" s="315"/>
      <c r="L3429" s="315"/>
    </row>
    <row r="3430" spans="1:12">
      <c r="A3430" s="315"/>
      <c r="B3430" s="315"/>
      <c r="C3430" s="315"/>
      <c r="D3430" s="315"/>
      <c r="E3430" s="315"/>
      <c r="F3430" s="315"/>
      <c r="G3430" s="315"/>
      <c r="H3430" s="315"/>
      <c r="I3430" s="315"/>
      <c r="J3430" s="315"/>
      <c r="K3430" s="315"/>
      <c r="L3430" s="315"/>
    </row>
    <row r="3431" spans="1:12">
      <c r="A3431" s="315"/>
      <c r="B3431" s="315"/>
      <c r="C3431" s="315"/>
      <c r="D3431" s="315"/>
      <c r="E3431" s="315"/>
      <c r="F3431" s="315"/>
      <c r="G3431" s="315"/>
      <c r="H3431" s="315"/>
      <c r="I3431" s="315"/>
      <c r="J3431" s="315"/>
      <c r="K3431" s="315"/>
      <c r="L3431" s="315"/>
    </row>
    <row r="3432" spans="1:12">
      <c r="A3432" s="315"/>
      <c r="B3432" s="315"/>
      <c r="C3432" s="315"/>
      <c r="D3432" s="315"/>
      <c r="E3432" s="315"/>
      <c r="F3432" s="315"/>
      <c r="G3432" s="315"/>
      <c r="H3432" s="315"/>
      <c r="I3432" s="315"/>
      <c r="J3432" s="315"/>
      <c r="K3432" s="315"/>
      <c r="L3432" s="315"/>
    </row>
    <row r="3433" spans="1:12">
      <c r="A3433" s="315"/>
      <c r="B3433" s="315"/>
      <c r="C3433" s="315"/>
      <c r="D3433" s="315"/>
      <c r="E3433" s="315"/>
      <c r="F3433" s="315"/>
      <c r="G3433" s="315"/>
      <c r="H3433" s="315"/>
      <c r="I3433" s="315"/>
      <c r="J3433" s="315"/>
      <c r="K3433" s="315"/>
      <c r="L3433" s="315"/>
    </row>
    <row r="3434" spans="1:12">
      <c r="A3434" s="315"/>
      <c r="B3434" s="315"/>
      <c r="C3434" s="315"/>
      <c r="D3434" s="315"/>
      <c r="E3434" s="315"/>
      <c r="F3434" s="315"/>
      <c r="G3434" s="315"/>
      <c r="H3434" s="315"/>
      <c r="I3434" s="315"/>
      <c r="J3434" s="315"/>
      <c r="K3434" s="315"/>
      <c r="L3434" s="315"/>
    </row>
    <row r="3435" spans="1:12">
      <c r="A3435" s="315"/>
      <c r="B3435" s="315"/>
      <c r="C3435" s="315"/>
      <c r="D3435" s="315"/>
      <c r="E3435" s="315"/>
      <c r="F3435" s="315"/>
      <c r="G3435" s="315"/>
      <c r="H3435" s="315"/>
      <c r="I3435" s="315"/>
      <c r="J3435" s="315"/>
      <c r="K3435" s="315"/>
      <c r="L3435" s="315"/>
    </row>
    <row r="3436" spans="1:12">
      <c r="A3436" s="315"/>
      <c r="B3436" s="315"/>
      <c r="C3436" s="315"/>
      <c r="D3436" s="315"/>
      <c r="E3436" s="315"/>
      <c r="F3436" s="315"/>
      <c r="G3436" s="315"/>
      <c r="H3436" s="315"/>
      <c r="I3436" s="315"/>
      <c r="J3436" s="315"/>
      <c r="K3436" s="315"/>
      <c r="L3436" s="315"/>
    </row>
    <row r="3437" spans="1:12">
      <c r="A3437" s="315"/>
      <c r="B3437" s="315"/>
      <c r="C3437" s="315"/>
      <c r="D3437" s="315"/>
      <c r="E3437" s="315"/>
      <c r="F3437" s="315"/>
      <c r="G3437" s="315"/>
      <c r="H3437" s="315"/>
      <c r="I3437" s="315"/>
      <c r="J3437" s="315"/>
      <c r="K3437" s="315"/>
      <c r="L3437" s="315"/>
    </row>
    <row r="3438" spans="1:12">
      <c r="A3438" s="315"/>
      <c r="B3438" s="315"/>
      <c r="C3438" s="315"/>
      <c r="D3438" s="315"/>
      <c r="E3438" s="315"/>
      <c r="F3438" s="315"/>
      <c r="G3438" s="315"/>
      <c r="H3438" s="315"/>
      <c r="I3438" s="315"/>
      <c r="J3438" s="315"/>
      <c r="K3438" s="315"/>
      <c r="L3438" s="315"/>
    </row>
    <row r="3439" spans="1:12">
      <c r="A3439" s="315"/>
      <c r="B3439" s="315"/>
      <c r="C3439" s="315"/>
      <c r="D3439" s="315"/>
      <c r="E3439" s="315"/>
      <c r="F3439" s="315"/>
      <c r="G3439" s="315"/>
      <c r="H3439" s="315"/>
      <c r="I3439" s="315"/>
      <c r="J3439" s="315"/>
      <c r="K3439" s="315"/>
      <c r="L3439" s="315"/>
    </row>
    <row r="3440" spans="1:12">
      <c r="A3440" s="315"/>
      <c r="B3440" s="315"/>
      <c r="C3440" s="315"/>
      <c r="D3440" s="315"/>
      <c r="E3440" s="315"/>
      <c r="F3440" s="315"/>
      <c r="G3440" s="315"/>
      <c r="H3440" s="315"/>
      <c r="I3440" s="315"/>
      <c r="J3440" s="315"/>
      <c r="K3440" s="315"/>
      <c r="L3440" s="315"/>
    </row>
    <row r="3441" spans="1:12">
      <c r="A3441" s="315"/>
      <c r="B3441" s="315"/>
      <c r="C3441" s="315"/>
      <c r="D3441" s="315"/>
      <c r="E3441" s="315"/>
      <c r="F3441" s="315"/>
      <c r="G3441" s="315"/>
      <c r="H3441" s="315"/>
      <c r="I3441" s="315"/>
      <c r="J3441" s="315"/>
      <c r="K3441" s="315"/>
      <c r="L3441" s="315"/>
    </row>
    <row r="3442" spans="1:12">
      <c r="A3442" s="315"/>
      <c r="B3442" s="315"/>
      <c r="C3442" s="315"/>
      <c r="D3442" s="315"/>
      <c r="E3442" s="315"/>
      <c r="F3442" s="315"/>
      <c r="G3442" s="315"/>
      <c r="H3442" s="315"/>
      <c r="I3442" s="315"/>
      <c r="J3442" s="315"/>
      <c r="K3442" s="315"/>
      <c r="L3442" s="315"/>
    </row>
    <row r="3443" spans="1:12">
      <c r="A3443" s="315"/>
      <c r="B3443" s="315"/>
      <c r="C3443" s="315"/>
      <c r="D3443" s="315"/>
      <c r="E3443" s="315"/>
      <c r="F3443" s="315"/>
      <c r="G3443" s="315"/>
      <c r="H3443" s="315"/>
      <c r="I3443" s="315"/>
      <c r="J3443" s="315"/>
      <c r="K3443" s="315"/>
      <c r="L3443" s="315"/>
    </row>
    <row r="3444" spans="1:12">
      <c r="A3444" s="315"/>
      <c r="B3444" s="315"/>
      <c r="C3444" s="315"/>
      <c r="D3444" s="315"/>
      <c r="E3444" s="315"/>
      <c r="F3444" s="315"/>
      <c r="G3444" s="315"/>
      <c r="H3444" s="315"/>
      <c r="I3444" s="315"/>
      <c r="J3444" s="315"/>
      <c r="K3444" s="315"/>
      <c r="L3444" s="315"/>
    </row>
    <row r="3445" spans="1:12">
      <c r="A3445" s="315"/>
      <c r="B3445" s="315"/>
      <c r="C3445" s="315"/>
      <c r="D3445" s="315"/>
      <c r="E3445" s="315"/>
      <c r="F3445" s="315"/>
      <c r="G3445" s="315"/>
      <c r="H3445" s="315"/>
      <c r="I3445" s="315"/>
      <c r="J3445" s="315"/>
      <c r="K3445" s="315"/>
      <c r="L3445" s="315"/>
    </row>
    <row r="3446" spans="1:12">
      <c r="A3446" s="315"/>
      <c r="B3446" s="315"/>
      <c r="C3446" s="315"/>
      <c r="D3446" s="315"/>
      <c r="E3446" s="315"/>
      <c r="F3446" s="315"/>
      <c r="G3446" s="315"/>
      <c r="H3446" s="315"/>
      <c r="I3446" s="315"/>
      <c r="J3446" s="315"/>
      <c r="K3446" s="315"/>
      <c r="L3446" s="315"/>
    </row>
    <row r="3447" spans="1:12">
      <c r="A3447" s="315"/>
      <c r="B3447" s="315"/>
      <c r="C3447" s="315"/>
      <c r="D3447" s="315"/>
      <c r="E3447" s="315"/>
      <c r="F3447" s="315"/>
      <c r="G3447" s="315"/>
      <c r="H3447" s="315"/>
      <c r="I3447" s="315"/>
      <c r="J3447" s="315"/>
      <c r="K3447" s="315"/>
      <c r="L3447" s="315"/>
    </row>
    <row r="3448" spans="1:12">
      <c r="A3448" s="315"/>
      <c r="B3448" s="315"/>
      <c r="C3448" s="315"/>
      <c r="D3448" s="315"/>
      <c r="E3448" s="315"/>
      <c r="F3448" s="315"/>
      <c r="G3448" s="315"/>
      <c r="H3448" s="315"/>
      <c r="I3448" s="315"/>
      <c r="J3448" s="315"/>
      <c r="K3448" s="315"/>
      <c r="L3448" s="315"/>
    </row>
    <row r="3449" spans="1:12">
      <c r="A3449" s="315"/>
      <c r="B3449" s="315"/>
      <c r="C3449" s="315"/>
      <c r="D3449" s="315"/>
      <c r="E3449" s="315"/>
      <c r="F3449" s="315"/>
      <c r="G3449" s="315"/>
      <c r="H3449" s="315"/>
      <c r="I3449" s="315"/>
      <c r="J3449" s="315"/>
      <c r="K3449" s="315"/>
      <c r="L3449" s="315"/>
    </row>
    <row r="3450" spans="1:12">
      <c r="A3450" s="315"/>
      <c r="B3450" s="315"/>
      <c r="C3450" s="315"/>
      <c r="D3450" s="315"/>
      <c r="E3450" s="315"/>
      <c r="F3450" s="315"/>
      <c r="G3450" s="315"/>
      <c r="H3450" s="315"/>
      <c r="I3450" s="315"/>
      <c r="J3450" s="315"/>
      <c r="K3450" s="315"/>
      <c r="L3450" s="315"/>
    </row>
    <row r="3451" spans="1:12">
      <c r="A3451" s="315"/>
      <c r="B3451" s="315"/>
      <c r="C3451" s="315"/>
      <c r="D3451" s="315"/>
      <c r="E3451" s="315"/>
      <c r="F3451" s="315"/>
      <c r="G3451" s="315"/>
      <c r="H3451" s="315"/>
      <c r="I3451" s="315"/>
      <c r="J3451" s="315"/>
      <c r="K3451" s="315"/>
      <c r="L3451" s="315"/>
    </row>
    <row r="3452" spans="1:12">
      <c r="A3452" s="315"/>
      <c r="B3452" s="315"/>
      <c r="C3452" s="315"/>
      <c r="D3452" s="315"/>
      <c r="E3452" s="315"/>
      <c r="F3452" s="315"/>
      <c r="G3452" s="315"/>
      <c r="H3452" s="315"/>
      <c r="I3452" s="315"/>
      <c r="J3452" s="315"/>
      <c r="K3452" s="315"/>
      <c r="L3452" s="315"/>
    </row>
    <row r="3453" spans="1:12">
      <c r="A3453" s="315"/>
      <c r="B3453" s="315"/>
      <c r="C3453" s="315"/>
      <c r="D3453" s="315"/>
      <c r="E3453" s="315"/>
      <c r="F3453" s="315"/>
      <c r="G3453" s="315"/>
      <c r="H3453" s="315"/>
      <c r="I3453" s="315"/>
      <c r="J3453" s="315"/>
      <c r="K3453" s="315"/>
      <c r="L3453" s="315"/>
    </row>
    <row r="3454" spans="1:12">
      <c r="A3454" s="315"/>
      <c r="B3454" s="315"/>
      <c r="C3454" s="315"/>
      <c r="D3454" s="315"/>
      <c r="E3454" s="315"/>
      <c r="F3454" s="315"/>
      <c r="G3454" s="315"/>
      <c r="H3454" s="315"/>
      <c r="I3454" s="315"/>
      <c r="J3454" s="315"/>
      <c r="K3454" s="315"/>
      <c r="L3454" s="315"/>
    </row>
    <row r="3455" spans="1:12">
      <c r="A3455" s="315"/>
      <c r="B3455" s="315"/>
      <c r="C3455" s="315"/>
      <c r="D3455" s="315"/>
      <c r="E3455" s="315"/>
      <c r="F3455" s="315"/>
      <c r="G3455" s="315"/>
      <c r="H3455" s="315"/>
      <c r="I3455" s="315"/>
      <c r="J3455" s="315"/>
      <c r="K3455" s="315"/>
      <c r="L3455" s="315"/>
    </row>
    <row r="3456" spans="1:12">
      <c r="A3456" s="315"/>
      <c r="B3456" s="315"/>
      <c r="C3456" s="315"/>
      <c r="D3456" s="315"/>
      <c r="E3456" s="315"/>
      <c r="F3456" s="315"/>
      <c r="G3456" s="315"/>
      <c r="H3456" s="315"/>
      <c r="I3456" s="315"/>
      <c r="J3456" s="315"/>
      <c r="K3456" s="315"/>
      <c r="L3456" s="315"/>
    </row>
    <row r="3457" spans="1:12">
      <c r="A3457" s="315"/>
      <c r="B3457" s="315"/>
      <c r="C3457" s="315"/>
      <c r="D3457" s="315"/>
      <c r="E3457" s="315"/>
      <c r="F3457" s="315"/>
      <c r="G3457" s="315"/>
      <c r="H3457" s="315"/>
      <c r="I3457" s="315"/>
      <c r="J3457" s="315"/>
      <c r="K3457" s="315"/>
      <c r="L3457" s="315"/>
    </row>
    <row r="3458" spans="1:12">
      <c r="A3458" s="315"/>
      <c r="B3458" s="315"/>
      <c r="C3458" s="315"/>
      <c r="D3458" s="315"/>
      <c r="E3458" s="315"/>
      <c r="F3458" s="315"/>
      <c r="G3458" s="315"/>
      <c r="H3458" s="315"/>
      <c r="I3458" s="315"/>
      <c r="J3458" s="315"/>
      <c r="K3458" s="315"/>
      <c r="L3458" s="315"/>
    </row>
    <row r="3459" spans="1:12">
      <c r="A3459" s="315"/>
      <c r="B3459" s="315"/>
      <c r="C3459" s="315"/>
      <c r="D3459" s="315"/>
      <c r="E3459" s="315"/>
      <c r="F3459" s="315"/>
      <c r="G3459" s="315"/>
      <c r="H3459" s="315"/>
      <c r="I3459" s="315"/>
      <c r="J3459" s="315"/>
      <c r="K3459" s="315"/>
      <c r="L3459" s="315"/>
    </row>
    <row r="3460" spans="1:12">
      <c r="A3460" s="315"/>
      <c r="B3460" s="315"/>
      <c r="C3460" s="315"/>
      <c r="D3460" s="315"/>
      <c r="E3460" s="315"/>
      <c r="F3460" s="315"/>
      <c r="G3460" s="315"/>
      <c r="H3460" s="315"/>
      <c r="I3460" s="315"/>
      <c r="J3460" s="315"/>
      <c r="K3460" s="315"/>
      <c r="L3460" s="315"/>
    </row>
    <row r="3461" spans="1:12">
      <c r="A3461" s="315"/>
      <c r="B3461" s="315"/>
      <c r="C3461" s="315"/>
      <c r="D3461" s="315"/>
      <c r="E3461" s="315"/>
      <c r="F3461" s="315"/>
      <c r="G3461" s="315"/>
      <c r="H3461" s="315"/>
      <c r="I3461" s="315"/>
      <c r="J3461" s="315"/>
      <c r="K3461" s="315"/>
      <c r="L3461" s="315"/>
    </row>
    <row r="3462" spans="1:12">
      <c r="A3462" s="315"/>
      <c r="B3462" s="315"/>
      <c r="C3462" s="315"/>
      <c r="D3462" s="315"/>
      <c r="E3462" s="315"/>
      <c r="F3462" s="315"/>
      <c r="G3462" s="315"/>
      <c r="H3462" s="315"/>
      <c r="I3462" s="315"/>
      <c r="J3462" s="315"/>
      <c r="K3462" s="315"/>
      <c r="L3462" s="315"/>
    </row>
    <row r="3463" spans="1:12">
      <c r="A3463" s="315"/>
      <c r="B3463" s="315"/>
      <c r="C3463" s="315"/>
      <c r="D3463" s="315"/>
      <c r="E3463" s="315"/>
      <c r="F3463" s="315"/>
      <c r="G3463" s="315"/>
      <c r="H3463" s="315"/>
      <c r="I3463" s="315"/>
      <c r="J3463" s="315"/>
      <c r="K3463" s="315"/>
      <c r="L3463" s="315"/>
    </row>
    <row r="3464" spans="1:12">
      <c r="A3464" s="315"/>
      <c r="B3464" s="315"/>
      <c r="C3464" s="315"/>
      <c r="D3464" s="315"/>
      <c r="E3464" s="315"/>
      <c r="F3464" s="315"/>
      <c r="G3464" s="315"/>
      <c r="H3464" s="315"/>
      <c r="I3464" s="315"/>
      <c r="J3464" s="315"/>
      <c r="K3464" s="315"/>
      <c r="L3464" s="315"/>
    </row>
    <row r="3465" spans="1:12">
      <c r="A3465" s="315"/>
      <c r="B3465" s="315"/>
      <c r="C3465" s="315"/>
      <c r="D3465" s="315"/>
      <c r="E3465" s="315"/>
      <c r="F3465" s="315"/>
      <c r="G3465" s="315"/>
      <c r="H3465" s="315"/>
      <c r="I3465" s="315"/>
      <c r="J3465" s="315"/>
      <c r="K3465" s="315"/>
      <c r="L3465" s="315"/>
    </row>
    <row r="3466" spans="1:12">
      <c r="A3466" s="315"/>
      <c r="B3466" s="315"/>
      <c r="C3466" s="315"/>
      <c r="D3466" s="315"/>
      <c r="E3466" s="315"/>
      <c r="F3466" s="315"/>
      <c r="G3466" s="315"/>
      <c r="H3466" s="315"/>
      <c r="I3466" s="315"/>
      <c r="J3466" s="315"/>
      <c r="K3466" s="315"/>
      <c r="L3466" s="315"/>
    </row>
    <row r="3467" spans="1:12">
      <c r="A3467" s="315"/>
      <c r="B3467" s="315"/>
      <c r="C3467" s="315"/>
      <c r="D3467" s="315"/>
      <c r="E3467" s="315"/>
      <c r="F3467" s="315"/>
      <c r="G3467" s="315"/>
      <c r="H3467" s="315"/>
      <c r="I3467" s="315"/>
      <c r="J3467" s="315"/>
      <c r="K3467" s="315"/>
      <c r="L3467" s="315"/>
    </row>
    <row r="3468" spans="1:12">
      <c r="A3468" s="315"/>
      <c r="B3468" s="315"/>
      <c r="C3468" s="315"/>
      <c r="D3468" s="315"/>
      <c r="E3468" s="315"/>
      <c r="F3468" s="315"/>
      <c r="G3468" s="315"/>
      <c r="H3468" s="315"/>
      <c r="I3468" s="315"/>
      <c r="J3468" s="315"/>
      <c r="K3468" s="315"/>
      <c r="L3468" s="315"/>
    </row>
    <row r="3469" spans="1:12">
      <c r="A3469" s="315"/>
      <c r="B3469" s="315"/>
      <c r="C3469" s="315"/>
      <c r="D3469" s="315"/>
      <c r="E3469" s="315"/>
      <c r="F3469" s="315"/>
      <c r="G3469" s="315"/>
      <c r="H3469" s="315"/>
      <c r="I3469" s="315"/>
      <c r="J3469" s="315"/>
      <c r="K3469" s="315"/>
      <c r="L3469" s="315"/>
    </row>
    <row r="3470" spans="1:12">
      <c r="A3470" s="315"/>
      <c r="B3470" s="315"/>
      <c r="C3470" s="315"/>
      <c r="D3470" s="315"/>
      <c r="E3470" s="315"/>
      <c r="F3470" s="315"/>
      <c r="G3470" s="315"/>
      <c r="H3470" s="315"/>
      <c r="I3470" s="315"/>
      <c r="J3470" s="315"/>
      <c r="K3470" s="315"/>
      <c r="L3470" s="315"/>
    </row>
    <row r="3471" spans="1:12">
      <c r="A3471" s="315"/>
      <c r="B3471" s="315"/>
      <c r="C3471" s="315"/>
      <c r="D3471" s="315"/>
      <c r="E3471" s="315"/>
      <c r="F3471" s="315"/>
      <c r="G3471" s="315"/>
      <c r="H3471" s="315"/>
      <c r="I3471" s="315"/>
      <c r="J3471" s="315"/>
      <c r="K3471" s="315"/>
      <c r="L3471" s="315"/>
    </row>
    <row r="3472" spans="1:12">
      <c r="A3472" s="315"/>
      <c r="B3472" s="315"/>
      <c r="C3472" s="315"/>
      <c r="D3472" s="315"/>
      <c r="E3472" s="315"/>
      <c r="F3472" s="315"/>
      <c r="G3472" s="315"/>
      <c r="H3472" s="315"/>
      <c r="I3472" s="315"/>
      <c r="J3472" s="315"/>
      <c r="K3472" s="315"/>
      <c r="L3472" s="315"/>
    </row>
    <row r="3473" spans="1:12">
      <c r="A3473" s="315"/>
      <c r="B3473" s="315"/>
      <c r="C3473" s="315"/>
      <c r="D3473" s="315"/>
      <c r="E3473" s="315"/>
      <c r="F3473" s="315"/>
      <c r="G3473" s="315"/>
      <c r="H3473" s="315"/>
      <c r="I3473" s="315"/>
      <c r="J3473" s="315"/>
      <c r="K3473" s="315"/>
      <c r="L3473" s="315"/>
    </row>
    <row r="3474" spans="1:12">
      <c r="A3474" s="315"/>
      <c r="B3474" s="315"/>
      <c r="C3474" s="315"/>
      <c r="D3474" s="315"/>
      <c r="E3474" s="315"/>
      <c r="F3474" s="315"/>
      <c r="G3474" s="315"/>
      <c r="H3474" s="315"/>
      <c r="I3474" s="315"/>
      <c r="J3474" s="315"/>
      <c r="K3474" s="315"/>
      <c r="L3474" s="315"/>
    </row>
    <row r="3475" spans="1:12">
      <c r="A3475" s="315"/>
      <c r="B3475" s="315"/>
      <c r="C3475" s="315"/>
      <c r="D3475" s="315"/>
      <c r="E3475" s="315"/>
      <c r="F3475" s="315"/>
      <c r="G3475" s="315"/>
      <c r="H3475" s="315"/>
      <c r="I3475" s="315"/>
      <c r="J3475" s="315"/>
      <c r="K3475" s="315"/>
      <c r="L3475" s="315"/>
    </row>
    <row r="3476" spans="1:12">
      <c r="A3476" s="315"/>
      <c r="B3476" s="315"/>
      <c r="C3476" s="315"/>
      <c r="D3476" s="315"/>
      <c r="E3476" s="315"/>
      <c r="F3476" s="315"/>
      <c r="G3476" s="315"/>
      <c r="H3476" s="315"/>
      <c r="I3476" s="315"/>
      <c r="J3476" s="315"/>
      <c r="K3476" s="315"/>
      <c r="L3476" s="315"/>
    </row>
    <row r="3477" spans="1:12">
      <c r="A3477" s="315"/>
      <c r="B3477" s="315"/>
      <c r="C3477" s="315"/>
      <c r="D3477" s="315"/>
      <c r="E3477" s="315"/>
      <c r="F3477" s="315"/>
      <c r="G3477" s="315"/>
      <c r="H3477" s="315"/>
      <c r="I3477" s="315"/>
      <c r="J3477" s="315"/>
      <c r="K3477" s="315"/>
      <c r="L3477" s="315"/>
    </row>
    <row r="3478" spans="1:12">
      <c r="A3478" s="315"/>
      <c r="B3478" s="315"/>
      <c r="C3478" s="315"/>
      <c r="D3478" s="315"/>
      <c r="E3478" s="315"/>
      <c r="F3478" s="315"/>
      <c r="G3478" s="315"/>
      <c r="H3478" s="315"/>
      <c r="I3478" s="315"/>
      <c r="J3478" s="315"/>
      <c r="K3478" s="315"/>
      <c r="L3478" s="315"/>
    </row>
    <row r="3479" spans="1:12">
      <c r="A3479" s="315"/>
      <c r="B3479" s="315"/>
      <c r="C3479" s="315"/>
      <c r="D3479" s="315"/>
      <c r="E3479" s="315"/>
      <c r="F3479" s="315"/>
      <c r="G3479" s="315"/>
      <c r="H3479" s="315"/>
      <c r="I3479" s="315"/>
      <c r="J3479" s="315"/>
      <c r="K3479" s="315"/>
      <c r="L3479" s="315"/>
    </row>
    <row r="3480" spans="1:12">
      <c r="A3480" s="315"/>
      <c r="B3480" s="315"/>
      <c r="C3480" s="315"/>
      <c r="D3480" s="315"/>
      <c r="E3480" s="315"/>
      <c r="F3480" s="315"/>
      <c r="G3480" s="315"/>
      <c r="H3480" s="315"/>
      <c r="I3480" s="315"/>
      <c r="J3480" s="315"/>
      <c r="K3480" s="315"/>
      <c r="L3480" s="315"/>
    </row>
    <row r="3481" spans="1:12">
      <c r="A3481" s="315"/>
      <c r="B3481" s="315"/>
      <c r="C3481" s="315"/>
      <c r="D3481" s="315"/>
      <c r="E3481" s="315"/>
      <c r="F3481" s="315"/>
      <c r="G3481" s="315"/>
      <c r="H3481" s="315"/>
      <c r="I3481" s="315"/>
      <c r="J3481" s="315"/>
      <c r="K3481" s="315"/>
      <c r="L3481" s="315"/>
    </row>
    <row r="3482" spans="1:12">
      <c r="A3482" s="315"/>
      <c r="B3482" s="315"/>
      <c r="C3482" s="315"/>
      <c r="D3482" s="315"/>
      <c r="E3482" s="315"/>
      <c r="F3482" s="315"/>
      <c r="G3482" s="315"/>
      <c r="H3482" s="315"/>
      <c r="I3482" s="315"/>
      <c r="J3482" s="315"/>
      <c r="K3482" s="315"/>
      <c r="L3482" s="315"/>
    </row>
    <row r="3483" spans="1:12">
      <c r="A3483" s="315"/>
      <c r="B3483" s="315"/>
      <c r="C3483" s="315"/>
      <c r="D3483" s="315"/>
      <c r="E3483" s="315"/>
      <c r="F3483" s="315"/>
      <c r="G3483" s="315"/>
      <c r="H3483" s="315"/>
      <c r="I3483" s="315"/>
      <c r="J3483" s="315"/>
      <c r="K3483" s="315"/>
      <c r="L3483" s="315"/>
    </row>
    <row r="3484" spans="1:12">
      <c r="A3484" s="315"/>
      <c r="B3484" s="315"/>
      <c r="C3484" s="315"/>
      <c r="D3484" s="315"/>
      <c r="E3484" s="315"/>
      <c r="F3484" s="315"/>
      <c r="G3484" s="315"/>
      <c r="H3484" s="315"/>
      <c r="I3484" s="315"/>
      <c r="J3484" s="315"/>
      <c r="K3484" s="315"/>
      <c r="L3484" s="315"/>
    </row>
    <row r="3485" spans="1:12">
      <c r="A3485" s="315"/>
      <c r="B3485" s="315"/>
      <c r="C3485" s="315"/>
      <c r="D3485" s="315"/>
      <c r="E3485" s="315"/>
      <c r="F3485" s="315"/>
      <c r="G3485" s="315"/>
      <c r="H3485" s="315"/>
      <c r="I3485" s="315"/>
      <c r="J3485" s="315"/>
      <c r="K3485" s="315"/>
      <c r="L3485" s="315"/>
    </row>
    <row r="3486" spans="1:12">
      <c r="A3486" s="315"/>
      <c r="B3486" s="315"/>
      <c r="C3486" s="315"/>
      <c r="D3486" s="315"/>
      <c r="E3486" s="315"/>
      <c r="F3486" s="315"/>
      <c r="G3486" s="315"/>
      <c r="H3486" s="315"/>
      <c r="I3486" s="315"/>
      <c r="J3486" s="315"/>
      <c r="K3486" s="315"/>
      <c r="L3486" s="315"/>
    </row>
    <row r="3487" spans="1:12">
      <c r="A3487" s="315"/>
      <c r="B3487" s="315"/>
      <c r="C3487" s="315"/>
      <c r="D3487" s="315"/>
      <c r="E3487" s="315"/>
      <c r="F3487" s="315"/>
      <c r="G3487" s="315"/>
      <c r="H3487" s="315"/>
      <c r="I3487" s="315"/>
      <c r="J3487" s="315"/>
      <c r="K3487" s="315"/>
      <c r="L3487" s="315"/>
    </row>
    <row r="3488" spans="1:12">
      <c r="A3488" s="315"/>
      <c r="B3488" s="315"/>
      <c r="C3488" s="315"/>
      <c r="D3488" s="315"/>
      <c r="E3488" s="315"/>
      <c r="F3488" s="315"/>
      <c r="G3488" s="315"/>
      <c r="H3488" s="315"/>
      <c r="I3488" s="315"/>
      <c r="J3488" s="315"/>
      <c r="K3488" s="315"/>
      <c r="L3488" s="315"/>
    </row>
    <row r="3489" spans="1:12">
      <c r="A3489" s="315"/>
      <c r="B3489" s="315"/>
      <c r="C3489" s="315"/>
      <c r="D3489" s="315"/>
      <c r="E3489" s="315"/>
      <c r="F3489" s="315"/>
      <c r="G3489" s="315"/>
      <c r="H3489" s="315"/>
      <c r="I3489" s="315"/>
      <c r="J3489" s="315"/>
      <c r="K3489" s="315"/>
      <c r="L3489" s="315"/>
    </row>
    <row r="3490" spans="1:12">
      <c r="A3490" s="315"/>
      <c r="B3490" s="315"/>
      <c r="C3490" s="315"/>
      <c r="D3490" s="315"/>
      <c r="E3490" s="315"/>
      <c r="F3490" s="315"/>
      <c r="G3490" s="315"/>
      <c r="H3490" s="315"/>
      <c r="I3490" s="315"/>
      <c r="J3490" s="315"/>
      <c r="K3490" s="315"/>
      <c r="L3490" s="315"/>
    </row>
    <row r="3491" spans="1:12">
      <c r="A3491" s="315"/>
      <c r="B3491" s="315"/>
      <c r="C3491" s="315"/>
      <c r="D3491" s="315"/>
      <c r="E3491" s="315"/>
      <c r="F3491" s="315"/>
      <c r="G3491" s="315"/>
      <c r="H3491" s="315"/>
      <c r="I3491" s="315"/>
      <c r="J3491" s="315"/>
      <c r="K3491" s="315"/>
      <c r="L3491" s="315"/>
    </row>
    <row r="3492" spans="1:12">
      <c r="A3492" s="315"/>
      <c r="B3492" s="315"/>
      <c r="C3492" s="315"/>
      <c r="D3492" s="315"/>
      <c r="E3492" s="315"/>
      <c r="F3492" s="315"/>
      <c r="G3492" s="315"/>
      <c r="H3492" s="315"/>
      <c r="I3492" s="315"/>
      <c r="J3492" s="315"/>
      <c r="K3492" s="315"/>
      <c r="L3492" s="315"/>
    </row>
    <row r="3493" spans="1:12">
      <c r="A3493" s="315"/>
      <c r="B3493" s="315"/>
      <c r="C3493" s="315"/>
      <c r="D3493" s="315"/>
      <c r="E3493" s="315"/>
      <c r="F3493" s="315"/>
      <c r="G3493" s="315"/>
      <c r="H3493" s="315"/>
      <c r="I3493" s="315"/>
      <c r="J3493" s="315"/>
      <c r="K3493" s="315"/>
      <c r="L3493" s="315"/>
    </row>
    <row r="3494" spans="1:12">
      <c r="A3494" s="315"/>
      <c r="B3494" s="315"/>
      <c r="C3494" s="315"/>
      <c r="D3494" s="315"/>
      <c r="E3494" s="315"/>
      <c r="F3494" s="315"/>
      <c r="G3494" s="315"/>
      <c r="H3494" s="315"/>
      <c r="I3494" s="315"/>
      <c r="J3494" s="315"/>
      <c r="K3494" s="315"/>
      <c r="L3494" s="315"/>
    </row>
    <row r="3495" spans="1:12">
      <c r="A3495" s="315"/>
      <c r="B3495" s="315"/>
      <c r="C3495" s="315"/>
      <c r="D3495" s="315"/>
      <c r="E3495" s="315"/>
      <c r="F3495" s="315"/>
      <c r="G3495" s="315"/>
      <c r="H3495" s="315"/>
      <c r="I3495" s="315"/>
      <c r="J3495" s="315"/>
      <c r="K3495" s="315"/>
      <c r="L3495" s="315"/>
    </row>
    <row r="3496" spans="1:12">
      <c r="A3496" s="315"/>
      <c r="B3496" s="315"/>
      <c r="C3496" s="315"/>
      <c r="D3496" s="315"/>
      <c r="E3496" s="315"/>
      <c r="F3496" s="315"/>
      <c r="G3496" s="315"/>
      <c r="H3496" s="315"/>
      <c r="I3496" s="315"/>
      <c r="J3496" s="315"/>
      <c r="K3496" s="315"/>
      <c r="L3496" s="315"/>
    </row>
    <row r="3497" spans="1:12">
      <c r="A3497" s="315"/>
      <c r="B3497" s="315"/>
      <c r="C3497" s="315"/>
      <c r="D3497" s="315"/>
      <c r="E3497" s="315"/>
      <c r="F3497" s="315"/>
      <c r="G3497" s="315"/>
      <c r="H3497" s="315"/>
      <c r="I3497" s="315"/>
      <c r="J3497" s="315"/>
      <c r="K3497" s="315"/>
      <c r="L3497" s="315"/>
    </row>
    <row r="3498" spans="1:12">
      <c r="A3498" s="315"/>
      <c r="B3498" s="315"/>
      <c r="C3498" s="315"/>
      <c r="D3498" s="315"/>
      <c r="E3498" s="315"/>
      <c r="F3498" s="315"/>
      <c r="G3498" s="315"/>
      <c r="H3498" s="315"/>
      <c r="I3498" s="315"/>
      <c r="J3498" s="315"/>
      <c r="K3498" s="315"/>
      <c r="L3498" s="315"/>
    </row>
    <row r="3499" spans="1:12">
      <c r="A3499" s="315"/>
      <c r="B3499" s="315"/>
      <c r="C3499" s="315"/>
      <c r="D3499" s="315"/>
      <c r="E3499" s="315"/>
      <c r="F3499" s="315"/>
      <c r="G3499" s="315"/>
      <c r="H3499" s="315"/>
      <c r="I3499" s="315"/>
      <c r="J3499" s="315"/>
      <c r="K3499" s="315"/>
      <c r="L3499" s="315"/>
    </row>
    <row r="3500" spans="1:12">
      <c r="A3500" s="315"/>
      <c r="B3500" s="315"/>
      <c r="C3500" s="315"/>
      <c r="D3500" s="315"/>
      <c r="E3500" s="315"/>
      <c r="F3500" s="315"/>
      <c r="G3500" s="315"/>
      <c r="H3500" s="315"/>
      <c r="I3500" s="315"/>
      <c r="J3500" s="315"/>
      <c r="K3500" s="315"/>
      <c r="L3500" s="315"/>
    </row>
    <row r="3501" spans="1:12">
      <c r="A3501" s="315"/>
      <c r="B3501" s="315"/>
      <c r="C3501" s="315"/>
      <c r="D3501" s="315"/>
      <c r="E3501" s="315"/>
      <c r="F3501" s="315"/>
      <c r="G3501" s="315"/>
      <c r="H3501" s="315"/>
      <c r="I3501" s="315"/>
      <c r="J3501" s="315"/>
      <c r="K3501" s="315"/>
      <c r="L3501" s="315"/>
    </row>
    <row r="3502" spans="1:12">
      <c r="A3502" s="315"/>
      <c r="B3502" s="315"/>
      <c r="C3502" s="315"/>
      <c r="D3502" s="315"/>
      <c r="E3502" s="315"/>
      <c r="F3502" s="315"/>
      <c r="G3502" s="315"/>
      <c r="H3502" s="315"/>
      <c r="I3502" s="315"/>
      <c r="J3502" s="315"/>
      <c r="K3502" s="315"/>
      <c r="L3502" s="315"/>
    </row>
    <row r="3503" spans="1:12">
      <c r="A3503" s="315"/>
      <c r="B3503" s="315"/>
      <c r="C3503" s="315"/>
      <c r="D3503" s="315"/>
      <c r="E3503" s="315"/>
      <c r="F3503" s="315"/>
      <c r="G3503" s="315"/>
      <c r="H3503" s="315"/>
      <c r="I3503" s="315"/>
      <c r="J3503" s="315"/>
      <c r="K3503" s="315"/>
      <c r="L3503" s="315"/>
    </row>
    <row r="3504" spans="1:12">
      <c r="A3504" s="315"/>
      <c r="B3504" s="315"/>
      <c r="C3504" s="315"/>
      <c r="D3504" s="315"/>
      <c r="E3504" s="315"/>
      <c r="F3504" s="315"/>
      <c r="G3504" s="315"/>
      <c r="H3504" s="315"/>
      <c r="I3504" s="315"/>
      <c r="J3504" s="315"/>
      <c r="K3504" s="315"/>
      <c r="L3504" s="315"/>
    </row>
    <row r="3505" spans="1:12">
      <c r="A3505" s="315"/>
      <c r="B3505" s="315"/>
      <c r="C3505" s="315"/>
      <c r="D3505" s="315"/>
      <c r="E3505" s="315"/>
      <c r="F3505" s="315"/>
      <c r="G3505" s="315"/>
      <c r="H3505" s="315"/>
      <c r="I3505" s="315"/>
      <c r="J3505" s="315"/>
      <c r="K3505" s="315"/>
      <c r="L3505" s="315"/>
    </row>
    <row r="3506" spans="1:12">
      <c r="A3506" s="315"/>
      <c r="B3506" s="315"/>
      <c r="C3506" s="315"/>
      <c r="D3506" s="315"/>
      <c r="E3506" s="315"/>
      <c r="F3506" s="315"/>
      <c r="G3506" s="315"/>
      <c r="H3506" s="315"/>
      <c r="I3506" s="315"/>
      <c r="J3506" s="315"/>
      <c r="K3506" s="315"/>
      <c r="L3506" s="315"/>
    </row>
    <row r="3507" spans="1:12">
      <c r="A3507" s="315"/>
      <c r="B3507" s="315"/>
      <c r="C3507" s="315"/>
      <c r="D3507" s="315"/>
      <c r="E3507" s="315"/>
      <c r="F3507" s="315"/>
      <c r="G3507" s="315"/>
      <c r="H3507" s="315"/>
      <c r="I3507" s="315"/>
      <c r="J3507" s="315"/>
      <c r="K3507" s="315"/>
      <c r="L3507" s="315"/>
    </row>
    <row r="3508" spans="1:12">
      <c r="A3508" s="315"/>
      <c r="B3508" s="315"/>
      <c r="C3508" s="315"/>
      <c r="D3508" s="315"/>
      <c r="E3508" s="315"/>
      <c r="F3508" s="315"/>
      <c r="G3508" s="315"/>
      <c r="H3508" s="315"/>
      <c r="I3508" s="315"/>
      <c r="J3508" s="315"/>
      <c r="K3508" s="315"/>
      <c r="L3508" s="315"/>
    </row>
    <row r="3509" spans="1:12">
      <c r="A3509" s="315"/>
      <c r="B3509" s="315"/>
      <c r="C3509" s="315"/>
      <c r="D3509" s="315"/>
      <c r="E3509" s="315"/>
      <c r="F3509" s="315"/>
      <c r="G3509" s="315"/>
      <c r="H3509" s="315"/>
      <c r="I3509" s="315"/>
      <c r="J3509" s="315"/>
      <c r="K3509" s="315"/>
      <c r="L3509" s="315"/>
    </row>
    <row r="3510" spans="1:12">
      <c r="A3510" s="315"/>
      <c r="B3510" s="315"/>
      <c r="C3510" s="315"/>
      <c r="D3510" s="315"/>
      <c r="E3510" s="315"/>
      <c r="F3510" s="315"/>
      <c r="G3510" s="315"/>
      <c r="H3510" s="315"/>
      <c r="I3510" s="315"/>
      <c r="J3510" s="315"/>
      <c r="K3510" s="315"/>
      <c r="L3510" s="315"/>
    </row>
    <row r="3511" spans="1:12">
      <c r="A3511" s="315"/>
      <c r="B3511" s="315"/>
      <c r="C3511" s="315"/>
      <c r="D3511" s="315"/>
      <c r="E3511" s="315"/>
      <c r="F3511" s="315"/>
      <c r="G3511" s="315"/>
      <c r="H3511" s="315"/>
      <c r="I3511" s="315"/>
      <c r="J3511" s="315"/>
      <c r="K3511" s="315"/>
      <c r="L3511" s="315"/>
    </row>
    <row r="3512" spans="1:12">
      <c r="A3512" s="315"/>
      <c r="B3512" s="315"/>
      <c r="C3512" s="315"/>
      <c r="D3512" s="315"/>
      <c r="E3512" s="315"/>
      <c r="F3512" s="315"/>
      <c r="G3512" s="315"/>
      <c r="H3512" s="315"/>
      <c r="I3512" s="315"/>
      <c r="J3512" s="315"/>
      <c r="K3512" s="315"/>
      <c r="L3512" s="315"/>
    </row>
    <row r="3513" spans="1:12">
      <c r="A3513" s="315"/>
      <c r="B3513" s="315"/>
      <c r="C3513" s="315"/>
      <c r="D3513" s="315"/>
      <c r="E3513" s="315"/>
      <c r="F3513" s="315"/>
      <c r="G3513" s="315"/>
      <c r="H3513" s="315"/>
      <c r="I3513" s="315"/>
      <c r="J3513" s="315"/>
      <c r="K3513" s="315"/>
      <c r="L3513" s="315"/>
    </row>
    <row r="3514" spans="1:12">
      <c r="A3514" s="315"/>
      <c r="B3514" s="315"/>
      <c r="C3514" s="315"/>
      <c r="D3514" s="315"/>
      <c r="E3514" s="315"/>
      <c r="F3514" s="315"/>
      <c r="G3514" s="315"/>
      <c r="H3514" s="315"/>
      <c r="I3514" s="315"/>
      <c r="J3514" s="315"/>
      <c r="K3514" s="315"/>
      <c r="L3514" s="315"/>
    </row>
    <row r="3515" spans="1:12">
      <c r="A3515" s="315"/>
      <c r="B3515" s="315"/>
      <c r="C3515" s="315"/>
      <c r="D3515" s="315"/>
      <c r="E3515" s="315"/>
      <c r="F3515" s="315"/>
      <c r="G3515" s="315"/>
      <c r="H3515" s="315"/>
      <c r="I3515" s="315"/>
      <c r="J3515" s="315"/>
      <c r="K3515" s="315"/>
      <c r="L3515" s="315"/>
    </row>
    <row r="3516" spans="1:12">
      <c r="A3516" s="315"/>
      <c r="B3516" s="315"/>
      <c r="C3516" s="315"/>
      <c r="D3516" s="315"/>
      <c r="E3516" s="315"/>
      <c r="F3516" s="315"/>
      <c r="G3516" s="315"/>
      <c r="H3516" s="315"/>
      <c r="I3516" s="315"/>
      <c r="J3516" s="315"/>
      <c r="K3516" s="315"/>
      <c r="L3516" s="315"/>
    </row>
    <row r="3517" spans="1:12">
      <c r="A3517" s="315"/>
      <c r="B3517" s="315"/>
      <c r="C3517" s="315"/>
      <c r="D3517" s="315"/>
      <c r="E3517" s="315"/>
      <c r="F3517" s="315"/>
      <c r="G3517" s="315"/>
      <c r="H3517" s="315"/>
      <c r="I3517" s="315"/>
      <c r="J3517" s="315"/>
      <c r="K3517" s="315"/>
      <c r="L3517" s="315"/>
    </row>
    <row r="3518" spans="1:12">
      <c r="A3518" s="315"/>
      <c r="B3518" s="315"/>
      <c r="C3518" s="315"/>
      <c r="D3518" s="315"/>
      <c r="E3518" s="315"/>
      <c r="F3518" s="315"/>
      <c r="G3518" s="315"/>
      <c r="H3518" s="315"/>
      <c r="I3518" s="315"/>
      <c r="J3518" s="315"/>
      <c r="K3518" s="315"/>
      <c r="L3518" s="315"/>
    </row>
    <row r="3519" spans="1:12">
      <c r="A3519" s="315"/>
      <c r="B3519" s="315"/>
      <c r="C3519" s="315"/>
      <c r="D3519" s="315"/>
      <c r="E3519" s="315"/>
      <c r="F3519" s="315"/>
      <c r="G3519" s="315"/>
      <c r="H3519" s="315"/>
      <c r="I3519" s="315"/>
      <c r="J3519" s="315"/>
      <c r="K3519" s="315"/>
      <c r="L3519" s="315"/>
    </row>
    <row r="3520" spans="1:12">
      <c r="A3520" s="315"/>
      <c r="B3520" s="315"/>
      <c r="C3520" s="315"/>
      <c r="D3520" s="315"/>
      <c r="E3520" s="315"/>
      <c r="F3520" s="315"/>
      <c r="G3520" s="315"/>
      <c r="H3520" s="315"/>
      <c r="I3520" s="315"/>
      <c r="J3520" s="315"/>
      <c r="K3520" s="315"/>
      <c r="L3520" s="315"/>
    </row>
    <row r="3521" spans="1:12">
      <c r="A3521" s="315"/>
      <c r="B3521" s="315"/>
      <c r="C3521" s="315"/>
      <c r="D3521" s="315"/>
      <c r="E3521" s="315"/>
      <c r="F3521" s="315"/>
      <c r="G3521" s="315"/>
      <c r="H3521" s="315"/>
      <c r="I3521" s="315"/>
      <c r="J3521" s="315"/>
      <c r="K3521" s="315"/>
      <c r="L3521" s="315"/>
    </row>
    <row r="3522" spans="1:12">
      <c r="A3522" s="315"/>
      <c r="B3522" s="315"/>
      <c r="C3522" s="315"/>
      <c r="D3522" s="315"/>
      <c r="E3522" s="315"/>
      <c r="F3522" s="315"/>
      <c r="G3522" s="315"/>
      <c r="H3522" s="315"/>
      <c r="I3522" s="315"/>
      <c r="J3522" s="315"/>
      <c r="K3522" s="315"/>
      <c r="L3522" s="315"/>
    </row>
    <row r="3523" spans="1:12">
      <c r="A3523" s="315"/>
      <c r="B3523" s="315"/>
      <c r="C3523" s="315"/>
      <c r="D3523" s="315"/>
      <c r="E3523" s="315"/>
      <c r="F3523" s="315"/>
      <c r="G3523" s="315"/>
      <c r="H3523" s="315"/>
      <c r="I3523" s="315"/>
      <c r="J3523" s="315"/>
      <c r="K3523" s="315"/>
      <c r="L3523" s="315"/>
    </row>
    <row r="3524" spans="1:12">
      <c r="A3524" s="315"/>
      <c r="B3524" s="315"/>
      <c r="C3524" s="315"/>
      <c r="D3524" s="315"/>
      <c r="E3524" s="315"/>
      <c r="F3524" s="315"/>
      <c r="G3524" s="315"/>
      <c r="H3524" s="315"/>
      <c r="I3524" s="315"/>
      <c r="J3524" s="315"/>
      <c r="K3524" s="315"/>
      <c r="L3524" s="315"/>
    </row>
    <row r="3525" spans="1:12">
      <c r="A3525" s="315"/>
      <c r="B3525" s="315"/>
      <c r="C3525" s="315"/>
      <c r="D3525" s="315"/>
      <c r="E3525" s="315"/>
      <c r="F3525" s="315"/>
      <c r="G3525" s="315"/>
      <c r="H3525" s="315"/>
      <c r="I3525" s="315"/>
      <c r="J3525" s="315"/>
      <c r="K3525" s="315"/>
      <c r="L3525" s="315"/>
    </row>
    <row r="3526" spans="1:12">
      <c r="A3526" s="315"/>
      <c r="B3526" s="315"/>
      <c r="C3526" s="315"/>
      <c r="D3526" s="315"/>
      <c r="E3526" s="315"/>
      <c r="F3526" s="315"/>
      <c r="G3526" s="315"/>
      <c r="H3526" s="315"/>
      <c r="I3526" s="315"/>
      <c r="J3526" s="315"/>
      <c r="K3526" s="315"/>
      <c r="L3526" s="315"/>
    </row>
    <row r="3527" spans="1:12">
      <c r="A3527" s="315"/>
      <c r="B3527" s="315"/>
      <c r="C3527" s="315"/>
      <c r="D3527" s="315"/>
      <c r="E3527" s="315"/>
      <c r="F3527" s="315"/>
      <c r="G3527" s="315"/>
      <c r="H3527" s="315"/>
      <c r="I3527" s="315"/>
      <c r="J3527" s="315"/>
      <c r="K3527" s="315"/>
      <c r="L3527" s="315"/>
    </row>
    <row r="3528" spans="1:12">
      <c r="A3528" s="315"/>
      <c r="B3528" s="315"/>
      <c r="C3528" s="315"/>
      <c r="D3528" s="315"/>
      <c r="E3528" s="315"/>
      <c r="F3528" s="315"/>
      <c r="G3528" s="315"/>
      <c r="H3528" s="315"/>
      <c r="I3528" s="315"/>
      <c r="J3528" s="315"/>
      <c r="K3528" s="315"/>
      <c r="L3528" s="315"/>
    </row>
    <row r="3529" spans="1:12">
      <c r="A3529" s="315"/>
      <c r="B3529" s="315"/>
      <c r="C3529" s="315"/>
      <c r="D3529" s="315"/>
      <c r="E3529" s="315"/>
      <c r="F3529" s="315"/>
      <c r="G3529" s="315"/>
      <c r="H3529" s="315"/>
      <c r="I3529" s="315"/>
      <c r="J3529" s="315"/>
      <c r="K3529" s="315"/>
      <c r="L3529" s="315"/>
    </row>
    <row r="3530" spans="1:12">
      <c r="A3530" s="315"/>
      <c r="B3530" s="315"/>
      <c r="C3530" s="315"/>
      <c r="D3530" s="315"/>
      <c r="E3530" s="315"/>
      <c r="F3530" s="315"/>
      <c r="G3530" s="315"/>
      <c r="H3530" s="315"/>
      <c r="I3530" s="315"/>
      <c r="J3530" s="315"/>
      <c r="K3530" s="315"/>
      <c r="L3530" s="315"/>
    </row>
    <row r="3531" spans="1:12">
      <c r="A3531" s="315"/>
      <c r="B3531" s="315"/>
      <c r="C3531" s="315"/>
      <c r="D3531" s="315"/>
      <c r="E3531" s="315"/>
      <c r="F3531" s="315"/>
      <c r="G3531" s="315"/>
      <c r="H3531" s="315"/>
      <c r="I3531" s="315"/>
      <c r="J3531" s="315"/>
      <c r="K3531" s="315"/>
      <c r="L3531" s="315"/>
    </row>
    <row r="3532" spans="1:12">
      <c r="A3532" s="315"/>
      <c r="B3532" s="315"/>
      <c r="C3532" s="315"/>
      <c r="D3532" s="315"/>
      <c r="E3532" s="315"/>
      <c r="F3532" s="315"/>
      <c r="G3532" s="315"/>
      <c r="H3532" s="315"/>
      <c r="I3532" s="315"/>
      <c r="J3532" s="315"/>
      <c r="K3532" s="315"/>
      <c r="L3532" s="315"/>
    </row>
    <row r="3533" spans="1:12">
      <c r="A3533" s="315"/>
      <c r="B3533" s="315"/>
      <c r="C3533" s="315"/>
      <c r="D3533" s="315"/>
      <c r="E3533" s="315"/>
      <c r="F3533" s="315"/>
      <c r="G3533" s="315"/>
      <c r="H3533" s="315"/>
      <c r="I3533" s="315"/>
      <c r="J3533" s="315"/>
      <c r="K3533" s="315"/>
      <c r="L3533" s="315"/>
    </row>
    <row r="3534" spans="1:12">
      <c r="A3534" s="315"/>
      <c r="B3534" s="315"/>
      <c r="C3534" s="315"/>
      <c r="D3534" s="315"/>
      <c r="E3534" s="315"/>
      <c r="F3534" s="315"/>
      <c r="G3534" s="315"/>
      <c r="H3534" s="315"/>
      <c r="I3534" s="315"/>
      <c r="J3534" s="315"/>
      <c r="K3534" s="315"/>
      <c r="L3534" s="315"/>
    </row>
    <row r="3535" spans="1:12">
      <c r="A3535" s="315"/>
      <c r="B3535" s="315"/>
      <c r="C3535" s="315"/>
      <c r="D3535" s="315"/>
      <c r="E3535" s="315"/>
      <c r="F3535" s="315"/>
      <c r="G3535" s="315"/>
      <c r="H3535" s="315"/>
      <c r="I3535" s="315"/>
      <c r="J3535" s="315"/>
      <c r="K3535" s="315"/>
      <c r="L3535" s="315"/>
    </row>
    <row r="3536" spans="1:12">
      <c r="A3536" s="315"/>
      <c r="B3536" s="315"/>
      <c r="C3536" s="315"/>
      <c r="D3536" s="315"/>
      <c r="E3536" s="315"/>
      <c r="F3536" s="315"/>
      <c r="G3536" s="315"/>
      <c r="H3536" s="315"/>
      <c r="I3536" s="315"/>
      <c r="J3536" s="315"/>
      <c r="K3536" s="315"/>
      <c r="L3536" s="315"/>
    </row>
    <row r="3537" spans="1:12">
      <c r="A3537" s="315"/>
      <c r="B3537" s="315"/>
      <c r="C3537" s="315"/>
      <c r="D3537" s="315"/>
      <c r="E3537" s="315"/>
      <c r="F3537" s="315"/>
      <c r="G3537" s="315"/>
      <c r="H3537" s="315"/>
      <c r="I3537" s="315"/>
      <c r="J3537" s="315"/>
      <c r="K3537" s="315"/>
      <c r="L3537" s="315"/>
    </row>
    <row r="3538" spans="1:12">
      <c r="A3538" s="315"/>
      <c r="B3538" s="315"/>
      <c r="C3538" s="315"/>
      <c r="D3538" s="315"/>
      <c r="E3538" s="315"/>
      <c r="F3538" s="315"/>
      <c r="G3538" s="315"/>
      <c r="H3538" s="315"/>
      <c r="I3538" s="315"/>
      <c r="J3538" s="315"/>
      <c r="K3538" s="315"/>
      <c r="L3538" s="315"/>
    </row>
    <row r="3539" spans="1:12">
      <c r="A3539" s="315"/>
      <c r="B3539" s="315"/>
      <c r="C3539" s="315"/>
      <c r="D3539" s="315"/>
      <c r="E3539" s="315"/>
      <c r="F3539" s="315"/>
      <c r="G3539" s="315"/>
      <c r="H3539" s="315"/>
      <c r="I3539" s="315"/>
      <c r="J3539" s="315"/>
      <c r="K3539" s="315"/>
      <c r="L3539" s="315"/>
    </row>
    <row r="3540" spans="1:12">
      <c r="A3540" s="315"/>
      <c r="B3540" s="315"/>
      <c r="C3540" s="315"/>
      <c r="D3540" s="315"/>
      <c r="E3540" s="315"/>
      <c r="F3540" s="315"/>
      <c r="G3540" s="315"/>
      <c r="H3540" s="315"/>
      <c r="I3540" s="315"/>
      <c r="J3540" s="315"/>
      <c r="K3540" s="315"/>
      <c r="L3540" s="315"/>
    </row>
    <row r="3541" spans="1:12">
      <c r="A3541" s="315"/>
      <c r="B3541" s="315"/>
      <c r="C3541" s="315"/>
      <c r="D3541" s="315"/>
      <c r="E3541" s="315"/>
      <c r="F3541" s="315"/>
      <c r="G3541" s="315"/>
      <c r="H3541" s="315"/>
      <c r="I3541" s="315"/>
      <c r="J3541" s="315"/>
      <c r="K3541" s="315"/>
      <c r="L3541" s="315"/>
    </row>
    <row r="3542" spans="1:12">
      <c r="A3542" s="315"/>
      <c r="B3542" s="315"/>
      <c r="C3542" s="315"/>
      <c r="D3542" s="315"/>
      <c r="E3542" s="315"/>
      <c r="F3542" s="315"/>
      <c r="G3542" s="315"/>
      <c r="H3542" s="315"/>
      <c r="I3542" s="315"/>
      <c r="J3542" s="315"/>
      <c r="K3542" s="315"/>
      <c r="L3542" s="315"/>
    </row>
    <row r="3543" spans="1:12">
      <c r="A3543" s="315"/>
      <c r="B3543" s="315"/>
      <c r="C3543" s="315"/>
      <c r="D3543" s="315"/>
      <c r="E3543" s="315"/>
      <c r="F3543" s="315"/>
      <c r="G3543" s="315"/>
      <c r="H3543" s="315"/>
      <c r="I3543" s="315"/>
      <c r="J3543" s="315"/>
      <c r="K3543" s="315"/>
      <c r="L3543" s="315"/>
    </row>
    <row r="3544" spans="1:12">
      <c r="A3544" s="315"/>
      <c r="B3544" s="315"/>
      <c r="C3544" s="315"/>
      <c r="D3544" s="315"/>
      <c r="E3544" s="315"/>
      <c r="F3544" s="315"/>
      <c r="G3544" s="315"/>
      <c r="H3544" s="315"/>
      <c r="I3544" s="315"/>
      <c r="J3544" s="315"/>
      <c r="K3544" s="315"/>
      <c r="L3544" s="315"/>
    </row>
    <row r="3545" spans="1:12">
      <c r="A3545" s="315"/>
      <c r="B3545" s="315"/>
      <c r="C3545" s="315"/>
      <c r="D3545" s="315"/>
      <c r="E3545" s="315"/>
      <c r="F3545" s="315"/>
      <c r="G3545" s="315"/>
      <c r="H3545" s="315"/>
      <c r="I3545" s="315"/>
      <c r="J3545" s="315"/>
      <c r="K3545" s="315"/>
      <c r="L3545" s="315"/>
    </row>
    <row r="3546" spans="1:12">
      <c r="A3546" s="315"/>
      <c r="B3546" s="315"/>
      <c r="C3546" s="315"/>
      <c r="D3546" s="315"/>
      <c r="E3546" s="315"/>
      <c r="F3546" s="315"/>
      <c r="G3546" s="315"/>
      <c r="H3546" s="315"/>
      <c r="I3546" s="315"/>
      <c r="J3546" s="315"/>
      <c r="K3546" s="315"/>
      <c r="L3546" s="315"/>
    </row>
    <row r="3547" spans="1:12">
      <c r="A3547" s="315"/>
      <c r="B3547" s="315"/>
      <c r="C3547" s="315"/>
      <c r="D3547" s="315"/>
      <c r="E3547" s="315"/>
      <c r="F3547" s="315"/>
      <c r="G3547" s="315"/>
      <c r="H3547" s="315"/>
      <c r="I3547" s="315"/>
      <c r="J3547" s="315"/>
      <c r="K3547" s="315"/>
      <c r="L3547" s="315"/>
    </row>
    <row r="3548" spans="1:12">
      <c r="A3548" s="315"/>
      <c r="B3548" s="315"/>
      <c r="C3548" s="315"/>
      <c r="D3548" s="315"/>
      <c r="E3548" s="315"/>
      <c r="F3548" s="315"/>
      <c r="G3548" s="315"/>
      <c r="H3548" s="315"/>
      <c r="I3548" s="315"/>
      <c r="J3548" s="315"/>
      <c r="K3548" s="315"/>
      <c r="L3548" s="315"/>
    </row>
    <row r="3549" spans="1:12">
      <c r="A3549" s="315"/>
      <c r="B3549" s="315"/>
      <c r="C3549" s="315"/>
      <c r="D3549" s="315"/>
      <c r="E3549" s="315"/>
      <c r="F3549" s="315"/>
      <c r="G3549" s="315"/>
      <c r="H3549" s="315"/>
      <c r="I3549" s="315"/>
      <c r="J3549" s="315"/>
      <c r="K3549" s="315"/>
      <c r="L3549" s="315"/>
    </row>
    <row r="3550" spans="1:12">
      <c r="A3550" s="315"/>
      <c r="B3550" s="315"/>
      <c r="C3550" s="315"/>
      <c r="D3550" s="315"/>
      <c r="E3550" s="315"/>
      <c r="F3550" s="315"/>
      <c r="G3550" s="315"/>
      <c r="H3550" s="315"/>
      <c r="I3550" s="315"/>
      <c r="J3550" s="315"/>
      <c r="K3550" s="315"/>
      <c r="L3550" s="315"/>
    </row>
    <row r="3551" spans="1:12">
      <c r="A3551" s="315"/>
      <c r="B3551" s="315"/>
      <c r="C3551" s="315"/>
      <c r="D3551" s="315"/>
      <c r="E3551" s="315"/>
      <c r="F3551" s="315"/>
      <c r="G3551" s="315"/>
      <c r="H3551" s="315"/>
      <c r="I3551" s="315"/>
      <c r="J3551" s="315"/>
      <c r="K3551" s="315"/>
      <c r="L3551" s="315"/>
    </row>
    <row r="3552" spans="1:12">
      <c r="A3552" s="315"/>
      <c r="B3552" s="315"/>
      <c r="C3552" s="315"/>
      <c r="D3552" s="315"/>
      <c r="E3552" s="315"/>
      <c r="F3552" s="315"/>
      <c r="G3552" s="315"/>
      <c r="H3552" s="315"/>
      <c r="I3552" s="315"/>
      <c r="J3552" s="315"/>
      <c r="K3552" s="315"/>
      <c r="L3552" s="315"/>
    </row>
    <row r="3553" spans="1:12">
      <c r="A3553" s="315"/>
      <c r="B3553" s="315"/>
      <c r="C3553" s="315"/>
      <c r="D3553" s="315"/>
      <c r="E3553" s="315"/>
      <c r="F3553" s="315"/>
      <c r="G3553" s="315"/>
      <c r="H3553" s="315"/>
      <c r="I3553" s="315"/>
      <c r="J3553" s="315"/>
      <c r="K3553" s="315"/>
      <c r="L3553" s="315"/>
    </row>
    <row r="3554" spans="1:12">
      <c r="A3554" s="315"/>
      <c r="B3554" s="315"/>
      <c r="C3554" s="315"/>
      <c r="D3554" s="315"/>
      <c r="E3554" s="315"/>
      <c r="F3554" s="315"/>
      <c r="G3554" s="315"/>
      <c r="H3554" s="315"/>
      <c r="I3554" s="315"/>
      <c r="J3554" s="315"/>
      <c r="K3554" s="315"/>
      <c r="L3554" s="315"/>
    </row>
    <row r="3555" spans="1:12">
      <c r="A3555" s="315"/>
      <c r="B3555" s="315"/>
      <c r="C3555" s="315"/>
      <c r="D3555" s="315"/>
      <c r="E3555" s="315"/>
      <c r="F3555" s="315"/>
      <c r="G3555" s="315"/>
      <c r="H3555" s="315"/>
      <c r="I3555" s="315"/>
      <c r="J3555" s="315"/>
      <c r="K3555" s="315"/>
      <c r="L3555" s="315"/>
    </row>
    <row r="3556" spans="1:12">
      <c r="A3556" s="315"/>
      <c r="B3556" s="315"/>
      <c r="C3556" s="315"/>
      <c r="D3556" s="315"/>
      <c r="E3556" s="315"/>
      <c r="F3556" s="315"/>
      <c r="G3556" s="315"/>
      <c r="H3556" s="315"/>
      <c r="I3556" s="315"/>
      <c r="J3556" s="315"/>
      <c r="K3556" s="315"/>
      <c r="L3556" s="315"/>
    </row>
    <row r="3557" spans="1:12">
      <c r="A3557" s="315"/>
      <c r="B3557" s="315"/>
      <c r="C3557" s="315"/>
      <c r="D3557" s="315"/>
      <c r="E3557" s="315"/>
      <c r="F3557" s="315"/>
      <c r="G3557" s="315"/>
      <c r="H3557" s="315"/>
      <c r="I3557" s="315"/>
      <c r="J3557" s="315"/>
      <c r="K3557" s="315"/>
      <c r="L3557" s="315"/>
    </row>
    <row r="3558" spans="1:12">
      <c r="A3558" s="315"/>
      <c r="B3558" s="315"/>
      <c r="C3558" s="315"/>
      <c r="D3558" s="315"/>
      <c r="E3558" s="315"/>
      <c r="F3558" s="315"/>
      <c r="G3558" s="315"/>
      <c r="H3558" s="315"/>
      <c r="I3558" s="315"/>
      <c r="J3558" s="315"/>
      <c r="K3558" s="315"/>
      <c r="L3558" s="315"/>
    </row>
    <row r="3559" spans="1:12">
      <c r="A3559" s="315"/>
      <c r="B3559" s="315"/>
      <c r="C3559" s="315"/>
      <c r="D3559" s="315"/>
      <c r="E3559" s="315"/>
      <c r="F3559" s="315"/>
      <c r="G3559" s="315"/>
      <c r="H3559" s="315"/>
      <c r="I3559" s="315"/>
      <c r="J3559" s="315"/>
      <c r="K3559" s="315"/>
      <c r="L3559" s="315"/>
    </row>
    <row r="3560" spans="1:12">
      <c r="A3560" s="315"/>
      <c r="B3560" s="315"/>
      <c r="C3560" s="315"/>
      <c r="D3560" s="315"/>
      <c r="E3560" s="315"/>
      <c r="F3560" s="315"/>
      <c r="G3560" s="315"/>
      <c r="H3560" s="315"/>
      <c r="I3560" s="315"/>
      <c r="J3560" s="315"/>
      <c r="K3560" s="315"/>
      <c r="L3560" s="315"/>
    </row>
    <row r="3561" spans="1:12">
      <c r="A3561" s="315"/>
      <c r="B3561" s="315"/>
      <c r="C3561" s="315"/>
      <c r="D3561" s="315"/>
      <c r="E3561" s="315"/>
      <c r="F3561" s="315"/>
      <c r="G3561" s="315"/>
      <c r="H3561" s="315"/>
      <c r="I3561" s="315"/>
      <c r="J3561" s="315"/>
      <c r="K3561" s="315"/>
      <c r="L3561" s="315"/>
    </row>
    <row r="3562" spans="1:12">
      <c r="A3562" s="315"/>
      <c r="B3562" s="315"/>
      <c r="C3562" s="315"/>
      <c r="D3562" s="315"/>
      <c r="E3562" s="315"/>
      <c r="F3562" s="315"/>
      <c r="G3562" s="315"/>
      <c r="H3562" s="315"/>
      <c r="I3562" s="315"/>
      <c r="J3562" s="315"/>
      <c r="K3562" s="315"/>
      <c r="L3562" s="315"/>
    </row>
    <row r="3563" spans="1:12">
      <c r="A3563" s="315"/>
      <c r="B3563" s="315"/>
      <c r="C3563" s="315"/>
      <c r="D3563" s="315"/>
      <c r="E3563" s="315"/>
      <c r="F3563" s="315"/>
      <c r="G3563" s="315"/>
      <c r="H3563" s="315"/>
      <c r="I3563" s="315"/>
      <c r="J3563" s="315"/>
      <c r="K3563" s="315"/>
      <c r="L3563" s="315"/>
    </row>
    <row r="3564" spans="1:12">
      <c r="A3564" s="315"/>
      <c r="B3564" s="315"/>
      <c r="C3564" s="315"/>
      <c r="D3564" s="315"/>
      <c r="E3564" s="315"/>
      <c r="F3564" s="315"/>
      <c r="G3564" s="315"/>
      <c r="H3564" s="315"/>
      <c r="I3564" s="315"/>
      <c r="J3564" s="315"/>
      <c r="K3564" s="315"/>
      <c r="L3564" s="315"/>
    </row>
    <row r="3565" spans="1:12">
      <c r="A3565" s="315"/>
      <c r="B3565" s="315"/>
      <c r="C3565" s="315"/>
      <c r="D3565" s="315"/>
      <c r="E3565" s="315"/>
      <c r="F3565" s="315"/>
      <c r="G3565" s="315"/>
      <c r="H3565" s="315"/>
      <c r="I3565" s="315"/>
      <c r="J3565" s="315"/>
      <c r="K3565" s="315"/>
      <c r="L3565" s="315"/>
    </row>
    <row r="3566" spans="1:12">
      <c r="A3566" s="315"/>
      <c r="B3566" s="315"/>
      <c r="C3566" s="315"/>
      <c r="D3566" s="315"/>
      <c r="E3566" s="315"/>
      <c r="F3566" s="315"/>
      <c r="G3566" s="315"/>
      <c r="H3566" s="315"/>
      <c r="I3566" s="315"/>
      <c r="J3566" s="315"/>
      <c r="K3566" s="315"/>
      <c r="L3566" s="315"/>
    </row>
    <row r="3567" spans="1:12">
      <c r="A3567" s="315"/>
      <c r="B3567" s="315"/>
      <c r="C3567" s="315"/>
      <c r="D3567" s="315"/>
      <c r="E3567" s="315"/>
      <c r="F3567" s="315"/>
      <c r="G3567" s="315"/>
      <c r="H3567" s="315"/>
      <c r="I3567" s="315"/>
      <c r="J3567" s="315"/>
      <c r="K3567" s="315"/>
      <c r="L3567" s="315"/>
    </row>
    <row r="3568" spans="1:12">
      <c r="A3568" s="315"/>
      <c r="B3568" s="315"/>
      <c r="C3568" s="315"/>
      <c r="D3568" s="315"/>
      <c r="E3568" s="315"/>
      <c r="F3568" s="315"/>
      <c r="G3568" s="315"/>
      <c r="H3568" s="315"/>
      <c r="I3568" s="315"/>
      <c r="J3568" s="315"/>
      <c r="K3568" s="315"/>
      <c r="L3568" s="315"/>
    </row>
    <row r="3569" spans="1:12">
      <c r="A3569" s="315"/>
      <c r="B3569" s="315"/>
      <c r="C3569" s="315"/>
      <c r="D3569" s="315"/>
      <c r="E3569" s="315"/>
      <c r="F3569" s="315"/>
      <c r="G3569" s="315"/>
      <c r="H3569" s="315"/>
      <c r="I3569" s="315"/>
      <c r="J3569" s="315"/>
      <c r="K3569" s="315"/>
      <c r="L3569" s="315"/>
    </row>
    <row r="3570" spans="1:12">
      <c r="A3570" s="315"/>
      <c r="B3570" s="315"/>
      <c r="C3570" s="315"/>
      <c r="D3570" s="315"/>
      <c r="E3570" s="315"/>
      <c r="F3570" s="315"/>
      <c r="G3570" s="315"/>
      <c r="H3570" s="315"/>
      <c r="I3570" s="315"/>
      <c r="J3570" s="315"/>
      <c r="K3570" s="315"/>
      <c r="L3570" s="315"/>
    </row>
    <row r="3571" spans="1:12">
      <c r="A3571" s="315"/>
      <c r="B3571" s="315"/>
      <c r="C3571" s="315"/>
      <c r="D3571" s="315"/>
      <c r="E3571" s="315"/>
      <c r="F3571" s="315"/>
      <c r="G3571" s="315"/>
      <c r="H3571" s="315"/>
      <c r="I3571" s="315"/>
      <c r="J3571" s="315"/>
      <c r="K3571" s="315"/>
      <c r="L3571" s="315"/>
    </row>
    <row r="3572" spans="1:12">
      <c r="A3572" s="315"/>
      <c r="B3572" s="315"/>
      <c r="C3572" s="315"/>
      <c r="D3572" s="315"/>
      <c r="E3572" s="315"/>
      <c r="F3572" s="315"/>
      <c r="G3572" s="315"/>
      <c r="H3572" s="315"/>
      <c r="I3572" s="315"/>
      <c r="J3572" s="315"/>
      <c r="K3572" s="315"/>
      <c r="L3572" s="315"/>
    </row>
    <row r="3573" spans="1:12">
      <c r="A3573" s="315"/>
      <c r="B3573" s="315"/>
      <c r="C3573" s="315"/>
      <c r="D3573" s="315"/>
      <c r="E3573" s="315"/>
      <c r="F3573" s="315"/>
      <c r="G3573" s="315"/>
      <c r="H3573" s="315"/>
      <c r="I3573" s="315"/>
      <c r="J3573" s="315"/>
      <c r="K3573" s="315"/>
      <c r="L3573" s="315"/>
    </row>
    <row r="3574" spans="1:12">
      <c r="A3574" s="315"/>
      <c r="B3574" s="315"/>
      <c r="C3574" s="315"/>
      <c r="D3574" s="315"/>
      <c r="E3574" s="315"/>
      <c r="F3574" s="315"/>
      <c r="G3574" s="315"/>
      <c r="H3574" s="315"/>
      <c r="I3574" s="315"/>
      <c r="J3574" s="315"/>
      <c r="K3574" s="315"/>
      <c r="L3574" s="315"/>
    </row>
    <row r="3575" spans="1:12">
      <c r="A3575" s="315"/>
      <c r="B3575" s="315"/>
      <c r="C3575" s="315"/>
      <c r="D3575" s="315"/>
      <c r="E3575" s="315"/>
      <c r="F3575" s="315"/>
      <c r="G3575" s="315"/>
      <c r="H3575" s="315"/>
      <c r="I3575" s="315"/>
      <c r="J3575" s="315"/>
      <c r="K3575" s="315"/>
      <c r="L3575" s="315"/>
    </row>
    <row r="3576" spans="1:12">
      <c r="A3576" s="315"/>
      <c r="B3576" s="315"/>
      <c r="C3576" s="315"/>
      <c r="D3576" s="315"/>
      <c r="E3576" s="315"/>
      <c r="F3576" s="315"/>
      <c r="G3576" s="315"/>
      <c r="H3576" s="315"/>
      <c r="I3576" s="315"/>
      <c r="J3576" s="315"/>
      <c r="K3576" s="315"/>
      <c r="L3576" s="315"/>
    </row>
    <row r="3577" spans="1:12">
      <c r="A3577" s="315"/>
      <c r="B3577" s="315"/>
      <c r="C3577" s="315"/>
      <c r="D3577" s="315"/>
      <c r="E3577" s="315"/>
      <c r="F3577" s="315"/>
      <c r="G3577" s="315"/>
      <c r="H3577" s="315"/>
      <c r="I3577" s="315"/>
      <c r="J3577" s="315"/>
      <c r="K3577" s="315"/>
      <c r="L3577" s="315"/>
    </row>
    <row r="3578" spans="1:12">
      <c r="A3578" s="315"/>
      <c r="B3578" s="315"/>
      <c r="C3578" s="315"/>
      <c r="D3578" s="315"/>
      <c r="E3578" s="315"/>
      <c r="F3578" s="315"/>
      <c r="G3578" s="315"/>
      <c r="H3578" s="315"/>
      <c r="I3578" s="315"/>
      <c r="J3578" s="315"/>
      <c r="K3578" s="315"/>
      <c r="L3578" s="315"/>
    </row>
    <row r="3579" spans="1:12">
      <c r="A3579" s="315"/>
      <c r="B3579" s="315"/>
      <c r="C3579" s="315"/>
      <c r="D3579" s="315"/>
      <c r="E3579" s="315"/>
      <c r="F3579" s="315"/>
      <c r="G3579" s="315"/>
      <c r="H3579" s="315"/>
      <c r="I3579" s="315"/>
      <c r="J3579" s="315"/>
      <c r="K3579" s="315"/>
      <c r="L3579" s="315"/>
    </row>
    <row r="3580" spans="1:12">
      <c r="A3580" s="315"/>
      <c r="B3580" s="315"/>
      <c r="C3580" s="315"/>
      <c r="D3580" s="315"/>
      <c r="E3580" s="315"/>
      <c r="F3580" s="315"/>
      <c r="G3580" s="315"/>
      <c r="H3580" s="315"/>
      <c r="I3580" s="315"/>
      <c r="J3580" s="315"/>
      <c r="K3580" s="315"/>
      <c r="L3580" s="315"/>
    </row>
    <row r="3581" spans="1:12">
      <c r="A3581" s="315"/>
      <c r="B3581" s="315"/>
      <c r="C3581" s="315"/>
      <c r="D3581" s="315"/>
      <c r="E3581" s="315"/>
      <c r="F3581" s="315"/>
      <c r="G3581" s="315"/>
      <c r="H3581" s="315"/>
      <c r="I3581" s="315"/>
      <c r="J3581" s="315"/>
      <c r="K3581" s="315"/>
      <c r="L3581" s="315"/>
    </row>
    <row r="3582" spans="1:12">
      <c r="A3582" s="315"/>
      <c r="B3582" s="315"/>
      <c r="C3582" s="315"/>
      <c r="D3582" s="315"/>
      <c r="E3582" s="315"/>
      <c r="F3582" s="315"/>
      <c r="G3582" s="315"/>
      <c r="H3582" s="315"/>
      <c r="I3582" s="315"/>
      <c r="J3582" s="315"/>
      <c r="K3582" s="315"/>
      <c r="L3582" s="315"/>
    </row>
    <row r="3583" spans="1:12">
      <c r="A3583" s="315"/>
      <c r="B3583" s="315"/>
      <c r="C3583" s="315"/>
      <c r="D3583" s="315"/>
      <c r="E3583" s="315"/>
      <c r="F3583" s="315"/>
      <c r="G3583" s="315"/>
      <c r="H3583" s="315"/>
      <c r="I3583" s="315"/>
      <c r="J3583" s="315"/>
      <c r="K3583" s="315"/>
      <c r="L3583" s="315"/>
    </row>
    <row r="3584" spans="1:12">
      <c r="A3584" s="315"/>
      <c r="B3584" s="315"/>
      <c r="C3584" s="315"/>
      <c r="D3584" s="315"/>
      <c r="E3584" s="315"/>
      <c r="F3584" s="315"/>
      <c r="G3584" s="315"/>
      <c r="H3584" s="315"/>
      <c r="I3584" s="315"/>
      <c r="J3584" s="315"/>
      <c r="K3584" s="315"/>
      <c r="L3584" s="315"/>
    </row>
    <row r="3585" spans="1:12">
      <c r="A3585" s="315"/>
      <c r="B3585" s="315"/>
      <c r="C3585" s="315"/>
      <c r="D3585" s="315"/>
      <c r="E3585" s="315"/>
      <c r="F3585" s="315"/>
      <c r="G3585" s="315"/>
      <c r="H3585" s="315"/>
      <c r="I3585" s="315"/>
      <c r="J3585" s="315"/>
      <c r="K3585" s="315"/>
      <c r="L3585" s="315"/>
    </row>
    <row r="3586" spans="1:12">
      <c r="A3586" s="315"/>
      <c r="B3586" s="315"/>
      <c r="C3586" s="315"/>
      <c r="D3586" s="315"/>
      <c r="E3586" s="315"/>
      <c r="F3586" s="315"/>
      <c r="G3586" s="315"/>
      <c r="H3586" s="315"/>
      <c r="I3586" s="315"/>
      <c r="J3586" s="315"/>
      <c r="K3586" s="315"/>
      <c r="L3586" s="315"/>
    </row>
    <row r="3587" spans="1:12">
      <c r="A3587" s="315"/>
      <c r="B3587" s="315"/>
      <c r="C3587" s="315"/>
      <c r="D3587" s="315"/>
      <c r="E3587" s="315"/>
      <c r="F3587" s="315"/>
      <c r="G3587" s="315"/>
      <c r="H3587" s="315"/>
      <c r="I3587" s="315"/>
      <c r="J3587" s="315"/>
      <c r="K3587" s="315"/>
      <c r="L3587" s="315"/>
    </row>
    <row r="3588" spans="1:12">
      <c r="A3588" s="315"/>
      <c r="B3588" s="315"/>
      <c r="C3588" s="315"/>
      <c r="D3588" s="315"/>
      <c r="E3588" s="315"/>
      <c r="F3588" s="315"/>
      <c r="G3588" s="315"/>
      <c r="H3588" s="315"/>
      <c r="I3588" s="315"/>
      <c r="J3588" s="315"/>
      <c r="K3588" s="315"/>
      <c r="L3588" s="315"/>
    </row>
    <row r="3589" spans="1:12">
      <c r="A3589" s="315"/>
      <c r="B3589" s="315"/>
      <c r="C3589" s="315"/>
      <c r="D3589" s="315"/>
      <c r="E3589" s="315"/>
      <c r="F3589" s="315"/>
      <c r="G3589" s="315"/>
      <c r="H3589" s="315"/>
      <c r="I3589" s="315"/>
      <c r="J3589" s="315"/>
      <c r="K3589" s="315"/>
      <c r="L3589" s="315"/>
    </row>
    <row r="3590" spans="1:12">
      <c r="A3590" s="315"/>
      <c r="B3590" s="315"/>
      <c r="C3590" s="315"/>
      <c r="D3590" s="315"/>
      <c r="E3590" s="315"/>
      <c r="F3590" s="315"/>
      <c r="G3590" s="315"/>
      <c r="H3590" s="315"/>
      <c r="I3590" s="315"/>
      <c r="J3590" s="315"/>
      <c r="K3590" s="315"/>
      <c r="L3590" s="315"/>
    </row>
    <row r="3591" spans="1:12">
      <c r="A3591" s="315"/>
      <c r="B3591" s="315"/>
      <c r="C3591" s="315"/>
      <c r="D3591" s="315"/>
      <c r="E3591" s="315"/>
      <c r="F3591" s="315"/>
      <c r="G3591" s="315"/>
      <c r="H3591" s="315"/>
      <c r="I3591" s="315"/>
      <c r="J3591" s="315"/>
      <c r="K3591" s="315"/>
      <c r="L3591" s="315"/>
    </row>
    <row r="3592" spans="1:12">
      <c r="A3592" s="315"/>
      <c r="B3592" s="315"/>
      <c r="C3592" s="315"/>
      <c r="D3592" s="315"/>
      <c r="E3592" s="315"/>
      <c r="F3592" s="315"/>
      <c r="G3592" s="315"/>
      <c r="H3592" s="315"/>
      <c r="I3592" s="315"/>
      <c r="J3592" s="315"/>
      <c r="K3592" s="315"/>
      <c r="L3592" s="315"/>
    </row>
    <row r="3593" spans="1:12">
      <c r="A3593" s="315"/>
      <c r="B3593" s="315"/>
      <c r="C3593" s="315"/>
      <c r="D3593" s="315"/>
      <c r="E3593" s="315"/>
      <c r="F3593" s="315"/>
      <c r="G3593" s="315"/>
      <c r="H3593" s="315"/>
      <c r="I3593" s="315"/>
      <c r="J3593" s="315"/>
      <c r="K3593" s="315"/>
      <c r="L3593" s="315"/>
    </row>
    <row r="3594" spans="1:12">
      <c r="A3594" s="315"/>
      <c r="B3594" s="315"/>
      <c r="C3594" s="315"/>
      <c r="D3594" s="315"/>
      <c r="E3594" s="315"/>
      <c r="F3594" s="315"/>
      <c r="G3594" s="315"/>
      <c r="H3594" s="315"/>
      <c r="I3594" s="315"/>
      <c r="J3594" s="315"/>
      <c r="K3594" s="315"/>
      <c r="L3594" s="315"/>
    </row>
    <row r="3595" spans="1:12">
      <c r="A3595" s="315"/>
      <c r="B3595" s="315"/>
      <c r="C3595" s="315"/>
      <c r="D3595" s="315"/>
      <c r="E3595" s="315"/>
      <c r="F3595" s="315"/>
      <c r="G3595" s="315"/>
      <c r="H3595" s="315"/>
      <c r="I3595" s="315"/>
      <c r="J3595" s="315"/>
      <c r="K3595" s="315"/>
      <c r="L3595" s="315"/>
    </row>
    <row r="3596" spans="1:12">
      <c r="A3596" s="315"/>
      <c r="B3596" s="315"/>
      <c r="C3596" s="315"/>
      <c r="D3596" s="315"/>
      <c r="E3596" s="315"/>
      <c r="F3596" s="315"/>
      <c r="G3596" s="315"/>
      <c r="H3596" s="315"/>
      <c r="I3596" s="315"/>
      <c r="J3596" s="315"/>
      <c r="K3596" s="315"/>
      <c r="L3596" s="315"/>
    </row>
    <row r="3597" spans="1:12">
      <c r="A3597" s="315"/>
      <c r="B3597" s="315"/>
      <c r="C3597" s="315"/>
      <c r="D3597" s="315"/>
      <c r="E3597" s="315"/>
      <c r="F3597" s="315"/>
      <c r="G3597" s="315"/>
      <c r="H3597" s="315"/>
      <c r="I3597" s="315"/>
      <c r="J3597" s="315"/>
      <c r="K3597" s="315"/>
      <c r="L3597" s="315"/>
    </row>
    <row r="3598" spans="1:12">
      <c r="A3598" s="315"/>
      <c r="B3598" s="315"/>
      <c r="C3598" s="315"/>
      <c r="D3598" s="315"/>
      <c r="E3598" s="315"/>
      <c r="F3598" s="315"/>
      <c r="G3598" s="315"/>
      <c r="H3598" s="315"/>
      <c r="I3598" s="315"/>
      <c r="J3598" s="315"/>
      <c r="K3598" s="315"/>
      <c r="L3598" s="315"/>
    </row>
    <row r="3599" spans="1:12">
      <c r="A3599" s="315"/>
      <c r="B3599" s="315"/>
      <c r="C3599" s="315"/>
      <c r="D3599" s="315"/>
      <c r="E3599" s="315"/>
      <c r="F3599" s="315"/>
      <c r="G3599" s="315"/>
      <c r="H3599" s="315"/>
      <c r="I3599" s="315"/>
      <c r="J3599" s="315"/>
      <c r="K3599" s="315"/>
      <c r="L3599" s="315"/>
    </row>
    <row r="3600" spans="1:12">
      <c r="A3600" s="315"/>
      <c r="B3600" s="315"/>
      <c r="C3600" s="315"/>
      <c r="D3600" s="315"/>
      <c r="E3600" s="315"/>
      <c r="F3600" s="315"/>
      <c r="G3600" s="315"/>
      <c r="H3600" s="315"/>
      <c r="I3600" s="315"/>
      <c r="J3600" s="315"/>
      <c r="K3600" s="315"/>
      <c r="L3600" s="315"/>
    </row>
    <row r="3601" spans="1:12">
      <c r="A3601" s="315"/>
      <c r="B3601" s="315"/>
      <c r="C3601" s="315"/>
      <c r="D3601" s="315"/>
      <c r="E3601" s="315"/>
      <c r="F3601" s="315"/>
      <c r="G3601" s="315"/>
      <c r="H3601" s="315"/>
      <c r="I3601" s="315"/>
      <c r="J3601" s="315"/>
      <c r="K3601" s="315"/>
      <c r="L3601" s="315"/>
    </row>
    <row r="3602" spans="1:12">
      <c r="A3602" s="315"/>
      <c r="B3602" s="315"/>
      <c r="C3602" s="315"/>
      <c r="D3602" s="315"/>
      <c r="E3602" s="315"/>
      <c r="F3602" s="315"/>
      <c r="G3602" s="315"/>
      <c r="H3602" s="315"/>
      <c r="I3602" s="315"/>
      <c r="J3602" s="315"/>
      <c r="K3602" s="315"/>
      <c r="L3602" s="315"/>
    </row>
    <row r="3603" spans="1:12">
      <c r="A3603" s="315"/>
      <c r="B3603" s="315"/>
      <c r="C3603" s="315"/>
      <c r="D3603" s="315"/>
      <c r="E3603" s="315"/>
      <c r="F3603" s="315"/>
      <c r="G3603" s="315"/>
      <c r="H3603" s="315"/>
      <c r="I3603" s="315"/>
      <c r="J3603" s="315"/>
      <c r="K3603" s="315"/>
      <c r="L3603" s="315"/>
    </row>
    <row r="3604" spans="1:12">
      <c r="A3604" s="315"/>
      <c r="B3604" s="315"/>
      <c r="C3604" s="315"/>
      <c r="D3604" s="315"/>
      <c r="E3604" s="315"/>
      <c r="F3604" s="315"/>
      <c r="G3604" s="315"/>
      <c r="H3604" s="315"/>
      <c r="I3604" s="315"/>
      <c r="J3604" s="315"/>
      <c r="K3604" s="315"/>
      <c r="L3604" s="315"/>
    </row>
    <row r="3605" spans="1:12">
      <c r="A3605" s="315"/>
      <c r="B3605" s="315"/>
      <c r="C3605" s="315"/>
      <c r="D3605" s="315"/>
      <c r="E3605" s="315"/>
      <c r="F3605" s="315"/>
      <c r="G3605" s="315"/>
      <c r="H3605" s="315"/>
      <c r="I3605" s="315"/>
      <c r="J3605" s="315"/>
      <c r="K3605" s="315"/>
      <c r="L3605" s="315"/>
    </row>
    <row r="3606" spans="1:12">
      <c r="A3606" s="315"/>
      <c r="B3606" s="315"/>
      <c r="C3606" s="315"/>
      <c r="D3606" s="315"/>
      <c r="E3606" s="315"/>
      <c r="F3606" s="315"/>
      <c r="G3606" s="315"/>
      <c r="H3606" s="315"/>
      <c r="I3606" s="315"/>
      <c r="J3606" s="315"/>
      <c r="K3606" s="315"/>
      <c r="L3606" s="315"/>
    </row>
    <row r="3607" spans="1:12">
      <c r="A3607" s="315"/>
      <c r="B3607" s="315"/>
      <c r="C3607" s="315"/>
      <c r="D3607" s="315"/>
      <c r="E3607" s="315"/>
      <c r="F3607" s="315"/>
      <c r="G3607" s="315"/>
      <c r="H3607" s="315"/>
      <c r="I3607" s="315"/>
      <c r="J3607" s="315"/>
      <c r="K3607" s="315"/>
      <c r="L3607" s="315"/>
    </row>
    <row r="3608" spans="1:12">
      <c r="A3608" s="315"/>
      <c r="B3608" s="315"/>
      <c r="C3608" s="315"/>
      <c r="D3608" s="315"/>
      <c r="E3608" s="315"/>
      <c r="F3608" s="315"/>
      <c r="G3608" s="315"/>
      <c r="H3608" s="315"/>
      <c r="I3608" s="315"/>
      <c r="J3608" s="315"/>
      <c r="K3608" s="315"/>
      <c r="L3608" s="315"/>
    </row>
    <row r="3609" spans="1:12">
      <c r="A3609" s="315"/>
      <c r="B3609" s="315"/>
      <c r="C3609" s="315"/>
      <c r="D3609" s="315"/>
      <c r="E3609" s="315"/>
      <c r="F3609" s="315"/>
      <c r="G3609" s="315"/>
      <c r="H3609" s="315"/>
      <c r="I3609" s="315"/>
      <c r="J3609" s="315"/>
      <c r="K3609" s="315"/>
      <c r="L3609" s="315"/>
    </row>
    <row r="3610" spans="1:12">
      <c r="A3610" s="315"/>
      <c r="B3610" s="315"/>
      <c r="C3610" s="315"/>
      <c r="D3610" s="315"/>
      <c r="E3610" s="315"/>
      <c r="F3610" s="315"/>
      <c r="G3610" s="315"/>
      <c r="H3610" s="315"/>
      <c r="I3610" s="315"/>
      <c r="J3610" s="315"/>
      <c r="K3610" s="315"/>
      <c r="L3610" s="315"/>
    </row>
    <row r="3611" spans="1:12">
      <c r="A3611" s="315"/>
      <c r="B3611" s="315"/>
      <c r="C3611" s="315"/>
      <c r="D3611" s="315"/>
      <c r="E3611" s="315"/>
      <c r="F3611" s="315"/>
      <c r="G3611" s="315"/>
      <c r="H3611" s="315"/>
      <c r="I3611" s="315"/>
      <c r="J3611" s="315"/>
      <c r="K3611" s="315"/>
      <c r="L3611" s="315"/>
    </row>
    <row r="3612" spans="1:12">
      <c r="A3612" s="315"/>
      <c r="B3612" s="315"/>
      <c r="C3612" s="315"/>
      <c r="D3612" s="315"/>
      <c r="E3612" s="315"/>
      <c r="F3612" s="315"/>
      <c r="G3612" s="315"/>
      <c r="H3612" s="315"/>
      <c r="I3612" s="315"/>
      <c r="J3612" s="315"/>
      <c r="K3612" s="315"/>
      <c r="L3612" s="315"/>
    </row>
    <row r="3613" spans="1:12">
      <c r="A3613" s="315"/>
      <c r="B3613" s="315"/>
      <c r="C3613" s="315"/>
      <c r="D3613" s="315"/>
      <c r="E3613" s="315"/>
      <c r="F3613" s="315"/>
      <c r="G3613" s="315"/>
      <c r="H3613" s="315"/>
      <c r="I3613" s="315"/>
      <c r="J3613" s="315"/>
      <c r="K3613" s="315"/>
      <c r="L3613" s="315"/>
    </row>
    <row r="3614" spans="1:12">
      <c r="A3614" s="315"/>
      <c r="B3614" s="315"/>
      <c r="C3614" s="315"/>
      <c r="D3614" s="315"/>
      <c r="E3614" s="315"/>
      <c r="F3614" s="315"/>
      <c r="G3614" s="315"/>
      <c r="H3614" s="315"/>
      <c r="I3614" s="315"/>
      <c r="J3614" s="315"/>
      <c r="K3614" s="315"/>
      <c r="L3614" s="315"/>
    </row>
    <row r="3615" spans="1:12">
      <c r="A3615" s="315"/>
      <c r="B3615" s="315"/>
      <c r="C3615" s="315"/>
      <c r="D3615" s="315"/>
      <c r="E3615" s="315"/>
      <c r="F3615" s="315"/>
      <c r="G3615" s="315"/>
      <c r="H3615" s="315"/>
      <c r="I3615" s="315"/>
      <c r="J3615" s="315"/>
      <c r="K3615" s="315"/>
      <c r="L3615" s="315"/>
    </row>
    <row r="3616" spans="1:12">
      <c r="A3616" s="315"/>
      <c r="B3616" s="315"/>
      <c r="C3616" s="315"/>
      <c r="D3616" s="315"/>
      <c r="E3616" s="315"/>
      <c r="F3616" s="315"/>
      <c r="G3616" s="315"/>
      <c r="H3616" s="315"/>
      <c r="I3616" s="315"/>
      <c r="J3616" s="315"/>
      <c r="K3616" s="315"/>
      <c r="L3616" s="315"/>
    </row>
    <row r="3617" spans="1:12">
      <c r="A3617" s="315"/>
      <c r="B3617" s="315"/>
      <c r="C3617" s="315"/>
      <c r="D3617" s="315"/>
      <c r="E3617" s="315"/>
      <c r="F3617" s="315"/>
      <c r="G3617" s="315"/>
      <c r="H3617" s="315"/>
      <c r="I3617" s="315"/>
      <c r="J3617" s="315"/>
      <c r="K3617" s="315"/>
      <c r="L3617" s="315"/>
    </row>
    <row r="3618" spans="1:12">
      <c r="A3618" s="315"/>
      <c r="B3618" s="315"/>
      <c r="C3618" s="315"/>
      <c r="D3618" s="315"/>
      <c r="E3618" s="315"/>
      <c r="F3618" s="315"/>
      <c r="G3618" s="315"/>
      <c r="H3618" s="315"/>
      <c r="I3618" s="315"/>
      <c r="J3618" s="315"/>
      <c r="K3618" s="315"/>
      <c r="L3618" s="315"/>
    </row>
    <row r="3619" spans="1:12">
      <c r="A3619" s="315"/>
      <c r="B3619" s="315"/>
      <c r="C3619" s="315"/>
      <c r="D3619" s="315"/>
      <c r="E3619" s="315"/>
      <c r="F3619" s="315"/>
      <c r="G3619" s="315"/>
      <c r="H3619" s="315"/>
      <c r="I3619" s="315"/>
      <c r="J3619" s="315"/>
      <c r="K3619" s="315"/>
      <c r="L3619" s="315"/>
    </row>
    <row r="3620" spans="1:12">
      <c r="A3620" s="315"/>
      <c r="B3620" s="315"/>
      <c r="C3620" s="315"/>
      <c r="D3620" s="315"/>
      <c r="E3620" s="315"/>
      <c r="F3620" s="315"/>
      <c r="G3620" s="315"/>
      <c r="H3620" s="315"/>
      <c r="I3620" s="315"/>
      <c r="J3620" s="315"/>
      <c r="K3620" s="315"/>
      <c r="L3620" s="315"/>
    </row>
    <row r="3621" spans="1:12">
      <c r="A3621" s="315"/>
      <c r="B3621" s="315"/>
      <c r="C3621" s="315"/>
      <c r="D3621" s="315"/>
      <c r="E3621" s="315"/>
      <c r="F3621" s="315"/>
      <c r="G3621" s="315"/>
      <c r="H3621" s="315"/>
      <c r="I3621" s="315"/>
      <c r="J3621" s="315"/>
      <c r="K3621" s="315"/>
      <c r="L3621" s="315"/>
    </row>
    <row r="3622" spans="1:12">
      <c r="A3622" s="315"/>
      <c r="B3622" s="315"/>
      <c r="C3622" s="315"/>
      <c r="D3622" s="315"/>
      <c r="E3622" s="315"/>
      <c r="F3622" s="315"/>
      <c r="G3622" s="315"/>
      <c r="H3622" s="315"/>
      <c r="I3622" s="315"/>
      <c r="J3622" s="315"/>
      <c r="K3622" s="315"/>
      <c r="L3622" s="315"/>
    </row>
    <row r="3623" spans="1:12">
      <c r="A3623" s="315"/>
      <c r="B3623" s="315"/>
      <c r="C3623" s="315"/>
      <c r="D3623" s="315"/>
      <c r="E3623" s="315"/>
      <c r="F3623" s="315"/>
      <c r="G3623" s="315"/>
      <c r="H3623" s="315"/>
      <c r="I3623" s="315"/>
      <c r="J3623" s="315"/>
      <c r="K3623" s="315"/>
      <c r="L3623" s="315"/>
    </row>
    <row r="3624" spans="1:12">
      <c r="A3624" s="315"/>
      <c r="B3624" s="315"/>
      <c r="C3624" s="315"/>
      <c r="D3624" s="315"/>
      <c r="E3624" s="315"/>
      <c r="F3624" s="315"/>
      <c r="G3624" s="315"/>
      <c r="H3624" s="315"/>
      <c r="I3624" s="315"/>
      <c r="J3624" s="315"/>
      <c r="K3624" s="315"/>
      <c r="L3624" s="315"/>
    </row>
    <row r="3625" spans="1:12">
      <c r="A3625" s="315"/>
      <c r="B3625" s="315"/>
      <c r="C3625" s="315"/>
      <c r="D3625" s="315"/>
      <c r="E3625" s="315"/>
      <c r="F3625" s="315"/>
      <c r="G3625" s="315"/>
      <c r="H3625" s="315"/>
      <c r="I3625" s="315"/>
      <c r="J3625" s="315"/>
      <c r="K3625" s="315"/>
      <c r="L3625" s="315"/>
    </row>
    <row r="3626" spans="1:12">
      <c r="A3626" s="315"/>
      <c r="B3626" s="315"/>
      <c r="C3626" s="315"/>
      <c r="D3626" s="315"/>
      <c r="E3626" s="315"/>
      <c r="F3626" s="315"/>
      <c r="G3626" s="315"/>
      <c r="H3626" s="315"/>
      <c r="I3626" s="315"/>
      <c r="J3626" s="315"/>
      <c r="K3626" s="315"/>
      <c r="L3626" s="315"/>
    </row>
    <row r="3627" spans="1:12">
      <c r="A3627" s="315"/>
      <c r="B3627" s="315"/>
      <c r="C3627" s="315"/>
      <c r="D3627" s="315"/>
      <c r="E3627" s="315"/>
      <c r="F3627" s="315"/>
      <c r="G3627" s="315"/>
      <c r="H3627" s="315"/>
      <c r="I3627" s="315"/>
      <c r="J3627" s="315"/>
      <c r="K3627" s="315"/>
      <c r="L3627" s="315"/>
    </row>
    <row r="3628" spans="1:12">
      <c r="A3628" s="315"/>
      <c r="B3628" s="315"/>
      <c r="C3628" s="315"/>
      <c r="D3628" s="315"/>
      <c r="E3628" s="315"/>
      <c r="F3628" s="315"/>
      <c r="G3628" s="315"/>
      <c r="H3628" s="315"/>
      <c r="I3628" s="315"/>
      <c r="J3628" s="315"/>
      <c r="K3628" s="315"/>
      <c r="L3628" s="315"/>
    </row>
    <row r="3629" spans="1:12">
      <c r="A3629" s="315"/>
      <c r="B3629" s="315"/>
      <c r="C3629" s="315"/>
      <c r="D3629" s="315"/>
      <c r="E3629" s="315"/>
      <c r="F3629" s="315"/>
      <c r="G3629" s="315"/>
      <c r="H3629" s="315"/>
      <c r="I3629" s="315"/>
      <c r="J3629" s="315"/>
      <c r="K3629" s="315"/>
      <c r="L3629" s="315"/>
    </row>
    <row r="3630" spans="1:12">
      <c r="A3630" s="315"/>
      <c r="B3630" s="315"/>
      <c r="C3630" s="315"/>
      <c r="D3630" s="315"/>
      <c r="E3630" s="315"/>
      <c r="F3630" s="315"/>
      <c r="G3630" s="315"/>
      <c r="H3630" s="315"/>
      <c r="I3630" s="315"/>
      <c r="J3630" s="315"/>
      <c r="K3630" s="315"/>
      <c r="L3630" s="315"/>
    </row>
    <row r="3631" spans="1:12">
      <c r="A3631" s="315"/>
      <c r="B3631" s="315"/>
      <c r="C3631" s="315"/>
      <c r="D3631" s="315"/>
      <c r="E3631" s="315"/>
      <c r="F3631" s="315"/>
      <c r="G3631" s="315"/>
      <c r="H3631" s="315"/>
      <c r="I3631" s="315"/>
      <c r="J3631" s="315"/>
      <c r="K3631" s="315"/>
      <c r="L3631" s="315"/>
    </row>
    <row r="3632" spans="1:12">
      <c r="A3632" s="315"/>
      <c r="B3632" s="315"/>
      <c r="C3632" s="315"/>
      <c r="D3632" s="315"/>
      <c r="E3632" s="315"/>
      <c r="F3632" s="315"/>
      <c r="G3632" s="315"/>
      <c r="H3632" s="315"/>
      <c r="I3632" s="315"/>
      <c r="J3632" s="315"/>
      <c r="K3632" s="315"/>
      <c r="L3632" s="315"/>
    </row>
    <row r="3633" spans="1:12">
      <c r="A3633" s="315"/>
      <c r="B3633" s="315"/>
      <c r="C3633" s="315"/>
      <c r="D3633" s="315"/>
      <c r="E3633" s="315"/>
      <c r="F3633" s="315"/>
      <c r="G3633" s="315"/>
      <c r="H3633" s="315"/>
      <c r="I3633" s="315"/>
      <c r="J3633" s="315"/>
      <c r="K3633" s="315"/>
      <c r="L3633" s="315"/>
    </row>
    <row r="3634" spans="1:12">
      <c r="A3634" s="315"/>
      <c r="B3634" s="315"/>
      <c r="C3634" s="315"/>
      <c r="D3634" s="315"/>
      <c r="E3634" s="315"/>
      <c r="F3634" s="315"/>
      <c r="G3634" s="315"/>
      <c r="H3634" s="315"/>
      <c r="I3634" s="315"/>
      <c r="J3634" s="315"/>
      <c r="K3634" s="315"/>
      <c r="L3634" s="315"/>
    </row>
    <row r="3635" spans="1:12">
      <c r="A3635" s="315"/>
      <c r="B3635" s="315"/>
      <c r="C3635" s="315"/>
      <c r="D3635" s="315"/>
      <c r="E3635" s="315"/>
      <c r="F3635" s="315"/>
      <c r="G3635" s="315"/>
      <c r="H3635" s="315"/>
      <c r="I3635" s="315"/>
      <c r="J3635" s="315"/>
      <c r="K3635" s="315"/>
      <c r="L3635" s="315"/>
    </row>
    <row r="3636" spans="1:12">
      <c r="A3636" s="315"/>
      <c r="B3636" s="315"/>
      <c r="C3636" s="315"/>
      <c r="D3636" s="315"/>
      <c r="E3636" s="315"/>
      <c r="F3636" s="315"/>
      <c r="G3636" s="315"/>
      <c r="H3636" s="315"/>
      <c r="I3636" s="315"/>
      <c r="J3636" s="315"/>
      <c r="K3636" s="315"/>
      <c r="L3636" s="315"/>
    </row>
    <row r="3637" spans="1:12">
      <c r="A3637" s="315"/>
      <c r="B3637" s="315"/>
      <c r="C3637" s="315"/>
      <c r="D3637" s="315"/>
      <c r="E3637" s="315"/>
      <c r="F3637" s="315"/>
      <c r="G3637" s="315"/>
      <c r="H3637" s="315"/>
      <c r="I3637" s="315"/>
      <c r="J3637" s="315"/>
      <c r="K3637" s="315"/>
      <c r="L3637" s="315"/>
    </row>
    <row r="3638" spans="1:12">
      <c r="A3638" s="315"/>
      <c r="B3638" s="315"/>
      <c r="C3638" s="315"/>
      <c r="D3638" s="315"/>
      <c r="E3638" s="315"/>
      <c r="F3638" s="315"/>
      <c r="G3638" s="315"/>
      <c r="H3638" s="315"/>
      <c r="I3638" s="315"/>
      <c r="J3638" s="315"/>
      <c r="K3638" s="315"/>
      <c r="L3638" s="315"/>
    </row>
    <row r="3639" spans="1:12">
      <c r="A3639" s="315"/>
      <c r="B3639" s="315"/>
      <c r="C3639" s="315"/>
      <c r="D3639" s="315"/>
      <c r="E3639" s="315"/>
      <c r="F3639" s="315"/>
      <c r="G3639" s="315"/>
      <c r="H3639" s="315"/>
      <c r="I3639" s="315"/>
      <c r="J3639" s="315"/>
      <c r="K3639" s="315"/>
      <c r="L3639" s="315"/>
    </row>
    <row r="3640" spans="1:12">
      <c r="A3640" s="315"/>
      <c r="B3640" s="315"/>
      <c r="C3640" s="315"/>
      <c r="D3640" s="315"/>
      <c r="E3640" s="315"/>
      <c r="F3640" s="315"/>
      <c r="G3640" s="315"/>
      <c r="H3640" s="315"/>
      <c r="I3640" s="315"/>
      <c r="J3640" s="315"/>
      <c r="K3640" s="315"/>
      <c r="L3640" s="315"/>
    </row>
    <row r="3641" spans="1:12">
      <c r="A3641" s="315"/>
      <c r="B3641" s="315"/>
      <c r="C3641" s="315"/>
      <c r="D3641" s="315"/>
      <c r="E3641" s="315"/>
      <c r="F3641" s="315"/>
      <c r="G3641" s="315"/>
      <c r="H3641" s="315"/>
      <c r="I3641" s="315"/>
      <c r="J3641" s="315"/>
      <c r="K3641" s="315"/>
      <c r="L3641" s="315"/>
    </row>
    <row r="3642" spans="1:12">
      <c r="A3642" s="315"/>
      <c r="B3642" s="315"/>
      <c r="C3642" s="315"/>
      <c r="D3642" s="315"/>
      <c r="E3642" s="315"/>
      <c r="F3642" s="315"/>
      <c r="G3642" s="315"/>
      <c r="H3642" s="315"/>
      <c r="I3642" s="315"/>
      <c r="J3642" s="315"/>
      <c r="K3642" s="315"/>
      <c r="L3642" s="315"/>
    </row>
    <row r="3643" spans="1:12">
      <c r="A3643" s="315"/>
      <c r="B3643" s="315"/>
      <c r="C3643" s="315"/>
      <c r="D3643" s="315"/>
      <c r="E3643" s="315"/>
      <c r="F3643" s="315"/>
      <c r="G3643" s="315"/>
      <c r="H3643" s="315"/>
      <c r="I3643" s="315"/>
      <c r="J3643" s="315"/>
      <c r="K3643" s="315"/>
      <c r="L3643" s="315"/>
    </row>
    <row r="3644" spans="1:12">
      <c r="A3644" s="315"/>
      <c r="B3644" s="315"/>
      <c r="C3644" s="315"/>
      <c r="D3644" s="315"/>
      <c r="E3644" s="315"/>
      <c r="F3644" s="315"/>
      <c r="G3644" s="315"/>
      <c r="H3644" s="315"/>
      <c r="I3644" s="315"/>
      <c r="J3644" s="315"/>
      <c r="K3644" s="315"/>
      <c r="L3644" s="315"/>
    </row>
    <row r="3645" spans="1:12">
      <c r="A3645" s="315"/>
      <c r="B3645" s="315"/>
      <c r="C3645" s="315"/>
      <c r="D3645" s="315"/>
      <c r="E3645" s="315"/>
      <c r="F3645" s="315"/>
      <c r="G3645" s="315"/>
      <c r="H3645" s="315"/>
      <c r="I3645" s="315"/>
      <c r="J3645" s="315"/>
      <c r="K3645" s="315"/>
      <c r="L3645" s="315"/>
    </row>
    <row r="3646" spans="1:12">
      <c r="A3646" s="315"/>
      <c r="B3646" s="315"/>
      <c r="C3646" s="315"/>
      <c r="D3646" s="315"/>
      <c r="E3646" s="315"/>
      <c r="F3646" s="315"/>
      <c r="G3646" s="315"/>
      <c r="H3646" s="315"/>
      <c r="I3646" s="315"/>
      <c r="J3646" s="315"/>
      <c r="K3646" s="315"/>
      <c r="L3646" s="315"/>
    </row>
    <row r="3647" spans="1:12">
      <c r="A3647" s="315"/>
      <c r="B3647" s="315"/>
      <c r="C3647" s="315"/>
      <c r="D3647" s="315"/>
      <c r="E3647" s="315"/>
      <c r="F3647" s="315"/>
      <c r="G3647" s="315"/>
      <c r="H3647" s="315"/>
      <c r="I3647" s="315"/>
      <c r="J3647" s="315"/>
      <c r="K3647" s="315"/>
      <c r="L3647" s="315"/>
    </row>
    <row r="3648" spans="1:12">
      <c r="A3648" s="315"/>
      <c r="B3648" s="315"/>
      <c r="C3648" s="315"/>
      <c r="D3648" s="315"/>
      <c r="E3648" s="315"/>
      <c r="F3648" s="315"/>
      <c r="G3648" s="315"/>
      <c r="H3648" s="315"/>
      <c r="I3648" s="315"/>
      <c r="J3648" s="315"/>
      <c r="K3648" s="315"/>
      <c r="L3648" s="315"/>
    </row>
    <row r="3649" spans="1:12">
      <c r="A3649" s="315"/>
      <c r="B3649" s="315"/>
      <c r="C3649" s="315"/>
      <c r="D3649" s="315"/>
      <c r="E3649" s="315"/>
      <c r="F3649" s="315"/>
      <c r="G3649" s="315"/>
      <c r="H3649" s="315"/>
      <c r="I3649" s="315"/>
      <c r="J3649" s="315"/>
      <c r="K3649" s="315"/>
      <c r="L3649" s="315"/>
    </row>
    <row r="3650" spans="1:12">
      <c r="A3650" s="315"/>
      <c r="B3650" s="315"/>
      <c r="C3650" s="315"/>
      <c r="D3650" s="315"/>
      <c r="E3650" s="315"/>
      <c r="F3650" s="315"/>
      <c r="G3650" s="315"/>
      <c r="H3650" s="315"/>
      <c r="I3650" s="315"/>
      <c r="J3650" s="315"/>
      <c r="K3650" s="315"/>
      <c r="L3650" s="315"/>
    </row>
    <row r="3651" spans="1:12">
      <c r="A3651" s="315"/>
      <c r="B3651" s="315"/>
      <c r="C3651" s="315"/>
      <c r="D3651" s="315"/>
      <c r="E3651" s="315"/>
      <c r="F3651" s="315"/>
      <c r="G3651" s="315"/>
      <c r="H3651" s="315"/>
      <c r="I3651" s="315"/>
      <c r="J3651" s="315"/>
      <c r="K3651" s="315"/>
      <c r="L3651" s="315"/>
    </row>
    <row r="3652" spans="1:12">
      <c r="A3652" s="315"/>
      <c r="B3652" s="315"/>
      <c r="C3652" s="315"/>
      <c r="D3652" s="315"/>
      <c r="E3652" s="315"/>
      <c r="F3652" s="315"/>
      <c r="G3652" s="315"/>
      <c r="H3652" s="315"/>
      <c r="I3652" s="315"/>
      <c r="J3652" s="315"/>
      <c r="K3652" s="315"/>
      <c r="L3652" s="315"/>
    </row>
    <row r="3653" spans="1:12">
      <c r="A3653" s="315"/>
      <c r="B3653" s="315"/>
      <c r="C3653" s="315"/>
      <c r="D3653" s="315"/>
      <c r="E3653" s="315"/>
      <c r="F3653" s="315"/>
      <c r="G3653" s="315"/>
      <c r="H3653" s="315"/>
      <c r="I3653" s="315"/>
      <c r="J3653" s="315"/>
      <c r="K3653" s="315"/>
      <c r="L3653" s="315"/>
    </row>
    <row r="3654" spans="1:12">
      <c r="A3654" s="315"/>
      <c r="B3654" s="315"/>
      <c r="C3654" s="315"/>
      <c r="D3654" s="315"/>
      <c r="E3654" s="315"/>
      <c r="F3654" s="315"/>
      <c r="G3654" s="315"/>
      <c r="H3654" s="315"/>
      <c r="I3654" s="315"/>
      <c r="J3654" s="315"/>
      <c r="K3654" s="315"/>
      <c r="L3654" s="315"/>
    </row>
    <row r="3655" spans="1:12">
      <c r="A3655" s="315"/>
      <c r="B3655" s="315"/>
      <c r="C3655" s="315"/>
      <c r="D3655" s="315"/>
      <c r="E3655" s="315"/>
      <c r="F3655" s="315"/>
      <c r="G3655" s="315"/>
      <c r="H3655" s="315"/>
      <c r="I3655" s="315"/>
      <c r="J3655" s="315"/>
      <c r="K3655" s="315"/>
      <c r="L3655" s="315"/>
    </row>
    <row r="3656" spans="1:12">
      <c r="A3656" s="315"/>
      <c r="B3656" s="315"/>
      <c r="C3656" s="315"/>
      <c r="D3656" s="315"/>
      <c r="E3656" s="315"/>
      <c r="F3656" s="315"/>
      <c r="G3656" s="315"/>
      <c r="H3656" s="315"/>
      <c r="I3656" s="315"/>
      <c r="J3656" s="315"/>
      <c r="K3656" s="315"/>
      <c r="L3656" s="315"/>
    </row>
    <row r="3657" spans="1:12">
      <c r="A3657" s="315"/>
      <c r="B3657" s="315"/>
      <c r="C3657" s="315"/>
      <c r="D3657" s="315"/>
      <c r="E3657" s="315"/>
      <c r="F3657" s="315"/>
      <c r="G3657" s="315"/>
      <c r="H3657" s="315"/>
      <c r="I3657" s="315"/>
      <c r="J3657" s="315"/>
      <c r="K3657" s="315"/>
      <c r="L3657" s="315"/>
    </row>
    <row r="3658" spans="1:12">
      <c r="A3658" s="315"/>
      <c r="B3658" s="315"/>
      <c r="C3658" s="315"/>
      <c r="D3658" s="315"/>
      <c r="E3658" s="315"/>
      <c r="F3658" s="315"/>
      <c r="G3658" s="315"/>
      <c r="H3658" s="315"/>
      <c r="I3658" s="315"/>
      <c r="J3658" s="315"/>
      <c r="K3658" s="315"/>
      <c r="L3658" s="315"/>
    </row>
    <row r="3659" spans="1:12">
      <c r="A3659" s="315"/>
      <c r="B3659" s="315"/>
      <c r="C3659" s="315"/>
      <c r="D3659" s="315"/>
      <c r="E3659" s="315"/>
      <c r="F3659" s="315"/>
      <c r="G3659" s="315"/>
      <c r="H3659" s="315"/>
      <c r="I3659" s="315"/>
      <c r="J3659" s="315"/>
      <c r="K3659" s="315"/>
      <c r="L3659" s="315"/>
    </row>
    <row r="3660" spans="1:12">
      <c r="A3660" s="315"/>
      <c r="B3660" s="315"/>
      <c r="C3660" s="315"/>
      <c r="D3660" s="315"/>
      <c r="E3660" s="315"/>
      <c r="F3660" s="315"/>
      <c r="G3660" s="315"/>
      <c r="H3660" s="315"/>
      <c r="I3660" s="315"/>
      <c r="J3660" s="315"/>
      <c r="K3660" s="315"/>
      <c r="L3660" s="315"/>
    </row>
    <row r="3661" spans="1:12">
      <c r="A3661" s="315"/>
      <c r="B3661" s="315"/>
      <c r="C3661" s="315"/>
      <c r="D3661" s="315"/>
      <c r="E3661" s="315"/>
      <c r="F3661" s="315"/>
      <c r="G3661" s="315"/>
      <c r="H3661" s="315"/>
      <c r="I3661" s="315"/>
      <c r="J3661" s="315"/>
      <c r="K3661" s="315"/>
      <c r="L3661" s="315"/>
    </row>
    <row r="3662" spans="1:12">
      <c r="A3662" s="315"/>
      <c r="B3662" s="315"/>
      <c r="C3662" s="315"/>
      <c r="D3662" s="315"/>
      <c r="E3662" s="315"/>
      <c r="F3662" s="315"/>
      <c r="G3662" s="315"/>
      <c r="H3662" s="315"/>
      <c r="I3662" s="315"/>
      <c r="J3662" s="315"/>
      <c r="K3662" s="315"/>
      <c r="L3662" s="315"/>
    </row>
    <row r="3663" spans="1:12">
      <c r="A3663" s="315"/>
      <c r="B3663" s="315"/>
      <c r="C3663" s="315"/>
      <c r="D3663" s="315"/>
      <c r="E3663" s="315"/>
      <c r="F3663" s="315"/>
      <c r="G3663" s="315"/>
      <c r="H3663" s="315"/>
      <c r="I3663" s="315"/>
      <c r="J3663" s="315"/>
      <c r="K3663" s="315"/>
      <c r="L3663" s="315"/>
    </row>
    <row r="3664" spans="1:12">
      <c r="A3664" s="315"/>
      <c r="B3664" s="315"/>
      <c r="C3664" s="315"/>
      <c r="D3664" s="315"/>
      <c r="E3664" s="315"/>
      <c r="F3664" s="315"/>
      <c r="G3664" s="315"/>
      <c r="H3664" s="315"/>
      <c r="I3664" s="315"/>
      <c r="J3664" s="315"/>
      <c r="K3664" s="315"/>
      <c r="L3664" s="315"/>
    </row>
    <row r="3665" spans="1:12">
      <c r="A3665" s="315"/>
      <c r="B3665" s="315"/>
      <c r="C3665" s="315"/>
      <c r="D3665" s="315"/>
      <c r="E3665" s="315"/>
      <c r="F3665" s="315"/>
      <c r="G3665" s="315"/>
      <c r="H3665" s="315"/>
      <c r="I3665" s="315"/>
      <c r="J3665" s="315"/>
      <c r="K3665" s="315"/>
      <c r="L3665" s="315"/>
    </row>
    <row r="3666" spans="1:12">
      <c r="A3666" s="315"/>
      <c r="B3666" s="315"/>
      <c r="C3666" s="315"/>
      <c r="D3666" s="315"/>
      <c r="E3666" s="315"/>
      <c r="F3666" s="315"/>
      <c r="G3666" s="315"/>
      <c r="H3666" s="315"/>
      <c r="I3666" s="315"/>
      <c r="J3666" s="315"/>
      <c r="K3666" s="315"/>
      <c r="L3666" s="315"/>
    </row>
    <row r="3667" spans="1:12">
      <c r="A3667" s="315"/>
      <c r="B3667" s="315"/>
      <c r="C3667" s="315"/>
      <c r="D3667" s="315"/>
      <c r="E3667" s="315"/>
      <c r="F3667" s="315"/>
      <c r="G3667" s="315"/>
      <c r="H3667" s="315"/>
      <c r="I3667" s="315"/>
      <c r="J3667" s="315"/>
      <c r="K3667" s="315"/>
      <c r="L3667" s="315"/>
    </row>
    <row r="3668" spans="1:12">
      <c r="A3668" s="315"/>
      <c r="B3668" s="315"/>
      <c r="C3668" s="315"/>
      <c r="D3668" s="315"/>
      <c r="E3668" s="315"/>
      <c r="F3668" s="315"/>
      <c r="G3668" s="315"/>
      <c r="H3668" s="315"/>
      <c r="I3668" s="315"/>
      <c r="J3668" s="315"/>
      <c r="K3668" s="315"/>
      <c r="L3668" s="315"/>
    </row>
    <row r="3669" spans="1:12">
      <c r="A3669" s="315"/>
      <c r="B3669" s="315"/>
      <c r="C3669" s="315"/>
      <c r="D3669" s="315"/>
      <c r="E3669" s="315"/>
      <c r="F3669" s="315"/>
      <c r="G3669" s="315"/>
      <c r="H3669" s="315"/>
      <c r="I3669" s="315"/>
      <c r="J3669" s="315"/>
      <c r="K3669" s="315"/>
      <c r="L3669" s="315"/>
    </row>
    <row r="3670" spans="1:12">
      <c r="A3670" s="315"/>
      <c r="B3670" s="315"/>
      <c r="C3670" s="315"/>
      <c r="D3670" s="315"/>
      <c r="E3670" s="315"/>
      <c r="F3670" s="315"/>
      <c r="G3670" s="315"/>
      <c r="H3670" s="315"/>
      <c r="I3670" s="315"/>
      <c r="J3670" s="315"/>
      <c r="K3670" s="315"/>
      <c r="L3670" s="315"/>
    </row>
    <row r="3671" spans="1:12">
      <c r="A3671" s="315"/>
      <c r="B3671" s="315"/>
      <c r="C3671" s="315"/>
      <c r="D3671" s="315"/>
      <c r="E3671" s="315"/>
      <c r="F3671" s="315"/>
      <c r="G3671" s="315"/>
      <c r="H3671" s="315"/>
      <c r="I3671" s="315"/>
      <c r="J3671" s="315"/>
      <c r="K3671" s="315"/>
      <c r="L3671" s="315"/>
    </row>
    <row r="3672" spans="1:12">
      <c r="A3672" s="315"/>
      <c r="B3672" s="315"/>
      <c r="C3672" s="315"/>
      <c r="D3672" s="315"/>
      <c r="E3672" s="315"/>
      <c r="F3672" s="315"/>
      <c r="G3672" s="315"/>
      <c r="H3672" s="315"/>
      <c r="I3672" s="315"/>
      <c r="J3672" s="315"/>
      <c r="K3672" s="315"/>
      <c r="L3672" s="315"/>
    </row>
    <row r="3673" spans="1:12">
      <c r="A3673" s="315"/>
      <c r="B3673" s="315"/>
      <c r="C3673" s="315"/>
      <c r="D3673" s="315"/>
      <c r="E3673" s="315"/>
      <c r="F3673" s="315"/>
      <c r="G3673" s="315"/>
      <c r="H3673" s="315"/>
      <c r="I3673" s="315"/>
      <c r="J3673" s="315"/>
      <c r="K3673" s="315"/>
      <c r="L3673" s="315"/>
    </row>
    <row r="3674" spans="1:12">
      <c r="A3674" s="315"/>
      <c r="B3674" s="315"/>
      <c r="C3674" s="315"/>
      <c r="D3674" s="315"/>
      <c r="E3674" s="315"/>
      <c r="F3674" s="315"/>
      <c r="G3674" s="315"/>
      <c r="H3674" s="315"/>
      <c r="I3674" s="315"/>
      <c r="J3674" s="315"/>
      <c r="K3674" s="315"/>
      <c r="L3674" s="315"/>
    </row>
    <row r="3675" spans="1:12">
      <c r="A3675" s="315"/>
      <c r="B3675" s="315"/>
      <c r="C3675" s="315"/>
      <c r="D3675" s="315"/>
      <c r="E3675" s="315"/>
      <c r="F3675" s="315"/>
      <c r="G3675" s="315"/>
      <c r="H3675" s="315"/>
      <c r="I3675" s="315"/>
      <c r="J3675" s="315"/>
      <c r="K3675" s="315"/>
      <c r="L3675" s="315"/>
    </row>
    <row r="3676" spans="1:12">
      <c r="A3676" s="315"/>
      <c r="B3676" s="315"/>
      <c r="C3676" s="315"/>
      <c r="D3676" s="315"/>
      <c r="E3676" s="315"/>
      <c r="F3676" s="315"/>
      <c r="G3676" s="315"/>
      <c r="H3676" s="315"/>
      <c r="I3676" s="315"/>
      <c r="J3676" s="315"/>
      <c r="K3676" s="315"/>
      <c r="L3676" s="315"/>
    </row>
    <row r="3677" spans="1:12">
      <c r="A3677" s="315"/>
      <c r="B3677" s="315"/>
      <c r="C3677" s="315"/>
      <c r="D3677" s="315"/>
      <c r="E3677" s="315"/>
      <c r="F3677" s="315"/>
      <c r="G3677" s="315"/>
      <c r="H3677" s="315"/>
      <c r="I3677" s="315"/>
      <c r="J3677" s="315"/>
      <c r="K3677" s="315"/>
      <c r="L3677" s="315"/>
    </row>
    <row r="3678" spans="1:12">
      <c r="A3678" s="315"/>
      <c r="B3678" s="315"/>
      <c r="C3678" s="315"/>
      <c r="D3678" s="315"/>
      <c r="E3678" s="315"/>
      <c r="F3678" s="315"/>
      <c r="G3678" s="315"/>
      <c r="H3678" s="315"/>
      <c r="I3678" s="315"/>
      <c r="J3678" s="315"/>
      <c r="K3678" s="315"/>
      <c r="L3678" s="315"/>
    </row>
    <row r="3679" spans="1:12">
      <c r="A3679" s="315"/>
      <c r="B3679" s="315"/>
      <c r="C3679" s="315"/>
      <c r="D3679" s="315"/>
      <c r="E3679" s="315"/>
      <c r="F3679" s="315"/>
      <c r="G3679" s="315"/>
      <c r="H3679" s="315"/>
      <c r="I3679" s="315"/>
      <c r="J3679" s="315"/>
      <c r="K3679" s="315"/>
      <c r="L3679" s="315"/>
    </row>
    <row r="3680" spans="1:12">
      <c r="A3680" s="315"/>
      <c r="B3680" s="315"/>
      <c r="C3680" s="315"/>
      <c r="D3680" s="315"/>
      <c r="E3680" s="315"/>
      <c r="F3680" s="315"/>
      <c r="G3680" s="315"/>
      <c r="H3680" s="315"/>
      <c r="I3680" s="315"/>
      <c r="J3680" s="315"/>
      <c r="K3680" s="315"/>
      <c r="L3680" s="315"/>
    </row>
    <row r="3681" spans="1:12">
      <c r="A3681" s="315"/>
      <c r="B3681" s="315"/>
      <c r="C3681" s="315"/>
      <c r="D3681" s="315"/>
      <c r="E3681" s="315"/>
      <c r="F3681" s="315"/>
      <c r="G3681" s="315"/>
      <c r="H3681" s="315"/>
      <c r="I3681" s="315"/>
      <c r="J3681" s="315"/>
      <c r="K3681" s="315"/>
      <c r="L3681" s="315"/>
    </row>
    <row r="3682" spans="1:12">
      <c r="A3682" s="315"/>
      <c r="B3682" s="315"/>
      <c r="C3682" s="315"/>
      <c r="D3682" s="315"/>
      <c r="E3682" s="315"/>
      <c r="F3682" s="315"/>
      <c r="G3682" s="315"/>
      <c r="H3682" s="315"/>
      <c r="I3682" s="315"/>
      <c r="J3682" s="315"/>
      <c r="K3682" s="315"/>
      <c r="L3682" s="315"/>
    </row>
    <row r="3683" spans="1:12">
      <c r="A3683" s="315"/>
      <c r="B3683" s="315"/>
      <c r="C3683" s="315"/>
      <c r="D3683" s="315"/>
      <c r="E3683" s="315"/>
      <c r="F3683" s="315"/>
      <c r="G3683" s="315"/>
      <c r="H3683" s="315"/>
      <c r="I3683" s="315"/>
      <c r="J3683" s="315"/>
      <c r="K3683" s="315"/>
      <c r="L3683" s="315"/>
    </row>
    <row r="3684" spans="1:12">
      <c r="A3684" s="315"/>
      <c r="B3684" s="315"/>
      <c r="C3684" s="315"/>
      <c r="D3684" s="315"/>
      <c r="E3684" s="315"/>
      <c r="F3684" s="315"/>
      <c r="G3684" s="315"/>
      <c r="H3684" s="315"/>
      <c r="I3684" s="315"/>
      <c r="J3684" s="315"/>
      <c r="K3684" s="315"/>
      <c r="L3684" s="315"/>
    </row>
    <row r="3685" spans="1:12">
      <c r="A3685" s="315"/>
      <c r="B3685" s="315"/>
      <c r="C3685" s="315"/>
      <c r="D3685" s="315"/>
      <c r="E3685" s="315"/>
      <c r="F3685" s="315"/>
      <c r="G3685" s="315"/>
      <c r="H3685" s="315"/>
      <c r="I3685" s="315"/>
      <c r="J3685" s="315"/>
      <c r="K3685" s="315"/>
      <c r="L3685" s="315"/>
    </row>
    <row r="3686" spans="1:12">
      <c r="A3686" s="315"/>
      <c r="B3686" s="315"/>
      <c r="C3686" s="315"/>
      <c r="D3686" s="315"/>
      <c r="E3686" s="315"/>
      <c r="F3686" s="315"/>
      <c r="G3686" s="315"/>
      <c r="H3686" s="315"/>
      <c r="I3686" s="315"/>
      <c r="J3686" s="315"/>
      <c r="K3686" s="315"/>
      <c r="L3686" s="315"/>
    </row>
    <row r="3687" spans="1:12">
      <c r="A3687" s="315"/>
      <c r="B3687" s="315"/>
      <c r="C3687" s="315"/>
      <c r="D3687" s="315"/>
      <c r="E3687" s="315"/>
      <c r="F3687" s="315"/>
      <c r="G3687" s="315"/>
      <c r="H3687" s="315"/>
      <c r="I3687" s="315"/>
      <c r="J3687" s="315"/>
      <c r="K3687" s="315"/>
      <c r="L3687" s="315"/>
    </row>
    <row r="3688" spans="1:12">
      <c r="A3688" s="315"/>
      <c r="B3688" s="315"/>
      <c r="C3688" s="315"/>
      <c r="D3688" s="315"/>
      <c r="E3688" s="315"/>
      <c r="F3688" s="315"/>
      <c r="G3688" s="315"/>
      <c r="H3688" s="315"/>
      <c r="I3688" s="315"/>
      <c r="J3688" s="315"/>
      <c r="K3688" s="315"/>
      <c r="L3688" s="315"/>
    </row>
    <row r="3689" spans="1:12">
      <c r="A3689" s="315"/>
      <c r="B3689" s="315"/>
      <c r="C3689" s="315"/>
      <c r="D3689" s="315"/>
      <c r="E3689" s="315"/>
      <c r="F3689" s="315"/>
      <c r="G3689" s="315"/>
      <c r="H3689" s="315"/>
      <c r="I3689" s="315"/>
      <c r="J3689" s="315"/>
      <c r="K3689" s="315"/>
      <c r="L3689" s="315"/>
    </row>
    <row r="3690" spans="1:12">
      <c r="A3690" s="315"/>
      <c r="B3690" s="315"/>
      <c r="C3690" s="315"/>
      <c r="D3690" s="315"/>
      <c r="E3690" s="315"/>
      <c r="F3690" s="315"/>
      <c r="G3690" s="315"/>
      <c r="H3690" s="315"/>
      <c r="I3690" s="315"/>
      <c r="J3690" s="315"/>
      <c r="K3690" s="315"/>
      <c r="L3690" s="315"/>
    </row>
    <row r="3691" spans="1:12">
      <c r="A3691" s="315"/>
      <c r="B3691" s="315"/>
      <c r="C3691" s="315"/>
      <c r="D3691" s="315"/>
      <c r="E3691" s="315"/>
      <c r="F3691" s="315"/>
      <c r="G3691" s="315"/>
      <c r="H3691" s="315"/>
      <c r="I3691" s="315"/>
      <c r="J3691" s="315"/>
      <c r="K3691" s="315"/>
      <c r="L3691" s="315"/>
    </row>
    <row r="3692" spans="1:12">
      <c r="A3692" s="315"/>
      <c r="B3692" s="315"/>
      <c r="C3692" s="315"/>
      <c r="D3692" s="315"/>
      <c r="E3692" s="315"/>
      <c r="F3692" s="315"/>
      <c r="G3692" s="315"/>
      <c r="H3692" s="315"/>
      <c r="I3692" s="315"/>
      <c r="J3692" s="315"/>
      <c r="K3692" s="315"/>
      <c r="L3692" s="315"/>
    </row>
    <row r="3693" spans="1:12">
      <c r="A3693" s="315"/>
      <c r="B3693" s="315"/>
      <c r="C3693" s="315"/>
      <c r="D3693" s="315"/>
      <c r="E3693" s="315"/>
      <c r="F3693" s="315"/>
      <c r="G3693" s="315"/>
      <c r="H3693" s="315"/>
      <c r="I3693" s="315"/>
      <c r="J3693" s="315"/>
      <c r="K3693" s="315"/>
      <c r="L3693" s="315"/>
    </row>
    <row r="3694" spans="1:12">
      <c r="A3694" s="315"/>
      <c r="B3694" s="315"/>
      <c r="C3694" s="315"/>
      <c r="D3694" s="315"/>
      <c r="E3694" s="315"/>
      <c r="F3694" s="315"/>
      <c r="G3694" s="315"/>
      <c r="H3694" s="315"/>
      <c r="I3694" s="315"/>
      <c r="J3694" s="315"/>
      <c r="K3694" s="315"/>
      <c r="L3694" s="315"/>
    </row>
    <row r="3695" spans="1:12">
      <c r="A3695" s="315"/>
      <c r="B3695" s="315"/>
      <c r="C3695" s="315"/>
      <c r="D3695" s="315"/>
      <c r="E3695" s="315"/>
      <c r="F3695" s="315"/>
      <c r="G3695" s="315"/>
      <c r="H3695" s="315"/>
      <c r="I3695" s="315"/>
      <c r="J3695" s="315"/>
      <c r="K3695" s="315"/>
      <c r="L3695" s="315"/>
    </row>
    <row r="3696" spans="1:12">
      <c r="A3696" s="315"/>
      <c r="B3696" s="315"/>
      <c r="C3696" s="315"/>
      <c r="D3696" s="315"/>
      <c r="E3696" s="315"/>
      <c r="F3696" s="315"/>
      <c r="G3696" s="315"/>
      <c r="H3696" s="315"/>
      <c r="I3696" s="315"/>
      <c r="J3696" s="315"/>
      <c r="K3696" s="315"/>
      <c r="L3696" s="315"/>
    </row>
    <row r="3697" spans="1:12">
      <c r="A3697" s="315"/>
      <c r="B3697" s="315"/>
      <c r="C3697" s="315"/>
      <c r="D3697" s="315"/>
      <c r="E3697" s="315"/>
      <c r="F3697" s="315"/>
      <c r="G3697" s="315"/>
      <c r="H3697" s="315"/>
      <c r="I3697" s="315"/>
      <c r="J3697" s="315"/>
      <c r="K3697" s="315"/>
      <c r="L3697" s="315"/>
    </row>
    <row r="3698" spans="1:12">
      <c r="A3698" s="315"/>
      <c r="B3698" s="315"/>
      <c r="C3698" s="315"/>
      <c r="D3698" s="315"/>
      <c r="E3698" s="315"/>
      <c r="F3698" s="315"/>
      <c r="G3698" s="315"/>
      <c r="H3698" s="315"/>
      <c r="I3698" s="315"/>
      <c r="J3698" s="315"/>
      <c r="K3698" s="315"/>
      <c r="L3698" s="315"/>
    </row>
    <row r="3699" spans="1:12">
      <c r="A3699" s="315"/>
      <c r="B3699" s="315"/>
      <c r="C3699" s="315"/>
      <c r="D3699" s="315"/>
      <c r="E3699" s="315"/>
      <c r="F3699" s="315"/>
      <c r="G3699" s="315"/>
      <c r="H3699" s="315"/>
      <c r="I3699" s="315"/>
      <c r="J3699" s="315"/>
      <c r="K3699" s="315"/>
      <c r="L3699" s="315"/>
    </row>
    <row r="3700" spans="1:12">
      <c r="A3700" s="315"/>
      <c r="B3700" s="315"/>
      <c r="C3700" s="315"/>
      <c r="D3700" s="315"/>
      <c r="E3700" s="315"/>
      <c r="F3700" s="315"/>
      <c r="G3700" s="315"/>
      <c r="H3700" s="315"/>
      <c r="I3700" s="315"/>
      <c r="J3700" s="315"/>
      <c r="K3700" s="315"/>
      <c r="L3700" s="315"/>
    </row>
    <row r="3701" spans="1:12">
      <c r="A3701" s="315"/>
      <c r="B3701" s="315"/>
      <c r="C3701" s="315"/>
      <c r="D3701" s="315"/>
      <c r="E3701" s="315"/>
      <c r="F3701" s="315"/>
      <c r="G3701" s="315"/>
      <c r="H3701" s="315"/>
      <c r="I3701" s="315"/>
      <c r="J3701" s="315"/>
      <c r="K3701" s="315"/>
      <c r="L3701" s="315"/>
    </row>
    <row r="3702" spans="1:12">
      <c r="A3702" s="315"/>
      <c r="B3702" s="315"/>
      <c r="C3702" s="315"/>
      <c r="D3702" s="315"/>
      <c r="E3702" s="315"/>
      <c r="F3702" s="315"/>
      <c r="G3702" s="315"/>
      <c r="H3702" s="315"/>
      <c r="I3702" s="315"/>
      <c r="J3702" s="315"/>
      <c r="K3702" s="315"/>
      <c r="L3702" s="315"/>
    </row>
    <row r="3703" spans="1:12">
      <c r="A3703" s="315"/>
      <c r="B3703" s="315"/>
      <c r="C3703" s="315"/>
      <c r="D3703" s="315"/>
      <c r="E3703" s="315"/>
      <c r="F3703" s="315"/>
      <c r="G3703" s="315"/>
      <c r="H3703" s="315"/>
      <c r="I3703" s="315"/>
      <c r="J3703" s="315"/>
      <c r="K3703" s="315"/>
      <c r="L3703" s="315"/>
    </row>
    <row r="3704" spans="1:12">
      <c r="A3704" s="315"/>
      <c r="B3704" s="315"/>
      <c r="C3704" s="315"/>
      <c r="D3704" s="315"/>
      <c r="E3704" s="315"/>
      <c r="F3704" s="315"/>
      <c r="G3704" s="315"/>
      <c r="H3704" s="315"/>
      <c r="I3704" s="315"/>
      <c r="J3704" s="315"/>
      <c r="K3704" s="315"/>
      <c r="L3704" s="315"/>
    </row>
    <row r="3705" spans="1:12">
      <c r="A3705" s="315"/>
      <c r="B3705" s="315"/>
      <c r="C3705" s="315"/>
      <c r="D3705" s="315"/>
      <c r="E3705" s="315"/>
      <c r="F3705" s="315"/>
      <c r="G3705" s="315"/>
      <c r="H3705" s="315"/>
      <c r="I3705" s="315"/>
      <c r="J3705" s="315"/>
      <c r="K3705" s="315"/>
      <c r="L3705" s="315"/>
    </row>
    <row r="3706" spans="1:12">
      <c r="A3706" s="315"/>
      <c r="B3706" s="315"/>
      <c r="C3706" s="315"/>
      <c r="D3706" s="315"/>
      <c r="E3706" s="315"/>
      <c r="F3706" s="315"/>
      <c r="G3706" s="315"/>
      <c r="H3706" s="315"/>
      <c r="I3706" s="315"/>
      <c r="J3706" s="315"/>
      <c r="K3706" s="315"/>
      <c r="L3706" s="315"/>
    </row>
    <row r="3707" spans="1:12">
      <c r="A3707" s="315"/>
      <c r="B3707" s="315"/>
      <c r="C3707" s="315"/>
      <c r="D3707" s="315"/>
      <c r="E3707" s="315"/>
      <c r="F3707" s="315"/>
      <c r="G3707" s="315"/>
      <c r="H3707" s="315"/>
      <c r="I3707" s="315"/>
      <c r="J3707" s="315"/>
      <c r="K3707" s="315"/>
      <c r="L3707" s="315"/>
    </row>
    <row r="3708" spans="1:12">
      <c r="A3708" s="315"/>
      <c r="B3708" s="315"/>
      <c r="C3708" s="315"/>
      <c r="D3708" s="315"/>
      <c r="E3708" s="315"/>
      <c r="F3708" s="315"/>
      <c r="G3708" s="315"/>
      <c r="H3708" s="315"/>
      <c r="I3708" s="315"/>
      <c r="J3708" s="315"/>
      <c r="K3708" s="315"/>
      <c r="L3708" s="315"/>
    </row>
    <row r="3709" spans="1:12">
      <c r="A3709" s="315"/>
      <c r="B3709" s="315"/>
      <c r="C3709" s="315"/>
      <c r="D3709" s="315"/>
      <c r="E3709" s="315"/>
      <c r="F3709" s="315"/>
      <c r="G3709" s="315"/>
      <c r="H3709" s="315"/>
      <c r="I3709" s="315"/>
      <c r="J3709" s="315"/>
      <c r="K3709" s="315"/>
      <c r="L3709" s="315"/>
    </row>
    <row r="3710" spans="1:12">
      <c r="A3710" s="315"/>
      <c r="B3710" s="315"/>
      <c r="C3710" s="315"/>
      <c r="D3710" s="315"/>
      <c r="E3710" s="315"/>
      <c r="F3710" s="315"/>
      <c r="G3710" s="315"/>
      <c r="H3710" s="315"/>
      <c r="I3710" s="315"/>
      <c r="J3710" s="315"/>
      <c r="K3710" s="315"/>
      <c r="L3710" s="315"/>
    </row>
    <row r="3711" spans="1:12">
      <c r="A3711" s="315"/>
      <c r="B3711" s="315"/>
      <c r="C3711" s="315"/>
      <c r="D3711" s="315"/>
      <c r="E3711" s="315"/>
      <c r="F3711" s="315"/>
      <c r="G3711" s="315"/>
      <c r="H3711" s="315"/>
      <c r="I3711" s="315"/>
      <c r="J3711" s="315"/>
      <c r="K3711" s="315"/>
      <c r="L3711" s="315"/>
    </row>
    <row r="3712" spans="1:12">
      <c r="A3712" s="315"/>
      <c r="B3712" s="315"/>
      <c r="C3712" s="315"/>
      <c r="D3712" s="315"/>
      <c r="E3712" s="315"/>
      <c r="F3712" s="315"/>
      <c r="G3712" s="315"/>
      <c r="H3712" s="315"/>
      <c r="I3712" s="315"/>
      <c r="J3712" s="315"/>
      <c r="K3712" s="315"/>
      <c r="L3712" s="315"/>
    </row>
    <row r="3713" spans="1:12">
      <c r="A3713" s="315"/>
      <c r="B3713" s="315"/>
      <c r="C3713" s="315"/>
      <c r="D3713" s="315"/>
      <c r="E3713" s="315"/>
      <c r="F3713" s="315"/>
      <c r="G3713" s="315"/>
      <c r="H3713" s="315"/>
      <c r="I3713" s="315"/>
      <c r="J3713" s="315"/>
      <c r="K3713" s="315"/>
      <c r="L3713" s="315"/>
    </row>
    <row r="3714" spans="1:12">
      <c r="A3714" s="315"/>
      <c r="B3714" s="315"/>
      <c r="C3714" s="315"/>
      <c r="D3714" s="315"/>
      <c r="E3714" s="315"/>
      <c r="F3714" s="315"/>
      <c r="G3714" s="315"/>
      <c r="H3714" s="315"/>
      <c r="I3714" s="315"/>
      <c r="J3714" s="315"/>
      <c r="K3714" s="315"/>
      <c r="L3714" s="315"/>
    </row>
    <row r="3716" spans="1:12" ht="31.15" customHeight="1"/>
    <row r="3719" spans="1:12" hidden="1"/>
    <row r="3720" spans="1:12" hidden="1"/>
    <row r="3721" spans="1:12" hidden="1"/>
    <row r="3722" spans="1:12" hidden="1"/>
    <row r="3723" spans="1:12" hidden="1"/>
    <row r="3724" spans="1:12" hidden="1"/>
    <row r="3725" spans="1:12" hidden="1"/>
    <row r="3726" spans="1:12" hidden="1"/>
    <row r="3727" spans="1:12" hidden="1"/>
    <row r="3728" spans="1:12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</sheetData>
  <printOptions horizontalCentered="1"/>
  <pageMargins left="0.59055118110236227" right="0.59055118110236227" top="0.59055118110236227" bottom="0.59055118110236227" header="0.51181102362204722" footer="0.51181102362204722"/>
  <pageSetup paperSize="9" scale="85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4304"/>
  <sheetViews>
    <sheetView showGridLines="0" view="pageBreakPreview" topLeftCell="A439" zoomScale="80" zoomScaleNormal="100" zoomScaleSheetLayoutView="80" workbookViewId="0">
      <selection activeCell="F399" sqref="F399"/>
    </sheetView>
  </sheetViews>
  <sheetFormatPr defaultRowHeight="12.75"/>
  <cols>
    <col min="1" max="1" width="140.42578125" customWidth="1"/>
    <col min="2" max="2" width="38.5703125" customWidth="1"/>
    <col min="6" max="6" width="14.42578125" customWidth="1"/>
    <col min="10" max="10" width="18.7109375" customWidth="1"/>
  </cols>
  <sheetData>
    <row r="1" spans="1:11" ht="33.75">
      <c r="A1" s="1115" t="s">
        <v>135</v>
      </c>
      <c r="B1" s="1115"/>
    </row>
    <row r="2" spans="1:11" ht="30">
      <c r="A2" s="90" t="s">
        <v>136</v>
      </c>
      <c r="B2" s="13" t="str">
        <f>Resumo!E3</f>
        <v>Abril-16</v>
      </c>
    </row>
    <row r="6" spans="1:11" s="287" customFormat="1" ht="14.25" customHeight="1">
      <c r="A6" s="280"/>
      <c r="B6" s="281"/>
      <c r="C6" s="280"/>
      <c r="D6" s="282"/>
      <c r="E6" s="282"/>
      <c r="F6" s="282"/>
      <c r="G6" s="283"/>
      <c r="H6" s="290"/>
      <c r="I6" s="291"/>
      <c r="J6" s="279"/>
      <c r="K6" s="286"/>
    </row>
    <row r="7" spans="1:11" s="287" customFormat="1" ht="14.25" customHeight="1">
      <c r="A7" s="280"/>
      <c r="B7" s="281"/>
      <c r="C7" s="280"/>
      <c r="D7" s="282"/>
      <c r="E7" s="282"/>
      <c r="F7" s="282"/>
      <c r="G7" s="283"/>
      <c r="H7" s="290"/>
      <c r="I7" s="291"/>
      <c r="J7" s="279"/>
      <c r="K7" s="286"/>
    </row>
    <row r="8" spans="1:11" s="287" customFormat="1" ht="14.25">
      <c r="A8" s="280"/>
      <c r="B8" s="281"/>
      <c r="C8" s="280"/>
      <c r="D8" s="282"/>
      <c r="E8" s="282"/>
      <c r="F8" s="282"/>
      <c r="G8" s="283"/>
      <c r="H8" s="290"/>
      <c r="I8" s="291"/>
      <c r="J8" s="279"/>
      <c r="K8" s="286"/>
    </row>
    <row r="9" spans="1:11" s="287" customFormat="1" ht="14.25">
      <c r="A9" s="280"/>
      <c r="B9" s="281"/>
      <c r="C9" s="280"/>
      <c r="D9" s="282"/>
      <c r="E9" s="282"/>
      <c r="F9" s="282"/>
      <c r="G9" s="283"/>
      <c r="H9" s="290"/>
      <c r="I9" s="291"/>
      <c r="J9" s="279"/>
      <c r="K9" s="286"/>
    </row>
    <row r="10" spans="1:11" s="287" customFormat="1" ht="14.25">
      <c r="A10" s="280"/>
      <c r="B10" s="281"/>
      <c r="C10" s="280"/>
      <c r="D10" s="282"/>
      <c r="E10" s="282"/>
      <c r="F10" s="282"/>
      <c r="G10" s="283"/>
      <c r="H10" s="290"/>
      <c r="I10" s="291"/>
      <c r="J10" s="279"/>
      <c r="K10" s="286"/>
    </row>
    <row r="11" spans="1:11" s="287" customFormat="1" ht="14.25">
      <c r="A11" s="280"/>
      <c r="B11" s="281"/>
      <c r="C11" s="280"/>
      <c r="D11" s="282"/>
      <c r="E11" s="282"/>
      <c r="F11" s="282"/>
      <c r="G11" s="283"/>
      <c r="H11" s="290"/>
      <c r="I11" s="291"/>
      <c r="J11" s="279"/>
      <c r="K11" s="286"/>
    </row>
    <row r="12" spans="1:11" s="287" customFormat="1" ht="14.25">
      <c r="A12" s="280"/>
      <c r="B12" s="281"/>
      <c r="C12" s="280"/>
      <c r="D12" s="282"/>
      <c r="E12" s="282"/>
      <c r="F12" s="282"/>
      <c r="G12" s="283"/>
      <c r="H12" s="290"/>
      <c r="I12" s="291"/>
      <c r="J12" s="279"/>
      <c r="K12" s="286"/>
    </row>
    <row r="13" spans="1:11" s="287" customFormat="1" ht="14.25">
      <c r="A13" s="280"/>
      <c r="B13" s="281"/>
      <c r="C13" s="280"/>
      <c r="D13" s="282"/>
      <c r="E13" s="282"/>
      <c r="F13" s="282"/>
      <c r="G13" s="283"/>
      <c r="H13" s="290"/>
      <c r="I13" s="291"/>
      <c r="J13" s="279"/>
      <c r="K13" s="286"/>
    </row>
    <row r="14" spans="1:11" s="287" customFormat="1" ht="14.25">
      <c r="A14" s="280"/>
      <c r="B14" s="281"/>
      <c r="C14" s="280"/>
      <c r="D14" s="282"/>
      <c r="E14" s="282"/>
      <c r="F14" s="282"/>
      <c r="G14" s="283"/>
      <c r="H14" s="290"/>
      <c r="I14" s="291"/>
      <c r="J14" s="279"/>
      <c r="K14" s="286"/>
    </row>
    <row r="15" spans="1:11" s="287" customFormat="1" ht="14.25">
      <c r="A15" s="280"/>
      <c r="B15" s="281"/>
      <c r="C15" s="280"/>
      <c r="D15" s="282"/>
      <c r="E15" s="282"/>
      <c r="F15" s="282"/>
      <c r="G15" s="283"/>
      <c r="H15" s="290"/>
      <c r="I15" s="291"/>
      <c r="J15" s="279"/>
      <c r="K15" s="286"/>
    </row>
    <row r="16" spans="1:11" s="287" customFormat="1" ht="14.25">
      <c r="A16" s="280"/>
      <c r="B16" s="281"/>
      <c r="C16" s="280"/>
      <c r="D16" s="282"/>
      <c r="E16" s="282"/>
      <c r="F16" s="282"/>
      <c r="G16" s="283"/>
      <c r="H16" s="290"/>
      <c r="I16" s="291"/>
      <c r="J16" s="279"/>
      <c r="K16" s="286"/>
    </row>
    <row r="17" spans="1:11" s="287" customFormat="1" ht="14.25">
      <c r="A17" s="280"/>
      <c r="B17" s="281"/>
      <c r="C17" s="280"/>
      <c r="D17" s="282"/>
      <c r="E17" s="282"/>
      <c r="F17" s="282"/>
      <c r="G17" s="283"/>
      <c r="H17" s="290"/>
      <c r="I17" s="291"/>
      <c r="J17" s="279"/>
      <c r="K17" s="288"/>
    </row>
    <row r="18" spans="1:11" s="287" customFormat="1" ht="14.25" customHeight="1">
      <c r="A18" s="280"/>
      <c r="B18" s="281"/>
      <c r="C18" s="280"/>
      <c r="D18" s="282"/>
      <c r="E18" s="282"/>
      <c r="F18" s="282"/>
      <c r="G18" s="283"/>
      <c r="H18" s="284"/>
      <c r="I18" s="285"/>
      <c r="J18" s="279"/>
      <c r="K18" s="286"/>
    </row>
    <row r="19" spans="1:11" s="287" customFormat="1" ht="14.25" customHeight="1">
      <c r="A19" s="280"/>
      <c r="B19" s="281"/>
      <c r="C19" s="280"/>
      <c r="D19" s="282"/>
      <c r="E19" s="282"/>
      <c r="F19" s="282"/>
      <c r="G19" s="283"/>
      <c r="H19" s="284"/>
      <c r="I19" s="285"/>
      <c r="J19" s="279"/>
      <c r="K19" s="286"/>
    </row>
    <row r="20" spans="1:11" s="287" customFormat="1" ht="14.25" customHeight="1">
      <c r="A20" s="280"/>
      <c r="B20" s="281"/>
      <c r="C20" s="280"/>
      <c r="D20" s="282"/>
      <c r="E20" s="282"/>
      <c r="F20" s="282"/>
      <c r="G20" s="283"/>
      <c r="H20" s="284"/>
      <c r="I20" s="285"/>
      <c r="J20" s="279"/>
      <c r="K20" s="286"/>
    </row>
    <row r="21" spans="1:11" s="287" customFormat="1" ht="14.25" customHeight="1">
      <c r="A21" s="280"/>
      <c r="B21" s="281"/>
      <c r="C21" s="280"/>
      <c r="D21" s="282"/>
      <c r="E21" s="282"/>
      <c r="F21" s="282"/>
      <c r="G21" s="283"/>
      <c r="H21" s="284"/>
      <c r="I21" s="285"/>
      <c r="J21" s="279"/>
      <c r="K21" s="286"/>
    </row>
    <row r="22" spans="1:11" s="287" customFormat="1" ht="14.25" customHeight="1">
      <c r="A22" s="280"/>
      <c r="B22" s="281"/>
      <c r="C22" s="280"/>
      <c r="D22" s="282"/>
      <c r="E22" s="282"/>
      <c r="F22" s="282"/>
      <c r="G22" s="283"/>
      <c r="H22" s="284"/>
      <c r="I22" s="285"/>
      <c r="J22" s="279"/>
      <c r="K22" s="286"/>
    </row>
    <row r="23" spans="1:11" s="287" customFormat="1" ht="14.25" customHeight="1">
      <c r="A23" s="280"/>
      <c r="B23" s="281"/>
      <c r="C23" s="280"/>
      <c r="D23" s="282"/>
      <c r="E23" s="282"/>
      <c r="F23" s="282"/>
      <c r="G23" s="283"/>
      <c r="H23" s="284"/>
      <c r="I23" s="285"/>
      <c r="J23" s="279"/>
      <c r="K23" s="286"/>
    </row>
    <row r="24" spans="1:11" s="287" customFormat="1" ht="14.25" customHeight="1">
      <c r="A24" s="280"/>
      <c r="B24" s="281"/>
      <c r="C24" s="280"/>
      <c r="D24" s="282"/>
      <c r="E24" s="282"/>
      <c r="F24" s="282"/>
      <c r="G24" s="283"/>
      <c r="H24" s="284"/>
      <c r="I24" s="285"/>
      <c r="J24" s="279"/>
      <c r="K24" s="286"/>
    </row>
    <row r="25" spans="1:11" s="287" customFormat="1" ht="14.25" customHeight="1">
      <c r="A25" s="280"/>
      <c r="B25" s="281"/>
      <c r="C25" s="280"/>
      <c r="D25" s="282"/>
      <c r="E25" s="282"/>
      <c r="F25" s="282"/>
      <c r="G25" s="283"/>
      <c r="H25" s="284"/>
      <c r="I25" s="285"/>
      <c r="J25" s="279"/>
      <c r="K25" s="286"/>
    </row>
    <row r="26" spans="1:11" s="287" customFormat="1" ht="14.25" customHeight="1">
      <c r="A26" s="280"/>
      <c r="B26" s="281"/>
      <c r="C26" s="280"/>
      <c r="D26" s="282"/>
      <c r="E26" s="282"/>
      <c r="F26" s="282"/>
      <c r="G26" s="283"/>
      <c r="H26" s="284"/>
      <c r="I26" s="285"/>
      <c r="J26" s="279"/>
      <c r="K26" s="286"/>
    </row>
    <row r="27" spans="1:11" s="278" customFormat="1" ht="14.25">
      <c r="A27" s="271"/>
      <c r="B27" s="272"/>
      <c r="C27" s="273"/>
      <c r="D27" s="274"/>
      <c r="E27" s="275"/>
      <c r="F27" s="275"/>
      <c r="G27" s="289"/>
      <c r="H27" s="276"/>
      <c r="I27" s="270"/>
      <c r="J27" s="277"/>
      <c r="K27" s="275"/>
    </row>
    <row r="28" spans="1:11" s="278" customFormat="1" ht="14.25">
      <c r="A28" s="271"/>
      <c r="B28" s="272"/>
      <c r="C28" s="273"/>
      <c r="D28" s="274"/>
      <c r="E28" s="275"/>
      <c r="F28" s="275"/>
      <c r="G28" s="289"/>
      <c r="H28" s="276"/>
      <c r="I28" s="270"/>
      <c r="J28" s="277"/>
      <c r="K28" s="275"/>
    </row>
    <row r="29" spans="1:11" s="278" customFormat="1" ht="14.25">
      <c r="A29" s="271"/>
      <c r="B29" s="272"/>
      <c r="C29" s="273"/>
      <c r="D29" s="274"/>
      <c r="E29" s="275"/>
      <c r="F29" s="275"/>
      <c r="G29" s="289"/>
      <c r="H29" s="276"/>
      <c r="I29" s="270"/>
      <c r="J29" s="277"/>
      <c r="K29" s="275"/>
    </row>
    <row r="33" spans="1:2" ht="66" customHeight="1">
      <c r="A33" s="1116"/>
      <c r="B33" s="1116"/>
    </row>
    <row r="977" spans="1:11" s="287" customFormat="1" ht="14.25" customHeight="1">
      <c r="A977" s="280" t="s">
        <v>841</v>
      </c>
      <c r="B977" s="281"/>
      <c r="C977" s="280" t="s">
        <v>449</v>
      </c>
      <c r="D977" s="282"/>
      <c r="E977" s="282" t="s">
        <v>842</v>
      </c>
      <c r="F977" s="282" t="s">
        <v>843</v>
      </c>
      <c r="G977" s="283">
        <v>21563</v>
      </c>
      <c r="H977" s="290">
        <v>42278</v>
      </c>
      <c r="I977" s="291">
        <v>42345</v>
      </c>
      <c r="J977" s="340">
        <v>44.54</v>
      </c>
      <c r="K977" s="286"/>
    </row>
    <row r="978" spans="1:11" s="287" customFormat="1" ht="14.25" customHeight="1">
      <c r="A978" s="280" t="s">
        <v>844</v>
      </c>
      <c r="B978" s="281"/>
      <c r="C978" s="280" t="s">
        <v>459</v>
      </c>
      <c r="D978" s="282"/>
      <c r="E978" s="282" t="s">
        <v>842</v>
      </c>
      <c r="F978" s="282" t="s">
        <v>843</v>
      </c>
      <c r="G978" s="283">
        <v>21563</v>
      </c>
      <c r="H978" s="290">
        <v>42278</v>
      </c>
      <c r="I978" s="291">
        <v>42345</v>
      </c>
      <c r="J978" s="340">
        <v>89.08</v>
      </c>
      <c r="K978" s="286"/>
    </row>
    <row r="979" spans="1:11" s="287" customFormat="1" ht="14.25">
      <c r="A979" s="280" t="s">
        <v>845</v>
      </c>
      <c r="B979" s="281"/>
      <c r="C979" s="280" t="s">
        <v>458</v>
      </c>
      <c r="D979" s="282"/>
      <c r="E979" s="282" t="s">
        <v>842</v>
      </c>
      <c r="F979" s="282" t="s">
        <v>843</v>
      </c>
      <c r="G979" s="283">
        <v>21563</v>
      </c>
      <c r="H979" s="290">
        <v>42278</v>
      </c>
      <c r="I979" s="291">
        <v>42345</v>
      </c>
      <c r="J979" s="340">
        <v>133.62</v>
      </c>
      <c r="K979" s="286"/>
    </row>
    <row r="980" spans="1:11" s="287" customFormat="1" ht="14.25">
      <c r="A980" s="280" t="s">
        <v>846</v>
      </c>
      <c r="B980" s="281"/>
      <c r="C980" s="280" t="s">
        <v>454</v>
      </c>
      <c r="D980" s="282"/>
      <c r="E980" s="282" t="s">
        <v>842</v>
      </c>
      <c r="F980" s="282" t="s">
        <v>843</v>
      </c>
      <c r="G980" s="283">
        <v>21563</v>
      </c>
      <c r="H980" s="290">
        <v>42278</v>
      </c>
      <c r="I980" s="291">
        <v>42345</v>
      </c>
      <c r="J980" s="340">
        <v>89.08</v>
      </c>
      <c r="K980" s="286"/>
    </row>
    <row r="981" spans="1:11" s="287" customFormat="1" ht="14.25">
      <c r="A981" s="280" t="s">
        <v>847</v>
      </c>
      <c r="B981" s="281"/>
      <c r="C981" s="280" t="s">
        <v>456</v>
      </c>
      <c r="D981" s="282"/>
      <c r="E981" s="282" t="s">
        <v>842</v>
      </c>
      <c r="F981" s="282" t="s">
        <v>843</v>
      </c>
      <c r="G981" s="283">
        <v>21563</v>
      </c>
      <c r="H981" s="290">
        <v>42278</v>
      </c>
      <c r="I981" s="291">
        <v>42345</v>
      </c>
      <c r="J981" s="340">
        <v>89.08</v>
      </c>
      <c r="K981" s="286"/>
    </row>
    <row r="982" spans="1:11" s="287" customFormat="1" ht="14.25">
      <c r="A982" s="280" t="s">
        <v>848</v>
      </c>
      <c r="B982" s="281"/>
      <c r="C982" s="280" t="s">
        <v>719</v>
      </c>
      <c r="D982" s="282"/>
      <c r="E982" s="282" t="s">
        <v>842</v>
      </c>
      <c r="F982" s="282" t="s">
        <v>843</v>
      </c>
      <c r="G982" s="283">
        <v>21563</v>
      </c>
      <c r="H982" s="290">
        <v>42278</v>
      </c>
      <c r="I982" s="291">
        <v>42345</v>
      </c>
      <c r="J982" s="340">
        <v>44.54</v>
      </c>
      <c r="K982" s="286"/>
    </row>
    <row r="983" spans="1:11" s="287" customFormat="1" ht="14.25">
      <c r="A983" s="280" t="s">
        <v>849</v>
      </c>
      <c r="B983" s="281"/>
      <c r="C983" s="280" t="s">
        <v>460</v>
      </c>
      <c r="D983" s="282"/>
      <c r="E983" s="282" t="s">
        <v>842</v>
      </c>
      <c r="F983" s="282" t="s">
        <v>843</v>
      </c>
      <c r="G983" s="283">
        <v>21563</v>
      </c>
      <c r="H983" s="290">
        <v>42278</v>
      </c>
      <c r="I983" s="291">
        <v>42345</v>
      </c>
      <c r="J983" s="340">
        <v>133.62</v>
      </c>
      <c r="K983" s="286"/>
    </row>
    <row r="984" spans="1:11" s="287" customFormat="1" ht="14.25">
      <c r="A984" s="280" t="s">
        <v>850</v>
      </c>
      <c r="B984" s="281"/>
      <c r="C984" s="280" t="s">
        <v>461</v>
      </c>
      <c r="D984" s="282"/>
      <c r="E984" s="282" t="s">
        <v>842</v>
      </c>
      <c r="F984" s="282" t="s">
        <v>843</v>
      </c>
      <c r="G984" s="283">
        <v>21563</v>
      </c>
      <c r="H984" s="290">
        <v>42278</v>
      </c>
      <c r="I984" s="291">
        <v>42345</v>
      </c>
      <c r="J984" s="340">
        <v>89.08</v>
      </c>
      <c r="K984" s="286"/>
    </row>
    <row r="985" spans="1:11" s="287" customFormat="1" ht="14.25">
      <c r="A985" s="280" t="s">
        <v>851</v>
      </c>
      <c r="B985" s="281"/>
      <c r="C985" s="280" t="s">
        <v>465</v>
      </c>
      <c r="D985" s="282"/>
      <c r="E985" s="282" t="s">
        <v>842</v>
      </c>
      <c r="F985" s="282" t="s">
        <v>843</v>
      </c>
      <c r="G985" s="283">
        <v>21563</v>
      </c>
      <c r="H985" s="290">
        <v>42278</v>
      </c>
      <c r="I985" s="291">
        <v>42345</v>
      </c>
      <c r="J985" s="340">
        <v>89.08</v>
      </c>
      <c r="K985" s="286"/>
    </row>
    <row r="986" spans="1:11" s="287" customFormat="1" ht="14.25">
      <c r="A986" s="280" t="s">
        <v>852</v>
      </c>
      <c r="B986" s="281"/>
      <c r="C986" s="280" t="s">
        <v>449</v>
      </c>
      <c r="D986" s="282"/>
      <c r="E986" s="282" t="s">
        <v>842</v>
      </c>
      <c r="F986" s="282" t="s">
        <v>843</v>
      </c>
      <c r="G986" s="283">
        <v>21563</v>
      </c>
      <c r="H986" s="290">
        <v>42278</v>
      </c>
      <c r="I986" s="291">
        <v>42345</v>
      </c>
      <c r="J986" s="340">
        <v>133.62</v>
      </c>
      <c r="K986" s="286"/>
    </row>
    <row r="987" spans="1:11" s="287" customFormat="1" ht="14.25">
      <c r="A987" s="280" t="s">
        <v>853</v>
      </c>
      <c r="B987" s="281"/>
      <c r="C987" s="280" t="s">
        <v>449</v>
      </c>
      <c r="D987" s="282"/>
      <c r="E987" s="282" t="s">
        <v>842</v>
      </c>
      <c r="F987" s="282" t="s">
        <v>843</v>
      </c>
      <c r="G987" s="283">
        <v>21563</v>
      </c>
      <c r="H987" s="290">
        <v>42278</v>
      </c>
      <c r="I987" s="291">
        <v>42345</v>
      </c>
      <c r="J987" s="340">
        <v>44.54</v>
      </c>
      <c r="K987" s="286"/>
    </row>
    <row r="988" spans="1:11" s="287" customFormat="1" ht="14.25">
      <c r="A988" s="280" t="s">
        <v>854</v>
      </c>
      <c r="B988" s="281"/>
      <c r="C988" s="280" t="s">
        <v>449</v>
      </c>
      <c r="D988" s="282"/>
      <c r="E988" s="282" t="s">
        <v>842</v>
      </c>
      <c r="F988" s="282" t="s">
        <v>843</v>
      </c>
      <c r="G988" s="283">
        <v>21563</v>
      </c>
      <c r="H988" s="290">
        <v>42278</v>
      </c>
      <c r="I988" s="291">
        <v>42345</v>
      </c>
      <c r="J988" s="340">
        <v>44.54</v>
      </c>
      <c r="K988" s="288"/>
    </row>
    <row r="989" spans="1:11" s="288" customFormat="1" ht="15">
      <c r="J989" s="335">
        <v>1024.42</v>
      </c>
    </row>
    <row r="1100" spans="1:11" s="287" customFormat="1" ht="14.25" customHeight="1">
      <c r="A1100" s="280" t="s">
        <v>841</v>
      </c>
      <c r="B1100" s="281"/>
      <c r="C1100" s="280" t="s">
        <v>449</v>
      </c>
      <c r="D1100" s="282"/>
      <c r="E1100" s="282" t="s">
        <v>842</v>
      </c>
      <c r="F1100" s="282" t="s">
        <v>843</v>
      </c>
      <c r="G1100" s="283">
        <v>21245</v>
      </c>
      <c r="H1100" s="290">
        <v>42248</v>
      </c>
      <c r="I1100" s="291">
        <v>42317</v>
      </c>
      <c r="J1100" s="279">
        <v>45.53</v>
      </c>
      <c r="K1100" s="286"/>
    </row>
    <row r="3017" spans="1:11" s="287" customFormat="1" ht="14.25" customHeight="1">
      <c r="A3017" s="280" t="s">
        <v>841</v>
      </c>
      <c r="B3017" s="281"/>
      <c r="C3017" s="280" t="s">
        <v>449</v>
      </c>
      <c r="D3017" s="282"/>
      <c r="E3017" s="282" t="s">
        <v>842</v>
      </c>
      <c r="F3017" s="282" t="s">
        <v>843</v>
      </c>
      <c r="G3017" s="283">
        <v>21245</v>
      </c>
      <c r="H3017" s="290">
        <v>42248</v>
      </c>
      <c r="I3017" s="291">
        <v>42317</v>
      </c>
      <c r="J3017" s="279">
        <v>45.53</v>
      </c>
      <c r="K3017" s="286"/>
    </row>
    <row r="3018" spans="1:11" s="287" customFormat="1" ht="14.25" customHeight="1">
      <c r="A3018" s="280" t="s">
        <v>844</v>
      </c>
      <c r="B3018" s="281"/>
      <c r="C3018" s="280" t="s">
        <v>459</v>
      </c>
      <c r="D3018" s="282"/>
      <c r="E3018" s="282" t="s">
        <v>842</v>
      </c>
      <c r="F3018" s="282" t="s">
        <v>843</v>
      </c>
      <c r="G3018" s="283">
        <v>21245</v>
      </c>
      <c r="H3018" s="290">
        <v>42248</v>
      </c>
      <c r="I3018" s="291">
        <v>42317</v>
      </c>
      <c r="J3018" s="279">
        <v>91.06</v>
      </c>
      <c r="K3018" s="286"/>
    </row>
    <row r="3019" spans="1:11" s="287" customFormat="1" ht="14.25">
      <c r="A3019" s="280" t="s">
        <v>845</v>
      </c>
      <c r="B3019" s="281"/>
      <c r="C3019" s="280" t="s">
        <v>458</v>
      </c>
      <c r="D3019" s="282"/>
      <c r="E3019" s="282" t="s">
        <v>842</v>
      </c>
      <c r="F3019" s="282" t="s">
        <v>843</v>
      </c>
      <c r="G3019" s="283">
        <v>21245</v>
      </c>
      <c r="H3019" s="290">
        <v>42248</v>
      </c>
      <c r="I3019" s="291">
        <v>42317</v>
      </c>
      <c r="J3019" s="279">
        <v>136.59</v>
      </c>
      <c r="K3019" s="286"/>
    </row>
    <row r="3020" spans="1:11" s="287" customFormat="1" ht="14.25">
      <c r="A3020" s="280" t="s">
        <v>846</v>
      </c>
      <c r="B3020" s="281"/>
      <c r="C3020" s="280" t="s">
        <v>454</v>
      </c>
      <c r="D3020" s="282"/>
      <c r="E3020" s="282" t="s">
        <v>842</v>
      </c>
      <c r="F3020" s="282" t="s">
        <v>843</v>
      </c>
      <c r="G3020" s="283">
        <v>21245</v>
      </c>
      <c r="H3020" s="290">
        <v>42248</v>
      </c>
      <c r="I3020" s="291">
        <v>42317</v>
      </c>
      <c r="J3020" s="279">
        <v>91.06</v>
      </c>
      <c r="K3020" s="286"/>
    </row>
    <row r="3021" spans="1:11" s="287" customFormat="1" ht="14.25">
      <c r="A3021" s="280" t="s">
        <v>847</v>
      </c>
      <c r="B3021" s="281"/>
      <c r="C3021" s="280" t="s">
        <v>456</v>
      </c>
      <c r="D3021" s="282"/>
      <c r="E3021" s="282" t="s">
        <v>842</v>
      </c>
      <c r="F3021" s="282" t="s">
        <v>843</v>
      </c>
      <c r="G3021" s="283">
        <v>21245</v>
      </c>
      <c r="H3021" s="290">
        <v>42248</v>
      </c>
      <c r="I3021" s="291">
        <v>42317</v>
      </c>
      <c r="J3021" s="279">
        <v>91.06</v>
      </c>
      <c r="K3021" s="286"/>
    </row>
    <row r="3022" spans="1:11" s="287" customFormat="1" ht="14.25">
      <c r="A3022" s="280" t="s">
        <v>848</v>
      </c>
      <c r="B3022" s="281"/>
      <c r="C3022" s="280" t="s">
        <v>719</v>
      </c>
      <c r="D3022" s="282"/>
      <c r="E3022" s="282" t="s">
        <v>842</v>
      </c>
      <c r="F3022" s="282" t="s">
        <v>843</v>
      </c>
      <c r="G3022" s="283">
        <v>21245</v>
      </c>
      <c r="H3022" s="290">
        <v>42248</v>
      </c>
      <c r="I3022" s="291">
        <v>42317</v>
      </c>
      <c r="J3022" s="279">
        <v>45.53</v>
      </c>
      <c r="K3022" s="286"/>
    </row>
    <row r="3023" spans="1:11" s="287" customFormat="1" ht="14.25">
      <c r="A3023" s="280" t="s">
        <v>849</v>
      </c>
      <c r="B3023" s="281"/>
      <c r="C3023" s="280" t="s">
        <v>460</v>
      </c>
      <c r="D3023" s="282"/>
      <c r="E3023" s="282" t="s">
        <v>842</v>
      </c>
      <c r="F3023" s="282" t="s">
        <v>843</v>
      </c>
      <c r="G3023" s="283">
        <v>21245</v>
      </c>
      <c r="H3023" s="290">
        <v>42248</v>
      </c>
      <c r="I3023" s="291">
        <v>42317</v>
      </c>
      <c r="J3023" s="279">
        <v>136.59</v>
      </c>
      <c r="K3023" s="286"/>
    </row>
    <row r="3024" spans="1:11" s="287" customFormat="1" ht="14.25">
      <c r="A3024" s="280" t="s">
        <v>850</v>
      </c>
      <c r="B3024" s="281"/>
      <c r="C3024" s="280" t="s">
        <v>461</v>
      </c>
      <c r="D3024" s="282"/>
      <c r="E3024" s="282" t="s">
        <v>842</v>
      </c>
      <c r="F3024" s="282" t="s">
        <v>843</v>
      </c>
      <c r="G3024" s="283">
        <v>21245</v>
      </c>
      <c r="H3024" s="290">
        <v>42248</v>
      </c>
      <c r="I3024" s="291">
        <v>42317</v>
      </c>
      <c r="J3024" s="279">
        <v>91.06</v>
      </c>
      <c r="K3024" s="286"/>
    </row>
    <row r="3025" spans="1:12" s="287" customFormat="1" ht="14.25">
      <c r="A3025" s="280" t="s">
        <v>851</v>
      </c>
      <c r="B3025" s="281"/>
      <c r="C3025" s="280" t="s">
        <v>465</v>
      </c>
      <c r="D3025" s="282"/>
      <c r="E3025" s="282" t="s">
        <v>842</v>
      </c>
      <c r="F3025" s="282" t="s">
        <v>843</v>
      </c>
      <c r="G3025" s="283">
        <v>21245</v>
      </c>
      <c r="H3025" s="290">
        <v>42248</v>
      </c>
      <c r="I3025" s="291">
        <v>42317</v>
      </c>
      <c r="J3025" s="279">
        <v>91.06</v>
      </c>
      <c r="K3025" s="286"/>
    </row>
    <row r="3026" spans="1:12" s="287" customFormat="1" ht="14.25">
      <c r="A3026" s="280" t="s">
        <v>852</v>
      </c>
      <c r="B3026" s="281"/>
      <c r="C3026" s="280" t="s">
        <v>449</v>
      </c>
      <c r="D3026" s="282"/>
      <c r="E3026" s="282" t="s">
        <v>842</v>
      </c>
      <c r="F3026" s="282" t="s">
        <v>843</v>
      </c>
      <c r="G3026" s="283">
        <v>21245</v>
      </c>
      <c r="H3026" s="290">
        <v>42248</v>
      </c>
      <c r="I3026" s="291">
        <v>42317</v>
      </c>
      <c r="J3026" s="279">
        <v>136.59</v>
      </c>
      <c r="K3026" s="286"/>
    </row>
    <row r="3027" spans="1:12" s="287" customFormat="1" ht="14.25">
      <c r="A3027" s="280" t="s">
        <v>853</v>
      </c>
      <c r="B3027" s="281"/>
      <c r="C3027" s="280" t="s">
        <v>449</v>
      </c>
      <c r="D3027" s="282"/>
      <c r="E3027" s="282" t="s">
        <v>842</v>
      </c>
      <c r="F3027" s="282" t="s">
        <v>843</v>
      </c>
      <c r="G3027" s="283">
        <v>21245</v>
      </c>
      <c r="H3027" s="290">
        <v>42248</v>
      </c>
      <c r="I3027" s="291">
        <v>42317</v>
      </c>
      <c r="J3027" s="279">
        <v>45.53</v>
      </c>
      <c r="K3027" s="286"/>
    </row>
    <row r="3028" spans="1:12" s="287" customFormat="1" ht="14.25">
      <c r="A3028" s="280" t="s">
        <v>854</v>
      </c>
      <c r="B3028" s="281"/>
      <c r="C3028" s="280" t="s">
        <v>449</v>
      </c>
      <c r="D3028" s="282"/>
      <c r="E3028" s="282" t="s">
        <v>842</v>
      </c>
      <c r="F3028" s="282" t="s">
        <v>843</v>
      </c>
      <c r="G3028" s="283">
        <v>21245</v>
      </c>
      <c r="H3028" s="290">
        <v>42248</v>
      </c>
      <c r="I3028" s="291">
        <v>42317</v>
      </c>
      <c r="J3028" s="279">
        <v>45.53</v>
      </c>
      <c r="K3028" s="288"/>
    </row>
    <row r="3029" spans="1:12" s="288" customFormat="1" ht="15">
      <c r="J3029" s="335">
        <v>1047.19</v>
      </c>
    </row>
    <row r="3030" spans="1:12" ht="114">
      <c r="A3030" s="89" t="s">
        <v>855</v>
      </c>
      <c r="B3030" s="237">
        <v>112120106000</v>
      </c>
      <c r="C3030" s="89" t="s">
        <v>459</v>
      </c>
      <c r="D3030" s="89"/>
      <c r="E3030" s="236" t="s">
        <v>856</v>
      </c>
      <c r="F3030" s="236" t="s">
        <v>422</v>
      </c>
      <c r="G3030" s="236" t="s">
        <v>857</v>
      </c>
      <c r="H3030" s="238">
        <v>42278</v>
      </c>
      <c r="I3030" s="235">
        <v>42333</v>
      </c>
      <c r="J3030" s="136">
        <v>645</v>
      </c>
      <c r="K3030" s="89"/>
      <c r="L3030" s="89">
        <v>1</v>
      </c>
    </row>
    <row r="3031" spans="1:12" ht="114">
      <c r="A3031" s="89" t="s">
        <v>855</v>
      </c>
      <c r="B3031" s="237">
        <v>211010200000</v>
      </c>
      <c r="C3031" s="89" t="s">
        <v>459</v>
      </c>
      <c r="D3031" s="89"/>
      <c r="E3031" s="236" t="s">
        <v>856</v>
      </c>
      <c r="F3031" s="236" t="s">
        <v>426</v>
      </c>
      <c r="G3031" s="236" t="s">
        <v>858</v>
      </c>
      <c r="H3031" s="238">
        <v>42278</v>
      </c>
      <c r="I3031" s="235">
        <v>42333</v>
      </c>
      <c r="J3031" s="136">
        <v>-4.4800000000000004</v>
      </c>
      <c r="K3031" s="89"/>
      <c r="L3031" s="89">
        <v>1</v>
      </c>
    </row>
    <row r="3032" spans="1:12" ht="114">
      <c r="A3032" s="89" t="s">
        <v>859</v>
      </c>
      <c r="B3032" s="237">
        <v>112120106000</v>
      </c>
      <c r="C3032" s="89" t="s">
        <v>463</v>
      </c>
      <c r="D3032" s="89"/>
      <c r="E3032" s="236" t="s">
        <v>424</v>
      </c>
      <c r="F3032" s="236" t="s">
        <v>422</v>
      </c>
      <c r="G3032" s="236" t="s">
        <v>860</v>
      </c>
      <c r="H3032" s="238">
        <v>42278</v>
      </c>
      <c r="I3032" s="235">
        <v>42331</v>
      </c>
      <c r="J3032" s="136">
        <v>775</v>
      </c>
      <c r="K3032" s="89"/>
      <c r="L3032" s="89">
        <v>1</v>
      </c>
    </row>
    <row r="3033" spans="1:12" ht="114">
      <c r="A3033" s="89" t="s">
        <v>859</v>
      </c>
      <c r="B3033" s="237">
        <v>112120106000</v>
      </c>
      <c r="C3033" s="89" t="s">
        <v>463</v>
      </c>
      <c r="D3033" s="89"/>
      <c r="E3033" s="236" t="s">
        <v>424</v>
      </c>
      <c r="F3033" s="236" t="s">
        <v>422</v>
      </c>
      <c r="G3033" s="236" t="s">
        <v>861</v>
      </c>
      <c r="H3033" s="238">
        <v>42278</v>
      </c>
      <c r="I3033" s="235">
        <v>42331</v>
      </c>
      <c r="J3033" s="136">
        <v>356.5</v>
      </c>
      <c r="K3033" s="89"/>
      <c r="L3033" s="89">
        <v>1</v>
      </c>
    </row>
    <row r="3034" spans="1:12" ht="114">
      <c r="A3034" s="89" t="s">
        <v>862</v>
      </c>
      <c r="B3034" s="237">
        <v>112120201040</v>
      </c>
      <c r="C3034" s="89" t="s">
        <v>459</v>
      </c>
      <c r="D3034" s="89"/>
      <c r="E3034" s="236" t="s">
        <v>405</v>
      </c>
      <c r="F3034" s="236" t="s">
        <v>863</v>
      </c>
      <c r="G3034" s="236" t="s">
        <v>864</v>
      </c>
      <c r="H3034" s="238">
        <v>42278</v>
      </c>
      <c r="I3034" s="235">
        <v>42314</v>
      </c>
      <c r="J3034" s="136">
        <v>400</v>
      </c>
      <c r="K3034" s="89"/>
      <c r="L3034" s="89">
        <v>1</v>
      </c>
    </row>
    <row r="3035" spans="1:12" ht="128.25">
      <c r="A3035" s="89" t="s">
        <v>865</v>
      </c>
      <c r="B3035" s="237"/>
      <c r="C3035" s="89" t="s">
        <v>465</v>
      </c>
      <c r="D3035" s="89"/>
      <c r="E3035" s="236" t="s">
        <v>866</v>
      </c>
      <c r="F3035" s="236" t="s">
        <v>863</v>
      </c>
      <c r="G3035" s="236" t="s">
        <v>867</v>
      </c>
      <c r="H3035" s="238">
        <v>42278</v>
      </c>
      <c r="I3035" s="235">
        <v>42321</v>
      </c>
      <c r="J3035" s="136">
        <v>360</v>
      </c>
      <c r="K3035" s="89"/>
      <c r="L3035" s="89">
        <v>1</v>
      </c>
    </row>
    <row r="3036" spans="1:12" ht="57">
      <c r="A3036" s="89" t="s">
        <v>868</v>
      </c>
      <c r="B3036" s="237"/>
      <c r="C3036" s="89" t="s">
        <v>459</v>
      </c>
      <c r="D3036" s="89"/>
      <c r="E3036" s="236" t="s">
        <v>869</v>
      </c>
      <c r="F3036" s="236" t="s">
        <v>863</v>
      </c>
      <c r="G3036" s="236" t="s">
        <v>870</v>
      </c>
      <c r="H3036" s="238">
        <v>42248</v>
      </c>
      <c r="I3036" s="235">
        <v>42338</v>
      </c>
      <c r="J3036" s="136">
        <v>1829.97</v>
      </c>
      <c r="K3036" s="89"/>
      <c r="L3036" s="89">
        <v>1</v>
      </c>
    </row>
    <row r="3037" spans="1:12" ht="57">
      <c r="A3037" s="89" t="s">
        <v>871</v>
      </c>
      <c r="B3037" s="237"/>
      <c r="C3037" s="89" t="s">
        <v>458</v>
      </c>
      <c r="D3037" s="89"/>
      <c r="E3037" s="236" t="s">
        <v>869</v>
      </c>
      <c r="F3037" s="236" t="s">
        <v>863</v>
      </c>
      <c r="G3037" s="236" t="s">
        <v>870</v>
      </c>
      <c r="H3037" s="238">
        <v>42248</v>
      </c>
      <c r="I3037" s="235">
        <v>42338</v>
      </c>
      <c r="J3037" s="136">
        <v>2177.81</v>
      </c>
      <c r="K3037" s="89"/>
      <c r="L3037" s="89">
        <v>1</v>
      </c>
    </row>
    <row r="3038" spans="1:12" ht="57">
      <c r="A3038" s="89" t="s">
        <v>872</v>
      </c>
      <c r="B3038" s="237"/>
      <c r="C3038" s="89" t="s">
        <v>454</v>
      </c>
      <c r="D3038" s="89"/>
      <c r="E3038" s="236" t="s">
        <v>869</v>
      </c>
      <c r="F3038" s="236" t="s">
        <v>863</v>
      </c>
      <c r="G3038" s="236" t="s">
        <v>870</v>
      </c>
      <c r="H3038" s="238">
        <v>42248</v>
      </c>
      <c r="I3038" s="235">
        <v>42338</v>
      </c>
      <c r="J3038" s="136">
        <v>1243.92</v>
      </c>
      <c r="K3038" s="89"/>
      <c r="L3038" s="89">
        <v>1</v>
      </c>
    </row>
    <row r="3039" spans="1:12" ht="57">
      <c r="A3039" s="89" t="s">
        <v>873</v>
      </c>
      <c r="B3039" s="237"/>
      <c r="C3039" s="89" t="s">
        <v>456</v>
      </c>
      <c r="D3039" s="89"/>
      <c r="E3039" s="236" t="s">
        <v>869</v>
      </c>
      <c r="F3039" s="236" t="s">
        <v>863</v>
      </c>
      <c r="G3039" s="236" t="s">
        <v>870</v>
      </c>
      <c r="H3039" s="238">
        <v>42248</v>
      </c>
      <c r="I3039" s="235">
        <v>42338</v>
      </c>
      <c r="J3039" s="136">
        <v>1005.72</v>
      </c>
      <c r="K3039" s="89"/>
      <c r="L3039" s="89">
        <v>1</v>
      </c>
    </row>
    <row r="3040" spans="1:12" ht="57">
      <c r="A3040" s="89" t="s">
        <v>874</v>
      </c>
      <c r="B3040" s="237"/>
      <c r="C3040" s="89" t="s">
        <v>719</v>
      </c>
      <c r="D3040" s="89"/>
      <c r="E3040" s="236" t="s">
        <v>869</v>
      </c>
      <c r="F3040" s="236" t="s">
        <v>863</v>
      </c>
      <c r="G3040" s="236" t="s">
        <v>870</v>
      </c>
      <c r="H3040" s="238">
        <v>42248</v>
      </c>
      <c r="I3040" s="235">
        <v>42338</v>
      </c>
      <c r="J3040" s="136">
        <v>3894.35</v>
      </c>
      <c r="K3040" s="89"/>
      <c r="L3040" s="89">
        <v>1</v>
      </c>
    </row>
    <row r="3041" spans="1:12" ht="57">
      <c r="A3041" s="89" t="s">
        <v>875</v>
      </c>
      <c r="B3041" s="237"/>
      <c r="C3041" s="89" t="s">
        <v>460</v>
      </c>
      <c r="D3041" s="89"/>
      <c r="E3041" s="236" t="s">
        <v>869</v>
      </c>
      <c r="F3041" s="236" t="s">
        <v>863</v>
      </c>
      <c r="G3041" s="236" t="s">
        <v>870</v>
      </c>
      <c r="H3041" s="238">
        <v>42248</v>
      </c>
      <c r="I3041" s="235">
        <v>42338</v>
      </c>
      <c r="J3041" s="136">
        <v>2495.41</v>
      </c>
      <c r="K3041" s="89"/>
      <c r="L3041" s="89">
        <v>1</v>
      </c>
    </row>
    <row r="3042" spans="1:12" ht="57">
      <c r="A3042" s="89" t="s">
        <v>876</v>
      </c>
      <c r="B3042" s="237"/>
      <c r="C3042" s="89" t="s">
        <v>461</v>
      </c>
      <c r="D3042" s="89"/>
      <c r="E3042" s="236" t="s">
        <v>869</v>
      </c>
      <c r="F3042" s="236" t="s">
        <v>863</v>
      </c>
      <c r="G3042" s="236" t="s">
        <v>870</v>
      </c>
      <c r="H3042" s="238">
        <v>42248</v>
      </c>
      <c r="I3042" s="235">
        <v>42338</v>
      </c>
      <c r="J3042" s="136">
        <v>2760.07</v>
      </c>
      <c r="K3042" s="89"/>
      <c r="L3042" s="89">
        <v>1</v>
      </c>
    </row>
    <row r="3043" spans="1:12" ht="57">
      <c r="A3043" s="89" t="s">
        <v>877</v>
      </c>
      <c r="B3043" s="237"/>
      <c r="C3043" s="89" t="s">
        <v>463</v>
      </c>
      <c r="D3043" s="89"/>
      <c r="E3043" s="236" t="s">
        <v>869</v>
      </c>
      <c r="F3043" s="236" t="s">
        <v>863</v>
      </c>
      <c r="G3043" s="236" t="s">
        <v>870</v>
      </c>
      <c r="H3043" s="238">
        <v>42248</v>
      </c>
      <c r="I3043" s="235">
        <v>42338</v>
      </c>
      <c r="J3043" s="136">
        <v>1525.22</v>
      </c>
      <c r="K3043" s="89"/>
      <c r="L3043" s="89">
        <v>1</v>
      </c>
    </row>
    <row r="3044" spans="1:12" ht="57">
      <c r="A3044" s="89" t="s">
        <v>878</v>
      </c>
      <c r="B3044" s="237"/>
      <c r="C3044" s="89" t="s">
        <v>465</v>
      </c>
      <c r="D3044" s="89"/>
      <c r="E3044" s="236" t="s">
        <v>869</v>
      </c>
      <c r="F3044" s="236" t="s">
        <v>863</v>
      </c>
      <c r="G3044" s="236" t="s">
        <v>870</v>
      </c>
      <c r="H3044" s="238">
        <v>42248</v>
      </c>
      <c r="I3044" s="235">
        <v>42338</v>
      </c>
      <c r="J3044" s="136">
        <v>2873.5</v>
      </c>
      <c r="K3044" s="89"/>
      <c r="L3044" s="89">
        <v>1</v>
      </c>
    </row>
    <row r="3045" spans="1:12" ht="57">
      <c r="A3045" s="89" t="s">
        <v>879</v>
      </c>
      <c r="B3045" s="237"/>
      <c r="C3045" s="89" t="s">
        <v>466</v>
      </c>
      <c r="D3045" s="89"/>
      <c r="E3045" s="236" t="s">
        <v>869</v>
      </c>
      <c r="F3045" s="236" t="s">
        <v>863</v>
      </c>
      <c r="G3045" s="236" t="s">
        <v>870</v>
      </c>
      <c r="H3045" s="238">
        <v>42248</v>
      </c>
      <c r="I3045" s="235">
        <v>42338</v>
      </c>
      <c r="J3045" s="136">
        <v>733.5</v>
      </c>
      <c r="K3045" s="89"/>
      <c r="L3045" s="89">
        <v>1</v>
      </c>
    </row>
    <row r="3046" spans="1:12" ht="57">
      <c r="A3046" s="89" t="s">
        <v>880</v>
      </c>
      <c r="B3046" s="237"/>
      <c r="C3046" s="89" t="s">
        <v>783</v>
      </c>
      <c r="D3046" s="89"/>
      <c r="E3046" s="236" t="s">
        <v>869</v>
      </c>
      <c r="F3046" s="236" t="s">
        <v>863</v>
      </c>
      <c r="G3046" s="236" t="s">
        <v>870</v>
      </c>
      <c r="H3046" s="238">
        <v>42248</v>
      </c>
      <c r="I3046" s="235">
        <v>42338</v>
      </c>
      <c r="J3046" s="136">
        <v>340.28</v>
      </c>
      <c r="K3046" s="89"/>
      <c r="L3046" s="89">
        <v>1</v>
      </c>
    </row>
    <row r="3047" spans="1:12" ht="57">
      <c r="A3047" s="89" t="s">
        <v>881</v>
      </c>
      <c r="B3047" s="237"/>
      <c r="C3047" s="89" t="s">
        <v>794</v>
      </c>
      <c r="D3047" s="89"/>
      <c r="E3047" s="236" t="s">
        <v>869</v>
      </c>
      <c r="F3047" s="236" t="s">
        <v>863</v>
      </c>
      <c r="G3047" s="236" t="s">
        <v>870</v>
      </c>
      <c r="H3047" s="238">
        <v>42248</v>
      </c>
      <c r="I3047" s="235">
        <v>42338</v>
      </c>
      <c r="J3047" s="136">
        <v>302.47000000000003</v>
      </c>
      <c r="K3047" s="89"/>
      <c r="L3047" s="89">
        <v>1</v>
      </c>
    </row>
    <row r="3048" spans="1:12" ht="57">
      <c r="A3048" s="89" t="s">
        <v>882</v>
      </c>
      <c r="B3048" s="237"/>
      <c r="C3048" s="89" t="s">
        <v>789</v>
      </c>
      <c r="D3048" s="89"/>
      <c r="E3048" s="236" t="s">
        <v>869</v>
      </c>
      <c r="F3048" s="236" t="s">
        <v>863</v>
      </c>
      <c r="G3048" s="236" t="s">
        <v>870</v>
      </c>
      <c r="H3048" s="238">
        <v>42248</v>
      </c>
      <c r="I3048" s="235">
        <v>42338</v>
      </c>
      <c r="J3048" s="136">
        <v>139.88999999999999</v>
      </c>
      <c r="K3048" s="89"/>
      <c r="L3048" s="89">
        <v>1</v>
      </c>
    </row>
    <row r="3049" spans="1:12" ht="57">
      <c r="A3049" s="89" t="s">
        <v>883</v>
      </c>
      <c r="B3049" s="237"/>
      <c r="C3049" s="89" t="s">
        <v>799</v>
      </c>
      <c r="D3049" s="89"/>
      <c r="E3049" s="236" t="s">
        <v>869</v>
      </c>
      <c r="F3049" s="236" t="s">
        <v>863</v>
      </c>
      <c r="G3049" s="236" t="s">
        <v>870</v>
      </c>
      <c r="H3049" s="238">
        <v>42248</v>
      </c>
      <c r="I3049" s="235">
        <v>42338</v>
      </c>
      <c r="J3049" s="136">
        <v>41.59</v>
      </c>
      <c r="K3049" s="89"/>
      <c r="L3049" s="89">
        <v>1</v>
      </c>
    </row>
    <row r="3050" spans="1:12" ht="57">
      <c r="A3050" s="89" t="s">
        <v>884</v>
      </c>
      <c r="B3050" s="237"/>
      <c r="C3050" s="89" t="s">
        <v>506</v>
      </c>
      <c r="D3050" s="89"/>
      <c r="E3050" s="236" t="s">
        <v>869</v>
      </c>
      <c r="F3050" s="236" t="s">
        <v>863</v>
      </c>
      <c r="G3050" s="236" t="s">
        <v>870</v>
      </c>
      <c r="H3050" s="238">
        <v>42248</v>
      </c>
      <c r="I3050" s="235">
        <v>42338</v>
      </c>
      <c r="J3050" s="136">
        <v>163.34</v>
      </c>
      <c r="K3050" s="89"/>
      <c r="L3050" s="89">
        <v>1</v>
      </c>
    </row>
    <row r="3051" spans="1:12" ht="57">
      <c r="A3051" s="89" t="s">
        <v>885</v>
      </c>
      <c r="B3051" s="237"/>
      <c r="C3051" s="89" t="s">
        <v>472</v>
      </c>
      <c r="D3051" s="89"/>
      <c r="E3051" s="236" t="s">
        <v>869</v>
      </c>
      <c r="F3051" s="236" t="s">
        <v>863</v>
      </c>
      <c r="G3051" s="236" t="s">
        <v>870</v>
      </c>
      <c r="H3051" s="238">
        <v>42248</v>
      </c>
      <c r="I3051" s="235">
        <v>42338</v>
      </c>
      <c r="J3051" s="136">
        <v>15.12</v>
      </c>
      <c r="K3051" s="89"/>
      <c r="L3051" s="89">
        <v>1</v>
      </c>
    </row>
    <row r="3052" spans="1:12" ht="57">
      <c r="A3052" s="89" t="s">
        <v>886</v>
      </c>
      <c r="B3052" s="237"/>
      <c r="C3052" s="89" t="s">
        <v>474</v>
      </c>
      <c r="D3052" s="89"/>
      <c r="E3052" s="236" t="s">
        <v>869</v>
      </c>
      <c r="F3052" s="236" t="s">
        <v>863</v>
      </c>
      <c r="G3052" s="236" t="s">
        <v>870</v>
      </c>
      <c r="H3052" s="238">
        <v>42248</v>
      </c>
      <c r="I3052" s="235">
        <v>42338</v>
      </c>
      <c r="J3052" s="136">
        <v>24.2</v>
      </c>
      <c r="K3052" s="89"/>
      <c r="L3052" s="89">
        <v>1</v>
      </c>
    </row>
    <row r="3053" spans="1:12" ht="57">
      <c r="A3053" s="89" t="s">
        <v>887</v>
      </c>
      <c r="B3053" s="237"/>
      <c r="C3053" s="89" t="s">
        <v>496</v>
      </c>
      <c r="D3053" s="89"/>
      <c r="E3053" s="236" t="s">
        <v>869</v>
      </c>
      <c r="F3053" s="236" t="s">
        <v>863</v>
      </c>
      <c r="G3053" s="236" t="s">
        <v>870</v>
      </c>
      <c r="H3053" s="238">
        <v>42248</v>
      </c>
      <c r="I3053" s="235">
        <v>42338</v>
      </c>
      <c r="J3053" s="136">
        <v>22.69</v>
      </c>
      <c r="K3053" s="89"/>
      <c r="L3053" s="89">
        <v>1</v>
      </c>
    </row>
    <row r="3054" spans="1:12" ht="57">
      <c r="A3054" s="89" t="s">
        <v>888</v>
      </c>
      <c r="B3054" s="237"/>
      <c r="C3054" s="89" t="s">
        <v>837</v>
      </c>
      <c r="D3054" s="89"/>
      <c r="E3054" s="236" t="s">
        <v>869</v>
      </c>
      <c r="F3054" s="236" t="s">
        <v>863</v>
      </c>
      <c r="G3054" s="236" t="s">
        <v>870</v>
      </c>
      <c r="H3054" s="238">
        <v>42248</v>
      </c>
      <c r="I3054" s="235">
        <v>42338</v>
      </c>
      <c r="J3054" s="136">
        <v>12.1</v>
      </c>
      <c r="K3054" s="89"/>
      <c r="L3054" s="89">
        <v>1</v>
      </c>
    </row>
    <row r="3055" spans="1:12" ht="57">
      <c r="A3055" s="89" t="s">
        <v>889</v>
      </c>
      <c r="B3055" s="237"/>
      <c r="C3055" s="89" t="s">
        <v>476</v>
      </c>
      <c r="D3055" s="89"/>
      <c r="E3055" s="236" t="s">
        <v>869</v>
      </c>
      <c r="F3055" s="236" t="s">
        <v>863</v>
      </c>
      <c r="G3055" s="236" t="s">
        <v>870</v>
      </c>
      <c r="H3055" s="238">
        <v>42248</v>
      </c>
      <c r="I3055" s="235">
        <v>42338</v>
      </c>
      <c r="J3055" s="136">
        <v>5.29</v>
      </c>
      <c r="K3055" s="89"/>
      <c r="L3055" s="89">
        <v>1</v>
      </c>
    </row>
    <row r="3056" spans="1:12" ht="57">
      <c r="A3056" s="89" t="s">
        <v>890</v>
      </c>
      <c r="B3056" s="237"/>
      <c r="C3056" s="89" t="s">
        <v>829</v>
      </c>
      <c r="D3056" s="89"/>
      <c r="E3056" s="236" t="s">
        <v>869</v>
      </c>
      <c r="F3056" s="236" t="s">
        <v>863</v>
      </c>
      <c r="G3056" s="236" t="s">
        <v>870</v>
      </c>
      <c r="H3056" s="238">
        <v>42248</v>
      </c>
      <c r="I3056" s="235">
        <v>42338</v>
      </c>
      <c r="J3056" s="136">
        <v>0.38</v>
      </c>
      <c r="K3056" s="89"/>
      <c r="L3056" s="89">
        <v>1</v>
      </c>
    </row>
    <row r="3057" spans="1:12" ht="57">
      <c r="A3057" s="89" t="s">
        <v>891</v>
      </c>
      <c r="B3057" s="237"/>
      <c r="C3057" s="89" t="s">
        <v>502</v>
      </c>
      <c r="D3057" s="89"/>
      <c r="E3057" s="236" t="s">
        <v>869</v>
      </c>
      <c r="F3057" s="236" t="s">
        <v>863</v>
      </c>
      <c r="G3057" s="236" t="s">
        <v>870</v>
      </c>
      <c r="H3057" s="238">
        <v>42248</v>
      </c>
      <c r="I3057" s="235">
        <v>42338</v>
      </c>
      <c r="J3057" s="136">
        <v>29.49</v>
      </c>
      <c r="K3057" s="89"/>
      <c r="L3057" s="89">
        <v>1</v>
      </c>
    </row>
    <row r="3058" spans="1:12" ht="57">
      <c r="A3058" s="89" t="s">
        <v>892</v>
      </c>
      <c r="B3058" s="237"/>
      <c r="C3058" s="89" t="s">
        <v>822</v>
      </c>
      <c r="D3058" s="89"/>
      <c r="E3058" s="236" t="s">
        <v>869</v>
      </c>
      <c r="F3058" s="236" t="s">
        <v>863</v>
      </c>
      <c r="G3058" s="236" t="s">
        <v>870</v>
      </c>
      <c r="H3058" s="238">
        <v>42248</v>
      </c>
      <c r="I3058" s="235">
        <v>42338</v>
      </c>
      <c r="J3058" s="136">
        <v>9.83</v>
      </c>
      <c r="K3058" s="89"/>
      <c r="L3058" s="89">
        <v>1</v>
      </c>
    </row>
    <row r="3059" spans="1:12" ht="57">
      <c r="A3059" s="89" t="s">
        <v>893</v>
      </c>
      <c r="B3059" s="237"/>
      <c r="C3059" s="89" t="s">
        <v>826</v>
      </c>
      <c r="D3059" s="89"/>
      <c r="E3059" s="236" t="s">
        <v>869</v>
      </c>
      <c r="F3059" s="236" t="s">
        <v>863</v>
      </c>
      <c r="G3059" s="236" t="s">
        <v>870</v>
      </c>
      <c r="H3059" s="238">
        <v>42248</v>
      </c>
      <c r="I3059" s="235">
        <v>42338</v>
      </c>
      <c r="J3059" s="136">
        <v>15.12</v>
      </c>
      <c r="K3059" s="89"/>
      <c r="L3059" s="89">
        <v>1</v>
      </c>
    </row>
    <row r="3060" spans="1:12" ht="57">
      <c r="A3060" s="89" t="s">
        <v>894</v>
      </c>
      <c r="B3060" s="237"/>
      <c r="C3060" s="89" t="s">
        <v>486</v>
      </c>
      <c r="D3060" s="89"/>
      <c r="E3060" s="236" t="s">
        <v>869</v>
      </c>
      <c r="F3060" s="236" t="s">
        <v>863</v>
      </c>
      <c r="G3060" s="236" t="s">
        <v>870</v>
      </c>
      <c r="H3060" s="238">
        <v>42248</v>
      </c>
      <c r="I3060" s="235">
        <v>42338</v>
      </c>
      <c r="J3060" s="136">
        <v>21.17</v>
      </c>
      <c r="K3060" s="89"/>
      <c r="L3060" s="89">
        <v>1</v>
      </c>
    </row>
    <row r="3061" spans="1:12" ht="57">
      <c r="A3061" s="89" t="s">
        <v>895</v>
      </c>
      <c r="B3061" s="237"/>
      <c r="C3061" s="89" t="s">
        <v>833</v>
      </c>
      <c r="D3061" s="89"/>
      <c r="E3061" s="236" t="s">
        <v>869</v>
      </c>
      <c r="F3061" s="236" t="s">
        <v>863</v>
      </c>
      <c r="G3061" s="236" t="s">
        <v>870</v>
      </c>
      <c r="H3061" s="238">
        <v>42248</v>
      </c>
      <c r="I3061" s="235">
        <v>42338</v>
      </c>
      <c r="J3061" s="136">
        <v>5.29</v>
      </c>
      <c r="K3061" s="89"/>
      <c r="L3061" s="89">
        <v>1</v>
      </c>
    </row>
    <row r="3062" spans="1:12" ht="57">
      <c r="A3062" s="89" t="s">
        <v>896</v>
      </c>
      <c r="B3062" s="237"/>
      <c r="C3062" s="89" t="s">
        <v>518</v>
      </c>
      <c r="D3062" s="89"/>
      <c r="E3062" s="236" t="s">
        <v>869</v>
      </c>
      <c r="F3062" s="236" t="s">
        <v>863</v>
      </c>
      <c r="G3062" s="236" t="s">
        <v>870</v>
      </c>
      <c r="H3062" s="238">
        <v>42248</v>
      </c>
      <c r="I3062" s="235">
        <v>42338</v>
      </c>
      <c r="J3062" s="136">
        <v>1.51</v>
      </c>
      <c r="K3062" s="89"/>
      <c r="L3062" s="89">
        <v>1</v>
      </c>
    </row>
    <row r="3063" spans="1:12" ht="57">
      <c r="A3063" s="89" t="s">
        <v>897</v>
      </c>
      <c r="B3063" s="237"/>
      <c r="C3063" s="89" t="s">
        <v>513</v>
      </c>
      <c r="D3063" s="89"/>
      <c r="E3063" s="236" t="s">
        <v>869</v>
      </c>
      <c r="F3063" s="236" t="s">
        <v>863</v>
      </c>
      <c r="G3063" s="236" t="s">
        <v>870</v>
      </c>
      <c r="H3063" s="238">
        <v>42248</v>
      </c>
      <c r="I3063" s="235">
        <v>42338</v>
      </c>
      <c r="J3063" s="136">
        <v>3.78</v>
      </c>
      <c r="K3063" s="89"/>
      <c r="L3063" s="89">
        <v>1</v>
      </c>
    </row>
    <row r="3064" spans="1:12" ht="57">
      <c r="A3064" s="89" t="s">
        <v>898</v>
      </c>
      <c r="B3064" s="237"/>
      <c r="C3064" s="89" t="s">
        <v>540</v>
      </c>
      <c r="D3064" s="89"/>
      <c r="E3064" s="236" t="s">
        <v>869</v>
      </c>
      <c r="F3064" s="236" t="s">
        <v>863</v>
      </c>
      <c r="G3064" s="236" t="s">
        <v>870</v>
      </c>
      <c r="H3064" s="238">
        <v>42248</v>
      </c>
      <c r="I3064" s="235">
        <v>42338</v>
      </c>
      <c r="J3064" s="136">
        <v>147.46</v>
      </c>
      <c r="K3064" s="89"/>
      <c r="L3064" s="89">
        <v>1</v>
      </c>
    </row>
    <row r="3065" spans="1:12" ht="57">
      <c r="A3065" s="89" t="s">
        <v>899</v>
      </c>
      <c r="B3065" s="237"/>
      <c r="C3065" s="89" t="s">
        <v>551</v>
      </c>
      <c r="D3065" s="89"/>
      <c r="E3065" s="236" t="s">
        <v>869</v>
      </c>
      <c r="F3065" s="236" t="s">
        <v>863</v>
      </c>
      <c r="G3065" s="236" t="s">
        <v>870</v>
      </c>
      <c r="H3065" s="238">
        <v>42248</v>
      </c>
      <c r="I3065" s="235">
        <v>42338</v>
      </c>
      <c r="J3065" s="136">
        <v>119.48</v>
      </c>
      <c r="K3065" s="89"/>
      <c r="L3065" s="89">
        <v>1</v>
      </c>
    </row>
    <row r="3066" spans="1:12" ht="57">
      <c r="A3066" s="89" t="s">
        <v>900</v>
      </c>
      <c r="B3066" s="237"/>
      <c r="C3066" s="89" t="s">
        <v>578</v>
      </c>
      <c r="D3066" s="89"/>
      <c r="E3066" s="236" t="s">
        <v>869</v>
      </c>
      <c r="F3066" s="236" t="s">
        <v>863</v>
      </c>
      <c r="G3066" s="236" t="s">
        <v>870</v>
      </c>
      <c r="H3066" s="238">
        <v>42248</v>
      </c>
      <c r="I3066" s="235">
        <v>42338</v>
      </c>
      <c r="J3066" s="136">
        <v>155.77000000000001</v>
      </c>
      <c r="K3066" s="89"/>
      <c r="L3066" s="89">
        <v>1</v>
      </c>
    </row>
    <row r="3067" spans="1:12" ht="57">
      <c r="A3067" s="89" t="s">
        <v>901</v>
      </c>
      <c r="B3067" s="237"/>
      <c r="C3067" s="89" t="s">
        <v>587</v>
      </c>
      <c r="D3067" s="89"/>
      <c r="E3067" s="236" t="s">
        <v>869</v>
      </c>
      <c r="F3067" s="236" t="s">
        <v>863</v>
      </c>
      <c r="G3067" s="236" t="s">
        <v>870</v>
      </c>
      <c r="H3067" s="238">
        <v>42248</v>
      </c>
      <c r="I3067" s="235">
        <v>42338</v>
      </c>
      <c r="J3067" s="136">
        <v>119.48</v>
      </c>
      <c r="K3067" s="89"/>
      <c r="L3067" s="89">
        <v>1</v>
      </c>
    </row>
    <row r="3068" spans="1:12" ht="57">
      <c r="A3068" s="89" t="s">
        <v>902</v>
      </c>
      <c r="B3068" s="237"/>
      <c r="C3068" s="89" t="s">
        <v>581</v>
      </c>
      <c r="D3068" s="89"/>
      <c r="E3068" s="236" t="s">
        <v>869</v>
      </c>
      <c r="F3068" s="236" t="s">
        <v>863</v>
      </c>
      <c r="G3068" s="236" t="s">
        <v>870</v>
      </c>
      <c r="H3068" s="238">
        <v>42248</v>
      </c>
      <c r="I3068" s="235">
        <v>42338</v>
      </c>
      <c r="J3068" s="136">
        <v>151.24</v>
      </c>
      <c r="K3068" s="89"/>
      <c r="L3068" s="89">
        <v>1</v>
      </c>
    </row>
    <row r="3069" spans="1:12" ht="57">
      <c r="A3069" s="89" t="s">
        <v>903</v>
      </c>
      <c r="B3069" s="237"/>
      <c r="C3069" s="89" t="s">
        <v>604</v>
      </c>
      <c r="D3069" s="89"/>
      <c r="E3069" s="236" t="s">
        <v>869</v>
      </c>
      <c r="F3069" s="236" t="s">
        <v>863</v>
      </c>
      <c r="G3069" s="236" t="s">
        <v>870</v>
      </c>
      <c r="H3069" s="238">
        <v>42248</v>
      </c>
      <c r="I3069" s="235">
        <v>42338</v>
      </c>
      <c r="J3069" s="136">
        <v>159.55000000000001</v>
      </c>
      <c r="K3069" s="89"/>
      <c r="L3069" s="89">
        <v>1</v>
      </c>
    </row>
    <row r="3070" spans="1:12" ht="57">
      <c r="A3070" s="89" t="s">
        <v>904</v>
      </c>
      <c r="B3070" s="237"/>
      <c r="C3070" s="89" t="s">
        <v>629</v>
      </c>
      <c r="D3070" s="89"/>
      <c r="E3070" s="236" t="s">
        <v>869</v>
      </c>
      <c r="F3070" s="236" t="s">
        <v>863</v>
      </c>
      <c r="G3070" s="236" t="s">
        <v>870</v>
      </c>
      <c r="H3070" s="238">
        <v>42248</v>
      </c>
      <c r="I3070" s="235">
        <v>42338</v>
      </c>
      <c r="J3070" s="136">
        <v>119.48</v>
      </c>
      <c r="K3070" s="89"/>
      <c r="L3070" s="89">
        <v>1</v>
      </c>
    </row>
    <row r="3071" spans="1:12" ht="57">
      <c r="A3071" s="89" t="s">
        <v>905</v>
      </c>
      <c r="B3071" s="237"/>
      <c r="C3071" s="89" t="s">
        <v>640</v>
      </c>
      <c r="D3071" s="89"/>
      <c r="E3071" s="236" t="s">
        <v>869</v>
      </c>
      <c r="F3071" s="236" t="s">
        <v>863</v>
      </c>
      <c r="G3071" s="236" t="s">
        <v>870</v>
      </c>
      <c r="H3071" s="238">
        <v>42248</v>
      </c>
      <c r="I3071" s="235">
        <v>42338</v>
      </c>
      <c r="J3071" s="136">
        <v>146.69999999999999</v>
      </c>
      <c r="K3071" s="89"/>
      <c r="L3071" s="89">
        <v>1</v>
      </c>
    </row>
    <row r="3072" spans="1:12" ht="57">
      <c r="A3072" s="89" t="s">
        <v>906</v>
      </c>
      <c r="B3072" s="237"/>
      <c r="C3072" s="89" t="s">
        <v>645</v>
      </c>
      <c r="D3072" s="89"/>
      <c r="E3072" s="236" t="s">
        <v>869</v>
      </c>
      <c r="F3072" s="236" t="s">
        <v>863</v>
      </c>
      <c r="G3072" s="236" t="s">
        <v>870</v>
      </c>
      <c r="H3072" s="238">
        <v>42248</v>
      </c>
      <c r="I3072" s="235">
        <v>42338</v>
      </c>
      <c r="J3072" s="136">
        <v>113.43</v>
      </c>
      <c r="K3072" s="89"/>
      <c r="L3072" s="89">
        <v>1</v>
      </c>
    </row>
    <row r="3073" spans="1:12" ht="57">
      <c r="A3073" s="89" t="s">
        <v>907</v>
      </c>
      <c r="B3073" s="237"/>
      <c r="C3073" s="89" t="s">
        <v>650</v>
      </c>
      <c r="D3073" s="89"/>
      <c r="E3073" s="236" t="s">
        <v>869</v>
      </c>
      <c r="F3073" s="236" t="s">
        <v>863</v>
      </c>
      <c r="G3073" s="236" t="s">
        <v>870</v>
      </c>
      <c r="H3073" s="238">
        <v>42248</v>
      </c>
      <c r="I3073" s="235">
        <v>42338</v>
      </c>
      <c r="J3073" s="136">
        <v>113.43</v>
      </c>
      <c r="K3073" s="89"/>
      <c r="L3073" s="89">
        <v>1</v>
      </c>
    </row>
    <row r="3074" spans="1:12" ht="57">
      <c r="A3074" s="89" t="s">
        <v>908</v>
      </c>
      <c r="B3074" s="237"/>
      <c r="C3074" s="89" t="s">
        <v>659</v>
      </c>
      <c r="D3074" s="89"/>
      <c r="E3074" s="236" t="s">
        <v>869</v>
      </c>
      <c r="F3074" s="236" t="s">
        <v>863</v>
      </c>
      <c r="G3074" s="236" t="s">
        <v>870</v>
      </c>
      <c r="H3074" s="238">
        <v>42248</v>
      </c>
      <c r="I3074" s="235">
        <v>42338</v>
      </c>
      <c r="J3074" s="136">
        <v>128.55000000000001</v>
      </c>
      <c r="K3074" s="89"/>
      <c r="L3074" s="89">
        <v>1</v>
      </c>
    </row>
    <row r="3075" spans="1:12" ht="57">
      <c r="A3075" s="89" t="s">
        <v>909</v>
      </c>
      <c r="B3075" s="237"/>
      <c r="C3075" s="89" t="s">
        <v>544</v>
      </c>
      <c r="D3075" s="89"/>
      <c r="E3075" s="236" t="s">
        <v>869</v>
      </c>
      <c r="F3075" s="236" t="s">
        <v>863</v>
      </c>
      <c r="G3075" s="236" t="s">
        <v>870</v>
      </c>
      <c r="H3075" s="238">
        <v>42248</v>
      </c>
      <c r="I3075" s="235">
        <v>42338</v>
      </c>
      <c r="J3075" s="136">
        <v>146.69999999999999</v>
      </c>
      <c r="K3075" s="89"/>
      <c r="L3075" s="89">
        <v>1</v>
      </c>
    </row>
    <row r="3076" spans="1:12" ht="57">
      <c r="A3076" s="89" t="s">
        <v>910</v>
      </c>
      <c r="B3076" s="237"/>
      <c r="C3076" s="89" t="s">
        <v>556</v>
      </c>
      <c r="D3076" s="89"/>
      <c r="E3076" s="236" t="s">
        <v>869</v>
      </c>
      <c r="F3076" s="236" t="s">
        <v>863</v>
      </c>
      <c r="G3076" s="236" t="s">
        <v>870</v>
      </c>
      <c r="H3076" s="238">
        <v>42248</v>
      </c>
      <c r="I3076" s="235">
        <v>42338</v>
      </c>
      <c r="J3076" s="136">
        <v>139.88999999999999</v>
      </c>
      <c r="K3076" s="89"/>
      <c r="L3076" s="89">
        <v>1</v>
      </c>
    </row>
    <row r="3077" spans="1:12" ht="57">
      <c r="A3077" s="89" t="s">
        <v>911</v>
      </c>
      <c r="B3077" s="237"/>
      <c r="C3077" s="89" t="s">
        <v>559</v>
      </c>
      <c r="D3077" s="89"/>
      <c r="E3077" s="236" t="s">
        <v>869</v>
      </c>
      <c r="F3077" s="236" t="s">
        <v>863</v>
      </c>
      <c r="G3077" s="236" t="s">
        <v>870</v>
      </c>
      <c r="H3077" s="238">
        <v>42248</v>
      </c>
      <c r="I3077" s="235">
        <v>42338</v>
      </c>
      <c r="J3077" s="136">
        <v>155.77000000000001</v>
      </c>
      <c r="K3077" s="89"/>
      <c r="L3077" s="89">
        <v>1</v>
      </c>
    </row>
    <row r="3078" spans="1:12" ht="57">
      <c r="A3078" s="89" t="s">
        <v>912</v>
      </c>
      <c r="B3078" s="237"/>
      <c r="C3078" s="89" t="s">
        <v>563</v>
      </c>
      <c r="D3078" s="89"/>
      <c r="E3078" s="236" t="s">
        <v>869</v>
      </c>
      <c r="F3078" s="236" t="s">
        <v>863</v>
      </c>
      <c r="G3078" s="236" t="s">
        <v>870</v>
      </c>
      <c r="H3078" s="238">
        <v>42248</v>
      </c>
      <c r="I3078" s="235">
        <v>42338</v>
      </c>
      <c r="J3078" s="136">
        <v>124.77</v>
      </c>
      <c r="K3078" s="89"/>
      <c r="L3078" s="89">
        <v>1</v>
      </c>
    </row>
    <row r="3079" spans="1:12" ht="57">
      <c r="A3079" s="89" t="s">
        <v>913</v>
      </c>
      <c r="B3079" s="237"/>
      <c r="C3079" s="89" t="s">
        <v>566</v>
      </c>
      <c r="D3079" s="89"/>
      <c r="E3079" s="236" t="s">
        <v>869</v>
      </c>
      <c r="F3079" s="236" t="s">
        <v>863</v>
      </c>
      <c r="G3079" s="236" t="s">
        <v>870</v>
      </c>
      <c r="H3079" s="238">
        <v>42248</v>
      </c>
      <c r="I3079" s="235">
        <v>42338</v>
      </c>
      <c r="J3079" s="136">
        <v>117.96</v>
      </c>
      <c r="K3079" s="89"/>
      <c r="L3079" s="89">
        <v>1</v>
      </c>
    </row>
    <row r="3080" spans="1:12" ht="57">
      <c r="A3080" s="89" t="s">
        <v>914</v>
      </c>
      <c r="B3080" s="237"/>
      <c r="C3080" s="89" t="s">
        <v>569</v>
      </c>
      <c r="D3080" s="89"/>
      <c r="E3080" s="236" t="s">
        <v>869</v>
      </c>
      <c r="F3080" s="236" t="s">
        <v>863</v>
      </c>
      <c r="G3080" s="236" t="s">
        <v>870</v>
      </c>
      <c r="H3080" s="238">
        <v>42248</v>
      </c>
      <c r="I3080" s="235">
        <v>42338</v>
      </c>
      <c r="J3080" s="136">
        <v>126.28</v>
      </c>
      <c r="K3080" s="89"/>
      <c r="L3080" s="89">
        <v>1</v>
      </c>
    </row>
    <row r="3081" spans="1:12" ht="57">
      <c r="A3081" s="89" t="s">
        <v>915</v>
      </c>
      <c r="B3081" s="237"/>
      <c r="C3081" s="89" t="s">
        <v>573</v>
      </c>
      <c r="D3081" s="89"/>
      <c r="E3081" s="236" t="s">
        <v>869</v>
      </c>
      <c r="F3081" s="236" t="s">
        <v>863</v>
      </c>
      <c r="G3081" s="236" t="s">
        <v>870</v>
      </c>
      <c r="H3081" s="238">
        <v>42248</v>
      </c>
      <c r="I3081" s="235">
        <v>42338</v>
      </c>
      <c r="J3081" s="136">
        <v>141.41</v>
      </c>
      <c r="K3081" s="89"/>
      <c r="L3081" s="89">
        <v>1</v>
      </c>
    </row>
    <row r="3082" spans="1:12" ht="57">
      <c r="A3082" s="89" t="s">
        <v>916</v>
      </c>
      <c r="B3082" s="237"/>
      <c r="C3082" s="89" t="s">
        <v>581</v>
      </c>
      <c r="D3082" s="89"/>
      <c r="E3082" s="236" t="s">
        <v>869</v>
      </c>
      <c r="F3082" s="236" t="s">
        <v>863</v>
      </c>
      <c r="G3082" s="236" t="s">
        <v>870</v>
      </c>
      <c r="H3082" s="238">
        <v>42248</v>
      </c>
      <c r="I3082" s="235">
        <v>42338</v>
      </c>
      <c r="J3082" s="136">
        <v>0.38</v>
      </c>
      <c r="K3082" s="89"/>
      <c r="L3082" s="89">
        <v>1</v>
      </c>
    </row>
    <row r="3083" spans="1:12" ht="57">
      <c r="A3083" s="89" t="s">
        <v>917</v>
      </c>
      <c r="B3083" s="237"/>
      <c r="C3083" s="89" t="s">
        <v>601</v>
      </c>
      <c r="D3083" s="89"/>
      <c r="E3083" s="236" t="s">
        <v>869</v>
      </c>
      <c r="F3083" s="236" t="s">
        <v>863</v>
      </c>
      <c r="G3083" s="236" t="s">
        <v>870</v>
      </c>
      <c r="H3083" s="238">
        <v>42248</v>
      </c>
      <c r="I3083" s="235">
        <v>42338</v>
      </c>
      <c r="J3083" s="136">
        <v>118.72</v>
      </c>
      <c r="K3083" s="89"/>
      <c r="L3083" s="89">
        <v>1</v>
      </c>
    </row>
    <row r="3084" spans="1:12" ht="57">
      <c r="A3084" s="89" t="s">
        <v>918</v>
      </c>
      <c r="B3084" s="237"/>
      <c r="C3084" s="89" t="s">
        <v>607</v>
      </c>
      <c r="D3084" s="89"/>
      <c r="E3084" s="236" t="s">
        <v>869</v>
      </c>
      <c r="F3084" s="236" t="s">
        <v>863</v>
      </c>
      <c r="G3084" s="236" t="s">
        <v>870</v>
      </c>
      <c r="H3084" s="238">
        <v>42248</v>
      </c>
      <c r="I3084" s="235">
        <v>42338</v>
      </c>
      <c r="J3084" s="136">
        <v>130.06</v>
      </c>
      <c r="K3084" s="89"/>
      <c r="L3084" s="89">
        <v>1</v>
      </c>
    </row>
    <row r="3085" spans="1:12" ht="57">
      <c r="A3085" s="89" t="s">
        <v>919</v>
      </c>
      <c r="B3085" s="237"/>
      <c r="C3085" s="89" t="s">
        <v>610</v>
      </c>
      <c r="D3085" s="89"/>
      <c r="E3085" s="236" t="s">
        <v>869</v>
      </c>
      <c r="F3085" s="236" t="s">
        <v>863</v>
      </c>
      <c r="G3085" s="236" t="s">
        <v>870</v>
      </c>
      <c r="H3085" s="238">
        <v>42248</v>
      </c>
      <c r="I3085" s="235">
        <v>42338</v>
      </c>
      <c r="J3085" s="136">
        <v>166.36</v>
      </c>
      <c r="K3085" s="89"/>
      <c r="L3085" s="89">
        <v>1</v>
      </c>
    </row>
    <row r="3086" spans="1:12" ht="57">
      <c r="A3086" s="89" t="s">
        <v>920</v>
      </c>
      <c r="B3086" s="237"/>
      <c r="C3086" s="89" t="s">
        <v>615</v>
      </c>
      <c r="D3086" s="89"/>
      <c r="E3086" s="236" t="s">
        <v>869</v>
      </c>
      <c r="F3086" s="236" t="s">
        <v>863</v>
      </c>
      <c r="G3086" s="236" t="s">
        <v>870</v>
      </c>
      <c r="H3086" s="238">
        <v>42248</v>
      </c>
      <c r="I3086" s="235">
        <v>42338</v>
      </c>
      <c r="J3086" s="136">
        <v>115.7</v>
      </c>
      <c r="K3086" s="89"/>
      <c r="L3086" s="89">
        <v>1</v>
      </c>
    </row>
    <row r="3087" spans="1:12" ht="57">
      <c r="A3087" s="89" t="s">
        <v>921</v>
      </c>
      <c r="B3087" s="237"/>
      <c r="C3087" s="89" t="s">
        <v>446</v>
      </c>
      <c r="D3087" s="89"/>
      <c r="E3087" s="236" t="s">
        <v>869</v>
      </c>
      <c r="F3087" s="236" t="s">
        <v>863</v>
      </c>
      <c r="G3087" s="236" t="s">
        <v>870</v>
      </c>
      <c r="H3087" s="238">
        <v>42248</v>
      </c>
      <c r="I3087" s="235">
        <v>42338</v>
      </c>
      <c r="J3087" s="136">
        <v>229.88</v>
      </c>
      <c r="K3087" s="89"/>
      <c r="L3087" s="89">
        <v>1</v>
      </c>
    </row>
    <row r="3088" spans="1:12" ht="57">
      <c r="A3088" s="89" t="s">
        <v>922</v>
      </c>
      <c r="B3088" s="237"/>
      <c r="C3088" s="89" t="s">
        <v>619</v>
      </c>
      <c r="D3088" s="89"/>
      <c r="E3088" s="236" t="s">
        <v>869</v>
      </c>
      <c r="F3088" s="236" t="s">
        <v>863</v>
      </c>
      <c r="G3088" s="236" t="s">
        <v>870</v>
      </c>
      <c r="H3088" s="238">
        <v>42248</v>
      </c>
      <c r="I3088" s="235">
        <v>42338</v>
      </c>
      <c r="J3088" s="136">
        <v>155.02000000000001</v>
      </c>
      <c r="K3088" s="89"/>
      <c r="L3088" s="89">
        <v>1</v>
      </c>
    </row>
    <row r="3089" spans="1:12" ht="57">
      <c r="A3089" s="89" t="s">
        <v>923</v>
      </c>
      <c r="B3089" s="237"/>
      <c r="C3089" s="89" t="s">
        <v>622</v>
      </c>
      <c r="D3089" s="89"/>
      <c r="E3089" s="236" t="s">
        <v>869</v>
      </c>
      <c r="F3089" s="236" t="s">
        <v>863</v>
      </c>
      <c r="G3089" s="236" t="s">
        <v>870</v>
      </c>
      <c r="H3089" s="238">
        <v>42248</v>
      </c>
      <c r="I3089" s="235">
        <v>42338</v>
      </c>
      <c r="J3089" s="136">
        <v>130.82</v>
      </c>
      <c r="K3089" s="89"/>
      <c r="L3089" s="89">
        <v>1</v>
      </c>
    </row>
    <row r="3090" spans="1:12" ht="57">
      <c r="A3090" s="89" t="s">
        <v>924</v>
      </c>
      <c r="B3090" s="237"/>
      <c r="C3090" s="89" t="s">
        <v>632</v>
      </c>
      <c r="D3090" s="89"/>
      <c r="E3090" s="236" t="s">
        <v>869</v>
      </c>
      <c r="F3090" s="236" t="s">
        <v>863</v>
      </c>
      <c r="G3090" s="236" t="s">
        <v>870</v>
      </c>
      <c r="H3090" s="238">
        <v>42248</v>
      </c>
      <c r="I3090" s="235">
        <v>42338</v>
      </c>
      <c r="J3090" s="136">
        <v>117.96</v>
      </c>
      <c r="K3090" s="89"/>
      <c r="L3090" s="89">
        <v>1</v>
      </c>
    </row>
    <row r="3091" spans="1:12" ht="57">
      <c r="A3091" s="89" t="s">
        <v>925</v>
      </c>
      <c r="B3091" s="237"/>
      <c r="C3091" s="89" t="s">
        <v>637</v>
      </c>
      <c r="D3091" s="89"/>
      <c r="E3091" s="236" t="s">
        <v>869</v>
      </c>
      <c r="F3091" s="236" t="s">
        <v>863</v>
      </c>
      <c r="G3091" s="236" t="s">
        <v>870</v>
      </c>
      <c r="H3091" s="238">
        <v>42248</v>
      </c>
      <c r="I3091" s="235">
        <v>42338</v>
      </c>
      <c r="J3091" s="136">
        <v>136.11000000000001</v>
      </c>
      <c r="K3091" s="89"/>
      <c r="L3091" s="89">
        <v>1</v>
      </c>
    </row>
    <row r="3092" spans="1:12" ht="57">
      <c r="A3092" s="89" t="s">
        <v>926</v>
      </c>
      <c r="B3092" s="237"/>
      <c r="C3092" s="89" t="s">
        <v>927</v>
      </c>
      <c r="D3092" s="89"/>
      <c r="E3092" s="236" t="s">
        <v>869</v>
      </c>
      <c r="F3092" s="236" t="s">
        <v>863</v>
      </c>
      <c r="G3092" s="236" t="s">
        <v>870</v>
      </c>
      <c r="H3092" s="238">
        <v>42248</v>
      </c>
      <c r="I3092" s="235">
        <v>42338</v>
      </c>
      <c r="J3092" s="136">
        <v>13.23</v>
      </c>
      <c r="K3092" s="89"/>
      <c r="L3092" s="89">
        <v>1</v>
      </c>
    </row>
    <row r="3093" spans="1:12" ht="57">
      <c r="A3093" s="89" t="s">
        <v>928</v>
      </c>
      <c r="B3093" s="237"/>
      <c r="C3093" s="89" t="s">
        <v>672</v>
      </c>
      <c r="D3093" s="89"/>
      <c r="E3093" s="236" t="s">
        <v>869</v>
      </c>
      <c r="F3093" s="236" t="s">
        <v>863</v>
      </c>
      <c r="G3093" s="236" t="s">
        <v>870</v>
      </c>
      <c r="H3093" s="238">
        <v>42248</v>
      </c>
      <c r="I3093" s="235">
        <v>42338</v>
      </c>
      <c r="J3093" s="136">
        <v>89.23</v>
      </c>
      <c r="K3093" s="89"/>
      <c r="L3093" s="89">
        <v>1</v>
      </c>
    </row>
    <row r="3094" spans="1:12" ht="57">
      <c r="A3094" s="89" t="s">
        <v>929</v>
      </c>
      <c r="B3094" s="237"/>
      <c r="C3094" s="89" t="s">
        <v>675</v>
      </c>
      <c r="D3094" s="89"/>
      <c r="E3094" s="236" t="s">
        <v>869</v>
      </c>
      <c r="F3094" s="236" t="s">
        <v>863</v>
      </c>
      <c r="G3094" s="236" t="s">
        <v>870</v>
      </c>
      <c r="H3094" s="238">
        <v>42248</v>
      </c>
      <c r="I3094" s="235">
        <v>42338</v>
      </c>
      <c r="J3094" s="136">
        <v>52.18</v>
      </c>
      <c r="K3094" s="89"/>
      <c r="L3094" s="89">
        <v>1</v>
      </c>
    </row>
    <row r="3095" spans="1:12" ht="57">
      <c r="A3095" s="89" t="s">
        <v>930</v>
      </c>
      <c r="B3095" s="237"/>
      <c r="C3095" s="89" t="s">
        <v>931</v>
      </c>
      <c r="D3095" s="89"/>
      <c r="E3095" s="236" t="s">
        <v>869</v>
      </c>
      <c r="F3095" s="236" t="s">
        <v>863</v>
      </c>
      <c r="G3095" s="236" t="s">
        <v>870</v>
      </c>
      <c r="H3095" s="238">
        <v>42248</v>
      </c>
      <c r="I3095" s="235">
        <v>42338</v>
      </c>
      <c r="J3095" s="136">
        <v>81.67</v>
      </c>
      <c r="K3095" s="89"/>
      <c r="L3095" s="89">
        <v>1</v>
      </c>
    </row>
    <row r="3096" spans="1:12" ht="57">
      <c r="A3096" s="89" t="s">
        <v>932</v>
      </c>
      <c r="B3096" s="237"/>
      <c r="C3096" s="89" t="s">
        <v>449</v>
      </c>
      <c r="D3096" s="89"/>
      <c r="E3096" s="236" t="s">
        <v>869</v>
      </c>
      <c r="F3096" s="236" t="s">
        <v>863</v>
      </c>
      <c r="G3096" s="236" t="s">
        <v>870</v>
      </c>
      <c r="H3096" s="238">
        <v>42248</v>
      </c>
      <c r="I3096" s="235">
        <v>42338</v>
      </c>
      <c r="J3096" s="136">
        <v>6.05</v>
      </c>
      <c r="K3096" s="89"/>
      <c r="L3096" s="89">
        <v>1</v>
      </c>
    </row>
    <row r="3097" spans="1:12" ht="57">
      <c r="A3097" s="89" t="s">
        <v>933</v>
      </c>
      <c r="B3097" s="237"/>
      <c r="C3097" s="89" t="s">
        <v>807</v>
      </c>
      <c r="D3097" s="89"/>
      <c r="E3097" s="236" t="s">
        <v>869</v>
      </c>
      <c r="F3097" s="236" t="s">
        <v>863</v>
      </c>
      <c r="G3097" s="236" t="s">
        <v>870</v>
      </c>
      <c r="H3097" s="238">
        <v>42248</v>
      </c>
      <c r="I3097" s="235">
        <v>42338</v>
      </c>
      <c r="J3097" s="136">
        <v>15.12</v>
      </c>
      <c r="K3097" s="89"/>
      <c r="L3097" s="89">
        <v>1</v>
      </c>
    </row>
    <row r="3098" spans="1:12" ht="114">
      <c r="A3098" s="89" t="s">
        <v>934</v>
      </c>
      <c r="B3098" s="237">
        <v>112120203010</v>
      </c>
      <c r="C3098" s="89" t="s">
        <v>459</v>
      </c>
      <c r="D3098" s="89"/>
      <c r="E3098" s="236" t="s">
        <v>856</v>
      </c>
      <c r="F3098" s="236" t="s">
        <v>428</v>
      </c>
      <c r="G3098" s="236" t="s">
        <v>935</v>
      </c>
      <c r="H3098" s="238">
        <v>42278</v>
      </c>
      <c r="I3098" s="235">
        <v>42334</v>
      </c>
      <c r="J3098" s="136">
        <v>1715</v>
      </c>
      <c r="K3098" s="89"/>
      <c r="L3098" s="89">
        <v>1</v>
      </c>
    </row>
    <row r="3099" spans="1:12" ht="114">
      <c r="A3099" s="89" t="s">
        <v>934</v>
      </c>
      <c r="B3099" s="237">
        <v>211010200000</v>
      </c>
      <c r="C3099" s="89" t="s">
        <v>459</v>
      </c>
      <c r="D3099" s="89"/>
      <c r="E3099" s="236" t="s">
        <v>856</v>
      </c>
      <c r="F3099" s="236" t="s">
        <v>426</v>
      </c>
      <c r="G3099" s="236" t="s">
        <v>936</v>
      </c>
      <c r="H3099" s="238">
        <v>42278</v>
      </c>
      <c r="I3099" s="235">
        <v>42334</v>
      </c>
      <c r="J3099" s="136">
        <v>-4.4800000000000004</v>
      </c>
      <c r="K3099" s="89"/>
      <c r="L3099" s="89">
        <v>1</v>
      </c>
    </row>
    <row r="3100" spans="1:12" ht="128.25">
      <c r="A3100" s="89" t="s">
        <v>937</v>
      </c>
      <c r="B3100" s="237">
        <v>112120203010</v>
      </c>
      <c r="C3100" s="89" t="s">
        <v>465</v>
      </c>
      <c r="D3100" s="89"/>
      <c r="E3100" s="236" t="s">
        <v>866</v>
      </c>
      <c r="F3100" s="236" t="s">
        <v>428</v>
      </c>
      <c r="G3100" s="236" t="s">
        <v>867</v>
      </c>
      <c r="H3100" s="238">
        <v>42278</v>
      </c>
      <c r="I3100" s="235">
        <v>42321</v>
      </c>
      <c r="J3100" s="136">
        <v>120</v>
      </c>
      <c r="K3100" s="89"/>
      <c r="L3100" s="89">
        <v>1</v>
      </c>
    </row>
    <row r="3101" spans="1:12" ht="71.25">
      <c r="A3101" s="89" t="s">
        <v>938</v>
      </c>
      <c r="B3101" s="237">
        <v>112120301030</v>
      </c>
      <c r="C3101" s="89" t="s">
        <v>463</v>
      </c>
      <c r="D3101" s="89"/>
      <c r="E3101" s="236" t="s">
        <v>939</v>
      </c>
      <c r="F3101" s="236" t="s">
        <v>440</v>
      </c>
      <c r="G3101" s="236" t="s">
        <v>940</v>
      </c>
      <c r="H3101" s="238">
        <v>42248</v>
      </c>
      <c r="I3101" s="235">
        <v>42312</v>
      </c>
      <c r="J3101" s="136">
        <v>315.89999999999998</v>
      </c>
      <c r="K3101" s="89"/>
      <c r="L3101" s="89">
        <v>1</v>
      </c>
    </row>
    <row r="3102" spans="1:12" ht="85.5">
      <c r="A3102" s="89" t="s">
        <v>938</v>
      </c>
      <c r="B3102" s="237">
        <v>112120301030</v>
      </c>
      <c r="C3102" s="89" t="s">
        <v>463</v>
      </c>
      <c r="D3102" s="89"/>
      <c r="E3102" s="236" t="s">
        <v>941</v>
      </c>
      <c r="F3102" s="236" t="s">
        <v>440</v>
      </c>
      <c r="G3102" s="236" t="s">
        <v>942</v>
      </c>
      <c r="H3102" s="238">
        <v>42278</v>
      </c>
      <c r="I3102" s="235">
        <v>42324</v>
      </c>
      <c r="J3102" s="136">
        <v>4700</v>
      </c>
      <c r="K3102" s="89"/>
      <c r="L3102" s="89">
        <v>1</v>
      </c>
    </row>
    <row r="3103" spans="1:12" ht="128.25">
      <c r="A3103" s="89" t="s">
        <v>694</v>
      </c>
      <c r="B3103" s="237">
        <v>112120402010</v>
      </c>
      <c r="C3103" s="89" t="s">
        <v>454</v>
      </c>
      <c r="D3103" s="89"/>
      <c r="E3103" s="236" t="s">
        <v>695</v>
      </c>
      <c r="F3103" s="236" t="s">
        <v>943</v>
      </c>
      <c r="G3103" s="236" t="s">
        <v>944</v>
      </c>
      <c r="H3103" s="238">
        <v>42248</v>
      </c>
      <c r="I3103" s="235">
        <v>42311</v>
      </c>
      <c r="J3103" s="136">
        <v>133.19</v>
      </c>
      <c r="K3103" s="89"/>
      <c r="L3103" s="89">
        <v>1</v>
      </c>
    </row>
    <row r="3104" spans="1:12" ht="128.25">
      <c r="A3104" s="89" t="s">
        <v>700</v>
      </c>
      <c r="B3104" s="237">
        <v>112120402010</v>
      </c>
      <c r="C3104" s="89" t="s">
        <v>456</v>
      </c>
      <c r="D3104" s="89"/>
      <c r="E3104" s="236" t="s">
        <v>695</v>
      </c>
      <c r="F3104" s="236" t="s">
        <v>943</v>
      </c>
      <c r="G3104" s="236" t="s">
        <v>944</v>
      </c>
      <c r="H3104" s="238">
        <v>42248</v>
      </c>
      <c r="I3104" s="235">
        <v>42311</v>
      </c>
      <c r="J3104" s="136">
        <v>133.19</v>
      </c>
      <c r="K3104" s="89"/>
      <c r="L3104" s="89">
        <v>1</v>
      </c>
    </row>
    <row r="3105" spans="1:12" ht="128.25">
      <c r="A3105" s="89" t="s">
        <v>727</v>
      </c>
      <c r="B3105" s="237">
        <v>112120402010</v>
      </c>
      <c r="C3105" s="89" t="s">
        <v>719</v>
      </c>
      <c r="D3105" s="89"/>
      <c r="E3105" s="236" t="s">
        <v>695</v>
      </c>
      <c r="F3105" s="236" t="s">
        <v>943</v>
      </c>
      <c r="G3105" s="236" t="s">
        <v>944</v>
      </c>
      <c r="H3105" s="238">
        <v>42248</v>
      </c>
      <c r="I3105" s="235">
        <v>42311</v>
      </c>
      <c r="J3105" s="136">
        <v>133.19</v>
      </c>
      <c r="K3105" s="89"/>
      <c r="L3105" s="89">
        <v>1</v>
      </c>
    </row>
    <row r="3106" spans="1:12" ht="128.25">
      <c r="A3106" s="89" t="s">
        <v>746</v>
      </c>
      <c r="B3106" s="237">
        <v>112120402010</v>
      </c>
      <c r="C3106" s="89" t="s">
        <v>460</v>
      </c>
      <c r="D3106" s="89"/>
      <c r="E3106" s="236" t="s">
        <v>695</v>
      </c>
      <c r="F3106" s="236" t="s">
        <v>943</v>
      </c>
      <c r="G3106" s="236" t="s">
        <v>944</v>
      </c>
      <c r="H3106" s="238">
        <v>42248</v>
      </c>
      <c r="I3106" s="235">
        <v>42311</v>
      </c>
      <c r="J3106" s="136">
        <v>466.14</v>
      </c>
      <c r="K3106" s="89"/>
      <c r="L3106" s="89">
        <v>1</v>
      </c>
    </row>
    <row r="3107" spans="1:12" ht="128.25">
      <c r="A3107" s="89" t="s">
        <v>755</v>
      </c>
      <c r="B3107" s="237">
        <v>112120402010</v>
      </c>
      <c r="C3107" s="89" t="s">
        <v>461</v>
      </c>
      <c r="D3107" s="89"/>
      <c r="E3107" s="236" t="s">
        <v>695</v>
      </c>
      <c r="F3107" s="236" t="s">
        <v>943</v>
      </c>
      <c r="G3107" s="236" t="s">
        <v>944</v>
      </c>
      <c r="H3107" s="238">
        <v>42248</v>
      </c>
      <c r="I3107" s="235">
        <v>42311</v>
      </c>
      <c r="J3107" s="136">
        <v>332.97</v>
      </c>
      <c r="K3107" s="89"/>
      <c r="L3107" s="89">
        <v>1</v>
      </c>
    </row>
    <row r="3108" spans="1:12" ht="128.25">
      <c r="A3108" s="89" t="s">
        <v>763</v>
      </c>
      <c r="B3108" s="237">
        <v>112120402010</v>
      </c>
      <c r="C3108" s="89" t="s">
        <v>463</v>
      </c>
      <c r="D3108" s="89"/>
      <c r="E3108" s="236" t="s">
        <v>695</v>
      </c>
      <c r="F3108" s="236" t="s">
        <v>943</v>
      </c>
      <c r="G3108" s="236" t="s">
        <v>944</v>
      </c>
      <c r="H3108" s="238">
        <v>42248</v>
      </c>
      <c r="I3108" s="235">
        <v>42311</v>
      </c>
      <c r="J3108" s="136">
        <v>266.37</v>
      </c>
      <c r="K3108" s="89"/>
      <c r="L3108" s="89">
        <v>1</v>
      </c>
    </row>
    <row r="3109" spans="1:12" ht="128.25">
      <c r="A3109" s="89" t="s">
        <v>779</v>
      </c>
      <c r="B3109" s="237">
        <v>112120402010</v>
      </c>
      <c r="C3109" s="89" t="s">
        <v>466</v>
      </c>
      <c r="D3109" s="89"/>
      <c r="E3109" s="236" t="s">
        <v>695</v>
      </c>
      <c r="F3109" s="236" t="s">
        <v>943</v>
      </c>
      <c r="G3109" s="236" t="s">
        <v>944</v>
      </c>
      <c r="H3109" s="238">
        <v>42248</v>
      </c>
      <c r="I3109" s="235">
        <v>42311</v>
      </c>
      <c r="J3109" s="136">
        <v>133.19</v>
      </c>
      <c r="K3109" s="89"/>
      <c r="L3109" s="89">
        <v>1</v>
      </c>
    </row>
    <row r="3110" spans="1:12" ht="71.25">
      <c r="A3110" s="89" t="s">
        <v>448</v>
      </c>
      <c r="B3110" s="237"/>
      <c r="C3110" s="89" t="s">
        <v>449</v>
      </c>
      <c r="D3110" s="89"/>
      <c r="E3110" s="236" t="s">
        <v>450</v>
      </c>
      <c r="F3110" s="236" t="s">
        <v>943</v>
      </c>
      <c r="G3110" s="236" t="s">
        <v>945</v>
      </c>
      <c r="H3110" s="238">
        <v>42248</v>
      </c>
      <c r="I3110" s="235">
        <v>42333</v>
      </c>
      <c r="J3110" s="136">
        <v>578.03</v>
      </c>
      <c r="K3110" s="89"/>
      <c r="L3110" s="89">
        <v>1</v>
      </c>
    </row>
    <row r="3111" spans="1:12" ht="85.5">
      <c r="A3111" s="89" t="s">
        <v>729</v>
      </c>
      <c r="B3111" s="237">
        <v>112120502010</v>
      </c>
      <c r="C3111" s="89" t="s">
        <v>459</v>
      </c>
      <c r="D3111" s="89"/>
      <c r="E3111" s="236" t="s">
        <v>479</v>
      </c>
      <c r="F3111" s="236" t="s">
        <v>429</v>
      </c>
      <c r="G3111" s="236" t="s">
        <v>946</v>
      </c>
      <c r="H3111" s="238">
        <v>42278</v>
      </c>
      <c r="I3111" s="235">
        <v>42335</v>
      </c>
      <c r="J3111" s="136">
        <v>64424.51</v>
      </c>
      <c r="K3111" s="89"/>
      <c r="L3111" s="89">
        <v>1</v>
      </c>
    </row>
    <row r="3112" spans="1:12" ht="85.5">
      <c r="A3112" s="89" t="s">
        <v>729</v>
      </c>
      <c r="B3112" s="237">
        <v>112120502010</v>
      </c>
      <c r="C3112" s="89" t="s">
        <v>459</v>
      </c>
      <c r="D3112" s="89"/>
      <c r="E3112" s="236" t="s">
        <v>479</v>
      </c>
      <c r="F3112" s="236" t="s">
        <v>429</v>
      </c>
      <c r="G3112" s="236" t="s">
        <v>947</v>
      </c>
      <c r="H3112" s="238">
        <v>42278</v>
      </c>
      <c r="I3112" s="235">
        <v>42338</v>
      </c>
      <c r="J3112" s="136">
        <v>19454.73</v>
      </c>
      <c r="K3112" s="89"/>
      <c r="L3112" s="89">
        <v>1</v>
      </c>
    </row>
    <row r="3113" spans="1:12" ht="85.5">
      <c r="A3113" s="89" t="s">
        <v>729</v>
      </c>
      <c r="B3113" s="237">
        <v>112120502010</v>
      </c>
      <c r="C3113" s="89" t="s">
        <v>459</v>
      </c>
      <c r="D3113" s="89"/>
      <c r="E3113" s="236" t="s">
        <v>479</v>
      </c>
      <c r="F3113" s="236" t="s">
        <v>429</v>
      </c>
      <c r="G3113" s="236" t="s">
        <v>948</v>
      </c>
      <c r="H3113" s="238">
        <v>42278</v>
      </c>
      <c r="I3113" s="235">
        <v>42338</v>
      </c>
      <c r="J3113" s="136">
        <v>845.33</v>
      </c>
      <c r="K3113" s="89"/>
      <c r="L3113" s="89">
        <v>1</v>
      </c>
    </row>
    <row r="3114" spans="1:12" ht="85.5">
      <c r="A3114" s="89" t="s">
        <v>729</v>
      </c>
      <c r="B3114" s="237">
        <v>112120502010</v>
      </c>
      <c r="C3114" s="89" t="s">
        <v>459</v>
      </c>
      <c r="D3114" s="89"/>
      <c r="E3114" s="236" t="s">
        <v>479</v>
      </c>
      <c r="F3114" s="236" t="s">
        <v>429</v>
      </c>
      <c r="G3114" s="236" t="s">
        <v>949</v>
      </c>
      <c r="H3114" s="238">
        <v>42278</v>
      </c>
      <c r="I3114" s="235">
        <v>42338</v>
      </c>
      <c r="J3114" s="136">
        <v>7817.58</v>
      </c>
      <c r="K3114" s="89"/>
      <c r="L3114" s="89">
        <v>1</v>
      </c>
    </row>
    <row r="3115" spans="1:12" ht="85.5">
      <c r="A3115" s="89" t="s">
        <v>950</v>
      </c>
      <c r="B3115" s="237">
        <v>112120502010</v>
      </c>
      <c r="C3115" s="89" t="s">
        <v>459</v>
      </c>
      <c r="D3115" s="89"/>
      <c r="E3115" s="236" t="s">
        <v>479</v>
      </c>
      <c r="F3115" s="236" t="s">
        <v>429</v>
      </c>
      <c r="G3115" s="236" t="s">
        <v>951</v>
      </c>
      <c r="H3115" s="238">
        <v>42278</v>
      </c>
      <c r="I3115" s="235">
        <v>42335</v>
      </c>
      <c r="J3115" s="136">
        <v>4408.13</v>
      </c>
      <c r="K3115" s="89"/>
      <c r="L3115" s="89">
        <v>1</v>
      </c>
    </row>
    <row r="3116" spans="1:12" ht="85.5">
      <c r="A3116" s="89" t="s">
        <v>950</v>
      </c>
      <c r="B3116" s="237">
        <v>112120502010</v>
      </c>
      <c r="C3116" s="89" t="s">
        <v>459</v>
      </c>
      <c r="D3116" s="89"/>
      <c r="E3116" s="236" t="s">
        <v>479</v>
      </c>
      <c r="F3116" s="236" t="s">
        <v>429</v>
      </c>
      <c r="G3116" s="236" t="s">
        <v>952</v>
      </c>
      <c r="H3116" s="238">
        <v>42278</v>
      </c>
      <c r="I3116" s="235">
        <v>42338</v>
      </c>
      <c r="J3116" s="136">
        <v>1059.83</v>
      </c>
      <c r="K3116" s="89"/>
      <c r="L3116" s="89">
        <v>1</v>
      </c>
    </row>
    <row r="3117" spans="1:12" ht="85.5">
      <c r="A3117" s="89" t="s">
        <v>950</v>
      </c>
      <c r="B3117" s="237">
        <v>112120502010</v>
      </c>
      <c r="C3117" s="89" t="s">
        <v>459</v>
      </c>
      <c r="D3117" s="89"/>
      <c r="E3117" s="236" t="s">
        <v>479</v>
      </c>
      <c r="F3117" s="236" t="s">
        <v>429</v>
      </c>
      <c r="G3117" s="236" t="s">
        <v>953</v>
      </c>
      <c r="H3117" s="238">
        <v>42278</v>
      </c>
      <c r="I3117" s="235">
        <v>42338</v>
      </c>
      <c r="J3117" s="136">
        <v>15959.46</v>
      </c>
      <c r="K3117" s="89"/>
      <c r="L3117" s="89">
        <v>1</v>
      </c>
    </row>
    <row r="3118" spans="1:12" ht="85.5">
      <c r="A3118" s="89" t="s">
        <v>950</v>
      </c>
      <c r="B3118" s="237">
        <v>112120502010</v>
      </c>
      <c r="C3118" s="89" t="s">
        <v>459</v>
      </c>
      <c r="D3118" s="89"/>
      <c r="E3118" s="236" t="s">
        <v>479</v>
      </c>
      <c r="F3118" s="236" t="s">
        <v>429</v>
      </c>
      <c r="G3118" s="236" t="s">
        <v>954</v>
      </c>
      <c r="H3118" s="238">
        <v>42278</v>
      </c>
      <c r="I3118" s="235">
        <v>42338</v>
      </c>
      <c r="J3118" s="136">
        <v>32892.85</v>
      </c>
      <c r="K3118" s="89"/>
      <c r="L3118" s="89">
        <v>1</v>
      </c>
    </row>
    <row r="3119" spans="1:12" ht="85.5">
      <c r="A3119" s="89" t="s">
        <v>712</v>
      </c>
      <c r="B3119" s="237">
        <v>112120502010</v>
      </c>
      <c r="C3119" s="89" t="s">
        <v>458</v>
      </c>
      <c r="D3119" s="89"/>
      <c r="E3119" s="236" t="s">
        <v>479</v>
      </c>
      <c r="F3119" s="236" t="s">
        <v>429</v>
      </c>
      <c r="G3119" s="236" t="s">
        <v>946</v>
      </c>
      <c r="H3119" s="238">
        <v>42278</v>
      </c>
      <c r="I3119" s="235">
        <v>42335</v>
      </c>
      <c r="J3119" s="136">
        <v>79381.759999999995</v>
      </c>
      <c r="K3119" s="89"/>
      <c r="L3119" s="89">
        <v>1</v>
      </c>
    </row>
    <row r="3120" spans="1:12" ht="85.5">
      <c r="A3120" s="89" t="s">
        <v>712</v>
      </c>
      <c r="B3120" s="237">
        <v>112120502010</v>
      </c>
      <c r="C3120" s="89" t="s">
        <v>458</v>
      </c>
      <c r="D3120" s="89"/>
      <c r="E3120" s="236" t="s">
        <v>479</v>
      </c>
      <c r="F3120" s="236" t="s">
        <v>429</v>
      </c>
      <c r="G3120" s="236" t="s">
        <v>947</v>
      </c>
      <c r="H3120" s="238">
        <v>42278</v>
      </c>
      <c r="I3120" s="235">
        <v>42338</v>
      </c>
      <c r="J3120" s="136">
        <v>23971.48</v>
      </c>
      <c r="K3120" s="89"/>
      <c r="L3120" s="89">
        <v>1</v>
      </c>
    </row>
    <row r="3121" spans="1:12" ht="85.5">
      <c r="A3121" s="89" t="s">
        <v>712</v>
      </c>
      <c r="B3121" s="237">
        <v>112120502010</v>
      </c>
      <c r="C3121" s="89" t="s">
        <v>458</v>
      </c>
      <c r="D3121" s="89"/>
      <c r="E3121" s="236" t="s">
        <v>479</v>
      </c>
      <c r="F3121" s="236" t="s">
        <v>429</v>
      </c>
      <c r="G3121" s="236" t="s">
        <v>948</v>
      </c>
      <c r="H3121" s="238">
        <v>42278</v>
      </c>
      <c r="I3121" s="235">
        <v>42338</v>
      </c>
      <c r="J3121" s="136">
        <v>1041.5899999999999</v>
      </c>
      <c r="K3121" s="89"/>
      <c r="L3121" s="89">
        <v>1</v>
      </c>
    </row>
    <row r="3122" spans="1:12" ht="85.5">
      <c r="A3122" s="89" t="s">
        <v>712</v>
      </c>
      <c r="B3122" s="237">
        <v>112120502010</v>
      </c>
      <c r="C3122" s="89" t="s">
        <v>458</v>
      </c>
      <c r="D3122" s="89"/>
      <c r="E3122" s="236" t="s">
        <v>479</v>
      </c>
      <c r="F3122" s="236" t="s">
        <v>429</v>
      </c>
      <c r="G3122" s="236" t="s">
        <v>949</v>
      </c>
      <c r="H3122" s="238">
        <v>42278</v>
      </c>
      <c r="I3122" s="235">
        <v>42338</v>
      </c>
      <c r="J3122" s="136">
        <v>9632.57</v>
      </c>
      <c r="K3122" s="89"/>
      <c r="L3122" s="89">
        <v>1</v>
      </c>
    </row>
    <row r="3123" spans="1:12" ht="85.5">
      <c r="A3123" s="89" t="s">
        <v>955</v>
      </c>
      <c r="B3123" s="237">
        <v>112120502010</v>
      </c>
      <c r="C3123" s="89" t="s">
        <v>458</v>
      </c>
      <c r="D3123" s="89"/>
      <c r="E3123" s="236" t="s">
        <v>479</v>
      </c>
      <c r="F3123" s="236" t="s">
        <v>429</v>
      </c>
      <c r="G3123" s="236" t="s">
        <v>951</v>
      </c>
      <c r="H3123" s="238">
        <v>42278</v>
      </c>
      <c r="I3123" s="235">
        <v>42335</v>
      </c>
      <c r="J3123" s="136">
        <v>5431.55</v>
      </c>
      <c r="K3123" s="89"/>
      <c r="L3123" s="89">
        <v>1</v>
      </c>
    </row>
    <row r="3124" spans="1:12" ht="85.5">
      <c r="A3124" s="89" t="s">
        <v>955</v>
      </c>
      <c r="B3124" s="237">
        <v>112120502010</v>
      </c>
      <c r="C3124" s="89" t="s">
        <v>458</v>
      </c>
      <c r="D3124" s="89"/>
      <c r="E3124" s="236" t="s">
        <v>479</v>
      </c>
      <c r="F3124" s="236" t="s">
        <v>429</v>
      </c>
      <c r="G3124" s="236" t="s">
        <v>952</v>
      </c>
      <c r="H3124" s="238">
        <v>42278</v>
      </c>
      <c r="I3124" s="235">
        <v>42338</v>
      </c>
      <c r="J3124" s="136">
        <v>1305.8900000000001</v>
      </c>
      <c r="K3124" s="89"/>
      <c r="L3124" s="89">
        <v>1</v>
      </c>
    </row>
    <row r="3125" spans="1:12" ht="85.5">
      <c r="A3125" s="89" t="s">
        <v>955</v>
      </c>
      <c r="B3125" s="237">
        <v>112120502010</v>
      </c>
      <c r="C3125" s="89" t="s">
        <v>458</v>
      </c>
      <c r="D3125" s="89"/>
      <c r="E3125" s="236" t="s">
        <v>479</v>
      </c>
      <c r="F3125" s="236" t="s">
        <v>429</v>
      </c>
      <c r="G3125" s="236" t="s">
        <v>953</v>
      </c>
      <c r="H3125" s="238">
        <v>42278</v>
      </c>
      <c r="I3125" s="235">
        <v>42338</v>
      </c>
      <c r="J3125" s="136">
        <v>19664.72</v>
      </c>
      <c r="K3125" s="89"/>
      <c r="L3125" s="89">
        <v>1</v>
      </c>
    </row>
    <row r="3126" spans="1:12" ht="85.5">
      <c r="A3126" s="89" t="s">
        <v>955</v>
      </c>
      <c r="B3126" s="237">
        <v>112120502010</v>
      </c>
      <c r="C3126" s="89" t="s">
        <v>458</v>
      </c>
      <c r="D3126" s="89"/>
      <c r="E3126" s="236" t="s">
        <v>479</v>
      </c>
      <c r="F3126" s="236" t="s">
        <v>429</v>
      </c>
      <c r="G3126" s="236" t="s">
        <v>954</v>
      </c>
      <c r="H3126" s="238">
        <v>42278</v>
      </c>
      <c r="I3126" s="235">
        <v>42338</v>
      </c>
      <c r="J3126" s="136">
        <v>40529.49</v>
      </c>
      <c r="K3126" s="89"/>
      <c r="L3126" s="89">
        <v>1</v>
      </c>
    </row>
    <row r="3127" spans="1:12" ht="85.5">
      <c r="A3127" s="89" t="s">
        <v>689</v>
      </c>
      <c r="B3127" s="237">
        <v>112120502010</v>
      </c>
      <c r="C3127" s="89" t="s">
        <v>454</v>
      </c>
      <c r="D3127" s="89"/>
      <c r="E3127" s="236" t="s">
        <v>479</v>
      </c>
      <c r="F3127" s="236" t="s">
        <v>429</v>
      </c>
      <c r="G3127" s="236" t="s">
        <v>946</v>
      </c>
      <c r="H3127" s="238">
        <v>42278</v>
      </c>
      <c r="I3127" s="235">
        <v>42335</v>
      </c>
      <c r="J3127" s="136">
        <v>7853.21</v>
      </c>
      <c r="K3127" s="89"/>
      <c r="L3127" s="89">
        <v>1</v>
      </c>
    </row>
    <row r="3128" spans="1:12" ht="85.5">
      <c r="A3128" s="89" t="s">
        <v>689</v>
      </c>
      <c r="B3128" s="237">
        <v>112120502010</v>
      </c>
      <c r="C3128" s="89" t="s">
        <v>454</v>
      </c>
      <c r="D3128" s="89"/>
      <c r="E3128" s="236" t="s">
        <v>479</v>
      </c>
      <c r="F3128" s="236" t="s">
        <v>429</v>
      </c>
      <c r="G3128" s="236" t="s">
        <v>947</v>
      </c>
      <c r="H3128" s="238">
        <v>42278</v>
      </c>
      <c r="I3128" s="235">
        <v>42338</v>
      </c>
      <c r="J3128" s="136">
        <v>2371.4899999999998</v>
      </c>
      <c r="K3128" s="89"/>
      <c r="L3128" s="89">
        <v>1</v>
      </c>
    </row>
    <row r="3129" spans="1:12" ht="85.5">
      <c r="A3129" s="89" t="s">
        <v>689</v>
      </c>
      <c r="B3129" s="237">
        <v>112120502010</v>
      </c>
      <c r="C3129" s="89" t="s">
        <v>454</v>
      </c>
      <c r="D3129" s="89"/>
      <c r="E3129" s="236" t="s">
        <v>479</v>
      </c>
      <c r="F3129" s="236" t="s">
        <v>429</v>
      </c>
      <c r="G3129" s="236" t="s">
        <v>948</v>
      </c>
      <c r="H3129" s="238">
        <v>42278</v>
      </c>
      <c r="I3129" s="235">
        <v>42338</v>
      </c>
      <c r="J3129" s="136">
        <v>103.04</v>
      </c>
      <c r="K3129" s="89"/>
      <c r="L3129" s="89">
        <v>1</v>
      </c>
    </row>
    <row r="3130" spans="1:12" ht="85.5">
      <c r="A3130" s="89" t="s">
        <v>689</v>
      </c>
      <c r="B3130" s="237">
        <v>112120502010</v>
      </c>
      <c r="C3130" s="89" t="s">
        <v>454</v>
      </c>
      <c r="D3130" s="89"/>
      <c r="E3130" s="236" t="s">
        <v>479</v>
      </c>
      <c r="F3130" s="236" t="s">
        <v>429</v>
      </c>
      <c r="G3130" s="236" t="s">
        <v>949</v>
      </c>
      <c r="H3130" s="238">
        <v>42278</v>
      </c>
      <c r="I3130" s="235">
        <v>42338</v>
      </c>
      <c r="J3130" s="136">
        <v>952.95</v>
      </c>
      <c r="K3130" s="89"/>
      <c r="L3130" s="89">
        <v>1</v>
      </c>
    </row>
    <row r="3131" spans="1:12" ht="85.5">
      <c r="A3131" s="89" t="s">
        <v>956</v>
      </c>
      <c r="B3131" s="237">
        <v>112120502010</v>
      </c>
      <c r="C3131" s="89" t="s">
        <v>454</v>
      </c>
      <c r="D3131" s="89"/>
      <c r="E3131" s="236" t="s">
        <v>479</v>
      </c>
      <c r="F3131" s="236" t="s">
        <v>429</v>
      </c>
      <c r="G3131" s="236" t="s">
        <v>951</v>
      </c>
      <c r="H3131" s="238">
        <v>42278</v>
      </c>
      <c r="I3131" s="235">
        <v>42335</v>
      </c>
      <c r="J3131" s="136">
        <v>537.34</v>
      </c>
      <c r="K3131" s="89"/>
      <c r="L3131" s="89">
        <v>1</v>
      </c>
    </row>
    <row r="3132" spans="1:12" ht="85.5">
      <c r="A3132" s="89" t="s">
        <v>956</v>
      </c>
      <c r="B3132" s="237">
        <v>112120502010</v>
      </c>
      <c r="C3132" s="89" t="s">
        <v>454</v>
      </c>
      <c r="D3132" s="89"/>
      <c r="E3132" s="236" t="s">
        <v>479</v>
      </c>
      <c r="F3132" s="236" t="s">
        <v>429</v>
      </c>
      <c r="G3132" s="236" t="s">
        <v>952</v>
      </c>
      <c r="H3132" s="238">
        <v>42278</v>
      </c>
      <c r="I3132" s="235">
        <v>42338</v>
      </c>
      <c r="J3132" s="136">
        <v>129.19</v>
      </c>
      <c r="K3132" s="89"/>
      <c r="L3132" s="89">
        <v>1</v>
      </c>
    </row>
    <row r="3133" spans="1:12" ht="85.5">
      <c r="A3133" s="89" t="s">
        <v>956</v>
      </c>
      <c r="B3133" s="237">
        <v>112120502010</v>
      </c>
      <c r="C3133" s="89" t="s">
        <v>454</v>
      </c>
      <c r="D3133" s="89"/>
      <c r="E3133" s="236" t="s">
        <v>479</v>
      </c>
      <c r="F3133" s="236" t="s">
        <v>429</v>
      </c>
      <c r="G3133" s="236" t="s">
        <v>953</v>
      </c>
      <c r="H3133" s="238">
        <v>42278</v>
      </c>
      <c r="I3133" s="235">
        <v>42338</v>
      </c>
      <c r="J3133" s="136">
        <v>1945.42</v>
      </c>
      <c r="K3133" s="89"/>
      <c r="L3133" s="89">
        <v>1</v>
      </c>
    </row>
    <row r="3134" spans="1:12" ht="85.5">
      <c r="A3134" s="89" t="s">
        <v>956</v>
      </c>
      <c r="B3134" s="237">
        <v>112120502010</v>
      </c>
      <c r="C3134" s="89" t="s">
        <v>454</v>
      </c>
      <c r="D3134" s="89"/>
      <c r="E3134" s="236" t="s">
        <v>479</v>
      </c>
      <c r="F3134" s="236" t="s">
        <v>429</v>
      </c>
      <c r="G3134" s="236" t="s">
        <v>954</v>
      </c>
      <c r="H3134" s="238">
        <v>42278</v>
      </c>
      <c r="I3134" s="235">
        <v>42338</v>
      </c>
      <c r="J3134" s="136">
        <v>4009.57</v>
      </c>
      <c r="K3134" s="89"/>
      <c r="L3134" s="89">
        <v>1</v>
      </c>
    </row>
    <row r="3135" spans="1:12" ht="85.5">
      <c r="A3135" s="89" t="s">
        <v>697</v>
      </c>
      <c r="B3135" s="237">
        <v>112120502010</v>
      </c>
      <c r="C3135" s="89" t="s">
        <v>456</v>
      </c>
      <c r="D3135" s="89"/>
      <c r="E3135" s="236" t="s">
        <v>479</v>
      </c>
      <c r="F3135" s="236" t="s">
        <v>429</v>
      </c>
      <c r="G3135" s="236" t="s">
        <v>946</v>
      </c>
      <c r="H3135" s="238">
        <v>42278</v>
      </c>
      <c r="I3135" s="235">
        <v>42335</v>
      </c>
      <c r="J3135" s="136">
        <v>37443.19</v>
      </c>
      <c r="K3135" s="89"/>
      <c r="L3135" s="89">
        <v>1</v>
      </c>
    </row>
    <row r="3136" spans="1:12" ht="85.5">
      <c r="A3136" s="89" t="s">
        <v>697</v>
      </c>
      <c r="B3136" s="237">
        <v>112120502010</v>
      </c>
      <c r="C3136" s="89" t="s">
        <v>456</v>
      </c>
      <c r="D3136" s="89"/>
      <c r="E3136" s="236" t="s">
        <v>479</v>
      </c>
      <c r="F3136" s="236" t="s">
        <v>429</v>
      </c>
      <c r="G3136" s="236" t="s">
        <v>947</v>
      </c>
      <c r="H3136" s="238">
        <v>42278</v>
      </c>
      <c r="I3136" s="235">
        <v>42338</v>
      </c>
      <c r="J3136" s="136">
        <v>11306.99</v>
      </c>
      <c r="K3136" s="89"/>
      <c r="L3136" s="89">
        <v>1</v>
      </c>
    </row>
    <row r="3137" spans="1:12" ht="85.5">
      <c r="A3137" s="89" t="s">
        <v>697</v>
      </c>
      <c r="B3137" s="237">
        <v>112120502010</v>
      </c>
      <c r="C3137" s="89" t="s">
        <v>456</v>
      </c>
      <c r="D3137" s="89"/>
      <c r="E3137" s="236" t="s">
        <v>479</v>
      </c>
      <c r="F3137" s="236" t="s">
        <v>429</v>
      </c>
      <c r="G3137" s="236" t="s">
        <v>948</v>
      </c>
      <c r="H3137" s="238">
        <v>42278</v>
      </c>
      <c r="I3137" s="235">
        <v>42338</v>
      </c>
      <c r="J3137" s="136">
        <v>491.3</v>
      </c>
      <c r="K3137" s="89"/>
      <c r="L3137" s="89">
        <v>1</v>
      </c>
    </row>
    <row r="3138" spans="1:12" ht="85.5">
      <c r="A3138" s="89" t="s">
        <v>697</v>
      </c>
      <c r="B3138" s="237">
        <v>112120502010</v>
      </c>
      <c r="C3138" s="89" t="s">
        <v>456</v>
      </c>
      <c r="D3138" s="89"/>
      <c r="E3138" s="236" t="s">
        <v>479</v>
      </c>
      <c r="F3138" s="236" t="s">
        <v>429</v>
      </c>
      <c r="G3138" s="236" t="s">
        <v>949</v>
      </c>
      <c r="H3138" s="238">
        <v>42278</v>
      </c>
      <c r="I3138" s="235">
        <v>42338</v>
      </c>
      <c r="J3138" s="136">
        <v>4543.54</v>
      </c>
      <c r="K3138" s="89"/>
      <c r="L3138" s="89">
        <v>1</v>
      </c>
    </row>
    <row r="3139" spans="1:12" ht="85.5">
      <c r="A3139" s="89" t="s">
        <v>957</v>
      </c>
      <c r="B3139" s="237">
        <v>112120502010</v>
      </c>
      <c r="C3139" s="89" t="s">
        <v>456</v>
      </c>
      <c r="D3139" s="89"/>
      <c r="E3139" s="236" t="s">
        <v>479</v>
      </c>
      <c r="F3139" s="236" t="s">
        <v>429</v>
      </c>
      <c r="G3139" s="236" t="s">
        <v>951</v>
      </c>
      <c r="H3139" s="238">
        <v>42278</v>
      </c>
      <c r="I3139" s="235">
        <v>42335</v>
      </c>
      <c r="J3139" s="136">
        <v>2561.98</v>
      </c>
      <c r="K3139" s="89"/>
      <c r="L3139" s="89">
        <v>1</v>
      </c>
    </row>
    <row r="3140" spans="1:12" ht="85.5">
      <c r="A3140" s="89" t="s">
        <v>957</v>
      </c>
      <c r="B3140" s="237">
        <v>112120502010</v>
      </c>
      <c r="C3140" s="89" t="s">
        <v>456</v>
      </c>
      <c r="D3140" s="89"/>
      <c r="E3140" s="236" t="s">
        <v>479</v>
      </c>
      <c r="F3140" s="236" t="s">
        <v>429</v>
      </c>
      <c r="G3140" s="236" t="s">
        <v>952</v>
      </c>
      <c r="H3140" s="238">
        <v>42278</v>
      </c>
      <c r="I3140" s="235">
        <v>42338</v>
      </c>
      <c r="J3140" s="136">
        <v>615.97</v>
      </c>
      <c r="K3140" s="89"/>
      <c r="L3140" s="89">
        <v>1</v>
      </c>
    </row>
    <row r="3141" spans="1:12" ht="85.5">
      <c r="A3141" s="89" t="s">
        <v>957</v>
      </c>
      <c r="B3141" s="237">
        <v>112120502010</v>
      </c>
      <c r="C3141" s="89" t="s">
        <v>456</v>
      </c>
      <c r="D3141" s="89"/>
      <c r="E3141" s="236" t="s">
        <v>479</v>
      </c>
      <c r="F3141" s="236" t="s">
        <v>429</v>
      </c>
      <c r="G3141" s="236" t="s">
        <v>953</v>
      </c>
      <c r="H3141" s="238">
        <v>42278</v>
      </c>
      <c r="I3141" s="235">
        <v>42338</v>
      </c>
      <c r="J3141" s="136">
        <v>9275.5499999999993</v>
      </c>
      <c r="K3141" s="89"/>
      <c r="L3141" s="89">
        <v>1</v>
      </c>
    </row>
    <row r="3142" spans="1:12" ht="85.5">
      <c r="A3142" s="89" t="s">
        <v>957</v>
      </c>
      <c r="B3142" s="237">
        <v>112120502010</v>
      </c>
      <c r="C3142" s="89" t="s">
        <v>456</v>
      </c>
      <c r="D3142" s="89"/>
      <c r="E3142" s="236" t="s">
        <v>479</v>
      </c>
      <c r="F3142" s="236" t="s">
        <v>429</v>
      </c>
      <c r="G3142" s="236" t="s">
        <v>954</v>
      </c>
      <c r="H3142" s="238">
        <v>42278</v>
      </c>
      <c r="I3142" s="235">
        <v>42338</v>
      </c>
      <c r="J3142" s="136">
        <v>19117.150000000001</v>
      </c>
      <c r="K3142" s="89"/>
      <c r="L3142" s="89">
        <v>1</v>
      </c>
    </row>
    <row r="3143" spans="1:12" ht="85.5">
      <c r="A3143" s="89" t="s">
        <v>718</v>
      </c>
      <c r="B3143" s="237">
        <v>112120502010</v>
      </c>
      <c r="C3143" s="89" t="s">
        <v>719</v>
      </c>
      <c r="D3143" s="89"/>
      <c r="E3143" s="236" t="s">
        <v>479</v>
      </c>
      <c r="F3143" s="236" t="s">
        <v>429</v>
      </c>
      <c r="G3143" s="236" t="s">
        <v>946</v>
      </c>
      <c r="H3143" s="238">
        <v>42278</v>
      </c>
      <c r="I3143" s="235">
        <v>42335</v>
      </c>
      <c r="J3143" s="136">
        <v>33535.620000000003</v>
      </c>
      <c r="K3143" s="89"/>
      <c r="L3143" s="89">
        <v>1</v>
      </c>
    </row>
    <row r="3144" spans="1:12" ht="85.5">
      <c r="A3144" s="89" t="s">
        <v>718</v>
      </c>
      <c r="B3144" s="237">
        <v>112120502010</v>
      </c>
      <c r="C3144" s="89" t="s">
        <v>719</v>
      </c>
      <c r="D3144" s="89"/>
      <c r="E3144" s="236" t="s">
        <v>479</v>
      </c>
      <c r="F3144" s="236" t="s">
        <v>429</v>
      </c>
      <c r="G3144" s="236" t="s">
        <v>947</v>
      </c>
      <c r="H3144" s="238">
        <v>42278</v>
      </c>
      <c r="I3144" s="235">
        <v>42338</v>
      </c>
      <c r="J3144" s="136">
        <v>10126.99</v>
      </c>
      <c r="K3144" s="89"/>
      <c r="L3144" s="89">
        <v>1</v>
      </c>
    </row>
    <row r="3145" spans="1:12" ht="85.5">
      <c r="A3145" s="89" t="s">
        <v>718</v>
      </c>
      <c r="B3145" s="237">
        <v>112120502010</v>
      </c>
      <c r="C3145" s="89" t="s">
        <v>719</v>
      </c>
      <c r="D3145" s="89"/>
      <c r="E3145" s="236" t="s">
        <v>479</v>
      </c>
      <c r="F3145" s="236" t="s">
        <v>429</v>
      </c>
      <c r="G3145" s="236" t="s">
        <v>948</v>
      </c>
      <c r="H3145" s="238">
        <v>42278</v>
      </c>
      <c r="I3145" s="235">
        <v>42338</v>
      </c>
      <c r="J3145" s="136">
        <v>440.03</v>
      </c>
      <c r="K3145" s="89"/>
      <c r="L3145" s="89">
        <v>1</v>
      </c>
    </row>
    <row r="3146" spans="1:12" ht="85.5">
      <c r="A3146" s="89" t="s">
        <v>718</v>
      </c>
      <c r="B3146" s="237">
        <v>112120502010</v>
      </c>
      <c r="C3146" s="89" t="s">
        <v>719</v>
      </c>
      <c r="D3146" s="89"/>
      <c r="E3146" s="236" t="s">
        <v>479</v>
      </c>
      <c r="F3146" s="236" t="s">
        <v>429</v>
      </c>
      <c r="G3146" s="236" t="s">
        <v>949</v>
      </c>
      <c r="H3146" s="238">
        <v>42278</v>
      </c>
      <c r="I3146" s="235">
        <v>42338</v>
      </c>
      <c r="J3146" s="136">
        <v>4069.38</v>
      </c>
      <c r="K3146" s="89"/>
      <c r="L3146" s="89">
        <v>1</v>
      </c>
    </row>
    <row r="3147" spans="1:12" ht="85.5">
      <c r="A3147" s="89" t="s">
        <v>958</v>
      </c>
      <c r="B3147" s="237">
        <v>112120502010</v>
      </c>
      <c r="C3147" s="89" t="s">
        <v>719</v>
      </c>
      <c r="D3147" s="89"/>
      <c r="E3147" s="236" t="s">
        <v>479</v>
      </c>
      <c r="F3147" s="236" t="s">
        <v>429</v>
      </c>
      <c r="G3147" s="236" t="s">
        <v>951</v>
      </c>
      <c r="H3147" s="238">
        <v>42278</v>
      </c>
      <c r="I3147" s="235">
        <v>42335</v>
      </c>
      <c r="J3147" s="136">
        <v>2294.61</v>
      </c>
      <c r="K3147" s="89"/>
      <c r="L3147" s="89">
        <v>1</v>
      </c>
    </row>
    <row r="3148" spans="1:12" ht="85.5">
      <c r="A3148" s="89" t="s">
        <v>958</v>
      </c>
      <c r="B3148" s="237">
        <v>112120502010</v>
      </c>
      <c r="C3148" s="89" t="s">
        <v>719</v>
      </c>
      <c r="D3148" s="89"/>
      <c r="E3148" s="236" t="s">
        <v>479</v>
      </c>
      <c r="F3148" s="236" t="s">
        <v>429</v>
      </c>
      <c r="G3148" s="236" t="s">
        <v>952</v>
      </c>
      <c r="H3148" s="238">
        <v>42278</v>
      </c>
      <c r="I3148" s="235">
        <v>42338</v>
      </c>
      <c r="J3148" s="136">
        <v>551.69000000000005</v>
      </c>
      <c r="K3148" s="89"/>
      <c r="L3148" s="89">
        <v>1</v>
      </c>
    </row>
    <row r="3149" spans="1:12" ht="85.5">
      <c r="A3149" s="89" t="s">
        <v>958</v>
      </c>
      <c r="B3149" s="237">
        <v>112120502010</v>
      </c>
      <c r="C3149" s="89" t="s">
        <v>719</v>
      </c>
      <c r="D3149" s="89"/>
      <c r="E3149" s="236" t="s">
        <v>479</v>
      </c>
      <c r="F3149" s="236" t="s">
        <v>429</v>
      </c>
      <c r="G3149" s="236" t="s">
        <v>953</v>
      </c>
      <c r="H3149" s="238">
        <v>42278</v>
      </c>
      <c r="I3149" s="235">
        <v>42338</v>
      </c>
      <c r="J3149" s="136">
        <v>8307.56</v>
      </c>
      <c r="K3149" s="89"/>
      <c r="L3149" s="89">
        <v>1</v>
      </c>
    </row>
    <row r="3150" spans="1:12" ht="85.5">
      <c r="A3150" s="89" t="s">
        <v>958</v>
      </c>
      <c r="B3150" s="237">
        <v>112120502010</v>
      </c>
      <c r="C3150" s="89" t="s">
        <v>719</v>
      </c>
      <c r="D3150" s="89"/>
      <c r="E3150" s="236" t="s">
        <v>479</v>
      </c>
      <c r="F3150" s="236" t="s">
        <v>429</v>
      </c>
      <c r="G3150" s="236" t="s">
        <v>954</v>
      </c>
      <c r="H3150" s="238">
        <v>42278</v>
      </c>
      <c r="I3150" s="235">
        <v>42338</v>
      </c>
      <c r="J3150" s="136">
        <v>17122.09</v>
      </c>
      <c r="K3150" s="89"/>
      <c r="L3150" s="89">
        <v>1</v>
      </c>
    </row>
    <row r="3151" spans="1:12" ht="85.5">
      <c r="A3151" s="89" t="s">
        <v>740</v>
      </c>
      <c r="B3151" s="237">
        <v>112120502010</v>
      </c>
      <c r="C3151" s="89" t="s">
        <v>460</v>
      </c>
      <c r="D3151" s="89"/>
      <c r="E3151" s="236" t="s">
        <v>479</v>
      </c>
      <c r="F3151" s="236" t="s">
        <v>429</v>
      </c>
      <c r="G3151" s="236" t="s">
        <v>946</v>
      </c>
      <c r="H3151" s="238">
        <v>42278</v>
      </c>
      <c r="I3151" s="235">
        <v>42335</v>
      </c>
      <c r="J3151" s="136">
        <v>99887</v>
      </c>
      <c r="K3151" s="89"/>
      <c r="L3151" s="89">
        <v>1</v>
      </c>
    </row>
    <row r="3152" spans="1:12" ht="85.5">
      <c r="A3152" s="89" t="s">
        <v>740</v>
      </c>
      <c r="B3152" s="237">
        <v>112120502010</v>
      </c>
      <c r="C3152" s="89" t="s">
        <v>460</v>
      </c>
      <c r="D3152" s="89"/>
      <c r="E3152" s="236" t="s">
        <v>479</v>
      </c>
      <c r="F3152" s="236" t="s">
        <v>429</v>
      </c>
      <c r="G3152" s="236" t="s">
        <v>947</v>
      </c>
      <c r="H3152" s="238">
        <v>42278</v>
      </c>
      <c r="I3152" s="235">
        <v>42338</v>
      </c>
      <c r="J3152" s="136">
        <v>30128.81</v>
      </c>
      <c r="K3152" s="89"/>
      <c r="L3152" s="89">
        <v>1</v>
      </c>
    </row>
    <row r="3153" spans="1:12" ht="85.5">
      <c r="A3153" s="89" t="s">
        <v>740</v>
      </c>
      <c r="B3153" s="237">
        <v>112120502010</v>
      </c>
      <c r="C3153" s="89" t="s">
        <v>460</v>
      </c>
      <c r="D3153" s="89"/>
      <c r="E3153" s="236" t="s">
        <v>479</v>
      </c>
      <c r="F3153" s="236" t="s">
        <v>429</v>
      </c>
      <c r="G3153" s="236" t="s">
        <v>948</v>
      </c>
      <c r="H3153" s="238">
        <v>42278</v>
      </c>
      <c r="I3153" s="235">
        <v>42338</v>
      </c>
      <c r="J3153" s="136">
        <v>1309.1400000000001</v>
      </c>
      <c r="K3153" s="89"/>
      <c r="L3153" s="89">
        <v>1</v>
      </c>
    </row>
    <row r="3154" spans="1:12" ht="85.5">
      <c r="A3154" s="89" t="s">
        <v>740</v>
      </c>
      <c r="B3154" s="237">
        <v>112120502010</v>
      </c>
      <c r="C3154" s="89" t="s">
        <v>460</v>
      </c>
      <c r="D3154" s="89"/>
      <c r="E3154" s="236" t="s">
        <v>479</v>
      </c>
      <c r="F3154" s="236" t="s">
        <v>429</v>
      </c>
      <c r="G3154" s="236" t="s">
        <v>949</v>
      </c>
      <c r="H3154" s="238">
        <v>42278</v>
      </c>
      <c r="I3154" s="235">
        <v>42338</v>
      </c>
      <c r="J3154" s="136">
        <v>12106.8</v>
      </c>
      <c r="K3154" s="89"/>
      <c r="L3154" s="89">
        <v>1</v>
      </c>
    </row>
    <row r="3155" spans="1:12" ht="85.5">
      <c r="A3155" s="89" t="s">
        <v>959</v>
      </c>
      <c r="B3155" s="237">
        <v>112120502010</v>
      </c>
      <c r="C3155" s="89" t="s">
        <v>460</v>
      </c>
      <c r="D3155" s="89"/>
      <c r="E3155" s="236" t="s">
        <v>479</v>
      </c>
      <c r="F3155" s="236" t="s">
        <v>429</v>
      </c>
      <c r="G3155" s="236" t="s">
        <v>951</v>
      </c>
      <c r="H3155" s="238">
        <v>42278</v>
      </c>
      <c r="I3155" s="235">
        <v>42335</v>
      </c>
      <c r="J3155" s="136">
        <v>6826.7</v>
      </c>
      <c r="K3155" s="89"/>
      <c r="L3155" s="89">
        <v>1</v>
      </c>
    </row>
    <row r="3156" spans="1:12" ht="85.5">
      <c r="A3156" s="89" t="s">
        <v>959</v>
      </c>
      <c r="B3156" s="237">
        <v>112120502010</v>
      </c>
      <c r="C3156" s="89" t="s">
        <v>460</v>
      </c>
      <c r="D3156" s="89"/>
      <c r="E3156" s="236" t="s">
        <v>479</v>
      </c>
      <c r="F3156" s="236" t="s">
        <v>429</v>
      </c>
      <c r="G3156" s="236" t="s">
        <v>952</v>
      </c>
      <c r="H3156" s="238">
        <v>42278</v>
      </c>
      <c r="I3156" s="235">
        <v>42338</v>
      </c>
      <c r="J3156" s="136">
        <v>1641.32</v>
      </c>
      <c r="K3156" s="89"/>
      <c r="L3156" s="89">
        <v>1</v>
      </c>
    </row>
    <row r="3157" spans="1:12" ht="85.5">
      <c r="A3157" s="89" t="s">
        <v>959</v>
      </c>
      <c r="B3157" s="237">
        <v>112120502010</v>
      </c>
      <c r="C3157" s="89" t="s">
        <v>460</v>
      </c>
      <c r="D3157" s="89"/>
      <c r="E3157" s="236" t="s">
        <v>479</v>
      </c>
      <c r="F3157" s="236" t="s">
        <v>429</v>
      </c>
      <c r="G3157" s="236" t="s">
        <v>953</v>
      </c>
      <c r="H3157" s="238">
        <v>42278</v>
      </c>
      <c r="I3157" s="235">
        <v>42338</v>
      </c>
      <c r="J3157" s="136">
        <v>24715.81</v>
      </c>
      <c r="K3157" s="89"/>
      <c r="L3157" s="89">
        <v>1</v>
      </c>
    </row>
    <row r="3158" spans="1:12" ht="85.5">
      <c r="A3158" s="89" t="s">
        <v>959</v>
      </c>
      <c r="B3158" s="237">
        <v>112120502010</v>
      </c>
      <c r="C3158" s="89" t="s">
        <v>460</v>
      </c>
      <c r="D3158" s="89"/>
      <c r="E3158" s="236" t="s">
        <v>479</v>
      </c>
      <c r="F3158" s="236" t="s">
        <v>429</v>
      </c>
      <c r="G3158" s="236" t="s">
        <v>954</v>
      </c>
      <c r="H3158" s="238">
        <v>42278</v>
      </c>
      <c r="I3158" s="235">
        <v>42338</v>
      </c>
      <c r="J3158" s="136">
        <v>50939.92</v>
      </c>
      <c r="K3158" s="89"/>
      <c r="L3158" s="89">
        <v>1</v>
      </c>
    </row>
    <row r="3159" spans="1:12" ht="85.5">
      <c r="A3159" s="89" t="s">
        <v>749</v>
      </c>
      <c r="B3159" s="237">
        <v>112120502010</v>
      </c>
      <c r="C3159" s="89" t="s">
        <v>461</v>
      </c>
      <c r="D3159" s="89"/>
      <c r="E3159" s="236" t="s">
        <v>479</v>
      </c>
      <c r="F3159" s="236" t="s">
        <v>429</v>
      </c>
      <c r="G3159" s="236" t="s">
        <v>946</v>
      </c>
      <c r="H3159" s="238">
        <v>42278</v>
      </c>
      <c r="I3159" s="235">
        <v>42335</v>
      </c>
      <c r="J3159" s="136">
        <v>63757.5</v>
      </c>
      <c r="K3159" s="89"/>
      <c r="L3159" s="89">
        <v>1</v>
      </c>
    </row>
    <row r="3160" spans="1:12" ht="85.5">
      <c r="A3160" s="89" t="s">
        <v>749</v>
      </c>
      <c r="B3160" s="237">
        <v>112120502010</v>
      </c>
      <c r="C3160" s="89" t="s">
        <v>461</v>
      </c>
      <c r="D3160" s="89"/>
      <c r="E3160" s="236" t="s">
        <v>479</v>
      </c>
      <c r="F3160" s="236" t="s">
        <v>429</v>
      </c>
      <c r="G3160" s="236" t="s">
        <v>947</v>
      </c>
      <c r="H3160" s="238">
        <v>42278</v>
      </c>
      <c r="I3160" s="235">
        <v>42338</v>
      </c>
      <c r="J3160" s="136">
        <v>19253.310000000001</v>
      </c>
      <c r="K3160" s="89"/>
      <c r="L3160" s="89">
        <v>1</v>
      </c>
    </row>
    <row r="3161" spans="1:12" ht="85.5">
      <c r="A3161" s="89" t="s">
        <v>749</v>
      </c>
      <c r="B3161" s="237">
        <v>112120502010</v>
      </c>
      <c r="C3161" s="89" t="s">
        <v>461</v>
      </c>
      <c r="D3161" s="89"/>
      <c r="E3161" s="236" t="s">
        <v>479</v>
      </c>
      <c r="F3161" s="236" t="s">
        <v>429</v>
      </c>
      <c r="G3161" s="236" t="s">
        <v>948</v>
      </c>
      <c r="H3161" s="238">
        <v>42278</v>
      </c>
      <c r="I3161" s="235">
        <v>42338</v>
      </c>
      <c r="J3161" s="136">
        <v>836.58</v>
      </c>
      <c r="K3161" s="89"/>
      <c r="L3161" s="89">
        <v>1</v>
      </c>
    </row>
    <row r="3162" spans="1:12" ht="85.5">
      <c r="A3162" s="89" t="s">
        <v>749</v>
      </c>
      <c r="B3162" s="237">
        <v>112120502010</v>
      </c>
      <c r="C3162" s="89" t="s">
        <v>461</v>
      </c>
      <c r="D3162" s="89"/>
      <c r="E3162" s="236" t="s">
        <v>479</v>
      </c>
      <c r="F3162" s="236" t="s">
        <v>429</v>
      </c>
      <c r="G3162" s="236" t="s">
        <v>949</v>
      </c>
      <c r="H3162" s="238">
        <v>42278</v>
      </c>
      <c r="I3162" s="235">
        <v>42338</v>
      </c>
      <c r="J3162" s="136">
        <v>7736.65</v>
      </c>
      <c r="K3162" s="89"/>
      <c r="L3162" s="89">
        <v>1</v>
      </c>
    </row>
    <row r="3163" spans="1:12" ht="85.5">
      <c r="A3163" s="89" t="s">
        <v>960</v>
      </c>
      <c r="B3163" s="237">
        <v>112120502010</v>
      </c>
      <c r="C3163" s="89" t="s">
        <v>461</v>
      </c>
      <c r="D3163" s="89"/>
      <c r="E3163" s="236" t="s">
        <v>479</v>
      </c>
      <c r="F3163" s="236" t="s">
        <v>429</v>
      </c>
      <c r="G3163" s="236" t="s">
        <v>951</v>
      </c>
      <c r="H3163" s="238">
        <v>42278</v>
      </c>
      <c r="I3163" s="235">
        <v>42335</v>
      </c>
      <c r="J3163" s="136">
        <v>4362.49</v>
      </c>
      <c r="K3163" s="89"/>
      <c r="L3163" s="89">
        <v>1</v>
      </c>
    </row>
    <row r="3164" spans="1:12" ht="85.5">
      <c r="A3164" s="89" t="s">
        <v>960</v>
      </c>
      <c r="B3164" s="237">
        <v>112120502010</v>
      </c>
      <c r="C3164" s="89" t="s">
        <v>461</v>
      </c>
      <c r="D3164" s="89"/>
      <c r="E3164" s="236" t="s">
        <v>479</v>
      </c>
      <c r="F3164" s="236" t="s">
        <v>429</v>
      </c>
      <c r="G3164" s="236" t="s">
        <v>952</v>
      </c>
      <c r="H3164" s="238">
        <v>42278</v>
      </c>
      <c r="I3164" s="235">
        <v>42338</v>
      </c>
      <c r="J3164" s="136">
        <v>1048.8599999999999</v>
      </c>
      <c r="K3164" s="89"/>
      <c r="L3164" s="89">
        <v>1</v>
      </c>
    </row>
    <row r="3165" spans="1:12" ht="85.5">
      <c r="A3165" s="89" t="s">
        <v>960</v>
      </c>
      <c r="B3165" s="237">
        <v>112120502010</v>
      </c>
      <c r="C3165" s="89" t="s">
        <v>461</v>
      </c>
      <c r="D3165" s="89"/>
      <c r="E3165" s="236" t="s">
        <v>479</v>
      </c>
      <c r="F3165" s="236" t="s">
        <v>429</v>
      </c>
      <c r="G3165" s="236" t="s">
        <v>953</v>
      </c>
      <c r="H3165" s="238">
        <v>42278</v>
      </c>
      <c r="I3165" s="235">
        <v>42338</v>
      </c>
      <c r="J3165" s="136">
        <v>15794.22</v>
      </c>
      <c r="K3165" s="89"/>
      <c r="L3165" s="89">
        <v>1</v>
      </c>
    </row>
    <row r="3166" spans="1:12" ht="85.5">
      <c r="A3166" s="89" t="s">
        <v>960</v>
      </c>
      <c r="B3166" s="237">
        <v>112120502010</v>
      </c>
      <c r="C3166" s="89" t="s">
        <v>461</v>
      </c>
      <c r="D3166" s="89"/>
      <c r="E3166" s="236" t="s">
        <v>479</v>
      </c>
      <c r="F3166" s="236" t="s">
        <v>429</v>
      </c>
      <c r="G3166" s="236" t="s">
        <v>954</v>
      </c>
      <c r="H3166" s="238">
        <v>42278</v>
      </c>
      <c r="I3166" s="235">
        <v>42338</v>
      </c>
      <c r="J3166" s="136">
        <v>32552.3</v>
      </c>
      <c r="K3166" s="89"/>
      <c r="L3166" s="89">
        <v>1</v>
      </c>
    </row>
    <row r="3167" spans="1:12" ht="85.5">
      <c r="A3167" s="89" t="s">
        <v>758</v>
      </c>
      <c r="B3167" s="237">
        <v>112120502010</v>
      </c>
      <c r="C3167" s="89" t="s">
        <v>463</v>
      </c>
      <c r="D3167" s="89"/>
      <c r="E3167" s="236" t="s">
        <v>479</v>
      </c>
      <c r="F3167" s="236" t="s">
        <v>429</v>
      </c>
      <c r="G3167" s="236" t="s">
        <v>946</v>
      </c>
      <c r="H3167" s="238">
        <v>42278</v>
      </c>
      <c r="I3167" s="235">
        <v>42335</v>
      </c>
      <c r="J3167" s="136">
        <v>70221.8</v>
      </c>
      <c r="K3167" s="89"/>
      <c r="L3167" s="89">
        <v>1</v>
      </c>
    </row>
    <row r="3168" spans="1:12" ht="85.5">
      <c r="A3168" s="89" t="s">
        <v>758</v>
      </c>
      <c r="B3168" s="237">
        <v>112120502010</v>
      </c>
      <c r="C3168" s="89" t="s">
        <v>463</v>
      </c>
      <c r="D3168" s="89"/>
      <c r="E3168" s="236" t="s">
        <v>479</v>
      </c>
      <c r="F3168" s="236" t="s">
        <v>429</v>
      </c>
      <c r="G3168" s="236" t="s">
        <v>947</v>
      </c>
      <c r="H3168" s="238">
        <v>42278</v>
      </c>
      <c r="I3168" s="235">
        <v>42338</v>
      </c>
      <c r="J3168" s="136">
        <v>21205.38</v>
      </c>
      <c r="K3168" s="89"/>
      <c r="L3168" s="89">
        <v>1</v>
      </c>
    </row>
    <row r="3169" spans="1:12" ht="85.5">
      <c r="A3169" s="89" t="s">
        <v>758</v>
      </c>
      <c r="B3169" s="237">
        <v>112120502010</v>
      </c>
      <c r="C3169" s="89" t="s">
        <v>463</v>
      </c>
      <c r="D3169" s="89"/>
      <c r="E3169" s="236" t="s">
        <v>479</v>
      </c>
      <c r="F3169" s="236" t="s">
        <v>429</v>
      </c>
      <c r="G3169" s="236" t="s">
        <v>948</v>
      </c>
      <c r="H3169" s="238">
        <v>42278</v>
      </c>
      <c r="I3169" s="235">
        <v>42338</v>
      </c>
      <c r="J3169" s="136">
        <v>921.4</v>
      </c>
      <c r="K3169" s="89"/>
      <c r="L3169" s="89">
        <v>1</v>
      </c>
    </row>
    <row r="3170" spans="1:12" ht="85.5">
      <c r="A3170" s="89" t="s">
        <v>758</v>
      </c>
      <c r="B3170" s="237">
        <v>112120502010</v>
      </c>
      <c r="C3170" s="89" t="s">
        <v>463</v>
      </c>
      <c r="D3170" s="89"/>
      <c r="E3170" s="236" t="s">
        <v>479</v>
      </c>
      <c r="F3170" s="236" t="s">
        <v>429</v>
      </c>
      <c r="G3170" s="236" t="s">
        <v>949</v>
      </c>
      <c r="H3170" s="238">
        <v>42278</v>
      </c>
      <c r="I3170" s="235">
        <v>42338</v>
      </c>
      <c r="J3170" s="136">
        <v>8521.06</v>
      </c>
      <c r="K3170" s="89"/>
      <c r="L3170" s="89">
        <v>1</v>
      </c>
    </row>
    <row r="3171" spans="1:12" ht="85.5">
      <c r="A3171" s="89" t="s">
        <v>961</v>
      </c>
      <c r="B3171" s="237">
        <v>112120502010</v>
      </c>
      <c r="C3171" s="89" t="s">
        <v>463</v>
      </c>
      <c r="D3171" s="89"/>
      <c r="E3171" s="236" t="s">
        <v>479</v>
      </c>
      <c r="F3171" s="236" t="s">
        <v>429</v>
      </c>
      <c r="G3171" s="236" t="s">
        <v>951</v>
      </c>
      <c r="H3171" s="238">
        <v>42278</v>
      </c>
      <c r="I3171" s="235">
        <v>42335</v>
      </c>
      <c r="J3171" s="136">
        <v>4804.8</v>
      </c>
      <c r="K3171" s="89"/>
      <c r="L3171" s="89">
        <v>1</v>
      </c>
    </row>
    <row r="3172" spans="1:12" ht="85.5">
      <c r="A3172" s="89" t="s">
        <v>961</v>
      </c>
      <c r="B3172" s="237">
        <v>112120502010</v>
      </c>
      <c r="C3172" s="89" t="s">
        <v>463</v>
      </c>
      <c r="D3172" s="89"/>
      <c r="E3172" s="236" t="s">
        <v>479</v>
      </c>
      <c r="F3172" s="236" t="s">
        <v>429</v>
      </c>
      <c r="G3172" s="236" t="s">
        <v>952</v>
      </c>
      <c r="H3172" s="238">
        <v>42278</v>
      </c>
      <c r="I3172" s="235">
        <v>42338</v>
      </c>
      <c r="J3172" s="136">
        <v>1155.2</v>
      </c>
      <c r="K3172" s="89"/>
      <c r="L3172" s="89">
        <v>1</v>
      </c>
    </row>
    <row r="3173" spans="1:12" ht="85.5">
      <c r="A3173" s="89" t="s">
        <v>961</v>
      </c>
      <c r="B3173" s="237">
        <v>112120502010</v>
      </c>
      <c r="C3173" s="89" t="s">
        <v>463</v>
      </c>
      <c r="D3173" s="89"/>
      <c r="E3173" s="236" t="s">
        <v>479</v>
      </c>
      <c r="F3173" s="236" t="s">
        <v>429</v>
      </c>
      <c r="G3173" s="236" t="s">
        <v>953</v>
      </c>
      <c r="H3173" s="238">
        <v>42278</v>
      </c>
      <c r="I3173" s="235">
        <v>42338</v>
      </c>
      <c r="J3173" s="136">
        <v>17395.580000000002</v>
      </c>
      <c r="K3173" s="89"/>
      <c r="L3173" s="89">
        <v>1</v>
      </c>
    </row>
    <row r="3174" spans="1:12" ht="85.5">
      <c r="A3174" s="89" t="s">
        <v>961</v>
      </c>
      <c r="B3174" s="237">
        <v>112120502010</v>
      </c>
      <c r="C3174" s="89" t="s">
        <v>463</v>
      </c>
      <c r="D3174" s="89"/>
      <c r="E3174" s="236" t="s">
        <v>479</v>
      </c>
      <c r="F3174" s="236" t="s">
        <v>429</v>
      </c>
      <c r="G3174" s="236" t="s">
        <v>954</v>
      </c>
      <c r="H3174" s="238">
        <v>42278</v>
      </c>
      <c r="I3174" s="235">
        <v>42338</v>
      </c>
      <c r="J3174" s="136">
        <v>35852.74</v>
      </c>
      <c r="K3174" s="89"/>
      <c r="L3174" s="89">
        <v>1</v>
      </c>
    </row>
    <row r="3175" spans="1:12" ht="85.5">
      <c r="A3175" s="89" t="s">
        <v>765</v>
      </c>
      <c r="B3175" s="237">
        <v>112120502010</v>
      </c>
      <c r="C3175" s="89" t="s">
        <v>465</v>
      </c>
      <c r="D3175" s="89"/>
      <c r="E3175" s="236" t="s">
        <v>479</v>
      </c>
      <c r="F3175" s="236" t="s">
        <v>429</v>
      </c>
      <c r="G3175" s="236" t="s">
        <v>946</v>
      </c>
      <c r="H3175" s="238">
        <v>42278</v>
      </c>
      <c r="I3175" s="235">
        <v>42335</v>
      </c>
      <c r="J3175" s="136">
        <v>58663.07</v>
      </c>
      <c r="K3175" s="89"/>
      <c r="L3175" s="89">
        <v>1</v>
      </c>
    </row>
    <row r="3176" spans="1:12" ht="85.5">
      <c r="A3176" s="89" t="s">
        <v>765</v>
      </c>
      <c r="B3176" s="237">
        <v>112120502010</v>
      </c>
      <c r="C3176" s="89" t="s">
        <v>465</v>
      </c>
      <c r="D3176" s="89"/>
      <c r="E3176" s="236" t="s">
        <v>479</v>
      </c>
      <c r="F3176" s="236" t="s">
        <v>429</v>
      </c>
      <c r="G3176" s="236" t="s">
        <v>947</v>
      </c>
      <c r="H3176" s="238">
        <v>42278</v>
      </c>
      <c r="I3176" s="235">
        <v>42338</v>
      </c>
      <c r="J3176" s="136">
        <v>17714.91</v>
      </c>
      <c r="K3176" s="89"/>
      <c r="L3176" s="89">
        <v>1</v>
      </c>
    </row>
    <row r="3177" spans="1:12" ht="85.5">
      <c r="A3177" s="89" t="s">
        <v>765</v>
      </c>
      <c r="B3177" s="237">
        <v>112120502010</v>
      </c>
      <c r="C3177" s="89" t="s">
        <v>465</v>
      </c>
      <c r="D3177" s="89"/>
      <c r="E3177" s="236" t="s">
        <v>479</v>
      </c>
      <c r="F3177" s="236" t="s">
        <v>429</v>
      </c>
      <c r="G3177" s="236" t="s">
        <v>948</v>
      </c>
      <c r="H3177" s="238">
        <v>42278</v>
      </c>
      <c r="I3177" s="235">
        <v>42338</v>
      </c>
      <c r="J3177" s="136">
        <v>769.74</v>
      </c>
      <c r="K3177" s="89"/>
      <c r="L3177" s="89">
        <v>1</v>
      </c>
    </row>
    <row r="3178" spans="1:12" ht="85.5">
      <c r="A3178" s="89" t="s">
        <v>765</v>
      </c>
      <c r="B3178" s="237">
        <v>112120502010</v>
      </c>
      <c r="C3178" s="89" t="s">
        <v>465</v>
      </c>
      <c r="D3178" s="89"/>
      <c r="E3178" s="236" t="s">
        <v>479</v>
      </c>
      <c r="F3178" s="236" t="s">
        <v>429</v>
      </c>
      <c r="G3178" s="236" t="s">
        <v>949</v>
      </c>
      <c r="H3178" s="238">
        <v>42278</v>
      </c>
      <c r="I3178" s="235">
        <v>42338</v>
      </c>
      <c r="J3178" s="136">
        <v>7118.46</v>
      </c>
      <c r="K3178" s="89"/>
      <c r="L3178" s="89">
        <v>1</v>
      </c>
    </row>
    <row r="3179" spans="1:12" ht="85.5">
      <c r="A3179" s="89" t="s">
        <v>962</v>
      </c>
      <c r="B3179" s="237">
        <v>112120502010</v>
      </c>
      <c r="C3179" s="89" t="s">
        <v>465</v>
      </c>
      <c r="D3179" s="89"/>
      <c r="E3179" s="236" t="s">
        <v>479</v>
      </c>
      <c r="F3179" s="236" t="s">
        <v>429</v>
      </c>
      <c r="G3179" s="236" t="s">
        <v>951</v>
      </c>
      <c r="H3179" s="238">
        <v>42278</v>
      </c>
      <c r="I3179" s="235">
        <v>42335</v>
      </c>
      <c r="J3179" s="136">
        <v>4013.91</v>
      </c>
      <c r="K3179" s="89"/>
      <c r="L3179" s="89">
        <v>1</v>
      </c>
    </row>
    <row r="3180" spans="1:12" ht="85.5">
      <c r="A3180" s="89" t="s">
        <v>962</v>
      </c>
      <c r="B3180" s="237">
        <v>112120502010</v>
      </c>
      <c r="C3180" s="89" t="s">
        <v>465</v>
      </c>
      <c r="D3180" s="89"/>
      <c r="E3180" s="236" t="s">
        <v>479</v>
      </c>
      <c r="F3180" s="236" t="s">
        <v>429</v>
      </c>
      <c r="G3180" s="236" t="s">
        <v>952</v>
      </c>
      <c r="H3180" s="238">
        <v>42278</v>
      </c>
      <c r="I3180" s="235">
        <v>42338</v>
      </c>
      <c r="J3180" s="136">
        <v>965.05</v>
      </c>
      <c r="K3180" s="89"/>
      <c r="L3180" s="89">
        <v>1</v>
      </c>
    </row>
    <row r="3181" spans="1:12" ht="85.5">
      <c r="A3181" s="89" t="s">
        <v>962</v>
      </c>
      <c r="B3181" s="237">
        <v>112120502010</v>
      </c>
      <c r="C3181" s="89" t="s">
        <v>465</v>
      </c>
      <c r="D3181" s="89"/>
      <c r="E3181" s="236" t="s">
        <v>479</v>
      </c>
      <c r="F3181" s="236" t="s">
        <v>429</v>
      </c>
      <c r="G3181" s="236" t="s">
        <v>953</v>
      </c>
      <c r="H3181" s="238">
        <v>42278</v>
      </c>
      <c r="I3181" s="235">
        <v>42338</v>
      </c>
      <c r="J3181" s="136">
        <v>14532.21</v>
      </c>
      <c r="K3181" s="89"/>
      <c r="L3181" s="89">
        <v>1</v>
      </c>
    </row>
    <row r="3182" spans="1:12" ht="85.5">
      <c r="A3182" s="89" t="s">
        <v>962</v>
      </c>
      <c r="B3182" s="237">
        <v>112120502010</v>
      </c>
      <c r="C3182" s="89" t="s">
        <v>465</v>
      </c>
      <c r="D3182" s="89"/>
      <c r="E3182" s="236" t="s">
        <v>479</v>
      </c>
      <c r="F3182" s="236" t="s">
        <v>429</v>
      </c>
      <c r="G3182" s="236" t="s">
        <v>954</v>
      </c>
      <c r="H3182" s="238">
        <v>42278</v>
      </c>
      <c r="I3182" s="235">
        <v>42338</v>
      </c>
      <c r="J3182" s="136">
        <v>29951.27</v>
      </c>
      <c r="K3182" s="89"/>
      <c r="L3182" s="89">
        <v>1</v>
      </c>
    </row>
    <row r="3183" spans="1:12" ht="85.5">
      <c r="A3183" s="89" t="s">
        <v>774</v>
      </c>
      <c r="B3183" s="237">
        <v>112120502010</v>
      </c>
      <c r="C3183" s="89" t="s">
        <v>466</v>
      </c>
      <c r="D3183" s="89"/>
      <c r="E3183" s="236" t="s">
        <v>479</v>
      </c>
      <c r="F3183" s="236" t="s">
        <v>429</v>
      </c>
      <c r="G3183" s="236" t="s">
        <v>946</v>
      </c>
      <c r="H3183" s="238">
        <v>42278</v>
      </c>
      <c r="I3183" s="235">
        <v>42335</v>
      </c>
      <c r="J3183" s="136">
        <v>41903.82</v>
      </c>
      <c r="K3183" s="89"/>
      <c r="L3183" s="89">
        <v>1</v>
      </c>
    </row>
    <row r="3184" spans="1:12" ht="85.5">
      <c r="A3184" s="89" t="s">
        <v>774</v>
      </c>
      <c r="B3184" s="237">
        <v>112120502010</v>
      </c>
      <c r="C3184" s="89" t="s">
        <v>466</v>
      </c>
      <c r="D3184" s="89"/>
      <c r="E3184" s="236" t="s">
        <v>479</v>
      </c>
      <c r="F3184" s="236" t="s">
        <v>429</v>
      </c>
      <c r="G3184" s="236" t="s">
        <v>947</v>
      </c>
      <c r="H3184" s="238">
        <v>42278</v>
      </c>
      <c r="I3184" s="235">
        <v>42338</v>
      </c>
      <c r="J3184" s="136">
        <v>12654</v>
      </c>
      <c r="K3184" s="89"/>
      <c r="L3184" s="89">
        <v>1</v>
      </c>
    </row>
    <row r="3185" spans="1:12" ht="85.5">
      <c r="A3185" s="89" t="s">
        <v>774</v>
      </c>
      <c r="B3185" s="237">
        <v>112120502010</v>
      </c>
      <c r="C3185" s="89" t="s">
        <v>466</v>
      </c>
      <c r="D3185" s="89"/>
      <c r="E3185" s="236" t="s">
        <v>479</v>
      </c>
      <c r="F3185" s="236" t="s">
        <v>429</v>
      </c>
      <c r="G3185" s="236" t="s">
        <v>948</v>
      </c>
      <c r="H3185" s="238">
        <v>42278</v>
      </c>
      <c r="I3185" s="235">
        <v>42338</v>
      </c>
      <c r="J3185" s="136">
        <v>549.83000000000004</v>
      </c>
      <c r="K3185" s="89"/>
      <c r="L3185" s="89">
        <v>1</v>
      </c>
    </row>
    <row r="3186" spans="1:12" ht="85.5">
      <c r="A3186" s="89" t="s">
        <v>774</v>
      </c>
      <c r="B3186" s="237">
        <v>112120502010</v>
      </c>
      <c r="C3186" s="89" t="s">
        <v>466</v>
      </c>
      <c r="D3186" s="89"/>
      <c r="E3186" s="236" t="s">
        <v>479</v>
      </c>
      <c r="F3186" s="236" t="s">
        <v>429</v>
      </c>
      <c r="G3186" s="236" t="s">
        <v>949</v>
      </c>
      <c r="H3186" s="238">
        <v>42278</v>
      </c>
      <c r="I3186" s="235">
        <v>42338</v>
      </c>
      <c r="J3186" s="136">
        <v>5084.82</v>
      </c>
      <c r="K3186" s="89"/>
      <c r="L3186" s="89">
        <v>1</v>
      </c>
    </row>
    <row r="3187" spans="1:12" ht="85.5">
      <c r="A3187" s="89" t="s">
        <v>963</v>
      </c>
      <c r="B3187" s="237">
        <v>112120502010</v>
      </c>
      <c r="C3187" s="89" t="s">
        <v>466</v>
      </c>
      <c r="D3187" s="89"/>
      <c r="E3187" s="236" t="s">
        <v>479</v>
      </c>
      <c r="F3187" s="236" t="s">
        <v>429</v>
      </c>
      <c r="G3187" s="236" t="s">
        <v>951</v>
      </c>
      <c r="H3187" s="238">
        <v>42278</v>
      </c>
      <c r="I3187" s="235">
        <v>42335</v>
      </c>
      <c r="J3187" s="136">
        <v>2867.19</v>
      </c>
      <c r="K3187" s="89"/>
      <c r="L3187" s="89">
        <v>1</v>
      </c>
    </row>
    <row r="3188" spans="1:12" ht="85.5">
      <c r="A3188" s="89" t="s">
        <v>963</v>
      </c>
      <c r="B3188" s="237">
        <v>112120502010</v>
      </c>
      <c r="C3188" s="89" t="s">
        <v>466</v>
      </c>
      <c r="D3188" s="89"/>
      <c r="E3188" s="236" t="s">
        <v>479</v>
      </c>
      <c r="F3188" s="236" t="s">
        <v>429</v>
      </c>
      <c r="G3188" s="236" t="s">
        <v>952</v>
      </c>
      <c r="H3188" s="238">
        <v>42278</v>
      </c>
      <c r="I3188" s="235">
        <v>42338</v>
      </c>
      <c r="J3188" s="136">
        <v>689.35</v>
      </c>
      <c r="K3188" s="89"/>
      <c r="L3188" s="89">
        <v>1</v>
      </c>
    </row>
    <row r="3189" spans="1:12" ht="85.5">
      <c r="A3189" s="89" t="s">
        <v>963</v>
      </c>
      <c r="B3189" s="237">
        <v>112120502010</v>
      </c>
      <c r="C3189" s="89" t="s">
        <v>466</v>
      </c>
      <c r="D3189" s="89"/>
      <c r="E3189" s="236" t="s">
        <v>479</v>
      </c>
      <c r="F3189" s="236" t="s">
        <v>429</v>
      </c>
      <c r="G3189" s="236" t="s">
        <v>953</v>
      </c>
      <c r="H3189" s="238">
        <v>42278</v>
      </c>
      <c r="I3189" s="235">
        <v>42338</v>
      </c>
      <c r="J3189" s="136">
        <v>10380.56</v>
      </c>
      <c r="K3189" s="89"/>
      <c r="L3189" s="89">
        <v>1</v>
      </c>
    </row>
    <row r="3190" spans="1:12" ht="85.5">
      <c r="A3190" s="89" t="s">
        <v>963</v>
      </c>
      <c r="B3190" s="237">
        <v>112120502010</v>
      </c>
      <c r="C3190" s="89" t="s">
        <v>466</v>
      </c>
      <c r="D3190" s="89"/>
      <c r="E3190" s="236" t="s">
        <v>479</v>
      </c>
      <c r="F3190" s="236" t="s">
        <v>429</v>
      </c>
      <c r="G3190" s="236" t="s">
        <v>954</v>
      </c>
      <c r="H3190" s="238">
        <v>42278</v>
      </c>
      <c r="I3190" s="235">
        <v>42338</v>
      </c>
      <c r="J3190" s="136">
        <v>21394.61</v>
      </c>
      <c r="K3190" s="89"/>
      <c r="L3190" s="89">
        <v>1</v>
      </c>
    </row>
    <row r="3191" spans="1:12" ht="85.5">
      <c r="A3191" s="89" t="s">
        <v>784</v>
      </c>
      <c r="B3191" s="237">
        <v>112120502010</v>
      </c>
      <c r="C3191" s="89" t="s">
        <v>783</v>
      </c>
      <c r="D3191" s="89"/>
      <c r="E3191" s="236" t="s">
        <v>479</v>
      </c>
      <c r="F3191" s="236" t="s">
        <v>429</v>
      </c>
      <c r="G3191" s="236" t="s">
        <v>946</v>
      </c>
      <c r="H3191" s="238">
        <v>42278</v>
      </c>
      <c r="I3191" s="235">
        <v>42335</v>
      </c>
      <c r="J3191" s="136">
        <v>44408.3</v>
      </c>
      <c r="K3191" s="89"/>
      <c r="L3191" s="89">
        <v>1</v>
      </c>
    </row>
    <row r="3192" spans="1:12" ht="85.5">
      <c r="A3192" s="89" t="s">
        <v>784</v>
      </c>
      <c r="B3192" s="237">
        <v>112120502010</v>
      </c>
      <c r="C3192" s="89" t="s">
        <v>783</v>
      </c>
      <c r="D3192" s="89"/>
      <c r="E3192" s="236" t="s">
        <v>479</v>
      </c>
      <c r="F3192" s="236" t="s">
        <v>429</v>
      </c>
      <c r="G3192" s="236" t="s">
        <v>947</v>
      </c>
      <c r="H3192" s="238">
        <v>42278</v>
      </c>
      <c r="I3192" s="235">
        <v>42338</v>
      </c>
      <c r="J3192" s="136">
        <v>13410.28</v>
      </c>
      <c r="K3192" s="89"/>
      <c r="L3192" s="89">
        <v>1</v>
      </c>
    </row>
    <row r="3193" spans="1:12" ht="85.5">
      <c r="A3193" s="89" t="s">
        <v>784</v>
      </c>
      <c r="B3193" s="237">
        <v>112120502010</v>
      </c>
      <c r="C3193" s="89" t="s">
        <v>783</v>
      </c>
      <c r="D3193" s="89"/>
      <c r="E3193" s="236" t="s">
        <v>479</v>
      </c>
      <c r="F3193" s="236" t="s">
        <v>429</v>
      </c>
      <c r="G3193" s="236" t="s">
        <v>948</v>
      </c>
      <c r="H3193" s="238">
        <v>42278</v>
      </c>
      <c r="I3193" s="235">
        <v>42338</v>
      </c>
      <c r="J3193" s="136">
        <v>582.69000000000005</v>
      </c>
      <c r="K3193" s="89"/>
      <c r="L3193" s="89">
        <v>1</v>
      </c>
    </row>
    <row r="3194" spans="1:12" ht="85.5">
      <c r="A3194" s="89" t="s">
        <v>784</v>
      </c>
      <c r="B3194" s="237">
        <v>112120502010</v>
      </c>
      <c r="C3194" s="89" t="s">
        <v>783</v>
      </c>
      <c r="D3194" s="89"/>
      <c r="E3194" s="236" t="s">
        <v>479</v>
      </c>
      <c r="F3194" s="236" t="s">
        <v>429</v>
      </c>
      <c r="G3194" s="236" t="s">
        <v>949</v>
      </c>
      <c r="H3194" s="238">
        <v>42278</v>
      </c>
      <c r="I3194" s="235">
        <v>42338</v>
      </c>
      <c r="J3194" s="136">
        <v>5388.72</v>
      </c>
      <c r="K3194" s="89"/>
      <c r="L3194" s="89">
        <v>1</v>
      </c>
    </row>
    <row r="3195" spans="1:12" ht="85.5">
      <c r="A3195" s="89" t="s">
        <v>964</v>
      </c>
      <c r="B3195" s="237">
        <v>112120502010</v>
      </c>
      <c r="C3195" s="89" t="s">
        <v>783</v>
      </c>
      <c r="D3195" s="89"/>
      <c r="E3195" s="236" t="s">
        <v>479</v>
      </c>
      <c r="F3195" s="236" t="s">
        <v>429</v>
      </c>
      <c r="G3195" s="236" t="s">
        <v>951</v>
      </c>
      <c r="H3195" s="238">
        <v>42278</v>
      </c>
      <c r="I3195" s="235">
        <v>42335</v>
      </c>
      <c r="J3195" s="136">
        <v>3038.56</v>
      </c>
      <c r="K3195" s="89"/>
      <c r="L3195" s="89">
        <v>1</v>
      </c>
    </row>
    <row r="3196" spans="1:12" ht="85.5">
      <c r="A3196" s="89" t="s">
        <v>964</v>
      </c>
      <c r="B3196" s="237">
        <v>112120502010</v>
      </c>
      <c r="C3196" s="89" t="s">
        <v>783</v>
      </c>
      <c r="D3196" s="89"/>
      <c r="E3196" s="236" t="s">
        <v>479</v>
      </c>
      <c r="F3196" s="236" t="s">
        <v>429</v>
      </c>
      <c r="G3196" s="236" t="s">
        <v>952</v>
      </c>
      <c r="H3196" s="238">
        <v>42278</v>
      </c>
      <c r="I3196" s="235">
        <v>42338</v>
      </c>
      <c r="J3196" s="136">
        <v>730.55</v>
      </c>
      <c r="K3196" s="89"/>
      <c r="L3196" s="89">
        <v>1</v>
      </c>
    </row>
    <row r="3197" spans="1:12" ht="85.5">
      <c r="A3197" s="89" t="s">
        <v>964</v>
      </c>
      <c r="B3197" s="237">
        <v>112120502010</v>
      </c>
      <c r="C3197" s="89" t="s">
        <v>783</v>
      </c>
      <c r="D3197" s="89"/>
      <c r="E3197" s="236" t="s">
        <v>479</v>
      </c>
      <c r="F3197" s="236" t="s">
        <v>429</v>
      </c>
      <c r="G3197" s="236" t="s">
        <v>953</v>
      </c>
      <c r="H3197" s="238">
        <v>42278</v>
      </c>
      <c r="I3197" s="235">
        <v>42338</v>
      </c>
      <c r="J3197" s="136">
        <v>11000.97</v>
      </c>
      <c r="K3197" s="89"/>
      <c r="L3197" s="89">
        <v>1</v>
      </c>
    </row>
    <row r="3198" spans="1:12" ht="85.5">
      <c r="A3198" s="89" t="s">
        <v>964</v>
      </c>
      <c r="B3198" s="237">
        <v>112120502010</v>
      </c>
      <c r="C3198" s="89" t="s">
        <v>783</v>
      </c>
      <c r="D3198" s="89"/>
      <c r="E3198" s="236" t="s">
        <v>479</v>
      </c>
      <c r="F3198" s="236" t="s">
        <v>429</v>
      </c>
      <c r="G3198" s="236" t="s">
        <v>954</v>
      </c>
      <c r="H3198" s="238">
        <v>42278</v>
      </c>
      <c r="I3198" s="235">
        <v>42338</v>
      </c>
      <c r="J3198" s="136">
        <v>22673.29</v>
      </c>
      <c r="K3198" s="89"/>
      <c r="L3198" s="89">
        <v>1</v>
      </c>
    </row>
    <row r="3199" spans="1:12" ht="85.5">
      <c r="A3199" s="89" t="s">
        <v>793</v>
      </c>
      <c r="B3199" s="237">
        <v>112120502010</v>
      </c>
      <c r="C3199" s="89" t="s">
        <v>794</v>
      </c>
      <c r="D3199" s="89"/>
      <c r="E3199" s="236" t="s">
        <v>479</v>
      </c>
      <c r="F3199" s="236" t="s">
        <v>429</v>
      </c>
      <c r="G3199" s="236" t="s">
        <v>946</v>
      </c>
      <c r="H3199" s="238">
        <v>42278</v>
      </c>
      <c r="I3199" s="235">
        <v>42335</v>
      </c>
      <c r="J3199" s="136">
        <v>52887.07</v>
      </c>
      <c r="K3199" s="89"/>
      <c r="L3199" s="89">
        <v>1</v>
      </c>
    </row>
    <row r="3200" spans="1:12" ht="85.5">
      <c r="A3200" s="89" t="s">
        <v>793</v>
      </c>
      <c r="B3200" s="237">
        <v>112120502010</v>
      </c>
      <c r="C3200" s="89" t="s">
        <v>794</v>
      </c>
      <c r="D3200" s="89"/>
      <c r="E3200" s="236" t="s">
        <v>479</v>
      </c>
      <c r="F3200" s="236" t="s">
        <v>429</v>
      </c>
      <c r="G3200" s="236" t="s">
        <v>947</v>
      </c>
      <c r="H3200" s="238">
        <v>42278</v>
      </c>
      <c r="I3200" s="235">
        <v>42338</v>
      </c>
      <c r="J3200" s="136">
        <v>15970.68</v>
      </c>
      <c r="K3200" s="89"/>
      <c r="L3200" s="89">
        <v>1</v>
      </c>
    </row>
    <row r="3201" spans="1:12" ht="85.5">
      <c r="A3201" s="89" t="s">
        <v>793</v>
      </c>
      <c r="B3201" s="237">
        <v>112120502010</v>
      </c>
      <c r="C3201" s="89" t="s">
        <v>794</v>
      </c>
      <c r="D3201" s="89"/>
      <c r="E3201" s="236" t="s">
        <v>479</v>
      </c>
      <c r="F3201" s="236" t="s">
        <v>429</v>
      </c>
      <c r="G3201" s="236" t="s">
        <v>948</v>
      </c>
      <c r="H3201" s="238">
        <v>42278</v>
      </c>
      <c r="I3201" s="235">
        <v>42338</v>
      </c>
      <c r="J3201" s="136">
        <v>693.95</v>
      </c>
      <c r="K3201" s="89"/>
      <c r="L3201" s="89">
        <v>1</v>
      </c>
    </row>
    <row r="3202" spans="1:12" ht="85.5">
      <c r="A3202" s="89" t="s">
        <v>793</v>
      </c>
      <c r="B3202" s="237">
        <v>112120502010</v>
      </c>
      <c r="C3202" s="89" t="s">
        <v>794</v>
      </c>
      <c r="D3202" s="89"/>
      <c r="E3202" s="236" t="s">
        <v>479</v>
      </c>
      <c r="F3202" s="236" t="s">
        <v>429</v>
      </c>
      <c r="G3202" s="236" t="s">
        <v>949</v>
      </c>
      <c r="H3202" s="238">
        <v>42278</v>
      </c>
      <c r="I3202" s="235">
        <v>42338</v>
      </c>
      <c r="J3202" s="136">
        <v>6417.57</v>
      </c>
      <c r="K3202" s="89"/>
      <c r="L3202" s="89">
        <v>1</v>
      </c>
    </row>
    <row r="3203" spans="1:12" ht="85.5">
      <c r="A3203" s="89" t="s">
        <v>965</v>
      </c>
      <c r="B3203" s="237">
        <v>112120502010</v>
      </c>
      <c r="C3203" s="89" t="s">
        <v>794</v>
      </c>
      <c r="D3203" s="89"/>
      <c r="E3203" s="236" t="s">
        <v>479</v>
      </c>
      <c r="F3203" s="236" t="s">
        <v>429</v>
      </c>
      <c r="G3203" s="236" t="s">
        <v>951</v>
      </c>
      <c r="H3203" s="238">
        <v>42278</v>
      </c>
      <c r="I3203" s="235">
        <v>42335</v>
      </c>
      <c r="J3203" s="136">
        <v>3618.7</v>
      </c>
      <c r="K3203" s="89"/>
      <c r="L3203" s="89">
        <v>1</v>
      </c>
    </row>
    <row r="3204" spans="1:12" ht="85.5">
      <c r="A3204" s="89" t="s">
        <v>965</v>
      </c>
      <c r="B3204" s="237">
        <v>112120502010</v>
      </c>
      <c r="C3204" s="89" t="s">
        <v>794</v>
      </c>
      <c r="D3204" s="89"/>
      <c r="E3204" s="236" t="s">
        <v>479</v>
      </c>
      <c r="F3204" s="236" t="s">
        <v>429</v>
      </c>
      <c r="G3204" s="236" t="s">
        <v>952</v>
      </c>
      <c r="H3204" s="238">
        <v>42278</v>
      </c>
      <c r="I3204" s="235">
        <v>42338</v>
      </c>
      <c r="J3204" s="136">
        <v>870.03</v>
      </c>
      <c r="K3204" s="89"/>
      <c r="L3204" s="89">
        <v>1</v>
      </c>
    </row>
    <row r="3205" spans="1:12" ht="85.5">
      <c r="A3205" s="89" t="s">
        <v>965</v>
      </c>
      <c r="B3205" s="237">
        <v>112120502010</v>
      </c>
      <c r="C3205" s="89" t="s">
        <v>794</v>
      </c>
      <c r="D3205" s="89"/>
      <c r="E3205" s="236" t="s">
        <v>479</v>
      </c>
      <c r="F3205" s="236" t="s">
        <v>429</v>
      </c>
      <c r="G3205" s="236" t="s">
        <v>953</v>
      </c>
      <c r="H3205" s="238">
        <v>42278</v>
      </c>
      <c r="I3205" s="235">
        <v>42338</v>
      </c>
      <c r="J3205" s="136">
        <v>13101.36</v>
      </c>
      <c r="K3205" s="89"/>
      <c r="L3205" s="89">
        <v>1</v>
      </c>
    </row>
    <row r="3206" spans="1:12" ht="85.5">
      <c r="A3206" s="89" t="s">
        <v>965</v>
      </c>
      <c r="B3206" s="237">
        <v>112120502010</v>
      </c>
      <c r="C3206" s="89" t="s">
        <v>794</v>
      </c>
      <c r="D3206" s="89"/>
      <c r="E3206" s="236" t="s">
        <v>479</v>
      </c>
      <c r="F3206" s="236" t="s">
        <v>429</v>
      </c>
      <c r="G3206" s="236" t="s">
        <v>954</v>
      </c>
      <c r="H3206" s="238">
        <v>42278</v>
      </c>
      <c r="I3206" s="235">
        <v>42338</v>
      </c>
      <c r="J3206" s="136">
        <v>27002.25</v>
      </c>
      <c r="K3206" s="89"/>
      <c r="L3206" s="89">
        <v>1</v>
      </c>
    </row>
    <row r="3207" spans="1:12" ht="85.5">
      <c r="A3207" s="89" t="s">
        <v>790</v>
      </c>
      <c r="B3207" s="237">
        <v>112120502010</v>
      </c>
      <c r="C3207" s="89" t="s">
        <v>789</v>
      </c>
      <c r="D3207" s="89"/>
      <c r="E3207" s="236" t="s">
        <v>479</v>
      </c>
      <c r="F3207" s="236" t="s">
        <v>429</v>
      </c>
      <c r="G3207" s="236" t="s">
        <v>947</v>
      </c>
      <c r="H3207" s="238">
        <v>42278</v>
      </c>
      <c r="I3207" s="235">
        <v>42338</v>
      </c>
      <c r="J3207" s="136">
        <v>14236.39</v>
      </c>
      <c r="K3207" s="89"/>
      <c r="L3207" s="89">
        <v>1</v>
      </c>
    </row>
    <row r="3208" spans="1:12" ht="85.5">
      <c r="A3208" s="89" t="s">
        <v>790</v>
      </c>
      <c r="B3208" s="237">
        <v>112120502010</v>
      </c>
      <c r="C3208" s="89" t="s">
        <v>789</v>
      </c>
      <c r="D3208" s="89"/>
      <c r="E3208" s="236" t="s">
        <v>479</v>
      </c>
      <c r="F3208" s="236" t="s">
        <v>429</v>
      </c>
      <c r="G3208" s="236" t="s">
        <v>948</v>
      </c>
      <c r="H3208" s="238">
        <v>42278</v>
      </c>
      <c r="I3208" s="235">
        <v>42338</v>
      </c>
      <c r="J3208" s="136">
        <v>618.59</v>
      </c>
      <c r="K3208" s="89"/>
      <c r="L3208" s="89">
        <v>1</v>
      </c>
    </row>
    <row r="3209" spans="1:12" ht="85.5">
      <c r="A3209" s="89" t="s">
        <v>790</v>
      </c>
      <c r="B3209" s="237">
        <v>112120502010</v>
      </c>
      <c r="C3209" s="89" t="s">
        <v>789</v>
      </c>
      <c r="D3209" s="89"/>
      <c r="E3209" s="236" t="s">
        <v>479</v>
      </c>
      <c r="F3209" s="236" t="s">
        <v>429</v>
      </c>
      <c r="G3209" s="236" t="s">
        <v>949</v>
      </c>
      <c r="H3209" s="238">
        <v>42278</v>
      </c>
      <c r="I3209" s="235">
        <v>42338</v>
      </c>
      <c r="J3209" s="136">
        <v>5720.67</v>
      </c>
      <c r="K3209" s="89"/>
      <c r="L3209" s="89">
        <v>1</v>
      </c>
    </row>
    <row r="3210" spans="1:12" ht="85.5">
      <c r="A3210" s="89" t="s">
        <v>966</v>
      </c>
      <c r="B3210" s="237">
        <v>112120502010</v>
      </c>
      <c r="C3210" s="89" t="s">
        <v>789</v>
      </c>
      <c r="D3210" s="89"/>
      <c r="E3210" s="236" t="s">
        <v>479</v>
      </c>
      <c r="F3210" s="236" t="s">
        <v>429</v>
      </c>
      <c r="G3210" s="236" t="s">
        <v>946</v>
      </c>
      <c r="H3210" s="238">
        <v>42278</v>
      </c>
      <c r="I3210" s="235">
        <v>42335</v>
      </c>
      <c r="J3210" s="136">
        <v>47143.93</v>
      </c>
      <c r="K3210" s="89"/>
      <c r="L3210" s="89">
        <v>1</v>
      </c>
    </row>
    <row r="3211" spans="1:12" ht="85.5">
      <c r="A3211" s="89" t="s">
        <v>967</v>
      </c>
      <c r="B3211" s="237">
        <v>112120502010</v>
      </c>
      <c r="C3211" s="89" t="s">
        <v>789</v>
      </c>
      <c r="D3211" s="89"/>
      <c r="E3211" s="236" t="s">
        <v>479</v>
      </c>
      <c r="F3211" s="236" t="s">
        <v>429</v>
      </c>
      <c r="G3211" s="236" t="s">
        <v>951</v>
      </c>
      <c r="H3211" s="238">
        <v>42278</v>
      </c>
      <c r="I3211" s="235">
        <v>42335</v>
      </c>
      <c r="J3211" s="136">
        <v>3225.74</v>
      </c>
      <c r="K3211" s="89"/>
      <c r="L3211" s="89">
        <v>1</v>
      </c>
    </row>
    <row r="3212" spans="1:12" ht="85.5">
      <c r="A3212" s="89" t="s">
        <v>967</v>
      </c>
      <c r="B3212" s="237">
        <v>112120502010</v>
      </c>
      <c r="C3212" s="89" t="s">
        <v>789</v>
      </c>
      <c r="D3212" s="89"/>
      <c r="E3212" s="236" t="s">
        <v>479</v>
      </c>
      <c r="F3212" s="236" t="s">
        <v>429</v>
      </c>
      <c r="G3212" s="236" t="s">
        <v>952</v>
      </c>
      <c r="H3212" s="238">
        <v>42278</v>
      </c>
      <c r="I3212" s="235">
        <v>42338</v>
      </c>
      <c r="J3212" s="136">
        <v>775.55</v>
      </c>
      <c r="K3212" s="89"/>
      <c r="L3212" s="89">
        <v>1</v>
      </c>
    </row>
    <row r="3213" spans="1:12" ht="85.5">
      <c r="A3213" s="89" t="s">
        <v>967</v>
      </c>
      <c r="B3213" s="237">
        <v>112120502010</v>
      </c>
      <c r="C3213" s="89" t="s">
        <v>789</v>
      </c>
      <c r="D3213" s="89"/>
      <c r="E3213" s="236" t="s">
        <v>479</v>
      </c>
      <c r="F3213" s="236" t="s">
        <v>429</v>
      </c>
      <c r="G3213" s="236" t="s">
        <v>953</v>
      </c>
      <c r="H3213" s="238">
        <v>42278</v>
      </c>
      <c r="I3213" s="235">
        <v>42338</v>
      </c>
      <c r="J3213" s="136">
        <v>11678.65</v>
      </c>
      <c r="K3213" s="89"/>
      <c r="L3213" s="89">
        <v>1</v>
      </c>
    </row>
    <row r="3214" spans="1:12" ht="85.5">
      <c r="A3214" s="89" t="s">
        <v>967</v>
      </c>
      <c r="B3214" s="237">
        <v>112120502010</v>
      </c>
      <c r="C3214" s="89" t="s">
        <v>789</v>
      </c>
      <c r="D3214" s="89"/>
      <c r="E3214" s="236" t="s">
        <v>479</v>
      </c>
      <c r="F3214" s="236" t="s">
        <v>429</v>
      </c>
      <c r="G3214" s="236" t="s">
        <v>954</v>
      </c>
      <c r="H3214" s="238">
        <v>42278</v>
      </c>
      <c r="I3214" s="235">
        <v>42338</v>
      </c>
      <c r="J3214" s="136">
        <v>24070.01</v>
      </c>
      <c r="K3214" s="89"/>
      <c r="L3214" s="89">
        <v>1</v>
      </c>
    </row>
    <row r="3215" spans="1:12" ht="85.5">
      <c r="A3215" s="89" t="s">
        <v>798</v>
      </c>
      <c r="B3215" s="237">
        <v>112120502010</v>
      </c>
      <c r="C3215" s="89" t="s">
        <v>799</v>
      </c>
      <c r="D3215" s="89"/>
      <c r="E3215" s="236" t="s">
        <v>479</v>
      </c>
      <c r="F3215" s="236" t="s">
        <v>429</v>
      </c>
      <c r="G3215" s="236" t="s">
        <v>946</v>
      </c>
      <c r="H3215" s="238">
        <v>42278</v>
      </c>
      <c r="I3215" s="235">
        <v>42335</v>
      </c>
      <c r="J3215" s="136">
        <v>50467.01</v>
      </c>
      <c r="K3215" s="89"/>
      <c r="L3215" s="89">
        <v>1</v>
      </c>
    </row>
    <row r="3216" spans="1:12" ht="85.5">
      <c r="A3216" s="89" t="s">
        <v>798</v>
      </c>
      <c r="B3216" s="237">
        <v>112120502010</v>
      </c>
      <c r="C3216" s="89" t="s">
        <v>799</v>
      </c>
      <c r="D3216" s="89"/>
      <c r="E3216" s="236" t="s">
        <v>479</v>
      </c>
      <c r="F3216" s="236" t="s">
        <v>429</v>
      </c>
      <c r="G3216" s="236" t="s">
        <v>947</v>
      </c>
      <c r="H3216" s="238">
        <v>42278</v>
      </c>
      <c r="I3216" s="235">
        <v>42338</v>
      </c>
      <c r="J3216" s="136">
        <v>15239.88</v>
      </c>
      <c r="K3216" s="89"/>
      <c r="L3216" s="89">
        <v>1</v>
      </c>
    </row>
    <row r="3217" spans="1:12" ht="85.5">
      <c r="A3217" s="89" t="s">
        <v>798</v>
      </c>
      <c r="B3217" s="237">
        <v>112120502010</v>
      </c>
      <c r="C3217" s="89" t="s">
        <v>799</v>
      </c>
      <c r="D3217" s="89"/>
      <c r="E3217" s="236" t="s">
        <v>479</v>
      </c>
      <c r="F3217" s="236" t="s">
        <v>429</v>
      </c>
      <c r="G3217" s="236" t="s">
        <v>948</v>
      </c>
      <c r="H3217" s="238">
        <v>42278</v>
      </c>
      <c r="I3217" s="235">
        <v>42338</v>
      </c>
      <c r="J3217" s="136">
        <v>662.19</v>
      </c>
      <c r="K3217" s="89"/>
      <c r="L3217" s="89">
        <v>1</v>
      </c>
    </row>
    <row r="3218" spans="1:12" ht="85.5">
      <c r="A3218" s="89" t="s">
        <v>798</v>
      </c>
      <c r="B3218" s="237">
        <v>112120502010</v>
      </c>
      <c r="C3218" s="89" t="s">
        <v>799</v>
      </c>
      <c r="D3218" s="89"/>
      <c r="E3218" s="236" t="s">
        <v>479</v>
      </c>
      <c r="F3218" s="236" t="s">
        <v>429</v>
      </c>
      <c r="G3218" s="236" t="s">
        <v>949</v>
      </c>
      <c r="H3218" s="238">
        <v>42278</v>
      </c>
      <c r="I3218" s="235">
        <v>42338</v>
      </c>
      <c r="J3218" s="136">
        <v>6123.91</v>
      </c>
      <c r="K3218" s="89"/>
      <c r="L3218" s="89">
        <v>1</v>
      </c>
    </row>
    <row r="3219" spans="1:12" ht="85.5">
      <c r="A3219" s="89" t="s">
        <v>968</v>
      </c>
      <c r="B3219" s="237">
        <v>112120502010</v>
      </c>
      <c r="C3219" s="89" t="s">
        <v>799</v>
      </c>
      <c r="D3219" s="89"/>
      <c r="E3219" s="236" t="s">
        <v>479</v>
      </c>
      <c r="F3219" s="236" t="s">
        <v>429</v>
      </c>
      <c r="G3219" s="236" t="s">
        <v>951</v>
      </c>
      <c r="H3219" s="238">
        <v>42278</v>
      </c>
      <c r="I3219" s="235">
        <v>42335</v>
      </c>
      <c r="J3219" s="136">
        <v>3453.11</v>
      </c>
      <c r="K3219" s="89"/>
      <c r="L3219" s="89">
        <v>1</v>
      </c>
    </row>
    <row r="3220" spans="1:12" ht="85.5">
      <c r="A3220" s="89" t="s">
        <v>968</v>
      </c>
      <c r="B3220" s="237">
        <v>112120502010</v>
      </c>
      <c r="C3220" s="89" t="s">
        <v>799</v>
      </c>
      <c r="D3220" s="89"/>
      <c r="E3220" s="236" t="s">
        <v>479</v>
      </c>
      <c r="F3220" s="236" t="s">
        <v>429</v>
      </c>
      <c r="G3220" s="236" t="s">
        <v>952</v>
      </c>
      <c r="H3220" s="238">
        <v>42278</v>
      </c>
      <c r="I3220" s="235">
        <v>42338</v>
      </c>
      <c r="J3220" s="136">
        <v>830.22</v>
      </c>
      <c r="K3220" s="89"/>
      <c r="L3220" s="89">
        <v>1</v>
      </c>
    </row>
    <row r="3221" spans="1:12" ht="85.5">
      <c r="A3221" s="89" t="s">
        <v>968</v>
      </c>
      <c r="B3221" s="237">
        <v>112120502010</v>
      </c>
      <c r="C3221" s="89" t="s">
        <v>799</v>
      </c>
      <c r="D3221" s="89"/>
      <c r="E3221" s="236" t="s">
        <v>479</v>
      </c>
      <c r="F3221" s="236" t="s">
        <v>429</v>
      </c>
      <c r="G3221" s="236" t="s">
        <v>953</v>
      </c>
      <c r="H3221" s="238">
        <v>42278</v>
      </c>
      <c r="I3221" s="235">
        <v>42338</v>
      </c>
      <c r="J3221" s="136">
        <v>12501.86</v>
      </c>
      <c r="K3221" s="89"/>
      <c r="L3221" s="89">
        <v>1</v>
      </c>
    </row>
    <row r="3222" spans="1:12" ht="85.5">
      <c r="A3222" s="89" t="s">
        <v>968</v>
      </c>
      <c r="B3222" s="237">
        <v>112120502010</v>
      </c>
      <c r="C3222" s="89" t="s">
        <v>799</v>
      </c>
      <c r="D3222" s="89"/>
      <c r="E3222" s="236" t="s">
        <v>479</v>
      </c>
      <c r="F3222" s="236" t="s">
        <v>429</v>
      </c>
      <c r="G3222" s="236" t="s">
        <v>954</v>
      </c>
      <c r="H3222" s="238">
        <v>42278</v>
      </c>
      <c r="I3222" s="235">
        <v>42338</v>
      </c>
      <c r="J3222" s="136">
        <v>25766.66</v>
      </c>
      <c r="K3222" s="89"/>
      <c r="L3222" s="89">
        <v>1</v>
      </c>
    </row>
    <row r="3223" spans="1:12" ht="85.5">
      <c r="A3223" s="89" t="s">
        <v>661</v>
      </c>
      <c r="B3223" s="237">
        <v>112120502010</v>
      </c>
      <c r="C3223" s="89" t="s">
        <v>662</v>
      </c>
      <c r="D3223" s="89"/>
      <c r="E3223" s="236" t="s">
        <v>479</v>
      </c>
      <c r="F3223" s="236" t="s">
        <v>429</v>
      </c>
      <c r="G3223" s="236" t="s">
        <v>946</v>
      </c>
      <c r="H3223" s="238">
        <v>42278</v>
      </c>
      <c r="I3223" s="235">
        <v>42335</v>
      </c>
      <c r="J3223" s="136">
        <v>1151.76</v>
      </c>
      <c r="K3223" s="89"/>
      <c r="L3223" s="89">
        <v>1</v>
      </c>
    </row>
    <row r="3224" spans="1:12" ht="85.5">
      <c r="A3224" s="89" t="s">
        <v>661</v>
      </c>
      <c r="B3224" s="237">
        <v>112120502010</v>
      </c>
      <c r="C3224" s="89" t="s">
        <v>662</v>
      </c>
      <c r="D3224" s="89"/>
      <c r="E3224" s="236" t="s">
        <v>479</v>
      </c>
      <c r="F3224" s="236" t="s">
        <v>429</v>
      </c>
      <c r="G3224" s="236" t="s">
        <v>947</v>
      </c>
      <c r="H3224" s="238">
        <v>42278</v>
      </c>
      <c r="I3224" s="235">
        <v>42338</v>
      </c>
      <c r="J3224" s="136">
        <v>347.81</v>
      </c>
      <c r="K3224" s="89"/>
      <c r="L3224" s="89">
        <v>1</v>
      </c>
    </row>
    <row r="3225" spans="1:12" ht="85.5">
      <c r="A3225" s="89" t="s">
        <v>661</v>
      </c>
      <c r="B3225" s="237">
        <v>112120502010</v>
      </c>
      <c r="C3225" s="89" t="s">
        <v>662</v>
      </c>
      <c r="D3225" s="89"/>
      <c r="E3225" s="236" t="s">
        <v>479</v>
      </c>
      <c r="F3225" s="236" t="s">
        <v>429</v>
      </c>
      <c r="G3225" s="236" t="s">
        <v>948</v>
      </c>
      <c r="H3225" s="238">
        <v>42278</v>
      </c>
      <c r="I3225" s="235">
        <v>42338</v>
      </c>
      <c r="J3225" s="136">
        <v>15.11</v>
      </c>
      <c r="K3225" s="89"/>
      <c r="L3225" s="89">
        <v>1</v>
      </c>
    </row>
    <row r="3226" spans="1:12" ht="85.5">
      <c r="A3226" s="89" t="s">
        <v>661</v>
      </c>
      <c r="B3226" s="237">
        <v>112120502010</v>
      </c>
      <c r="C3226" s="89" t="s">
        <v>662</v>
      </c>
      <c r="D3226" s="89"/>
      <c r="E3226" s="236" t="s">
        <v>479</v>
      </c>
      <c r="F3226" s="236" t="s">
        <v>429</v>
      </c>
      <c r="G3226" s="236" t="s">
        <v>949</v>
      </c>
      <c r="H3226" s="238">
        <v>42278</v>
      </c>
      <c r="I3226" s="235">
        <v>42338</v>
      </c>
      <c r="J3226" s="136">
        <v>139.76</v>
      </c>
      <c r="K3226" s="89"/>
      <c r="L3226" s="89">
        <v>1</v>
      </c>
    </row>
    <row r="3227" spans="1:12" ht="85.5">
      <c r="A3227" s="89" t="s">
        <v>969</v>
      </c>
      <c r="B3227" s="237">
        <v>112120502010</v>
      </c>
      <c r="C3227" s="89" t="s">
        <v>662</v>
      </c>
      <c r="D3227" s="89"/>
      <c r="E3227" s="236" t="s">
        <v>479</v>
      </c>
      <c r="F3227" s="236" t="s">
        <v>429</v>
      </c>
      <c r="G3227" s="236" t="s">
        <v>951</v>
      </c>
      <c r="H3227" s="238">
        <v>42278</v>
      </c>
      <c r="I3227" s="235">
        <v>42335</v>
      </c>
      <c r="J3227" s="136">
        <v>78.81</v>
      </c>
      <c r="K3227" s="89"/>
      <c r="L3227" s="89">
        <v>1</v>
      </c>
    </row>
    <row r="3228" spans="1:12" ht="85.5">
      <c r="A3228" s="89" t="s">
        <v>969</v>
      </c>
      <c r="B3228" s="237">
        <v>112120502010</v>
      </c>
      <c r="C3228" s="89" t="s">
        <v>662</v>
      </c>
      <c r="D3228" s="89"/>
      <c r="E3228" s="236" t="s">
        <v>479</v>
      </c>
      <c r="F3228" s="236" t="s">
        <v>429</v>
      </c>
      <c r="G3228" s="236" t="s">
        <v>952</v>
      </c>
      <c r="H3228" s="238">
        <v>42278</v>
      </c>
      <c r="I3228" s="235">
        <v>42338</v>
      </c>
      <c r="J3228" s="136">
        <v>18.95</v>
      </c>
      <c r="K3228" s="89"/>
      <c r="L3228" s="89">
        <v>1</v>
      </c>
    </row>
    <row r="3229" spans="1:12" ht="85.5">
      <c r="A3229" s="89" t="s">
        <v>969</v>
      </c>
      <c r="B3229" s="237">
        <v>112120502010</v>
      </c>
      <c r="C3229" s="89" t="s">
        <v>662</v>
      </c>
      <c r="D3229" s="89"/>
      <c r="E3229" s="236" t="s">
        <v>479</v>
      </c>
      <c r="F3229" s="236" t="s">
        <v>429</v>
      </c>
      <c r="G3229" s="236" t="s">
        <v>953</v>
      </c>
      <c r="H3229" s="238">
        <v>42278</v>
      </c>
      <c r="I3229" s="235">
        <v>42338</v>
      </c>
      <c r="J3229" s="136">
        <v>285.32</v>
      </c>
      <c r="K3229" s="89"/>
      <c r="L3229" s="89">
        <v>1</v>
      </c>
    </row>
    <row r="3230" spans="1:12" ht="85.5">
      <c r="A3230" s="89" t="s">
        <v>969</v>
      </c>
      <c r="B3230" s="237">
        <v>112120502010</v>
      </c>
      <c r="C3230" s="89" t="s">
        <v>662</v>
      </c>
      <c r="D3230" s="89"/>
      <c r="E3230" s="236" t="s">
        <v>479</v>
      </c>
      <c r="F3230" s="236" t="s">
        <v>429</v>
      </c>
      <c r="G3230" s="236" t="s">
        <v>954</v>
      </c>
      <c r="H3230" s="238">
        <v>42278</v>
      </c>
      <c r="I3230" s="235">
        <v>42338</v>
      </c>
      <c r="J3230" s="136">
        <v>588.04999999999995</v>
      </c>
      <c r="K3230" s="89"/>
      <c r="L3230" s="89">
        <v>1</v>
      </c>
    </row>
    <row r="3231" spans="1:12" ht="85.5">
      <c r="A3231" s="89" t="s">
        <v>664</v>
      </c>
      <c r="B3231" s="237">
        <v>112120502010</v>
      </c>
      <c r="C3231" s="89" t="s">
        <v>663</v>
      </c>
      <c r="D3231" s="89"/>
      <c r="E3231" s="236" t="s">
        <v>479</v>
      </c>
      <c r="F3231" s="236" t="s">
        <v>429</v>
      </c>
      <c r="G3231" s="236" t="s">
        <v>946</v>
      </c>
      <c r="H3231" s="238">
        <v>42278</v>
      </c>
      <c r="I3231" s="235">
        <v>42335</v>
      </c>
      <c r="J3231" s="136">
        <v>1021.05</v>
      </c>
      <c r="K3231" s="89"/>
      <c r="L3231" s="89">
        <v>1</v>
      </c>
    </row>
    <row r="3232" spans="1:12" ht="85.5">
      <c r="A3232" s="89" t="s">
        <v>664</v>
      </c>
      <c r="B3232" s="237">
        <v>112120502010</v>
      </c>
      <c r="C3232" s="89" t="s">
        <v>663</v>
      </c>
      <c r="D3232" s="89"/>
      <c r="E3232" s="236" t="s">
        <v>479</v>
      </c>
      <c r="F3232" s="236" t="s">
        <v>429</v>
      </c>
      <c r="G3232" s="236" t="s">
        <v>947</v>
      </c>
      <c r="H3232" s="238">
        <v>42278</v>
      </c>
      <c r="I3232" s="235">
        <v>42338</v>
      </c>
      <c r="J3232" s="136">
        <v>308.33</v>
      </c>
      <c r="K3232" s="89"/>
      <c r="L3232" s="89">
        <v>1</v>
      </c>
    </row>
    <row r="3233" spans="1:12" ht="85.5">
      <c r="A3233" s="89" t="s">
        <v>664</v>
      </c>
      <c r="B3233" s="237">
        <v>112120502010</v>
      </c>
      <c r="C3233" s="89" t="s">
        <v>663</v>
      </c>
      <c r="D3233" s="89"/>
      <c r="E3233" s="236" t="s">
        <v>479</v>
      </c>
      <c r="F3233" s="236" t="s">
        <v>429</v>
      </c>
      <c r="G3233" s="236" t="s">
        <v>948</v>
      </c>
      <c r="H3233" s="238">
        <v>42278</v>
      </c>
      <c r="I3233" s="235">
        <v>42338</v>
      </c>
      <c r="J3233" s="136">
        <v>13.4</v>
      </c>
      <c r="K3233" s="89"/>
      <c r="L3233" s="89">
        <v>1</v>
      </c>
    </row>
    <row r="3234" spans="1:12" ht="85.5">
      <c r="A3234" s="89" t="s">
        <v>664</v>
      </c>
      <c r="B3234" s="237">
        <v>112120502010</v>
      </c>
      <c r="C3234" s="89" t="s">
        <v>663</v>
      </c>
      <c r="D3234" s="89"/>
      <c r="E3234" s="236" t="s">
        <v>479</v>
      </c>
      <c r="F3234" s="236" t="s">
        <v>429</v>
      </c>
      <c r="G3234" s="236" t="s">
        <v>949</v>
      </c>
      <c r="H3234" s="238">
        <v>42278</v>
      </c>
      <c r="I3234" s="235">
        <v>42338</v>
      </c>
      <c r="J3234" s="136">
        <v>123.9</v>
      </c>
      <c r="K3234" s="89"/>
      <c r="L3234" s="89">
        <v>1</v>
      </c>
    </row>
    <row r="3235" spans="1:12" ht="85.5">
      <c r="A3235" s="89" t="s">
        <v>970</v>
      </c>
      <c r="B3235" s="237">
        <v>112120502010</v>
      </c>
      <c r="C3235" s="89" t="s">
        <v>663</v>
      </c>
      <c r="D3235" s="89"/>
      <c r="E3235" s="236" t="s">
        <v>479</v>
      </c>
      <c r="F3235" s="236" t="s">
        <v>429</v>
      </c>
      <c r="G3235" s="236" t="s">
        <v>951</v>
      </c>
      <c r="H3235" s="238">
        <v>42278</v>
      </c>
      <c r="I3235" s="235">
        <v>42335</v>
      </c>
      <c r="J3235" s="136">
        <v>69.86</v>
      </c>
      <c r="K3235" s="89"/>
      <c r="L3235" s="89">
        <v>1</v>
      </c>
    </row>
    <row r="3236" spans="1:12" ht="85.5">
      <c r="A3236" s="89" t="s">
        <v>970</v>
      </c>
      <c r="B3236" s="237">
        <v>112120502010</v>
      </c>
      <c r="C3236" s="89" t="s">
        <v>663</v>
      </c>
      <c r="D3236" s="89"/>
      <c r="E3236" s="236" t="s">
        <v>479</v>
      </c>
      <c r="F3236" s="236" t="s">
        <v>429</v>
      </c>
      <c r="G3236" s="236" t="s">
        <v>952</v>
      </c>
      <c r="H3236" s="238">
        <v>42278</v>
      </c>
      <c r="I3236" s="235">
        <v>42338</v>
      </c>
      <c r="J3236" s="136">
        <v>16.8</v>
      </c>
      <c r="K3236" s="89"/>
      <c r="L3236" s="89">
        <v>1</v>
      </c>
    </row>
    <row r="3237" spans="1:12" ht="85.5">
      <c r="A3237" s="89" t="s">
        <v>970</v>
      </c>
      <c r="B3237" s="237">
        <v>112120502010</v>
      </c>
      <c r="C3237" s="89" t="s">
        <v>663</v>
      </c>
      <c r="D3237" s="89"/>
      <c r="E3237" s="236" t="s">
        <v>479</v>
      </c>
      <c r="F3237" s="236" t="s">
        <v>429</v>
      </c>
      <c r="G3237" s="236" t="s">
        <v>953</v>
      </c>
      <c r="H3237" s="238">
        <v>42278</v>
      </c>
      <c r="I3237" s="235">
        <v>42338</v>
      </c>
      <c r="J3237" s="136">
        <v>252.94</v>
      </c>
      <c r="K3237" s="89"/>
      <c r="L3237" s="89">
        <v>1</v>
      </c>
    </row>
    <row r="3238" spans="1:12" ht="85.5">
      <c r="A3238" s="89" t="s">
        <v>970</v>
      </c>
      <c r="B3238" s="237">
        <v>112120502010</v>
      </c>
      <c r="C3238" s="89" t="s">
        <v>663</v>
      </c>
      <c r="D3238" s="89"/>
      <c r="E3238" s="236" t="s">
        <v>479</v>
      </c>
      <c r="F3238" s="236" t="s">
        <v>429</v>
      </c>
      <c r="G3238" s="236" t="s">
        <v>954</v>
      </c>
      <c r="H3238" s="238">
        <v>42278</v>
      </c>
      <c r="I3238" s="235">
        <v>42338</v>
      </c>
      <c r="J3238" s="136">
        <v>521.30999999999995</v>
      </c>
      <c r="K3238" s="89"/>
      <c r="L3238" s="89">
        <v>1</v>
      </c>
    </row>
    <row r="3239" spans="1:12" ht="85.5">
      <c r="A3239" s="89" t="s">
        <v>666</v>
      </c>
      <c r="B3239" s="237">
        <v>112120502010</v>
      </c>
      <c r="C3239" s="89" t="s">
        <v>665</v>
      </c>
      <c r="D3239" s="89"/>
      <c r="E3239" s="236" t="s">
        <v>479</v>
      </c>
      <c r="F3239" s="236" t="s">
        <v>429</v>
      </c>
      <c r="G3239" s="236" t="s">
        <v>946</v>
      </c>
      <c r="H3239" s="238">
        <v>42278</v>
      </c>
      <c r="I3239" s="235">
        <v>42335</v>
      </c>
      <c r="J3239" s="136">
        <v>616.96</v>
      </c>
      <c r="K3239" s="89"/>
      <c r="L3239" s="89">
        <v>1</v>
      </c>
    </row>
    <row r="3240" spans="1:12" ht="85.5">
      <c r="A3240" s="89" t="s">
        <v>666</v>
      </c>
      <c r="B3240" s="237">
        <v>112120502010</v>
      </c>
      <c r="C3240" s="89" t="s">
        <v>665</v>
      </c>
      <c r="D3240" s="89"/>
      <c r="E3240" s="236" t="s">
        <v>479</v>
      </c>
      <c r="F3240" s="236" t="s">
        <v>429</v>
      </c>
      <c r="G3240" s="236" t="s">
        <v>947</v>
      </c>
      <c r="H3240" s="238">
        <v>42278</v>
      </c>
      <c r="I3240" s="235">
        <v>42338</v>
      </c>
      <c r="J3240" s="136">
        <v>186.31</v>
      </c>
      <c r="K3240" s="89"/>
      <c r="L3240" s="89">
        <v>1</v>
      </c>
    </row>
    <row r="3241" spans="1:12" ht="85.5">
      <c r="A3241" s="89" t="s">
        <v>666</v>
      </c>
      <c r="B3241" s="237">
        <v>112120502010</v>
      </c>
      <c r="C3241" s="89" t="s">
        <v>665</v>
      </c>
      <c r="D3241" s="89"/>
      <c r="E3241" s="236" t="s">
        <v>479</v>
      </c>
      <c r="F3241" s="236" t="s">
        <v>429</v>
      </c>
      <c r="G3241" s="236" t="s">
        <v>948</v>
      </c>
      <c r="H3241" s="238">
        <v>42278</v>
      </c>
      <c r="I3241" s="235">
        <v>42338</v>
      </c>
      <c r="J3241" s="136">
        <v>8.1</v>
      </c>
      <c r="K3241" s="89"/>
      <c r="L3241" s="89">
        <v>1</v>
      </c>
    </row>
    <row r="3242" spans="1:12" ht="85.5">
      <c r="A3242" s="89" t="s">
        <v>666</v>
      </c>
      <c r="B3242" s="237">
        <v>112120502010</v>
      </c>
      <c r="C3242" s="89" t="s">
        <v>665</v>
      </c>
      <c r="D3242" s="89"/>
      <c r="E3242" s="236" t="s">
        <v>479</v>
      </c>
      <c r="F3242" s="236" t="s">
        <v>429</v>
      </c>
      <c r="G3242" s="236" t="s">
        <v>949</v>
      </c>
      <c r="H3242" s="238">
        <v>42278</v>
      </c>
      <c r="I3242" s="235">
        <v>42338</v>
      </c>
      <c r="J3242" s="136">
        <v>74.87</v>
      </c>
      <c r="K3242" s="89"/>
      <c r="L3242" s="89">
        <v>1</v>
      </c>
    </row>
    <row r="3243" spans="1:12" ht="85.5">
      <c r="A3243" s="89" t="s">
        <v>971</v>
      </c>
      <c r="B3243" s="237">
        <v>112120502010</v>
      </c>
      <c r="C3243" s="89" t="s">
        <v>665</v>
      </c>
      <c r="D3243" s="89"/>
      <c r="E3243" s="236" t="s">
        <v>479</v>
      </c>
      <c r="F3243" s="236" t="s">
        <v>429</v>
      </c>
      <c r="G3243" s="236" t="s">
        <v>951</v>
      </c>
      <c r="H3243" s="238">
        <v>42278</v>
      </c>
      <c r="I3243" s="235">
        <v>42335</v>
      </c>
      <c r="J3243" s="136">
        <v>42.21</v>
      </c>
      <c r="K3243" s="89"/>
      <c r="L3243" s="89">
        <v>1</v>
      </c>
    </row>
    <row r="3244" spans="1:12" ht="85.5">
      <c r="A3244" s="89" t="s">
        <v>971</v>
      </c>
      <c r="B3244" s="237">
        <v>112120502010</v>
      </c>
      <c r="C3244" s="89" t="s">
        <v>665</v>
      </c>
      <c r="D3244" s="89"/>
      <c r="E3244" s="236" t="s">
        <v>479</v>
      </c>
      <c r="F3244" s="236" t="s">
        <v>429</v>
      </c>
      <c r="G3244" s="236" t="s">
        <v>952</v>
      </c>
      <c r="H3244" s="238">
        <v>42278</v>
      </c>
      <c r="I3244" s="235">
        <v>42338</v>
      </c>
      <c r="J3244" s="136">
        <v>10.15</v>
      </c>
      <c r="K3244" s="89"/>
      <c r="L3244" s="89">
        <v>1</v>
      </c>
    </row>
    <row r="3245" spans="1:12" ht="85.5">
      <c r="A3245" s="89" t="s">
        <v>971</v>
      </c>
      <c r="B3245" s="237">
        <v>112120502010</v>
      </c>
      <c r="C3245" s="89" t="s">
        <v>665</v>
      </c>
      <c r="D3245" s="89"/>
      <c r="E3245" s="236" t="s">
        <v>479</v>
      </c>
      <c r="F3245" s="236" t="s">
        <v>429</v>
      </c>
      <c r="G3245" s="236" t="s">
        <v>953</v>
      </c>
      <c r="H3245" s="238">
        <v>42278</v>
      </c>
      <c r="I3245" s="235">
        <v>42338</v>
      </c>
      <c r="J3245" s="136">
        <v>152.84</v>
      </c>
      <c r="K3245" s="89"/>
      <c r="L3245" s="89">
        <v>1</v>
      </c>
    </row>
    <row r="3246" spans="1:12" ht="85.5">
      <c r="A3246" s="89" t="s">
        <v>971</v>
      </c>
      <c r="B3246" s="237">
        <v>112120502010</v>
      </c>
      <c r="C3246" s="89" t="s">
        <v>665</v>
      </c>
      <c r="D3246" s="89"/>
      <c r="E3246" s="236" t="s">
        <v>479</v>
      </c>
      <c r="F3246" s="236" t="s">
        <v>429</v>
      </c>
      <c r="G3246" s="236" t="s">
        <v>954</v>
      </c>
      <c r="H3246" s="238">
        <v>42278</v>
      </c>
      <c r="I3246" s="235">
        <v>42338</v>
      </c>
      <c r="J3246" s="136">
        <v>315</v>
      </c>
      <c r="K3246" s="89"/>
      <c r="L3246" s="89">
        <v>1</v>
      </c>
    </row>
    <row r="3247" spans="1:12" ht="85.5">
      <c r="A3247" s="89" t="s">
        <v>667</v>
      </c>
      <c r="B3247" s="237">
        <v>112120502010</v>
      </c>
      <c r="C3247" s="89" t="s">
        <v>668</v>
      </c>
      <c r="D3247" s="89"/>
      <c r="E3247" s="236" t="s">
        <v>479</v>
      </c>
      <c r="F3247" s="236" t="s">
        <v>429</v>
      </c>
      <c r="G3247" s="236" t="s">
        <v>946</v>
      </c>
      <c r="H3247" s="238">
        <v>42278</v>
      </c>
      <c r="I3247" s="235">
        <v>42335</v>
      </c>
      <c r="J3247" s="136">
        <v>636.76</v>
      </c>
      <c r="K3247" s="89"/>
      <c r="L3247" s="89">
        <v>1</v>
      </c>
    </row>
    <row r="3248" spans="1:12" ht="85.5">
      <c r="A3248" s="89" t="s">
        <v>667</v>
      </c>
      <c r="B3248" s="237">
        <v>112120502010</v>
      </c>
      <c r="C3248" s="89" t="s">
        <v>668</v>
      </c>
      <c r="D3248" s="89"/>
      <c r="E3248" s="236" t="s">
        <v>479</v>
      </c>
      <c r="F3248" s="236" t="s">
        <v>429</v>
      </c>
      <c r="G3248" s="236" t="s">
        <v>947</v>
      </c>
      <c r="H3248" s="238">
        <v>42278</v>
      </c>
      <c r="I3248" s="235">
        <v>42338</v>
      </c>
      <c r="J3248" s="136">
        <v>192.29</v>
      </c>
      <c r="K3248" s="89"/>
      <c r="L3248" s="89">
        <v>1</v>
      </c>
    </row>
    <row r="3249" spans="1:12" ht="85.5">
      <c r="A3249" s="89" t="s">
        <v>667</v>
      </c>
      <c r="B3249" s="237">
        <v>112120502010</v>
      </c>
      <c r="C3249" s="89" t="s">
        <v>668</v>
      </c>
      <c r="D3249" s="89"/>
      <c r="E3249" s="236" t="s">
        <v>479</v>
      </c>
      <c r="F3249" s="236" t="s">
        <v>429</v>
      </c>
      <c r="G3249" s="236" t="s">
        <v>948</v>
      </c>
      <c r="H3249" s="238">
        <v>42278</v>
      </c>
      <c r="I3249" s="235">
        <v>42338</v>
      </c>
      <c r="J3249" s="136">
        <v>8.36</v>
      </c>
      <c r="K3249" s="89"/>
      <c r="L3249" s="89">
        <v>1</v>
      </c>
    </row>
    <row r="3250" spans="1:12" ht="85.5">
      <c r="A3250" s="89" t="s">
        <v>667</v>
      </c>
      <c r="B3250" s="237">
        <v>112120502010</v>
      </c>
      <c r="C3250" s="89" t="s">
        <v>668</v>
      </c>
      <c r="D3250" s="89"/>
      <c r="E3250" s="236" t="s">
        <v>479</v>
      </c>
      <c r="F3250" s="236" t="s">
        <v>429</v>
      </c>
      <c r="G3250" s="236" t="s">
        <v>949</v>
      </c>
      <c r="H3250" s="238">
        <v>42278</v>
      </c>
      <c r="I3250" s="235">
        <v>42338</v>
      </c>
      <c r="J3250" s="136">
        <v>77.27</v>
      </c>
      <c r="K3250" s="89"/>
      <c r="L3250" s="89">
        <v>1</v>
      </c>
    </row>
    <row r="3251" spans="1:12" ht="85.5">
      <c r="A3251" s="89" t="s">
        <v>972</v>
      </c>
      <c r="B3251" s="237">
        <v>112120502010</v>
      </c>
      <c r="C3251" s="89" t="s">
        <v>668</v>
      </c>
      <c r="D3251" s="89"/>
      <c r="E3251" s="236" t="s">
        <v>479</v>
      </c>
      <c r="F3251" s="236" t="s">
        <v>429</v>
      </c>
      <c r="G3251" s="236" t="s">
        <v>951</v>
      </c>
      <c r="H3251" s="238">
        <v>42278</v>
      </c>
      <c r="I3251" s="235">
        <v>42335</v>
      </c>
      <c r="J3251" s="136">
        <v>43.57</v>
      </c>
      <c r="K3251" s="89"/>
      <c r="L3251" s="89">
        <v>1</v>
      </c>
    </row>
    <row r="3252" spans="1:12" ht="85.5">
      <c r="A3252" s="89" t="s">
        <v>972</v>
      </c>
      <c r="B3252" s="237">
        <v>112120502010</v>
      </c>
      <c r="C3252" s="89" t="s">
        <v>668</v>
      </c>
      <c r="D3252" s="89"/>
      <c r="E3252" s="236" t="s">
        <v>479</v>
      </c>
      <c r="F3252" s="236" t="s">
        <v>429</v>
      </c>
      <c r="G3252" s="236" t="s">
        <v>952</v>
      </c>
      <c r="H3252" s="238">
        <v>42278</v>
      </c>
      <c r="I3252" s="235">
        <v>42338</v>
      </c>
      <c r="J3252" s="136">
        <v>10.48</v>
      </c>
      <c r="K3252" s="89"/>
      <c r="L3252" s="89">
        <v>1</v>
      </c>
    </row>
    <row r="3253" spans="1:12" ht="85.5">
      <c r="A3253" s="89" t="s">
        <v>972</v>
      </c>
      <c r="B3253" s="237">
        <v>112120502010</v>
      </c>
      <c r="C3253" s="89" t="s">
        <v>668</v>
      </c>
      <c r="D3253" s="89"/>
      <c r="E3253" s="236" t="s">
        <v>479</v>
      </c>
      <c r="F3253" s="236" t="s">
        <v>429</v>
      </c>
      <c r="G3253" s="236" t="s">
        <v>953</v>
      </c>
      <c r="H3253" s="238">
        <v>42278</v>
      </c>
      <c r="I3253" s="235">
        <v>42338</v>
      </c>
      <c r="J3253" s="136">
        <v>157.74</v>
      </c>
      <c r="K3253" s="89"/>
      <c r="L3253" s="89">
        <v>1</v>
      </c>
    </row>
    <row r="3254" spans="1:12" ht="85.5">
      <c r="A3254" s="89" t="s">
        <v>972</v>
      </c>
      <c r="B3254" s="237">
        <v>112120502010</v>
      </c>
      <c r="C3254" s="89" t="s">
        <v>668</v>
      </c>
      <c r="D3254" s="89"/>
      <c r="E3254" s="236" t="s">
        <v>479</v>
      </c>
      <c r="F3254" s="236" t="s">
        <v>429</v>
      </c>
      <c r="G3254" s="236" t="s">
        <v>954</v>
      </c>
      <c r="H3254" s="238">
        <v>42278</v>
      </c>
      <c r="I3254" s="235">
        <v>42338</v>
      </c>
      <c r="J3254" s="136">
        <v>325.11</v>
      </c>
      <c r="K3254" s="89"/>
      <c r="L3254" s="89">
        <v>1</v>
      </c>
    </row>
    <row r="3255" spans="1:12" ht="85.5">
      <c r="A3255" s="89" t="s">
        <v>669</v>
      </c>
      <c r="B3255" s="237">
        <v>112120502010</v>
      </c>
      <c r="C3255" s="89" t="s">
        <v>670</v>
      </c>
      <c r="D3255" s="89"/>
      <c r="E3255" s="236" t="s">
        <v>479</v>
      </c>
      <c r="F3255" s="236" t="s">
        <v>429</v>
      </c>
      <c r="G3255" s="236" t="s">
        <v>946</v>
      </c>
      <c r="H3255" s="238">
        <v>42278</v>
      </c>
      <c r="I3255" s="235">
        <v>42335</v>
      </c>
      <c r="J3255" s="136">
        <v>1183.51</v>
      </c>
      <c r="K3255" s="89"/>
      <c r="L3255" s="89">
        <v>1</v>
      </c>
    </row>
    <row r="3256" spans="1:12" ht="85.5">
      <c r="A3256" s="89" t="s">
        <v>669</v>
      </c>
      <c r="B3256" s="237">
        <v>112120502010</v>
      </c>
      <c r="C3256" s="89" t="s">
        <v>670</v>
      </c>
      <c r="D3256" s="89"/>
      <c r="E3256" s="236" t="s">
        <v>479</v>
      </c>
      <c r="F3256" s="236" t="s">
        <v>429</v>
      </c>
      <c r="G3256" s="236" t="s">
        <v>947</v>
      </c>
      <c r="H3256" s="238">
        <v>42278</v>
      </c>
      <c r="I3256" s="235">
        <v>42338</v>
      </c>
      <c r="J3256" s="136">
        <v>357.39</v>
      </c>
      <c r="K3256" s="89"/>
      <c r="L3256" s="89">
        <v>1</v>
      </c>
    </row>
    <row r="3257" spans="1:12" ht="85.5">
      <c r="A3257" s="89" t="s">
        <v>669</v>
      </c>
      <c r="B3257" s="237">
        <v>112120502010</v>
      </c>
      <c r="C3257" s="89" t="s">
        <v>670</v>
      </c>
      <c r="D3257" s="89"/>
      <c r="E3257" s="236" t="s">
        <v>479</v>
      </c>
      <c r="F3257" s="236" t="s">
        <v>429</v>
      </c>
      <c r="G3257" s="236" t="s">
        <v>948</v>
      </c>
      <c r="H3257" s="238">
        <v>42278</v>
      </c>
      <c r="I3257" s="235">
        <v>42338</v>
      </c>
      <c r="J3257" s="136">
        <v>15.53</v>
      </c>
      <c r="K3257" s="89"/>
      <c r="L3257" s="89">
        <v>1</v>
      </c>
    </row>
    <row r="3258" spans="1:12" ht="85.5">
      <c r="A3258" s="89" t="s">
        <v>669</v>
      </c>
      <c r="B3258" s="237">
        <v>112120502010</v>
      </c>
      <c r="C3258" s="89" t="s">
        <v>670</v>
      </c>
      <c r="D3258" s="89"/>
      <c r="E3258" s="236" t="s">
        <v>479</v>
      </c>
      <c r="F3258" s="236" t="s">
        <v>429</v>
      </c>
      <c r="G3258" s="236" t="s">
        <v>949</v>
      </c>
      <c r="H3258" s="238">
        <v>42278</v>
      </c>
      <c r="I3258" s="235">
        <v>42338</v>
      </c>
      <c r="J3258" s="136">
        <v>143.61000000000001</v>
      </c>
      <c r="K3258" s="89"/>
      <c r="L3258" s="89">
        <v>1</v>
      </c>
    </row>
    <row r="3259" spans="1:12" ht="85.5">
      <c r="A3259" s="89" t="s">
        <v>973</v>
      </c>
      <c r="B3259" s="237">
        <v>112120502010</v>
      </c>
      <c r="C3259" s="89" t="s">
        <v>670</v>
      </c>
      <c r="D3259" s="89"/>
      <c r="E3259" s="236" t="s">
        <v>479</v>
      </c>
      <c r="F3259" s="236" t="s">
        <v>429</v>
      </c>
      <c r="G3259" s="236" t="s">
        <v>951</v>
      </c>
      <c r="H3259" s="238">
        <v>42278</v>
      </c>
      <c r="I3259" s="235">
        <v>42335</v>
      </c>
      <c r="J3259" s="136">
        <v>80.98</v>
      </c>
      <c r="K3259" s="89"/>
      <c r="L3259" s="89">
        <v>1</v>
      </c>
    </row>
    <row r="3260" spans="1:12" ht="85.5">
      <c r="A3260" s="89" t="s">
        <v>973</v>
      </c>
      <c r="B3260" s="237">
        <v>112120502010</v>
      </c>
      <c r="C3260" s="89" t="s">
        <v>670</v>
      </c>
      <c r="D3260" s="89"/>
      <c r="E3260" s="236" t="s">
        <v>479</v>
      </c>
      <c r="F3260" s="236" t="s">
        <v>429</v>
      </c>
      <c r="G3260" s="236" t="s">
        <v>952</v>
      </c>
      <c r="H3260" s="238">
        <v>42278</v>
      </c>
      <c r="I3260" s="235">
        <v>42338</v>
      </c>
      <c r="J3260" s="136">
        <v>19.47</v>
      </c>
      <c r="K3260" s="89"/>
      <c r="L3260" s="89">
        <v>1</v>
      </c>
    </row>
    <row r="3261" spans="1:12" ht="85.5">
      <c r="A3261" s="89" t="s">
        <v>973</v>
      </c>
      <c r="B3261" s="237">
        <v>112120502010</v>
      </c>
      <c r="C3261" s="89" t="s">
        <v>670</v>
      </c>
      <c r="D3261" s="89"/>
      <c r="E3261" s="236" t="s">
        <v>479</v>
      </c>
      <c r="F3261" s="236" t="s">
        <v>429</v>
      </c>
      <c r="G3261" s="236" t="s">
        <v>953</v>
      </c>
      <c r="H3261" s="238">
        <v>42278</v>
      </c>
      <c r="I3261" s="235">
        <v>42338</v>
      </c>
      <c r="J3261" s="136">
        <v>293.18</v>
      </c>
      <c r="K3261" s="89"/>
      <c r="L3261" s="89">
        <v>1</v>
      </c>
    </row>
    <row r="3262" spans="1:12" ht="85.5">
      <c r="A3262" s="89" t="s">
        <v>973</v>
      </c>
      <c r="B3262" s="237">
        <v>112120502010</v>
      </c>
      <c r="C3262" s="89" t="s">
        <v>670</v>
      </c>
      <c r="D3262" s="89"/>
      <c r="E3262" s="236" t="s">
        <v>479</v>
      </c>
      <c r="F3262" s="236" t="s">
        <v>429</v>
      </c>
      <c r="G3262" s="236" t="s">
        <v>954</v>
      </c>
      <c r="H3262" s="238">
        <v>42278</v>
      </c>
      <c r="I3262" s="235">
        <v>42338</v>
      </c>
      <c r="J3262" s="136">
        <v>604.26</v>
      </c>
      <c r="K3262" s="89"/>
      <c r="L3262" s="89">
        <v>1</v>
      </c>
    </row>
    <row r="3263" spans="1:12" ht="85.5">
      <c r="A3263" s="89" t="s">
        <v>679</v>
      </c>
      <c r="B3263" s="237">
        <v>112120502010</v>
      </c>
      <c r="C3263" s="89" t="s">
        <v>680</v>
      </c>
      <c r="D3263" s="89"/>
      <c r="E3263" s="236" t="s">
        <v>479</v>
      </c>
      <c r="F3263" s="236" t="s">
        <v>429</v>
      </c>
      <c r="G3263" s="236" t="s">
        <v>946</v>
      </c>
      <c r="H3263" s="238">
        <v>42278</v>
      </c>
      <c r="I3263" s="235">
        <v>42335</v>
      </c>
      <c r="J3263" s="136">
        <v>1150.27</v>
      </c>
      <c r="K3263" s="89"/>
      <c r="L3263" s="89">
        <v>1</v>
      </c>
    </row>
    <row r="3264" spans="1:12" ht="85.5">
      <c r="A3264" s="89" t="s">
        <v>679</v>
      </c>
      <c r="B3264" s="237">
        <v>112120502010</v>
      </c>
      <c r="C3264" s="89" t="s">
        <v>680</v>
      </c>
      <c r="D3264" s="89"/>
      <c r="E3264" s="236" t="s">
        <v>479</v>
      </c>
      <c r="F3264" s="236" t="s">
        <v>429</v>
      </c>
      <c r="G3264" s="236" t="s">
        <v>947</v>
      </c>
      <c r="H3264" s="238">
        <v>42278</v>
      </c>
      <c r="I3264" s="235">
        <v>42338</v>
      </c>
      <c r="J3264" s="136">
        <v>347.36</v>
      </c>
      <c r="K3264" s="89"/>
      <c r="L3264" s="89">
        <v>1</v>
      </c>
    </row>
    <row r="3265" spans="1:12" ht="85.5">
      <c r="A3265" s="89" t="s">
        <v>679</v>
      </c>
      <c r="B3265" s="237">
        <v>112120502010</v>
      </c>
      <c r="C3265" s="89" t="s">
        <v>680</v>
      </c>
      <c r="D3265" s="89"/>
      <c r="E3265" s="236" t="s">
        <v>479</v>
      </c>
      <c r="F3265" s="236" t="s">
        <v>429</v>
      </c>
      <c r="G3265" s="236" t="s">
        <v>948</v>
      </c>
      <c r="H3265" s="238">
        <v>42278</v>
      </c>
      <c r="I3265" s="235">
        <v>42338</v>
      </c>
      <c r="J3265" s="136">
        <v>15.09</v>
      </c>
      <c r="K3265" s="89"/>
      <c r="L3265" s="89">
        <v>1</v>
      </c>
    </row>
    <row r="3266" spans="1:12" ht="85.5">
      <c r="A3266" s="89" t="s">
        <v>679</v>
      </c>
      <c r="B3266" s="237">
        <v>112120502010</v>
      </c>
      <c r="C3266" s="89" t="s">
        <v>680</v>
      </c>
      <c r="D3266" s="89"/>
      <c r="E3266" s="236" t="s">
        <v>479</v>
      </c>
      <c r="F3266" s="236" t="s">
        <v>429</v>
      </c>
      <c r="G3266" s="236" t="s">
        <v>949</v>
      </c>
      <c r="H3266" s="238">
        <v>42278</v>
      </c>
      <c r="I3266" s="235">
        <v>42338</v>
      </c>
      <c r="J3266" s="136">
        <v>139.57</v>
      </c>
      <c r="K3266" s="89"/>
      <c r="L3266" s="89">
        <v>1</v>
      </c>
    </row>
    <row r="3267" spans="1:12" ht="85.5">
      <c r="A3267" s="89" t="s">
        <v>974</v>
      </c>
      <c r="B3267" s="237">
        <v>112120502010</v>
      </c>
      <c r="C3267" s="89" t="s">
        <v>680</v>
      </c>
      <c r="D3267" s="89"/>
      <c r="E3267" s="236" t="s">
        <v>479</v>
      </c>
      <c r="F3267" s="236" t="s">
        <v>429</v>
      </c>
      <c r="G3267" s="236" t="s">
        <v>951</v>
      </c>
      <c r="H3267" s="238">
        <v>42278</v>
      </c>
      <c r="I3267" s="235">
        <v>42335</v>
      </c>
      <c r="J3267" s="136">
        <v>78.760000000000005</v>
      </c>
      <c r="K3267" s="89"/>
      <c r="L3267" s="89">
        <v>1</v>
      </c>
    </row>
    <row r="3268" spans="1:12" ht="85.5">
      <c r="A3268" s="89" t="s">
        <v>974</v>
      </c>
      <c r="B3268" s="237">
        <v>112120502010</v>
      </c>
      <c r="C3268" s="89" t="s">
        <v>680</v>
      </c>
      <c r="D3268" s="89"/>
      <c r="E3268" s="236" t="s">
        <v>479</v>
      </c>
      <c r="F3268" s="236" t="s">
        <v>429</v>
      </c>
      <c r="G3268" s="236" t="s">
        <v>952</v>
      </c>
      <c r="H3268" s="238">
        <v>42278</v>
      </c>
      <c r="I3268" s="235">
        <v>42338</v>
      </c>
      <c r="J3268" s="136">
        <v>18.920000000000002</v>
      </c>
      <c r="K3268" s="89"/>
      <c r="L3268" s="89">
        <v>1</v>
      </c>
    </row>
    <row r="3269" spans="1:12" ht="85.5">
      <c r="A3269" s="89" t="s">
        <v>974</v>
      </c>
      <c r="B3269" s="237">
        <v>112120502010</v>
      </c>
      <c r="C3269" s="89" t="s">
        <v>680</v>
      </c>
      <c r="D3269" s="89"/>
      <c r="E3269" s="236" t="s">
        <v>479</v>
      </c>
      <c r="F3269" s="236" t="s">
        <v>429</v>
      </c>
      <c r="G3269" s="236" t="s">
        <v>953</v>
      </c>
      <c r="H3269" s="238">
        <v>42278</v>
      </c>
      <c r="I3269" s="235">
        <v>42338</v>
      </c>
      <c r="J3269" s="136">
        <v>284.95</v>
      </c>
      <c r="K3269" s="89"/>
      <c r="L3269" s="89">
        <v>1</v>
      </c>
    </row>
    <row r="3270" spans="1:12" ht="85.5">
      <c r="A3270" s="89" t="s">
        <v>974</v>
      </c>
      <c r="B3270" s="237">
        <v>112120502010</v>
      </c>
      <c r="C3270" s="89" t="s">
        <v>680</v>
      </c>
      <c r="D3270" s="89"/>
      <c r="E3270" s="236" t="s">
        <v>479</v>
      </c>
      <c r="F3270" s="236" t="s">
        <v>429</v>
      </c>
      <c r="G3270" s="236" t="s">
        <v>954</v>
      </c>
      <c r="H3270" s="238">
        <v>42278</v>
      </c>
      <c r="I3270" s="235">
        <v>42338</v>
      </c>
      <c r="J3270" s="136">
        <v>587.29999999999995</v>
      </c>
      <c r="K3270" s="89"/>
      <c r="L3270" s="89">
        <v>1</v>
      </c>
    </row>
    <row r="3271" spans="1:12" ht="85.5">
      <c r="A3271" s="89" t="s">
        <v>505</v>
      </c>
      <c r="B3271" s="237">
        <v>112120502010</v>
      </c>
      <c r="C3271" s="89" t="s">
        <v>506</v>
      </c>
      <c r="D3271" s="89"/>
      <c r="E3271" s="236" t="s">
        <v>479</v>
      </c>
      <c r="F3271" s="236" t="s">
        <v>429</v>
      </c>
      <c r="G3271" s="236" t="s">
        <v>946</v>
      </c>
      <c r="H3271" s="238">
        <v>42278</v>
      </c>
      <c r="I3271" s="235">
        <v>42335</v>
      </c>
      <c r="J3271" s="136">
        <v>37145.910000000003</v>
      </c>
      <c r="K3271" s="89"/>
      <c r="L3271" s="89">
        <v>1</v>
      </c>
    </row>
    <row r="3272" spans="1:12" ht="85.5">
      <c r="A3272" s="89" t="s">
        <v>505</v>
      </c>
      <c r="B3272" s="237">
        <v>112120502010</v>
      </c>
      <c r="C3272" s="89" t="s">
        <v>506</v>
      </c>
      <c r="D3272" s="89"/>
      <c r="E3272" s="236" t="s">
        <v>479</v>
      </c>
      <c r="F3272" s="236" t="s">
        <v>429</v>
      </c>
      <c r="G3272" s="236" t="s">
        <v>947</v>
      </c>
      <c r="H3272" s="238">
        <v>42278</v>
      </c>
      <c r="I3272" s="235">
        <v>42338</v>
      </c>
      <c r="J3272" s="136">
        <v>11217.21</v>
      </c>
      <c r="K3272" s="89"/>
      <c r="L3272" s="89">
        <v>1</v>
      </c>
    </row>
    <row r="3273" spans="1:12" ht="85.5">
      <c r="A3273" s="89" t="s">
        <v>505</v>
      </c>
      <c r="B3273" s="237">
        <v>112120502010</v>
      </c>
      <c r="C3273" s="89" t="s">
        <v>506</v>
      </c>
      <c r="D3273" s="89"/>
      <c r="E3273" s="236" t="s">
        <v>479</v>
      </c>
      <c r="F3273" s="236" t="s">
        <v>429</v>
      </c>
      <c r="G3273" s="236" t="s">
        <v>948</v>
      </c>
      <c r="H3273" s="238">
        <v>42278</v>
      </c>
      <c r="I3273" s="235">
        <v>42338</v>
      </c>
      <c r="J3273" s="136">
        <v>487.4</v>
      </c>
      <c r="K3273" s="89"/>
      <c r="L3273" s="89">
        <v>1</v>
      </c>
    </row>
    <row r="3274" spans="1:12" ht="85.5">
      <c r="A3274" s="89" t="s">
        <v>505</v>
      </c>
      <c r="B3274" s="237">
        <v>112120502010</v>
      </c>
      <c r="C3274" s="89" t="s">
        <v>506</v>
      </c>
      <c r="D3274" s="89"/>
      <c r="E3274" s="236" t="s">
        <v>479</v>
      </c>
      <c r="F3274" s="236" t="s">
        <v>429</v>
      </c>
      <c r="G3274" s="236" t="s">
        <v>949</v>
      </c>
      <c r="H3274" s="238">
        <v>42278</v>
      </c>
      <c r="I3274" s="235">
        <v>42338</v>
      </c>
      <c r="J3274" s="136">
        <v>4507.47</v>
      </c>
      <c r="K3274" s="89"/>
      <c r="L3274" s="89">
        <v>1</v>
      </c>
    </row>
    <row r="3275" spans="1:12" ht="85.5">
      <c r="A3275" s="89" t="s">
        <v>975</v>
      </c>
      <c r="B3275" s="237">
        <v>112120502010</v>
      </c>
      <c r="C3275" s="89" t="s">
        <v>506</v>
      </c>
      <c r="D3275" s="89"/>
      <c r="E3275" s="236" t="s">
        <v>479</v>
      </c>
      <c r="F3275" s="236" t="s">
        <v>429</v>
      </c>
      <c r="G3275" s="236" t="s">
        <v>951</v>
      </c>
      <c r="H3275" s="238">
        <v>42278</v>
      </c>
      <c r="I3275" s="235">
        <v>42335</v>
      </c>
      <c r="J3275" s="136">
        <v>2541.64</v>
      </c>
      <c r="K3275" s="89"/>
      <c r="L3275" s="89">
        <v>1</v>
      </c>
    </row>
    <row r="3276" spans="1:12" ht="85.5">
      <c r="A3276" s="89" t="s">
        <v>975</v>
      </c>
      <c r="B3276" s="237">
        <v>112120502010</v>
      </c>
      <c r="C3276" s="89" t="s">
        <v>506</v>
      </c>
      <c r="D3276" s="89"/>
      <c r="E3276" s="236" t="s">
        <v>479</v>
      </c>
      <c r="F3276" s="236" t="s">
        <v>429</v>
      </c>
      <c r="G3276" s="236" t="s">
        <v>952</v>
      </c>
      <c r="H3276" s="238">
        <v>42278</v>
      </c>
      <c r="I3276" s="235">
        <v>42338</v>
      </c>
      <c r="J3276" s="136">
        <v>611.08000000000004</v>
      </c>
      <c r="K3276" s="89"/>
      <c r="L3276" s="89">
        <v>1</v>
      </c>
    </row>
    <row r="3277" spans="1:12" ht="85.5">
      <c r="A3277" s="89" t="s">
        <v>975</v>
      </c>
      <c r="B3277" s="237">
        <v>112120502010</v>
      </c>
      <c r="C3277" s="89" t="s">
        <v>506</v>
      </c>
      <c r="D3277" s="89"/>
      <c r="E3277" s="236" t="s">
        <v>479</v>
      </c>
      <c r="F3277" s="236" t="s">
        <v>429</v>
      </c>
      <c r="G3277" s="236" t="s">
        <v>953</v>
      </c>
      <c r="H3277" s="238">
        <v>42278</v>
      </c>
      <c r="I3277" s="235">
        <v>42338</v>
      </c>
      <c r="J3277" s="136">
        <v>9201.91</v>
      </c>
      <c r="K3277" s="89"/>
      <c r="L3277" s="89">
        <v>1</v>
      </c>
    </row>
    <row r="3278" spans="1:12" ht="85.5">
      <c r="A3278" s="89" t="s">
        <v>975</v>
      </c>
      <c r="B3278" s="237">
        <v>112120502010</v>
      </c>
      <c r="C3278" s="89" t="s">
        <v>506</v>
      </c>
      <c r="D3278" s="89"/>
      <c r="E3278" s="236" t="s">
        <v>479</v>
      </c>
      <c r="F3278" s="236" t="s">
        <v>429</v>
      </c>
      <c r="G3278" s="236" t="s">
        <v>954</v>
      </c>
      <c r="H3278" s="238">
        <v>42278</v>
      </c>
      <c r="I3278" s="235">
        <v>42338</v>
      </c>
      <c r="J3278" s="136">
        <v>18965.37</v>
      </c>
      <c r="K3278" s="89"/>
      <c r="L3278" s="89">
        <v>1</v>
      </c>
    </row>
    <row r="3279" spans="1:12" ht="85.5">
      <c r="A3279" s="89" t="s">
        <v>816</v>
      </c>
      <c r="B3279" s="237">
        <v>112120502010</v>
      </c>
      <c r="C3279" s="89" t="s">
        <v>472</v>
      </c>
      <c r="D3279" s="89"/>
      <c r="E3279" s="236" t="s">
        <v>479</v>
      </c>
      <c r="F3279" s="236" t="s">
        <v>429</v>
      </c>
      <c r="G3279" s="236" t="s">
        <v>946</v>
      </c>
      <c r="H3279" s="238">
        <v>42278</v>
      </c>
      <c r="I3279" s="235">
        <v>42335</v>
      </c>
      <c r="J3279" s="136">
        <v>19125.490000000002</v>
      </c>
      <c r="K3279" s="89"/>
      <c r="L3279" s="89">
        <v>1</v>
      </c>
    </row>
    <row r="3280" spans="1:12" ht="85.5">
      <c r="A3280" s="89" t="s">
        <v>816</v>
      </c>
      <c r="B3280" s="237">
        <v>112120502010</v>
      </c>
      <c r="C3280" s="89" t="s">
        <v>472</v>
      </c>
      <c r="D3280" s="89"/>
      <c r="E3280" s="236" t="s">
        <v>479</v>
      </c>
      <c r="F3280" s="236" t="s">
        <v>429</v>
      </c>
      <c r="G3280" s="236" t="s">
        <v>947</v>
      </c>
      <c r="H3280" s="238">
        <v>42278</v>
      </c>
      <c r="I3280" s="235">
        <v>42338</v>
      </c>
      <c r="J3280" s="136">
        <v>5775.46</v>
      </c>
      <c r="K3280" s="89"/>
      <c r="L3280" s="89">
        <v>1</v>
      </c>
    </row>
    <row r="3281" spans="1:12" ht="85.5">
      <c r="A3281" s="89" t="s">
        <v>816</v>
      </c>
      <c r="B3281" s="237">
        <v>112120502010</v>
      </c>
      <c r="C3281" s="89" t="s">
        <v>472</v>
      </c>
      <c r="D3281" s="89"/>
      <c r="E3281" s="236" t="s">
        <v>479</v>
      </c>
      <c r="F3281" s="236" t="s">
        <v>429</v>
      </c>
      <c r="G3281" s="236" t="s">
        <v>948</v>
      </c>
      <c r="H3281" s="238">
        <v>42278</v>
      </c>
      <c r="I3281" s="235">
        <v>42338</v>
      </c>
      <c r="J3281" s="136">
        <v>250.95</v>
      </c>
      <c r="K3281" s="89"/>
      <c r="L3281" s="89">
        <v>1</v>
      </c>
    </row>
    <row r="3282" spans="1:12" ht="85.5">
      <c r="A3282" s="89" t="s">
        <v>816</v>
      </c>
      <c r="B3282" s="237">
        <v>112120502010</v>
      </c>
      <c r="C3282" s="89" t="s">
        <v>472</v>
      </c>
      <c r="D3282" s="89"/>
      <c r="E3282" s="236" t="s">
        <v>479</v>
      </c>
      <c r="F3282" s="236" t="s">
        <v>429</v>
      </c>
      <c r="G3282" s="236" t="s">
        <v>949</v>
      </c>
      <c r="H3282" s="238">
        <v>42278</v>
      </c>
      <c r="I3282" s="235">
        <v>42338</v>
      </c>
      <c r="J3282" s="136">
        <v>2320.7800000000002</v>
      </c>
      <c r="K3282" s="89"/>
      <c r="L3282" s="89">
        <v>1</v>
      </c>
    </row>
    <row r="3283" spans="1:12" ht="85.5">
      <c r="A3283" s="89" t="s">
        <v>976</v>
      </c>
      <c r="B3283" s="237">
        <v>112120502010</v>
      </c>
      <c r="C3283" s="89" t="s">
        <v>472</v>
      </c>
      <c r="D3283" s="89"/>
      <c r="E3283" s="236" t="s">
        <v>479</v>
      </c>
      <c r="F3283" s="236" t="s">
        <v>429</v>
      </c>
      <c r="G3283" s="236" t="s">
        <v>951</v>
      </c>
      <c r="H3283" s="238">
        <v>42278</v>
      </c>
      <c r="I3283" s="235">
        <v>42335</v>
      </c>
      <c r="J3283" s="136">
        <v>1308.6300000000001</v>
      </c>
      <c r="K3283" s="89"/>
      <c r="L3283" s="89">
        <v>1</v>
      </c>
    </row>
    <row r="3284" spans="1:12" ht="85.5">
      <c r="A3284" s="89" t="s">
        <v>976</v>
      </c>
      <c r="B3284" s="237">
        <v>112120502010</v>
      </c>
      <c r="C3284" s="89" t="s">
        <v>472</v>
      </c>
      <c r="D3284" s="89"/>
      <c r="E3284" s="236" t="s">
        <v>479</v>
      </c>
      <c r="F3284" s="236" t="s">
        <v>429</v>
      </c>
      <c r="G3284" s="236" t="s">
        <v>952</v>
      </c>
      <c r="H3284" s="238">
        <v>42278</v>
      </c>
      <c r="I3284" s="235">
        <v>42338</v>
      </c>
      <c r="J3284" s="136">
        <v>314.63</v>
      </c>
      <c r="K3284" s="89"/>
      <c r="L3284" s="89">
        <v>1</v>
      </c>
    </row>
    <row r="3285" spans="1:12" ht="85.5">
      <c r="A3285" s="89" t="s">
        <v>976</v>
      </c>
      <c r="B3285" s="237">
        <v>112120502010</v>
      </c>
      <c r="C3285" s="89" t="s">
        <v>472</v>
      </c>
      <c r="D3285" s="89"/>
      <c r="E3285" s="236" t="s">
        <v>479</v>
      </c>
      <c r="F3285" s="236" t="s">
        <v>429</v>
      </c>
      <c r="G3285" s="236" t="s">
        <v>953</v>
      </c>
      <c r="H3285" s="238">
        <v>42278</v>
      </c>
      <c r="I3285" s="235">
        <v>42338</v>
      </c>
      <c r="J3285" s="136">
        <v>4737.83</v>
      </c>
      <c r="K3285" s="89"/>
      <c r="L3285" s="89">
        <v>1</v>
      </c>
    </row>
    <row r="3286" spans="1:12" ht="85.5">
      <c r="A3286" s="89" t="s">
        <v>976</v>
      </c>
      <c r="B3286" s="237">
        <v>112120502010</v>
      </c>
      <c r="C3286" s="89" t="s">
        <v>472</v>
      </c>
      <c r="D3286" s="89"/>
      <c r="E3286" s="236" t="s">
        <v>479</v>
      </c>
      <c r="F3286" s="236" t="s">
        <v>429</v>
      </c>
      <c r="G3286" s="236" t="s">
        <v>954</v>
      </c>
      <c r="H3286" s="238">
        <v>42278</v>
      </c>
      <c r="I3286" s="235">
        <v>42338</v>
      </c>
      <c r="J3286" s="136">
        <v>9764.7900000000009</v>
      </c>
      <c r="K3286" s="89"/>
      <c r="L3286" s="89">
        <v>1</v>
      </c>
    </row>
    <row r="3287" spans="1:12" ht="85.5">
      <c r="A3287" s="89" t="s">
        <v>813</v>
      </c>
      <c r="B3287" s="237">
        <v>112120502010</v>
      </c>
      <c r="C3287" s="89" t="s">
        <v>812</v>
      </c>
      <c r="D3287" s="89"/>
      <c r="E3287" s="236" t="s">
        <v>479</v>
      </c>
      <c r="F3287" s="236" t="s">
        <v>429</v>
      </c>
      <c r="G3287" s="236" t="s">
        <v>946</v>
      </c>
      <c r="H3287" s="238">
        <v>42278</v>
      </c>
      <c r="I3287" s="235">
        <v>42335</v>
      </c>
      <c r="J3287" s="136">
        <v>22736.9</v>
      </c>
      <c r="K3287" s="89"/>
      <c r="L3287" s="89">
        <v>1</v>
      </c>
    </row>
    <row r="3288" spans="1:12" ht="85.5">
      <c r="A3288" s="89" t="s">
        <v>813</v>
      </c>
      <c r="B3288" s="237">
        <v>112120502010</v>
      </c>
      <c r="C3288" s="89" t="s">
        <v>812</v>
      </c>
      <c r="D3288" s="89"/>
      <c r="E3288" s="236" t="s">
        <v>479</v>
      </c>
      <c r="F3288" s="236" t="s">
        <v>429</v>
      </c>
      <c r="G3288" s="236" t="s">
        <v>947</v>
      </c>
      <c r="H3288" s="238">
        <v>42278</v>
      </c>
      <c r="I3288" s="235">
        <v>42338</v>
      </c>
      <c r="J3288" s="136">
        <v>6866.02</v>
      </c>
      <c r="K3288" s="89"/>
      <c r="L3288" s="89">
        <v>1</v>
      </c>
    </row>
    <row r="3289" spans="1:12" ht="85.5">
      <c r="A3289" s="89" t="s">
        <v>813</v>
      </c>
      <c r="B3289" s="237">
        <v>112120502010</v>
      </c>
      <c r="C3289" s="89" t="s">
        <v>812</v>
      </c>
      <c r="D3289" s="89"/>
      <c r="E3289" s="236" t="s">
        <v>479</v>
      </c>
      <c r="F3289" s="236" t="s">
        <v>429</v>
      </c>
      <c r="G3289" s="236" t="s">
        <v>948</v>
      </c>
      <c r="H3289" s="238">
        <v>42278</v>
      </c>
      <c r="I3289" s="235">
        <v>42338</v>
      </c>
      <c r="J3289" s="136">
        <v>298.33999999999997</v>
      </c>
      <c r="K3289" s="89"/>
      <c r="L3289" s="89">
        <v>1</v>
      </c>
    </row>
    <row r="3290" spans="1:12" ht="85.5">
      <c r="A3290" s="89" t="s">
        <v>813</v>
      </c>
      <c r="B3290" s="237">
        <v>112120502010</v>
      </c>
      <c r="C3290" s="89" t="s">
        <v>812</v>
      </c>
      <c r="D3290" s="89"/>
      <c r="E3290" s="236" t="s">
        <v>479</v>
      </c>
      <c r="F3290" s="236" t="s">
        <v>429</v>
      </c>
      <c r="G3290" s="236" t="s">
        <v>949</v>
      </c>
      <c r="H3290" s="238">
        <v>42278</v>
      </c>
      <c r="I3290" s="235">
        <v>42338</v>
      </c>
      <c r="J3290" s="136">
        <v>2759.01</v>
      </c>
      <c r="K3290" s="89"/>
      <c r="L3290" s="89">
        <v>1</v>
      </c>
    </row>
    <row r="3291" spans="1:12" ht="85.5">
      <c r="A3291" s="89" t="s">
        <v>977</v>
      </c>
      <c r="B3291" s="237">
        <v>112120502010</v>
      </c>
      <c r="C3291" s="89" t="s">
        <v>812</v>
      </c>
      <c r="D3291" s="89"/>
      <c r="E3291" s="236" t="s">
        <v>479</v>
      </c>
      <c r="F3291" s="236" t="s">
        <v>429</v>
      </c>
      <c r="G3291" s="236" t="s">
        <v>951</v>
      </c>
      <c r="H3291" s="238">
        <v>42278</v>
      </c>
      <c r="I3291" s="235">
        <v>42335</v>
      </c>
      <c r="J3291" s="136">
        <v>1555.73</v>
      </c>
      <c r="K3291" s="89"/>
      <c r="L3291" s="89">
        <v>1</v>
      </c>
    </row>
    <row r="3292" spans="1:12" ht="85.5">
      <c r="A3292" s="89" t="s">
        <v>977</v>
      </c>
      <c r="B3292" s="237">
        <v>112120502010</v>
      </c>
      <c r="C3292" s="89" t="s">
        <v>812</v>
      </c>
      <c r="D3292" s="89"/>
      <c r="E3292" s="236" t="s">
        <v>479</v>
      </c>
      <c r="F3292" s="236" t="s">
        <v>429</v>
      </c>
      <c r="G3292" s="236" t="s">
        <v>952</v>
      </c>
      <c r="H3292" s="238">
        <v>42278</v>
      </c>
      <c r="I3292" s="235">
        <v>42338</v>
      </c>
      <c r="J3292" s="136">
        <v>374.04</v>
      </c>
      <c r="K3292" s="89"/>
      <c r="L3292" s="89">
        <v>1</v>
      </c>
    </row>
    <row r="3293" spans="1:12" ht="85.5">
      <c r="A3293" s="89" t="s">
        <v>977</v>
      </c>
      <c r="B3293" s="237">
        <v>112120502010</v>
      </c>
      <c r="C3293" s="89" t="s">
        <v>812</v>
      </c>
      <c r="D3293" s="89"/>
      <c r="E3293" s="236" t="s">
        <v>479</v>
      </c>
      <c r="F3293" s="236" t="s">
        <v>429</v>
      </c>
      <c r="G3293" s="236" t="s">
        <v>953</v>
      </c>
      <c r="H3293" s="238">
        <v>42278</v>
      </c>
      <c r="I3293" s="235">
        <v>42338</v>
      </c>
      <c r="J3293" s="136">
        <v>5632.46</v>
      </c>
      <c r="K3293" s="89"/>
      <c r="L3293" s="89">
        <v>1</v>
      </c>
    </row>
    <row r="3294" spans="1:12" ht="85.5">
      <c r="A3294" s="89" t="s">
        <v>977</v>
      </c>
      <c r="B3294" s="237">
        <v>112120502010</v>
      </c>
      <c r="C3294" s="89" t="s">
        <v>812</v>
      </c>
      <c r="D3294" s="89"/>
      <c r="E3294" s="236" t="s">
        <v>479</v>
      </c>
      <c r="F3294" s="236" t="s">
        <v>429</v>
      </c>
      <c r="G3294" s="236" t="s">
        <v>954</v>
      </c>
      <c r="H3294" s="238">
        <v>42278</v>
      </c>
      <c r="I3294" s="235">
        <v>42338</v>
      </c>
      <c r="J3294" s="136">
        <v>11608.65</v>
      </c>
      <c r="K3294" s="89"/>
      <c r="L3294" s="89">
        <v>1</v>
      </c>
    </row>
    <row r="3295" spans="1:12" ht="85.5">
      <c r="A3295" s="89" t="s">
        <v>824</v>
      </c>
      <c r="B3295" s="237">
        <v>112120502010</v>
      </c>
      <c r="C3295" s="89" t="s">
        <v>474</v>
      </c>
      <c r="D3295" s="89"/>
      <c r="E3295" s="236" t="s">
        <v>479</v>
      </c>
      <c r="F3295" s="236" t="s">
        <v>429</v>
      </c>
      <c r="G3295" s="236" t="s">
        <v>946</v>
      </c>
      <c r="H3295" s="238">
        <v>42278</v>
      </c>
      <c r="I3295" s="235">
        <v>42335</v>
      </c>
      <c r="J3295" s="136">
        <v>14964.35</v>
      </c>
      <c r="K3295" s="89"/>
      <c r="L3295" s="89">
        <v>1</v>
      </c>
    </row>
    <row r="3296" spans="1:12" ht="85.5">
      <c r="A3296" s="89" t="s">
        <v>824</v>
      </c>
      <c r="B3296" s="237">
        <v>112120502010</v>
      </c>
      <c r="C3296" s="89" t="s">
        <v>474</v>
      </c>
      <c r="D3296" s="89"/>
      <c r="E3296" s="236" t="s">
        <v>479</v>
      </c>
      <c r="F3296" s="236" t="s">
        <v>429</v>
      </c>
      <c r="G3296" s="236" t="s">
        <v>947</v>
      </c>
      <c r="H3296" s="238">
        <v>42278</v>
      </c>
      <c r="I3296" s="235">
        <v>42338</v>
      </c>
      <c r="J3296" s="136">
        <v>4518.8900000000003</v>
      </c>
      <c r="K3296" s="89"/>
      <c r="L3296" s="89">
        <v>1</v>
      </c>
    </row>
    <row r="3297" spans="1:12" ht="85.5">
      <c r="A3297" s="89" t="s">
        <v>824</v>
      </c>
      <c r="B3297" s="237">
        <v>112120502010</v>
      </c>
      <c r="C3297" s="89" t="s">
        <v>474</v>
      </c>
      <c r="D3297" s="89"/>
      <c r="E3297" s="236" t="s">
        <v>479</v>
      </c>
      <c r="F3297" s="236" t="s">
        <v>429</v>
      </c>
      <c r="G3297" s="236" t="s">
        <v>948</v>
      </c>
      <c r="H3297" s="238">
        <v>42278</v>
      </c>
      <c r="I3297" s="235">
        <v>42338</v>
      </c>
      <c r="J3297" s="136">
        <v>196.35</v>
      </c>
      <c r="K3297" s="89"/>
      <c r="L3297" s="89">
        <v>1</v>
      </c>
    </row>
    <row r="3298" spans="1:12" ht="85.5">
      <c r="A3298" s="89" t="s">
        <v>824</v>
      </c>
      <c r="B3298" s="237">
        <v>112120502010</v>
      </c>
      <c r="C3298" s="89" t="s">
        <v>474</v>
      </c>
      <c r="D3298" s="89"/>
      <c r="E3298" s="236" t="s">
        <v>479</v>
      </c>
      <c r="F3298" s="236" t="s">
        <v>429</v>
      </c>
      <c r="G3298" s="236" t="s">
        <v>949</v>
      </c>
      <c r="H3298" s="238">
        <v>42278</v>
      </c>
      <c r="I3298" s="235">
        <v>42338</v>
      </c>
      <c r="J3298" s="136">
        <v>1815.85</v>
      </c>
      <c r="K3298" s="89"/>
      <c r="L3298" s="89">
        <v>1</v>
      </c>
    </row>
    <row r="3299" spans="1:12" ht="85.5">
      <c r="A3299" s="89" t="s">
        <v>978</v>
      </c>
      <c r="B3299" s="237">
        <v>112120502010</v>
      </c>
      <c r="C3299" s="89" t="s">
        <v>474</v>
      </c>
      <c r="D3299" s="89"/>
      <c r="E3299" s="236" t="s">
        <v>479</v>
      </c>
      <c r="F3299" s="236" t="s">
        <v>429</v>
      </c>
      <c r="G3299" s="236" t="s">
        <v>951</v>
      </c>
      <c r="H3299" s="238">
        <v>42278</v>
      </c>
      <c r="I3299" s="235">
        <v>42335</v>
      </c>
      <c r="J3299" s="136">
        <v>1023.91</v>
      </c>
      <c r="K3299" s="89"/>
      <c r="L3299" s="89">
        <v>1</v>
      </c>
    </row>
    <row r="3300" spans="1:12" ht="85.5">
      <c r="A3300" s="89" t="s">
        <v>978</v>
      </c>
      <c r="B3300" s="237">
        <v>112120502010</v>
      </c>
      <c r="C3300" s="89" t="s">
        <v>474</v>
      </c>
      <c r="D3300" s="89"/>
      <c r="E3300" s="236" t="s">
        <v>479</v>
      </c>
      <c r="F3300" s="236" t="s">
        <v>429</v>
      </c>
      <c r="G3300" s="236" t="s">
        <v>952</v>
      </c>
      <c r="H3300" s="238">
        <v>42278</v>
      </c>
      <c r="I3300" s="235">
        <v>42338</v>
      </c>
      <c r="J3300" s="136">
        <v>246.17</v>
      </c>
      <c r="K3300" s="89"/>
      <c r="L3300" s="89">
        <v>1</v>
      </c>
    </row>
    <row r="3301" spans="1:12" ht="85.5">
      <c r="A3301" s="89" t="s">
        <v>978</v>
      </c>
      <c r="B3301" s="237">
        <v>112120502010</v>
      </c>
      <c r="C3301" s="89" t="s">
        <v>474</v>
      </c>
      <c r="D3301" s="89"/>
      <c r="E3301" s="236" t="s">
        <v>479</v>
      </c>
      <c r="F3301" s="236" t="s">
        <v>429</v>
      </c>
      <c r="G3301" s="236" t="s">
        <v>953</v>
      </c>
      <c r="H3301" s="238">
        <v>42278</v>
      </c>
      <c r="I3301" s="235">
        <v>42338</v>
      </c>
      <c r="J3301" s="136">
        <v>3707.02</v>
      </c>
      <c r="K3301" s="89"/>
      <c r="L3301" s="89">
        <v>1</v>
      </c>
    </row>
    <row r="3302" spans="1:12" ht="85.5">
      <c r="A3302" s="89" t="s">
        <v>978</v>
      </c>
      <c r="B3302" s="237">
        <v>112120502010</v>
      </c>
      <c r="C3302" s="89" t="s">
        <v>474</v>
      </c>
      <c r="D3302" s="89"/>
      <c r="E3302" s="236" t="s">
        <v>479</v>
      </c>
      <c r="F3302" s="236" t="s">
        <v>429</v>
      </c>
      <c r="G3302" s="236" t="s">
        <v>954</v>
      </c>
      <c r="H3302" s="238">
        <v>42278</v>
      </c>
      <c r="I3302" s="235">
        <v>42338</v>
      </c>
      <c r="J3302" s="136">
        <v>7640.26</v>
      </c>
      <c r="K3302" s="89"/>
      <c r="L3302" s="89">
        <v>1</v>
      </c>
    </row>
    <row r="3303" spans="1:12" ht="85.5">
      <c r="A3303" s="89" t="s">
        <v>495</v>
      </c>
      <c r="B3303" s="237">
        <v>112120502010</v>
      </c>
      <c r="C3303" s="89" t="s">
        <v>496</v>
      </c>
      <c r="D3303" s="89"/>
      <c r="E3303" s="236" t="s">
        <v>479</v>
      </c>
      <c r="F3303" s="236" t="s">
        <v>429</v>
      </c>
      <c r="G3303" s="236" t="s">
        <v>946</v>
      </c>
      <c r="H3303" s="238">
        <v>42278</v>
      </c>
      <c r="I3303" s="235">
        <v>42335</v>
      </c>
      <c r="J3303" s="136">
        <v>18508.16</v>
      </c>
      <c r="K3303" s="89"/>
      <c r="L3303" s="89">
        <v>1</v>
      </c>
    </row>
    <row r="3304" spans="1:12" ht="85.5">
      <c r="A3304" s="89" t="s">
        <v>495</v>
      </c>
      <c r="B3304" s="237">
        <v>112120502010</v>
      </c>
      <c r="C3304" s="89" t="s">
        <v>496</v>
      </c>
      <c r="D3304" s="89"/>
      <c r="E3304" s="236" t="s">
        <v>479</v>
      </c>
      <c r="F3304" s="236" t="s">
        <v>429</v>
      </c>
      <c r="G3304" s="236" t="s">
        <v>947</v>
      </c>
      <c r="H3304" s="238">
        <v>42278</v>
      </c>
      <c r="I3304" s="235">
        <v>42338</v>
      </c>
      <c r="J3304" s="136">
        <v>5589.04</v>
      </c>
      <c r="K3304" s="89"/>
      <c r="L3304" s="89">
        <v>1</v>
      </c>
    </row>
    <row r="3305" spans="1:12" ht="85.5">
      <c r="A3305" s="89" t="s">
        <v>495</v>
      </c>
      <c r="B3305" s="237">
        <v>112120502010</v>
      </c>
      <c r="C3305" s="89" t="s">
        <v>496</v>
      </c>
      <c r="D3305" s="89"/>
      <c r="E3305" s="236" t="s">
        <v>479</v>
      </c>
      <c r="F3305" s="236" t="s">
        <v>429</v>
      </c>
      <c r="G3305" s="236" t="s">
        <v>948</v>
      </c>
      <c r="H3305" s="238">
        <v>42278</v>
      </c>
      <c r="I3305" s="235">
        <v>42338</v>
      </c>
      <c r="J3305" s="136">
        <v>242.85</v>
      </c>
      <c r="K3305" s="89"/>
      <c r="L3305" s="89">
        <v>1</v>
      </c>
    </row>
    <row r="3306" spans="1:12" ht="85.5">
      <c r="A3306" s="89" t="s">
        <v>495</v>
      </c>
      <c r="B3306" s="237">
        <v>112120502010</v>
      </c>
      <c r="C3306" s="89" t="s">
        <v>496</v>
      </c>
      <c r="D3306" s="89"/>
      <c r="E3306" s="236" t="s">
        <v>479</v>
      </c>
      <c r="F3306" s="236" t="s">
        <v>429</v>
      </c>
      <c r="G3306" s="236" t="s">
        <v>949</v>
      </c>
      <c r="H3306" s="238">
        <v>42278</v>
      </c>
      <c r="I3306" s="235">
        <v>42338</v>
      </c>
      <c r="J3306" s="136">
        <v>2245.87</v>
      </c>
      <c r="K3306" s="89"/>
      <c r="L3306" s="89">
        <v>1</v>
      </c>
    </row>
    <row r="3307" spans="1:12" ht="85.5">
      <c r="A3307" s="89" t="s">
        <v>979</v>
      </c>
      <c r="B3307" s="237">
        <v>112120502010</v>
      </c>
      <c r="C3307" s="89" t="s">
        <v>496</v>
      </c>
      <c r="D3307" s="89"/>
      <c r="E3307" s="236" t="s">
        <v>479</v>
      </c>
      <c r="F3307" s="236" t="s">
        <v>429</v>
      </c>
      <c r="G3307" s="236" t="s">
        <v>951</v>
      </c>
      <c r="H3307" s="238">
        <v>42278</v>
      </c>
      <c r="I3307" s="235">
        <v>42335</v>
      </c>
      <c r="J3307" s="136">
        <v>1266.3900000000001</v>
      </c>
      <c r="K3307" s="89"/>
      <c r="L3307" s="89">
        <v>1</v>
      </c>
    </row>
    <row r="3308" spans="1:12" ht="85.5">
      <c r="A3308" s="89" t="s">
        <v>979</v>
      </c>
      <c r="B3308" s="237">
        <v>112120502010</v>
      </c>
      <c r="C3308" s="89" t="s">
        <v>496</v>
      </c>
      <c r="D3308" s="89"/>
      <c r="E3308" s="236" t="s">
        <v>479</v>
      </c>
      <c r="F3308" s="236" t="s">
        <v>429</v>
      </c>
      <c r="G3308" s="236" t="s">
        <v>952</v>
      </c>
      <c r="H3308" s="238">
        <v>42278</v>
      </c>
      <c r="I3308" s="235">
        <v>42338</v>
      </c>
      <c r="J3308" s="136">
        <v>304.47000000000003</v>
      </c>
      <c r="K3308" s="89"/>
      <c r="L3308" s="89">
        <v>1</v>
      </c>
    </row>
    <row r="3309" spans="1:12" ht="85.5">
      <c r="A3309" s="89" t="s">
        <v>979</v>
      </c>
      <c r="B3309" s="237">
        <v>112120502010</v>
      </c>
      <c r="C3309" s="89" t="s">
        <v>496</v>
      </c>
      <c r="D3309" s="89"/>
      <c r="E3309" s="236" t="s">
        <v>479</v>
      </c>
      <c r="F3309" s="236" t="s">
        <v>429</v>
      </c>
      <c r="G3309" s="236" t="s">
        <v>953</v>
      </c>
      <c r="H3309" s="238">
        <v>42278</v>
      </c>
      <c r="I3309" s="235">
        <v>42338</v>
      </c>
      <c r="J3309" s="136">
        <v>4584.8999999999996</v>
      </c>
      <c r="K3309" s="89"/>
      <c r="L3309" s="89">
        <v>1</v>
      </c>
    </row>
    <row r="3310" spans="1:12" ht="85.5">
      <c r="A3310" s="89" t="s">
        <v>979</v>
      </c>
      <c r="B3310" s="237">
        <v>112120502010</v>
      </c>
      <c r="C3310" s="89" t="s">
        <v>496</v>
      </c>
      <c r="D3310" s="89"/>
      <c r="E3310" s="236" t="s">
        <v>479</v>
      </c>
      <c r="F3310" s="236" t="s">
        <v>429</v>
      </c>
      <c r="G3310" s="236" t="s">
        <v>954</v>
      </c>
      <c r="H3310" s="238">
        <v>42278</v>
      </c>
      <c r="I3310" s="235">
        <v>42338</v>
      </c>
      <c r="J3310" s="136">
        <v>9449.6</v>
      </c>
      <c r="K3310" s="89"/>
      <c r="L3310" s="89">
        <v>1</v>
      </c>
    </row>
    <row r="3311" spans="1:12" ht="85.5">
      <c r="A3311" s="89" t="s">
        <v>838</v>
      </c>
      <c r="B3311" s="237">
        <v>112120502010</v>
      </c>
      <c r="C3311" s="89" t="s">
        <v>837</v>
      </c>
      <c r="D3311" s="89"/>
      <c r="E3311" s="236" t="s">
        <v>479</v>
      </c>
      <c r="F3311" s="236" t="s">
        <v>429</v>
      </c>
      <c r="G3311" s="236" t="s">
        <v>946</v>
      </c>
      <c r="H3311" s="238">
        <v>42278</v>
      </c>
      <c r="I3311" s="235">
        <v>42335</v>
      </c>
      <c r="J3311" s="136">
        <v>13325.96</v>
      </c>
      <c r="K3311" s="89"/>
      <c r="L3311" s="89">
        <v>1</v>
      </c>
    </row>
    <row r="3312" spans="1:12" ht="85.5">
      <c r="A3312" s="89" t="s">
        <v>838</v>
      </c>
      <c r="B3312" s="237">
        <v>112120502010</v>
      </c>
      <c r="C3312" s="89" t="s">
        <v>837</v>
      </c>
      <c r="D3312" s="89"/>
      <c r="E3312" s="236" t="s">
        <v>479</v>
      </c>
      <c r="F3312" s="236" t="s">
        <v>429</v>
      </c>
      <c r="G3312" s="236" t="s">
        <v>947</v>
      </c>
      <c r="H3312" s="238">
        <v>42278</v>
      </c>
      <c r="I3312" s="235">
        <v>42338</v>
      </c>
      <c r="J3312" s="136">
        <v>4024.14</v>
      </c>
      <c r="K3312" s="89"/>
      <c r="L3312" s="89">
        <v>1</v>
      </c>
    </row>
    <row r="3313" spans="1:12" ht="85.5">
      <c r="A3313" s="89" t="s">
        <v>838</v>
      </c>
      <c r="B3313" s="237">
        <v>112120502010</v>
      </c>
      <c r="C3313" s="89" t="s">
        <v>837</v>
      </c>
      <c r="D3313" s="89"/>
      <c r="E3313" s="236" t="s">
        <v>479</v>
      </c>
      <c r="F3313" s="236" t="s">
        <v>429</v>
      </c>
      <c r="G3313" s="236" t="s">
        <v>948</v>
      </c>
      <c r="H3313" s="238">
        <v>42278</v>
      </c>
      <c r="I3313" s="235">
        <v>42338</v>
      </c>
      <c r="J3313" s="136">
        <v>174.85</v>
      </c>
      <c r="K3313" s="89"/>
      <c r="L3313" s="89">
        <v>1</v>
      </c>
    </row>
    <row r="3314" spans="1:12" ht="85.5">
      <c r="A3314" s="89" t="s">
        <v>838</v>
      </c>
      <c r="B3314" s="237">
        <v>112120502010</v>
      </c>
      <c r="C3314" s="89" t="s">
        <v>837</v>
      </c>
      <c r="D3314" s="89"/>
      <c r="E3314" s="236" t="s">
        <v>479</v>
      </c>
      <c r="F3314" s="236" t="s">
        <v>429</v>
      </c>
      <c r="G3314" s="236" t="s">
        <v>949</v>
      </c>
      <c r="H3314" s="238">
        <v>42278</v>
      </c>
      <c r="I3314" s="235">
        <v>42338</v>
      </c>
      <c r="J3314" s="136">
        <v>1617.04</v>
      </c>
      <c r="K3314" s="89"/>
      <c r="L3314" s="89">
        <v>1</v>
      </c>
    </row>
    <row r="3315" spans="1:12" ht="85.5">
      <c r="A3315" s="89" t="s">
        <v>980</v>
      </c>
      <c r="B3315" s="237">
        <v>112120502010</v>
      </c>
      <c r="C3315" s="89" t="s">
        <v>837</v>
      </c>
      <c r="D3315" s="89"/>
      <c r="E3315" s="236" t="s">
        <v>479</v>
      </c>
      <c r="F3315" s="236" t="s">
        <v>429</v>
      </c>
      <c r="G3315" s="236" t="s">
        <v>951</v>
      </c>
      <c r="H3315" s="238">
        <v>42278</v>
      </c>
      <c r="I3315" s="235">
        <v>42335</v>
      </c>
      <c r="J3315" s="136">
        <v>911.8</v>
      </c>
      <c r="K3315" s="89"/>
      <c r="L3315" s="89">
        <v>1</v>
      </c>
    </row>
    <row r="3316" spans="1:12" ht="85.5">
      <c r="A3316" s="89" t="s">
        <v>980</v>
      </c>
      <c r="B3316" s="237">
        <v>112120502010</v>
      </c>
      <c r="C3316" s="89" t="s">
        <v>837</v>
      </c>
      <c r="D3316" s="89"/>
      <c r="E3316" s="236" t="s">
        <v>479</v>
      </c>
      <c r="F3316" s="236" t="s">
        <v>429</v>
      </c>
      <c r="G3316" s="236" t="s">
        <v>952</v>
      </c>
      <c r="H3316" s="238">
        <v>42278</v>
      </c>
      <c r="I3316" s="235">
        <v>42338</v>
      </c>
      <c r="J3316" s="136">
        <v>219.22</v>
      </c>
      <c r="K3316" s="89"/>
      <c r="L3316" s="89">
        <v>1</v>
      </c>
    </row>
    <row r="3317" spans="1:12" ht="85.5">
      <c r="A3317" s="89" t="s">
        <v>980</v>
      </c>
      <c r="B3317" s="237">
        <v>112120502010</v>
      </c>
      <c r="C3317" s="89" t="s">
        <v>837</v>
      </c>
      <c r="D3317" s="89"/>
      <c r="E3317" s="236" t="s">
        <v>479</v>
      </c>
      <c r="F3317" s="236" t="s">
        <v>429</v>
      </c>
      <c r="G3317" s="236" t="s">
        <v>953</v>
      </c>
      <c r="H3317" s="238">
        <v>42278</v>
      </c>
      <c r="I3317" s="235">
        <v>42338</v>
      </c>
      <c r="J3317" s="136">
        <v>3301.15</v>
      </c>
      <c r="K3317" s="89"/>
      <c r="L3317" s="89">
        <v>1</v>
      </c>
    </row>
    <row r="3318" spans="1:12" ht="85.5">
      <c r="A3318" s="89" t="s">
        <v>980</v>
      </c>
      <c r="B3318" s="237">
        <v>112120502010</v>
      </c>
      <c r="C3318" s="89" t="s">
        <v>837</v>
      </c>
      <c r="D3318" s="89"/>
      <c r="E3318" s="236" t="s">
        <v>479</v>
      </c>
      <c r="F3318" s="236" t="s">
        <v>429</v>
      </c>
      <c r="G3318" s="236" t="s">
        <v>954</v>
      </c>
      <c r="H3318" s="238">
        <v>42278</v>
      </c>
      <c r="I3318" s="235">
        <v>42338</v>
      </c>
      <c r="J3318" s="136">
        <v>6803.76</v>
      </c>
      <c r="K3318" s="89"/>
      <c r="L3318" s="89">
        <v>1</v>
      </c>
    </row>
    <row r="3319" spans="1:12" ht="85.5">
      <c r="A3319" s="89" t="s">
        <v>478</v>
      </c>
      <c r="B3319" s="237">
        <v>112120502010</v>
      </c>
      <c r="C3319" s="89" t="s">
        <v>476</v>
      </c>
      <c r="D3319" s="89"/>
      <c r="E3319" s="236" t="s">
        <v>479</v>
      </c>
      <c r="F3319" s="236" t="s">
        <v>429</v>
      </c>
      <c r="G3319" s="236" t="s">
        <v>946</v>
      </c>
      <c r="H3319" s="238">
        <v>42278</v>
      </c>
      <c r="I3319" s="235">
        <v>42335</v>
      </c>
      <c r="J3319" s="136">
        <v>10605.28</v>
      </c>
      <c r="K3319" s="89"/>
      <c r="L3319" s="89">
        <v>1</v>
      </c>
    </row>
    <row r="3320" spans="1:12" ht="85.5">
      <c r="A3320" s="89" t="s">
        <v>478</v>
      </c>
      <c r="B3320" s="237">
        <v>112120502010</v>
      </c>
      <c r="C3320" s="89" t="s">
        <v>476</v>
      </c>
      <c r="D3320" s="89"/>
      <c r="E3320" s="236" t="s">
        <v>479</v>
      </c>
      <c r="F3320" s="236" t="s">
        <v>429</v>
      </c>
      <c r="G3320" s="236" t="s">
        <v>947</v>
      </c>
      <c r="H3320" s="238">
        <v>42278</v>
      </c>
      <c r="I3320" s="235">
        <v>42338</v>
      </c>
      <c r="J3320" s="136">
        <v>3202.55</v>
      </c>
      <c r="K3320" s="89"/>
      <c r="L3320" s="89">
        <v>1</v>
      </c>
    </row>
    <row r="3321" spans="1:12" ht="85.5">
      <c r="A3321" s="89" t="s">
        <v>478</v>
      </c>
      <c r="B3321" s="237">
        <v>112120502010</v>
      </c>
      <c r="C3321" s="89" t="s">
        <v>476</v>
      </c>
      <c r="D3321" s="89"/>
      <c r="E3321" s="236" t="s">
        <v>479</v>
      </c>
      <c r="F3321" s="236" t="s">
        <v>429</v>
      </c>
      <c r="G3321" s="236" t="s">
        <v>948</v>
      </c>
      <c r="H3321" s="238">
        <v>42278</v>
      </c>
      <c r="I3321" s="235">
        <v>42338</v>
      </c>
      <c r="J3321" s="136">
        <v>139.16</v>
      </c>
      <c r="K3321" s="89"/>
      <c r="L3321" s="89">
        <v>1</v>
      </c>
    </row>
    <row r="3322" spans="1:12" ht="85.5">
      <c r="A3322" s="89" t="s">
        <v>478</v>
      </c>
      <c r="B3322" s="237">
        <v>112120502010</v>
      </c>
      <c r="C3322" s="89" t="s">
        <v>476</v>
      </c>
      <c r="D3322" s="89"/>
      <c r="E3322" s="236" t="s">
        <v>479</v>
      </c>
      <c r="F3322" s="236" t="s">
        <v>429</v>
      </c>
      <c r="G3322" s="236" t="s">
        <v>949</v>
      </c>
      <c r="H3322" s="238">
        <v>42278</v>
      </c>
      <c r="I3322" s="235">
        <v>42338</v>
      </c>
      <c r="J3322" s="136">
        <v>1286.9000000000001</v>
      </c>
      <c r="K3322" s="89"/>
      <c r="L3322" s="89">
        <v>1</v>
      </c>
    </row>
    <row r="3323" spans="1:12" ht="85.5">
      <c r="A3323" s="89" t="s">
        <v>981</v>
      </c>
      <c r="B3323" s="237">
        <v>112120502010</v>
      </c>
      <c r="C3323" s="89" t="s">
        <v>476</v>
      </c>
      <c r="D3323" s="89"/>
      <c r="E3323" s="236" t="s">
        <v>479</v>
      </c>
      <c r="F3323" s="236" t="s">
        <v>429</v>
      </c>
      <c r="G3323" s="236" t="s">
        <v>951</v>
      </c>
      <c r="H3323" s="238">
        <v>42278</v>
      </c>
      <c r="I3323" s="235">
        <v>42335</v>
      </c>
      <c r="J3323" s="136">
        <v>725.65</v>
      </c>
      <c r="K3323" s="89"/>
      <c r="L3323" s="89">
        <v>1</v>
      </c>
    </row>
    <row r="3324" spans="1:12" ht="85.5">
      <c r="A3324" s="89" t="s">
        <v>981</v>
      </c>
      <c r="B3324" s="237">
        <v>112120502010</v>
      </c>
      <c r="C3324" s="89" t="s">
        <v>476</v>
      </c>
      <c r="D3324" s="89"/>
      <c r="E3324" s="236" t="s">
        <v>479</v>
      </c>
      <c r="F3324" s="236" t="s">
        <v>429</v>
      </c>
      <c r="G3324" s="236" t="s">
        <v>952</v>
      </c>
      <c r="H3324" s="238">
        <v>42278</v>
      </c>
      <c r="I3324" s="235">
        <v>42338</v>
      </c>
      <c r="J3324" s="136">
        <v>174.46</v>
      </c>
      <c r="K3324" s="89"/>
      <c r="L3324" s="89">
        <v>1</v>
      </c>
    </row>
    <row r="3325" spans="1:12" ht="85.5">
      <c r="A3325" s="89" t="s">
        <v>981</v>
      </c>
      <c r="B3325" s="237">
        <v>112120502010</v>
      </c>
      <c r="C3325" s="89" t="s">
        <v>476</v>
      </c>
      <c r="D3325" s="89"/>
      <c r="E3325" s="236" t="s">
        <v>479</v>
      </c>
      <c r="F3325" s="236" t="s">
        <v>429</v>
      </c>
      <c r="G3325" s="236" t="s">
        <v>953</v>
      </c>
      <c r="H3325" s="238">
        <v>42278</v>
      </c>
      <c r="I3325" s="235">
        <v>42338</v>
      </c>
      <c r="J3325" s="136">
        <v>2627.17</v>
      </c>
      <c r="K3325" s="89"/>
      <c r="L3325" s="89">
        <v>1</v>
      </c>
    </row>
    <row r="3326" spans="1:12" ht="85.5">
      <c r="A3326" s="89" t="s">
        <v>981</v>
      </c>
      <c r="B3326" s="237">
        <v>112120502010</v>
      </c>
      <c r="C3326" s="89" t="s">
        <v>476</v>
      </c>
      <c r="D3326" s="89"/>
      <c r="E3326" s="236" t="s">
        <v>479</v>
      </c>
      <c r="F3326" s="236" t="s">
        <v>429</v>
      </c>
      <c r="G3326" s="236" t="s">
        <v>954</v>
      </c>
      <c r="H3326" s="238">
        <v>42278</v>
      </c>
      <c r="I3326" s="235">
        <v>42338</v>
      </c>
      <c r="J3326" s="136">
        <v>5414.67</v>
      </c>
      <c r="K3326" s="89"/>
      <c r="L3326" s="89">
        <v>1</v>
      </c>
    </row>
    <row r="3327" spans="1:12" ht="85.5">
      <c r="A3327" s="89" t="s">
        <v>830</v>
      </c>
      <c r="B3327" s="237">
        <v>112120502010</v>
      </c>
      <c r="C3327" s="89" t="s">
        <v>829</v>
      </c>
      <c r="D3327" s="89"/>
      <c r="E3327" s="236" t="s">
        <v>479</v>
      </c>
      <c r="F3327" s="236" t="s">
        <v>429</v>
      </c>
      <c r="G3327" s="236" t="s">
        <v>947</v>
      </c>
      <c r="H3327" s="238">
        <v>42278</v>
      </c>
      <c r="I3327" s="235">
        <v>42338</v>
      </c>
      <c r="J3327" s="136">
        <v>7600.32</v>
      </c>
      <c r="K3327" s="89"/>
      <c r="L3327" s="89">
        <v>1</v>
      </c>
    </row>
    <row r="3328" spans="1:12" ht="85.5">
      <c r="A3328" s="89" t="s">
        <v>830</v>
      </c>
      <c r="B3328" s="237">
        <v>112120502010</v>
      </c>
      <c r="C3328" s="89" t="s">
        <v>829</v>
      </c>
      <c r="D3328" s="89"/>
      <c r="E3328" s="236" t="s">
        <v>479</v>
      </c>
      <c r="F3328" s="236" t="s">
        <v>429</v>
      </c>
      <c r="G3328" s="236" t="s">
        <v>948</v>
      </c>
      <c r="H3328" s="238">
        <v>42278</v>
      </c>
      <c r="I3328" s="235">
        <v>42338</v>
      </c>
      <c r="J3328" s="136">
        <v>330.24</v>
      </c>
      <c r="K3328" s="89"/>
      <c r="L3328" s="89">
        <v>1</v>
      </c>
    </row>
    <row r="3329" spans="1:12" ht="85.5">
      <c r="A3329" s="89" t="s">
        <v>830</v>
      </c>
      <c r="B3329" s="237">
        <v>112120502010</v>
      </c>
      <c r="C3329" s="89" t="s">
        <v>829</v>
      </c>
      <c r="D3329" s="89"/>
      <c r="E3329" s="236" t="s">
        <v>479</v>
      </c>
      <c r="F3329" s="236" t="s">
        <v>429</v>
      </c>
      <c r="G3329" s="236" t="s">
        <v>949</v>
      </c>
      <c r="H3329" s="238">
        <v>42278</v>
      </c>
      <c r="I3329" s="235">
        <v>42338</v>
      </c>
      <c r="J3329" s="136">
        <v>3054.07</v>
      </c>
      <c r="K3329" s="89"/>
      <c r="L3329" s="89">
        <v>1</v>
      </c>
    </row>
    <row r="3330" spans="1:12" ht="85.5">
      <c r="A3330" s="89" t="s">
        <v>982</v>
      </c>
      <c r="B3330" s="237">
        <v>112120502010</v>
      </c>
      <c r="C3330" s="89" t="s">
        <v>829</v>
      </c>
      <c r="D3330" s="89"/>
      <c r="E3330" s="236" t="s">
        <v>479</v>
      </c>
      <c r="F3330" s="236" t="s">
        <v>429</v>
      </c>
      <c r="G3330" s="236" t="s">
        <v>946</v>
      </c>
      <c r="H3330" s="238">
        <v>42278</v>
      </c>
      <c r="I3330" s="235">
        <v>42335</v>
      </c>
      <c r="J3330" s="136">
        <v>25168.52</v>
      </c>
      <c r="K3330" s="89"/>
      <c r="L3330" s="89">
        <v>1</v>
      </c>
    </row>
    <row r="3331" spans="1:12" ht="85.5">
      <c r="A3331" s="89" t="s">
        <v>983</v>
      </c>
      <c r="B3331" s="237">
        <v>112120502010</v>
      </c>
      <c r="C3331" s="89" t="s">
        <v>829</v>
      </c>
      <c r="D3331" s="89"/>
      <c r="E3331" s="236" t="s">
        <v>479</v>
      </c>
      <c r="F3331" s="236" t="s">
        <v>429</v>
      </c>
      <c r="G3331" s="236" t="s">
        <v>951</v>
      </c>
      <c r="H3331" s="238">
        <v>42278</v>
      </c>
      <c r="I3331" s="235">
        <v>42335</v>
      </c>
      <c r="J3331" s="136">
        <v>1722.11</v>
      </c>
      <c r="K3331" s="89"/>
      <c r="L3331" s="89">
        <v>1</v>
      </c>
    </row>
    <row r="3332" spans="1:12" ht="85.5">
      <c r="A3332" s="89" t="s">
        <v>983</v>
      </c>
      <c r="B3332" s="237">
        <v>112120502010</v>
      </c>
      <c r="C3332" s="89" t="s">
        <v>829</v>
      </c>
      <c r="D3332" s="89"/>
      <c r="E3332" s="236" t="s">
        <v>479</v>
      </c>
      <c r="F3332" s="236" t="s">
        <v>429</v>
      </c>
      <c r="G3332" s="236" t="s">
        <v>952</v>
      </c>
      <c r="H3332" s="238">
        <v>42278</v>
      </c>
      <c r="I3332" s="235">
        <v>42338</v>
      </c>
      <c r="J3332" s="136">
        <v>414.04</v>
      </c>
      <c r="K3332" s="89"/>
      <c r="L3332" s="89">
        <v>1</v>
      </c>
    </row>
    <row r="3333" spans="1:12" ht="85.5">
      <c r="A3333" s="89" t="s">
        <v>983</v>
      </c>
      <c r="B3333" s="237">
        <v>112120502010</v>
      </c>
      <c r="C3333" s="89" t="s">
        <v>829</v>
      </c>
      <c r="D3333" s="89"/>
      <c r="E3333" s="236" t="s">
        <v>479</v>
      </c>
      <c r="F3333" s="236" t="s">
        <v>429</v>
      </c>
      <c r="G3333" s="236" t="s">
        <v>953</v>
      </c>
      <c r="H3333" s="238">
        <v>42278</v>
      </c>
      <c r="I3333" s="235">
        <v>42338</v>
      </c>
      <c r="J3333" s="136">
        <v>6234.83</v>
      </c>
      <c r="K3333" s="89"/>
      <c r="L3333" s="89">
        <v>1</v>
      </c>
    </row>
    <row r="3334" spans="1:12" ht="85.5">
      <c r="A3334" s="89" t="s">
        <v>983</v>
      </c>
      <c r="B3334" s="237">
        <v>112120502010</v>
      </c>
      <c r="C3334" s="89" t="s">
        <v>829</v>
      </c>
      <c r="D3334" s="89"/>
      <c r="E3334" s="236" t="s">
        <v>479</v>
      </c>
      <c r="F3334" s="236" t="s">
        <v>429</v>
      </c>
      <c r="G3334" s="236" t="s">
        <v>954</v>
      </c>
      <c r="H3334" s="238">
        <v>42278</v>
      </c>
      <c r="I3334" s="235">
        <v>42338</v>
      </c>
      <c r="J3334" s="136">
        <v>12850.15</v>
      </c>
      <c r="K3334" s="89"/>
      <c r="L3334" s="89">
        <v>1</v>
      </c>
    </row>
    <row r="3335" spans="1:12" ht="85.5">
      <c r="A3335" s="89" t="s">
        <v>501</v>
      </c>
      <c r="B3335" s="237">
        <v>112120502010</v>
      </c>
      <c r="C3335" s="89" t="s">
        <v>502</v>
      </c>
      <c r="D3335" s="89"/>
      <c r="E3335" s="236" t="s">
        <v>479</v>
      </c>
      <c r="F3335" s="236" t="s">
        <v>429</v>
      </c>
      <c r="G3335" s="236" t="s">
        <v>946</v>
      </c>
      <c r="H3335" s="238">
        <v>42278</v>
      </c>
      <c r="I3335" s="235">
        <v>42335</v>
      </c>
      <c r="J3335" s="136">
        <v>13835</v>
      </c>
      <c r="K3335" s="89"/>
      <c r="L3335" s="89">
        <v>1</v>
      </c>
    </row>
    <row r="3336" spans="1:12" ht="85.5">
      <c r="A3336" s="89" t="s">
        <v>501</v>
      </c>
      <c r="B3336" s="237">
        <v>112120502010</v>
      </c>
      <c r="C3336" s="89" t="s">
        <v>502</v>
      </c>
      <c r="D3336" s="89"/>
      <c r="E3336" s="236" t="s">
        <v>479</v>
      </c>
      <c r="F3336" s="236" t="s">
        <v>429</v>
      </c>
      <c r="G3336" s="236" t="s">
        <v>947</v>
      </c>
      <c r="H3336" s="238">
        <v>42278</v>
      </c>
      <c r="I3336" s="235">
        <v>42338</v>
      </c>
      <c r="J3336" s="136">
        <v>4177.8500000000004</v>
      </c>
      <c r="K3336" s="89"/>
      <c r="L3336" s="89">
        <v>1</v>
      </c>
    </row>
    <row r="3337" spans="1:12" ht="85.5">
      <c r="A3337" s="89" t="s">
        <v>501</v>
      </c>
      <c r="B3337" s="237">
        <v>112120502010</v>
      </c>
      <c r="C3337" s="89" t="s">
        <v>502</v>
      </c>
      <c r="D3337" s="89"/>
      <c r="E3337" s="236" t="s">
        <v>479</v>
      </c>
      <c r="F3337" s="236" t="s">
        <v>429</v>
      </c>
      <c r="G3337" s="236" t="s">
        <v>948</v>
      </c>
      <c r="H3337" s="238">
        <v>42278</v>
      </c>
      <c r="I3337" s="235">
        <v>42338</v>
      </c>
      <c r="J3337" s="136">
        <v>181.53</v>
      </c>
      <c r="K3337" s="89"/>
      <c r="L3337" s="89">
        <v>1</v>
      </c>
    </row>
    <row r="3338" spans="1:12" ht="85.5">
      <c r="A3338" s="89" t="s">
        <v>501</v>
      </c>
      <c r="B3338" s="237">
        <v>112120502010</v>
      </c>
      <c r="C3338" s="89" t="s">
        <v>502</v>
      </c>
      <c r="D3338" s="89"/>
      <c r="E3338" s="236" t="s">
        <v>479</v>
      </c>
      <c r="F3338" s="236" t="s">
        <v>429</v>
      </c>
      <c r="G3338" s="236" t="s">
        <v>949</v>
      </c>
      <c r="H3338" s="238">
        <v>42278</v>
      </c>
      <c r="I3338" s="235">
        <v>42338</v>
      </c>
      <c r="J3338" s="136">
        <v>1678.81</v>
      </c>
      <c r="K3338" s="89"/>
      <c r="L3338" s="89">
        <v>1</v>
      </c>
    </row>
    <row r="3339" spans="1:12" ht="85.5">
      <c r="A3339" s="89" t="s">
        <v>984</v>
      </c>
      <c r="B3339" s="237">
        <v>112120502010</v>
      </c>
      <c r="C3339" s="89" t="s">
        <v>502</v>
      </c>
      <c r="D3339" s="89"/>
      <c r="E3339" s="236" t="s">
        <v>479</v>
      </c>
      <c r="F3339" s="236" t="s">
        <v>429</v>
      </c>
      <c r="G3339" s="236" t="s">
        <v>951</v>
      </c>
      <c r="H3339" s="238">
        <v>42278</v>
      </c>
      <c r="I3339" s="235">
        <v>42335</v>
      </c>
      <c r="J3339" s="136">
        <v>946.63</v>
      </c>
      <c r="K3339" s="89"/>
      <c r="L3339" s="89">
        <v>1</v>
      </c>
    </row>
    <row r="3340" spans="1:12" ht="85.5">
      <c r="A3340" s="89" t="s">
        <v>984</v>
      </c>
      <c r="B3340" s="237">
        <v>112120502010</v>
      </c>
      <c r="C3340" s="89" t="s">
        <v>502</v>
      </c>
      <c r="D3340" s="89"/>
      <c r="E3340" s="236" t="s">
        <v>479</v>
      </c>
      <c r="F3340" s="236" t="s">
        <v>429</v>
      </c>
      <c r="G3340" s="236" t="s">
        <v>952</v>
      </c>
      <c r="H3340" s="238">
        <v>42278</v>
      </c>
      <c r="I3340" s="235">
        <v>42338</v>
      </c>
      <c r="J3340" s="136">
        <v>227.6</v>
      </c>
      <c r="K3340" s="89"/>
      <c r="L3340" s="89">
        <v>1</v>
      </c>
    </row>
    <row r="3341" spans="1:12" ht="85.5">
      <c r="A3341" s="89" t="s">
        <v>984</v>
      </c>
      <c r="B3341" s="237">
        <v>112120502010</v>
      </c>
      <c r="C3341" s="89" t="s">
        <v>502</v>
      </c>
      <c r="D3341" s="89"/>
      <c r="E3341" s="236" t="s">
        <v>479</v>
      </c>
      <c r="F3341" s="236" t="s">
        <v>429</v>
      </c>
      <c r="G3341" s="236" t="s">
        <v>953</v>
      </c>
      <c r="H3341" s="238">
        <v>42278</v>
      </c>
      <c r="I3341" s="235">
        <v>42338</v>
      </c>
      <c r="J3341" s="136">
        <v>3427.25</v>
      </c>
      <c r="K3341" s="89"/>
      <c r="L3341" s="89">
        <v>1</v>
      </c>
    </row>
    <row r="3342" spans="1:12" ht="85.5">
      <c r="A3342" s="89" t="s">
        <v>984</v>
      </c>
      <c r="B3342" s="237">
        <v>112120502010</v>
      </c>
      <c r="C3342" s="89" t="s">
        <v>502</v>
      </c>
      <c r="D3342" s="89"/>
      <c r="E3342" s="236" t="s">
        <v>479</v>
      </c>
      <c r="F3342" s="236" t="s">
        <v>429</v>
      </c>
      <c r="G3342" s="236" t="s">
        <v>954</v>
      </c>
      <c r="H3342" s="238">
        <v>42278</v>
      </c>
      <c r="I3342" s="235">
        <v>42338</v>
      </c>
      <c r="J3342" s="136">
        <v>7063.65</v>
      </c>
      <c r="K3342" s="89"/>
      <c r="L3342" s="89">
        <v>1</v>
      </c>
    </row>
    <row r="3343" spans="1:12" ht="85.5">
      <c r="A3343" s="89" t="s">
        <v>823</v>
      </c>
      <c r="B3343" s="237">
        <v>112120502010</v>
      </c>
      <c r="C3343" s="89" t="s">
        <v>822</v>
      </c>
      <c r="D3343" s="89"/>
      <c r="E3343" s="236" t="s">
        <v>479</v>
      </c>
      <c r="F3343" s="236" t="s">
        <v>429</v>
      </c>
      <c r="G3343" s="236" t="s">
        <v>946</v>
      </c>
      <c r="H3343" s="238">
        <v>42278</v>
      </c>
      <c r="I3343" s="235">
        <v>42335</v>
      </c>
      <c r="J3343" s="136">
        <v>18424.87</v>
      </c>
      <c r="K3343" s="89"/>
      <c r="L3343" s="89">
        <v>1</v>
      </c>
    </row>
    <row r="3344" spans="1:12" ht="85.5">
      <c r="A3344" s="89" t="s">
        <v>823</v>
      </c>
      <c r="B3344" s="237">
        <v>112120502010</v>
      </c>
      <c r="C3344" s="89" t="s">
        <v>822</v>
      </c>
      <c r="D3344" s="89"/>
      <c r="E3344" s="236" t="s">
        <v>479</v>
      </c>
      <c r="F3344" s="236" t="s">
        <v>429</v>
      </c>
      <c r="G3344" s="236" t="s">
        <v>947</v>
      </c>
      <c r="H3344" s="238">
        <v>42278</v>
      </c>
      <c r="I3344" s="235">
        <v>42338</v>
      </c>
      <c r="J3344" s="136">
        <v>5563.89</v>
      </c>
      <c r="K3344" s="89"/>
      <c r="L3344" s="89">
        <v>1</v>
      </c>
    </row>
    <row r="3345" spans="1:12" ht="85.5">
      <c r="A3345" s="89" t="s">
        <v>823</v>
      </c>
      <c r="B3345" s="237">
        <v>112120502010</v>
      </c>
      <c r="C3345" s="89" t="s">
        <v>822</v>
      </c>
      <c r="D3345" s="89"/>
      <c r="E3345" s="236" t="s">
        <v>479</v>
      </c>
      <c r="F3345" s="236" t="s">
        <v>429</v>
      </c>
      <c r="G3345" s="236" t="s">
        <v>948</v>
      </c>
      <c r="H3345" s="238">
        <v>42278</v>
      </c>
      <c r="I3345" s="235">
        <v>42338</v>
      </c>
      <c r="J3345" s="136">
        <v>241.76</v>
      </c>
      <c r="K3345" s="89"/>
      <c r="L3345" s="89">
        <v>1</v>
      </c>
    </row>
    <row r="3346" spans="1:12" ht="85.5">
      <c r="A3346" s="89" t="s">
        <v>823</v>
      </c>
      <c r="B3346" s="237">
        <v>112120502010</v>
      </c>
      <c r="C3346" s="89" t="s">
        <v>822</v>
      </c>
      <c r="D3346" s="89"/>
      <c r="E3346" s="236" t="s">
        <v>479</v>
      </c>
      <c r="F3346" s="236" t="s">
        <v>429</v>
      </c>
      <c r="G3346" s="236" t="s">
        <v>949</v>
      </c>
      <c r="H3346" s="238">
        <v>42278</v>
      </c>
      <c r="I3346" s="235">
        <v>42338</v>
      </c>
      <c r="J3346" s="136">
        <v>2235.7600000000002</v>
      </c>
      <c r="K3346" s="89"/>
      <c r="L3346" s="89">
        <v>1</v>
      </c>
    </row>
    <row r="3347" spans="1:12" ht="85.5">
      <c r="A3347" s="89" t="s">
        <v>985</v>
      </c>
      <c r="B3347" s="237">
        <v>112120502010</v>
      </c>
      <c r="C3347" s="89" t="s">
        <v>822</v>
      </c>
      <c r="D3347" s="89"/>
      <c r="E3347" s="236" t="s">
        <v>479</v>
      </c>
      <c r="F3347" s="236" t="s">
        <v>429</v>
      </c>
      <c r="G3347" s="236" t="s">
        <v>951</v>
      </c>
      <c r="H3347" s="238">
        <v>42278</v>
      </c>
      <c r="I3347" s="235">
        <v>42335</v>
      </c>
      <c r="J3347" s="136">
        <v>1260.69</v>
      </c>
      <c r="K3347" s="89"/>
      <c r="L3347" s="89">
        <v>1</v>
      </c>
    </row>
    <row r="3348" spans="1:12" ht="85.5">
      <c r="A3348" s="89" t="s">
        <v>985</v>
      </c>
      <c r="B3348" s="237">
        <v>112120502010</v>
      </c>
      <c r="C3348" s="89" t="s">
        <v>822</v>
      </c>
      <c r="D3348" s="89"/>
      <c r="E3348" s="236" t="s">
        <v>479</v>
      </c>
      <c r="F3348" s="236" t="s">
        <v>429</v>
      </c>
      <c r="G3348" s="236" t="s">
        <v>952</v>
      </c>
      <c r="H3348" s="238">
        <v>42278</v>
      </c>
      <c r="I3348" s="235">
        <v>42338</v>
      </c>
      <c r="J3348" s="136">
        <v>303.10000000000002</v>
      </c>
      <c r="K3348" s="89"/>
      <c r="L3348" s="89">
        <v>1</v>
      </c>
    </row>
    <row r="3349" spans="1:12" ht="85.5">
      <c r="A3349" s="89" t="s">
        <v>985</v>
      </c>
      <c r="B3349" s="237">
        <v>112120502010</v>
      </c>
      <c r="C3349" s="89" t="s">
        <v>822</v>
      </c>
      <c r="D3349" s="89"/>
      <c r="E3349" s="236" t="s">
        <v>479</v>
      </c>
      <c r="F3349" s="236" t="s">
        <v>429</v>
      </c>
      <c r="G3349" s="236" t="s">
        <v>953</v>
      </c>
      <c r="H3349" s="238">
        <v>42278</v>
      </c>
      <c r="I3349" s="235">
        <v>42338</v>
      </c>
      <c r="J3349" s="136">
        <v>4564.2700000000004</v>
      </c>
      <c r="K3349" s="89"/>
      <c r="L3349" s="89">
        <v>1</v>
      </c>
    </row>
    <row r="3350" spans="1:12" ht="85.5">
      <c r="A3350" s="89" t="s">
        <v>985</v>
      </c>
      <c r="B3350" s="237">
        <v>112120502010</v>
      </c>
      <c r="C3350" s="89" t="s">
        <v>822</v>
      </c>
      <c r="D3350" s="89"/>
      <c r="E3350" s="236" t="s">
        <v>479</v>
      </c>
      <c r="F3350" s="236" t="s">
        <v>429</v>
      </c>
      <c r="G3350" s="236" t="s">
        <v>954</v>
      </c>
      <c r="H3350" s="238">
        <v>42278</v>
      </c>
      <c r="I3350" s="235">
        <v>42338</v>
      </c>
      <c r="J3350" s="136">
        <v>9407.08</v>
      </c>
      <c r="K3350" s="89"/>
      <c r="L3350" s="89">
        <v>1</v>
      </c>
    </row>
    <row r="3351" spans="1:12" ht="85.5">
      <c r="A3351" s="89" t="s">
        <v>825</v>
      </c>
      <c r="B3351" s="237">
        <v>112120502010</v>
      </c>
      <c r="C3351" s="89" t="s">
        <v>826</v>
      </c>
      <c r="D3351" s="89"/>
      <c r="E3351" s="236" t="s">
        <v>479</v>
      </c>
      <c r="F3351" s="236" t="s">
        <v>429</v>
      </c>
      <c r="G3351" s="236" t="s">
        <v>946</v>
      </c>
      <c r="H3351" s="238">
        <v>42278</v>
      </c>
      <c r="I3351" s="235">
        <v>42335</v>
      </c>
      <c r="J3351" s="136">
        <v>13792.79</v>
      </c>
      <c r="K3351" s="89"/>
      <c r="L3351" s="89">
        <v>1</v>
      </c>
    </row>
    <row r="3352" spans="1:12" ht="85.5">
      <c r="A3352" s="89" t="s">
        <v>825</v>
      </c>
      <c r="B3352" s="237">
        <v>112120502010</v>
      </c>
      <c r="C3352" s="89" t="s">
        <v>826</v>
      </c>
      <c r="D3352" s="89"/>
      <c r="E3352" s="236" t="s">
        <v>479</v>
      </c>
      <c r="F3352" s="236" t="s">
        <v>429</v>
      </c>
      <c r="G3352" s="236" t="s">
        <v>947</v>
      </c>
      <c r="H3352" s="238">
        <v>42278</v>
      </c>
      <c r="I3352" s="235">
        <v>42338</v>
      </c>
      <c r="J3352" s="136">
        <v>4165.1099999999997</v>
      </c>
      <c r="K3352" s="89"/>
      <c r="L3352" s="89">
        <v>1</v>
      </c>
    </row>
    <row r="3353" spans="1:12" ht="85.5">
      <c r="A3353" s="89" t="s">
        <v>825</v>
      </c>
      <c r="B3353" s="237">
        <v>112120502010</v>
      </c>
      <c r="C3353" s="89" t="s">
        <v>826</v>
      </c>
      <c r="D3353" s="89"/>
      <c r="E3353" s="236" t="s">
        <v>479</v>
      </c>
      <c r="F3353" s="236" t="s">
        <v>429</v>
      </c>
      <c r="G3353" s="236" t="s">
        <v>948</v>
      </c>
      <c r="H3353" s="238">
        <v>42278</v>
      </c>
      <c r="I3353" s="235">
        <v>42338</v>
      </c>
      <c r="J3353" s="136">
        <v>180.98</v>
      </c>
      <c r="K3353" s="89"/>
      <c r="L3353" s="89">
        <v>1</v>
      </c>
    </row>
    <row r="3354" spans="1:12" ht="85.5">
      <c r="A3354" s="89" t="s">
        <v>825</v>
      </c>
      <c r="B3354" s="237">
        <v>112120502010</v>
      </c>
      <c r="C3354" s="89" t="s">
        <v>826</v>
      </c>
      <c r="D3354" s="89"/>
      <c r="E3354" s="236" t="s">
        <v>479</v>
      </c>
      <c r="F3354" s="236" t="s">
        <v>429</v>
      </c>
      <c r="G3354" s="236" t="s">
        <v>949</v>
      </c>
      <c r="H3354" s="238">
        <v>42278</v>
      </c>
      <c r="I3354" s="235">
        <v>42338</v>
      </c>
      <c r="J3354" s="136">
        <v>1673.68</v>
      </c>
      <c r="K3354" s="89"/>
      <c r="L3354" s="89">
        <v>1</v>
      </c>
    </row>
    <row r="3355" spans="1:12" ht="85.5">
      <c r="A3355" s="89" t="s">
        <v>986</v>
      </c>
      <c r="B3355" s="237">
        <v>112120502010</v>
      </c>
      <c r="C3355" s="89" t="s">
        <v>826</v>
      </c>
      <c r="D3355" s="89"/>
      <c r="E3355" s="236" t="s">
        <v>479</v>
      </c>
      <c r="F3355" s="236" t="s">
        <v>429</v>
      </c>
      <c r="G3355" s="236" t="s">
        <v>951</v>
      </c>
      <c r="H3355" s="238">
        <v>42278</v>
      </c>
      <c r="I3355" s="235">
        <v>42335</v>
      </c>
      <c r="J3355" s="136">
        <v>943.75</v>
      </c>
      <c r="K3355" s="89"/>
      <c r="L3355" s="89">
        <v>1</v>
      </c>
    </row>
    <row r="3356" spans="1:12" ht="85.5">
      <c r="A3356" s="89" t="s">
        <v>986</v>
      </c>
      <c r="B3356" s="237">
        <v>112120502010</v>
      </c>
      <c r="C3356" s="89" t="s">
        <v>826</v>
      </c>
      <c r="D3356" s="89"/>
      <c r="E3356" s="236" t="s">
        <v>479</v>
      </c>
      <c r="F3356" s="236" t="s">
        <v>429</v>
      </c>
      <c r="G3356" s="236" t="s">
        <v>952</v>
      </c>
      <c r="H3356" s="238">
        <v>42278</v>
      </c>
      <c r="I3356" s="235">
        <v>42338</v>
      </c>
      <c r="J3356" s="136">
        <v>226.9</v>
      </c>
      <c r="K3356" s="89"/>
      <c r="L3356" s="89">
        <v>1</v>
      </c>
    </row>
    <row r="3357" spans="1:12" ht="85.5">
      <c r="A3357" s="89" t="s">
        <v>986</v>
      </c>
      <c r="B3357" s="237">
        <v>112120502010</v>
      </c>
      <c r="C3357" s="89" t="s">
        <v>826</v>
      </c>
      <c r="D3357" s="89"/>
      <c r="E3357" s="236" t="s">
        <v>479</v>
      </c>
      <c r="F3357" s="236" t="s">
        <v>429</v>
      </c>
      <c r="G3357" s="236" t="s">
        <v>953</v>
      </c>
      <c r="H3357" s="238">
        <v>42278</v>
      </c>
      <c r="I3357" s="235">
        <v>42338</v>
      </c>
      <c r="J3357" s="136">
        <v>3416.8</v>
      </c>
      <c r="K3357" s="89"/>
      <c r="L3357" s="89">
        <v>1</v>
      </c>
    </row>
    <row r="3358" spans="1:12" ht="85.5">
      <c r="A3358" s="89" t="s">
        <v>986</v>
      </c>
      <c r="B3358" s="237">
        <v>112120502010</v>
      </c>
      <c r="C3358" s="89" t="s">
        <v>826</v>
      </c>
      <c r="D3358" s="89"/>
      <c r="E3358" s="236" t="s">
        <v>479</v>
      </c>
      <c r="F3358" s="236" t="s">
        <v>429</v>
      </c>
      <c r="G3358" s="236" t="s">
        <v>954</v>
      </c>
      <c r="H3358" s="238">
        <v>42278</v>
      </c>
      <c r="I3358" s="235">
        <v>42338</v>
      </c>
      <c r="J3358" s="136">
        <v>7042.11</v>
      </c>
      <c r="K3358" s="89"/>
      <c r="L3358" s="89">
        <v>1</v>
      </c>
    </row>
    <row r="3359" spans="1:12" ht="85.5">
      <c r="A3359" s="89" t="s">
        <v>485</v>
      </c>
      <c r="B3359" s="237">
        <v>112120502010</v>
      </c>
      <c r="C3359" s="89" t="s">
        <v>486</v>
      </c>
      <c r="D3359" s="89"/>
      <c r="E3359" s="236" t="s">
        <v>479</v>
      </c>
      <c r="F3359" s="236" t="s">
        <v>429</v>
      </c>
      <c r="G3359" s="236" t="s">
        <v>946</v>
      </c>
      <c r="H3359" s="238">
        <v>42278</v>
      </c>
      <c r="I3359" s="235">
        <v>42335</v>
      </c>
      <c r="J3359" s="136">
        <v>16264.38</v>
      </c>
      <c r="K3359" s="89"/>
      <c r="L3359" s="89">
        <v>1</v>
      </c>
    </row>
    <row r="3360" spans="1:12" ht="85.5">
      <c r="A3360" s="89" t="s">
        <v>485</v>
      </c>
      <c r="B3360" s="237">
        <v>112120502010</v>
      </c>
      <c r="C3360" s="89" t="s">
        <v>486</v>
      </c>
      <c r="D3360" s="89"/>
      <c r="E3360" s="236" t="s">
        <v>479</v>
      </c>
      <c r="F3360" s="236" t="s">
        <v>429</v>
      </c>
      <c r="G3360" s="236" t="s">
        <v>947</v>
      </c>
      <c r="H3360" s="238">
        <v>42278</v>
      </c>
      <c r="I3360" s="235">
        <v>42338</v>
      </c>
      <c r="J3360" s="136">
        <v>4911.47</v>
      </c>
      <c r="K3360" s="89"/>
      <c r="L3360" s="89">
        <v>1</v>
      </c>
    </row>
    <row r="3361" spans="1:12" ht="85.5">
      <c r="A3361" s="89" t="s">
        <v>485</v>
      </c>
      <c r="B3361" s="237">
        <v>112120502010</v>
      </c>
      <c r="C3361" s="89" t="s">
        <v>486</v>
      </c>
      <c r="D3361" s="89"/>
      <c r="E3361" s="236" t="s">
        <v>479</v>
      </c>
      <c r="F3361" s="236" t="s">
        <v>429</v>
      </c>
      <c r="G3361" s="236" t="s">
        <v>948</v>
      </c>
      <c r="H3361" s="238">
        <v>42278</v>
      </c>
      <c r="I3361" s="235">
        <v>42338</v>
      </c>
      <c r="J3361" s="136">
        <v>213.41</v>
      </c>
      <c r="K3361" s="89"/>
      <c r="L3361" s="89">
        <v>1</v>
      </c>
    </row>
    <row r="3362" spans="1:12" ht="85.5">
      <c r="A3362" s="89" t="s">
        <v>485</v>
      </c>
      <c r="B3362" s="237">
        <v>112120502010</v>
      </c>
      <c r="C3362" s="89" t="s">
        <v>486</v>
      </c>
      <c r="D3362" s="89"/>
      <c r="E3362" s="236" t="s">
        <v>479</v>
      </c>
      <c r="F3362" s="236" t="s">
        <v>429</v>
      </c>
      <c r="G3362" s="236" t="s">
        <v>949</v>
      </c>
      <c r="H3362" s="238">
        <v>42278</v>
      </c>
      <c r="I3362" s="235">
        <v>42338</v>
      </c>
      <c r="J3362" s="136">
        <v>1973.6</v>
      </c>
      <c r="K3362" s="89"/>
      <c r="L3362" s="89">
        <v>1</v>
      </c>
    </row>
    <row r="3363" spans="1:12" ht="85.5">
      <c r="A3363" s="89" t="s">
        <v>987</v>
      </c>
      <c r="B3363" s="237">
        <v>112120502010</v>
      </c>
      <c r="C3363" s="89" t="s">
        <v>486</v>
      </c>
      <c r="D3363" s="89"/>
      <c r="E3363" s="236" t="s">
        <v>479</v>
      </c>
      <c r="F3363" s="236" t="s">
        <v>429</v>
      </c>
      <c r="G3363" s="236" t="s">
        <v>951</v>
      </c>
      <c r="H3363" s="238">
        <v>42278</v>
      </c>
      <c r="I3363" s="235">
        <v>42335</v>
      </c>
      <c r="J3363" s="136">
        <v>1112.8599999999999</v>
      </c>
      <c r="K3363" s="89"/>
      <c r="L3363" s="89">
        <v>1</v>
      </c>
    </row>
    <row r="3364" spans="1:12" ht="85.5">
      <c r="A3364" s="89" t="s">
        <v>987</v>
      </c>
      <c r="B3364" s="237">
        <v>112120502010</v>
      </c>
      <c r="C3364" s="89" t="s">
        <v>486</v>
      </c>
      <c r="D3364" s="89"/>
      <c r="E3364" s="236" t="s">
        <v>479</v>
      </c>
      <c r="F3364" s="236" t="s">
        <v>429</v>
      </c>
      <c r="G3364" s="236" t="s">
        <v>952</v>
      </c>
      <c r="H3364" s="238">
        <v>42278</v>
      </c>
      <c r="I3364" s="235">
        <v>42338</v>
      </c>
      <c r="J3364" s="136">
        <v>267.56</v>
      </c>
      <c r="K3364" s="89"/>
      <c r="L3364" s="89">
        <v>1</v>
      </c>
    </row>
    <row r="3365" spans="1:12" ht="85.5">
      <c r="A3365" s="89" t="s">
        <v>987</v>
      </c>
      <c r="B3365" s="237">
        <v>112120502010</v>
      </c>
      <c r="C3365" s="89" t="s">
        <v>486</v>
      </c>
      <c r="D3365" s="89"/>
      <c r="E3365" s="236" t="s">
        <v>479</v>
      </c>
      <c r="F3365" s="236" t="s">
        <v>429</v>
      </c>
      <c r="G3365" s="236" t="s">
        <v>953</v>
      </c>
      <c r="H3365" s="238">
        <v>42278</v>
      </c>
      <c r="I3365" s="235">
        <v>42338</v>
      </c>
      <c r="J3365" s="136">
        <v>4029.07</v>
      </c>
      <c r="K3365" s="89"/>
      <c r="L3365" s="89">
        <v>1</v>
      </c>
    </row>
    <row r="3366" spans="1:12" ht="85.5">
      <c r="A3366" s="89" t="s">
        <v>987</v>
      </c>
      <c r="B3366" s="237">
        <v>112120502010</v>
      </c>
      <c r="C3366" s="89" t="s">
        <v>486</v>
      </c>
      <c r="D3366" s="89"/>
      <c r="E3366" s="236" t="s">
        <v>479</v>
      </c>
      <c r="F3366" s="236" t="s">
        <v>429</v>
      </c>
      <c r="G3366" s="236" t="s">
        <v>954</v>
      </c>
      <c r="H3366" s="238">
        <v>42278</v>
      </c>
      <c r="I3366" s="235">
        <v>42338</v>
      </c>
      <c r="J3366" s="136">
        <v>8304.01</v>
      </c>
      <c r="K3366" s="89"/>
      <c r="L3366" s="89">
        <v>1</v>
      </c>
    </row>
    <row r="3367" spans="1:12" ht="85.5">
      <c r="A3367" s="89" t="s">
        <v>834</v>
      </c>
      <c r="B3367" s="237">
        <v>112120502010</v>
      </c>
      <c r="C3367" s="89" t="s">
        <v>833</v>
      </c>
      <c r="D3367" s="89"/>
      <c r="E3367" s="236" t="s">
        <v>479</v>
      </c>
      <c r="F3367" s="236" t="s">
        <v>429</v>
      </c>
      <c r="G3367" s="236" t="s">
        <v>946</v>
      </c>
      <c r="H3367" s="238">
        <v>42278</v>
      </c>
      <c r="I3367" s="235">
        <v>42335</v>
      </c>
      <c r="J3367" s="136">
        <v>12604.8</v>
      </c>
      <c r="K3367" s="89"/>
      <c r="L3367" s="89">
        <v>1</v>
      </c>
    </row>
    <row r="3368" spans="1:12" ht="85.5">
      <c r="A3368" s="89" t="s">
        <v>834</v>
      </c>
      <c r="B3368" s="237">
        <v>112120502010</v>
      </c>
      <c r="C3368" s="89" t="s">
        <v>833</v>
      </c>
      <c r="D3368" s="89"/>
      <c r="E3368" s="236" t="s">
        <v>479</v>
      </c>
      <c r="F3368" s="236" t="s">
        <v>429</v>
      </c>
      <c r="G3368" s="236" t="s">
        <v>947</v>
      </c>
      <c r="H3368" s="238">
        <v>42278</v>
      </c>
      <c r="I3368" s="235">
        <v>42338</v>
      </c>
      <c r="J3368" s="136">
        <v>3806.36</v>
      </c>
      <c r="K3368" s="89"/>
      <c r="L3368" s="89">
        <v>1</v>
      </c>
    </row>
    <row r="3369" spans="1:12" ht="85.5">
      <c r="A3369" s="89" t="s">
        <v>834</v>
      </c>
      <c r="B3369" s="237">
        <v>112120502010</v>
      </c>
      <c r="C3369" s="89" t="s">
        <v>833</v>
      </c>
      <c r="D3369" s="89"/>
      <c r="E3369" s="236" t="s">
        <v>479</v>
      </c>
      <c r="F3369" s="236" t="s">
        <v>429</v>
      </c>
      <c r="G3369" s="236" t="s">
        <v>948</v>
      </c>
      <c r="H3369" s="238">
        <v>42278</v>
      </c>
      <c r="I3369" s="235">
        <v>42338</v>
      </c>
      <c r="J3369" s="136">
        <v>165.39</v>
      </c>
      <c r="K3369" s="89"/>
      <c r="L3369" s="89">
        <v>1</v>
      </c>
    </row>
    <row r="3370" spans="1:12" ht="85.5">
      <c r="A3370" s="89" t="s">
        <v>834</v>
      </c>
      <c r="B3370" s="237">
        <v>112120502010</v>
      </c>
      <c r="C3370" s="89" t="s">
        <v>833</v>
      </c>
      <c r="D3370" s="89"/>
      <c r="E3370" s="236" t="s">
        <v>479</v>
      </c>
      <c r="F3370" s="236" t="s">
        <v>429</v>
      </c>
      <c r="G3370" s="236" t="s">
        <v>949</v>
      </c>
      <c r="H3370" s="238">
        <v>42278</v>
      </c>
      <c r="I3370" s="235">
        <v>42338</v>
      </c>
      <c r="J3370" s="136">
        <v>1529.53</v>
      </c>
      <c r="K3370" s="89"/>
      <c r="L3370" s="89">
        <v>1</v>
      </c>
    </row>
    <row r="3371" spans="1:12" ht="85.5">
      <c r="A3371" s="89" t="s">
        <v>988</v>
      </c>
      <c r="B3371" s="237">
        <v>112120502010</v>
      </c>
      <c r="C3371" s="89" t="s">
        <v>833</v>
      </c>
      <c r="D3371" s="89"/>
      <c r="E3371" s="236" t="s">
        <v>479</v>
      </c>
      <c r="F3371" s="236" t="s">
        <v>429</v>
      </c>
      <c r="G3371" s="236" t="s">
        <v>951</v>
      </c>
      <c r="H3371" s="238">
        <v>42278</v>
      </c>
      <c r="I3371" s="235">
        <v>42335</v>
      </c>
      <c r="J3371" s="136">
        <v>862.46</v>
      </c>
      <c r="K3371" s="89"/>
      <c r="L3371" s="89">
        <v>1</v>
      </c>
    </row>
    <row r="3372" spans="1:12" ht="85.5">
      <c r="A3372" s="89" t="s">
        <v>988</v>
      </c>
      <c r="B3372" s="237">
        <v>112120502010</v>
      </c>
      <c r="C3372" s="89" t="s">
        <v>833</v>
      </c>
      <c r="D3372" s="89"/>
      <c r="E3372" s="236" t="s">
        <v>479</v>
      </c>
      <c r="F3372" s="236" t="s">
        <v>429</v>
      </c>
      <c r="G3372" s="236" t="s">
        <v>952</v>
      </c>
      <c r="H3372" s="238">
        <v>42278</v>
      </c>
      <c r="I3372" s="235">
        <v>42338</v>
      </c>
      <c r="J3372" s="136">
        <v>207.36</v>
      </c>
      <c r="K3372" s="89"/>
      <c r="L3372" s="89">
        <v>1</v>
      </c>
    </row>
    <row r="3373" spans="1:12" ht="85.5">
      <c r="A3373" s="89" t="s">
        <v>988</v>
      </c>
      <c r="B3373" s="237">
        <v>112120502010</v>
      </c>
      <c r="C3373" s="89" t="s">
        <v>833</v>
      </c>
      <c r="D3373" s="89"/>
      <c r="E3373" s="236" t="s">
        <v>479</v>
      </c>
      <c r="F3373" s="236" t="s">
        <v>429</v>
      </c>
      <c r="G3373" s="236" t="s">
        <v>953</v>
      </c>
      <c r="H3373" s="238">
        <v>42278</v>
      </c>
      <c r="I3373" s="235">
        <v>42338</v>
      </c>
      <c r="J3373" s="136">
        <v>3122.5</v>
      </c>
      <c r="K3373" s="89"/>
      <c r="L3373" s="89">
        <v>1</v>
      </c>
    </row>
    <row r="3374" spans="1:12" ht="85.5">
      <c r="A3374" s="89" t="s">
        <v>988</v>
      </c>
      <c r="B3374" s="237">
        <v>112120502010</v>
      </c>
      <c r="C3374" s="89" t="s">
        <v>833</v>
      </c>
      <c r="D3374" s="89"/>
      <c r="E3374" s="236" t="s">
        <v>479</v>
      </c>
      <c r="F3374" s="236" t="s">
        <v>429</v>
      </c>
      <c r="G3374" s="236" t="s">
        <v>954</v>
      </c>
      <c r="H3374" s="238">
        <v>42278</v>
      </c>
      <c r="I3374" s="235">
        <v>42338</v>
      </c>
      <c r="J3374" s="136">
        <v>6435.56</v>
      </c>
      <c r="K3374" s="89"/>
      <c r="L3374" s="89">
        <v>1</v>
      </c>
    </row>
    <row r="3375" spans="1:12" ht="85.5">
      <c r="A3375" s="89" t="s">
        <v>517</v>
      </c>
      <c r="B3375" s="237">
        <v>112120502010</v>
      </c>
      <c r="C3375" s="89" t="s">
        <v>518</v>
      </c>
      <c r="D3375" s="89"/>
      <c r="E3375" s="236" t="s">
        <v>479</v>
      </c>
      <c r="F3375" s="236" t="s">
        <v>429</v>
      </c>
      <c r="G3375" s="236" t="s">
        <v>946</v>
      </c>
      <c r="H3375" s="238">
        <v>42278</v>
      </c>
      <c r="I3375" s="235">
        <v>42335</v>
      </c>
      <c r="J3375" s="136">
        <v>22081.09</v>
      </c>
      <c r="K3375" s="89"/>
      <c r="L3375" s="89">
        <v>1</v>
      </c>
    </row>
    <row r="3376" spans="1:12" ht="85.5">
      <c r="A3376" s="89" t="s">
        <v>517</v>
      </c>
      <c r="B3376" s="237">
        <v>112120502010</v>
      </c>
      <c r="C3376" s="89" t="s">
        <v>518</v>
      </c>
      <c r="D3376" s="89"/>
      <c r="E3376" s="236" t="s">
        <v>479</v>
      </c>
      <c r="F3376" s="236" t="s">
        <v>429</v>
      </c>
      <c r="G3376" s="236" t="s">
        <v>947</v>
      </c>
      <c r="H3376" s="238">
        <v>42278</v>
      </c>
      <c r="I3376" s="235">
        <v>42338</v>
      </c>
      <c r="J3376" s="136">
        <v>6667.99</v>
      </c>
      <c r="K3376" s="89"/>
      <c r="L3376" s="89">
        <v>1</v>
      </c>
    </row>
    <row r="3377" spans="1:12" ht="85.5">
      <c r="A3377" s="89" t="s">
        <v>517</v>
      </c>
      <c r="B3377" s="237">
        <v>112120502010</v>
      </c>
      <c r="C3377" s="89" t="s">
        <v>518</v>
      </c>
      <c r="D3377" s="89"/>
      <c r="E3377" s="236" t="s">
        <v>479</v>
      </c>
      <c r="F3377" s="236" t="s">
        <v>429</v>
      </c>
      <c r="G3377" s="236" t="s">
        <v>948</v>
      </c>
      <c r="H3377" s="238">
        <v>42278</v>
      </c>
      <c r="I3377" s="235">
        <v>42338</v>
      </c>
      <c r="J3377" s="136">
        <v>289.73</v>
      </c>
      <c r="K3377" s="89"/>
      <c r="L3377" s="89">
        <v>1</v>
      </c>
    </row>
    <row r="3378" spans="1:12" ht="85.5">
      <c r="A3378" s="89" t="s">
        <v>517</v>
      </c>
      <c r="B3378" s="237">
        <v>112120502010</v>
      </c>
      <c r="C3378" s="89" t="s">
        <v>518</v>
      </c>
      <c r="D3378" s="89"/>
      <c r="E3378" s="236" t="s">
        <v>479</v>
      </c>
      <c r="F3378" s="236" t="s">
        <v>429</v>
      </c>
      <c r="G3378" s="236" t="s">
        <v>949</v>
      </c>
      <c r="H3378" s="238">
        <v>42278</v>
      </c>
      <c r="I3378" s="235">
        <v>42338</v>
      </c>
      <c r="J3378" s="136">
        <v>2679.43</v>
      </c>
      <c r="K3378" s="89"/>
      <c r="L3378" s="89">
        <v>1</v>
      </c>
    </row>
    <row r="3379" spans="1:12" ht="85.5">
      <c r="A3379" s="89" t="s">
        <v>989</v>
      </c>
      <c r="B3379" s="237">
        <v>112120502010</v>
      </c>
      <c r="C3379" s="89" t="s">
        <v>518</v>
      </c>
      <c r="D3379" s="89"/>
      <c r="E3379" s="236" t="s">
        <v>479</v>
      </c>
      <c r="F3379" s="236" t="s">
        <v>429</v>
      </c>
      <c r="G3379" s="236" t="s">
        <v>951</v>
      </c>
      <c r="H3379" s="238">
        <v>42278</v>
      </c>
      <c r="I3379" s="235">
        <v>42335</v>
      </c>
      <c r="J3379" s="136">
        <v>1510.86</v>
      </c>
      <c r="K3379" s="89"/>
      <c r="L3379" s="89">
        <v>1</v>
      </c>
    </row>
    <row r="3380" spans="1:12" ht="85.5">
      <c r="A3380" s="89" t="s">
        <v>989</v>
      </c>
      <c r="B3380" s="237">
        <v>112120502010</v>
      </c>
      <c r="C3380" s="89" t="s">
        <v>518</v>
      </c>
      <c r="D3380" s="89"/>
      <c r="E3380" s="236" t="s">
        <v>479</v>
      </c>
      <c r="F3380" s="236" t="s">
        <v>429</v>
      </c>
      <c r="G3380" s="236" t="s">
        <v>952</v>
      </c>
      <c r="H3380" s="238">
        <v>42278</v>
      </c>
      <c r="I3380" s="235">
        <v>42338</v>
      </c>
      <c r="J3380" s="136">
        <v>363.25</v>
      </c>
      <c r="K3380" s="89"/>
      <c r="L3380" s="89">
        <v>1</v>
      </c>
    </row>
    <row r="3381" spans="1:12" ht="85.5">
      <c r="A3381" s="89" t="s">
        <v>989</v>
      </c>
      <c r="B3381" s="237">
        <v>112120502010</v>
      </c>
      <c r="C3381" s="89" t="s">
        <v>518</v>
      </c>
      <c r="D3381" s="89"/>
      <c r="E3381" s="236" t="s">
        <v>479</v>
      </c>
      <c r="F3381" s="236" t="s">
        <v>429</v>
      </c>
      <c r="G3381" s="236" t="s">
        <v>953</v>
      </c>
      <c r="H3381" s="238">
        <v>42278</v>
      </c>
      <c r="I3381" s="235">
        <v>42338</v>
      </c>
      <c r="J3381" s="136">
        <v>5470</v>
      </c>
      <c r="K3381" s="89"/>
      <c r="L3381" s="89">
        <v>1</v>
      </c>
    </row>
    <row r="3382" spans="1:12" ht="85.5">
      <c r="A3382" s="89" t="s">
        <v>989</v>
      </c>
      <c r="B3382" s="237">
        <v>112120502010</v>
      </c>
      <c r="C3382" s="89" t="s">
        <v>518</v>
      </c>
      <c r="D3382" s="89"/>
      <c r="E3382" s="236" t="s">
        <v>479</v>
      </c>
      <c r="F3382" s="236" t="s">
        <v>429</v>
      </c>
      <c r="G3382" s="236" t="s">
        <v>954</v>
      </c>
      <c r="H3382" s="238">
        <v>42278</v>
      </c>
      <c r="I3382" s="235">
        <v>42338</v>
      </c>
      <c r="J3382" s="136">
        <v>11273.82</v>
      </c>
      <c r="K3382" s="89"/>
      <c r="L3382" s="89">
        <v>1</v>
      </c>
    </row>
    <row r="3383" spans="1:12" ht="85.5">
      <c r="A3383" s="89" t="s">
        <v>512</v>
      </c>
      <c r="B3383" s="237">
        <v>112120502010</v>
      </c>
      <c r="C3383" s="89" t="s">
        <v>513</v>
      </c>
      <c r="D3383" s="89"/>
      <c r="E3383" s="236" t="s">
        <v>479</v>
      </c>
      <c r="F3383" s="236" t="s">
        <v>429</v>
      </c>
      <c r="G3383" s="236" t="s">
        <v>946</v>
      </c>
      <c r="H3383" s="238">
        <v>42278</v>
      </c>
      <c r="I3383" s="235">
        <v>42335</v>
      </c>
      <c r="J3383" s="136">
        <v>24732.32</v>
      </c>
      <c r="K3383" s="89"/>
      <c r="L3383" s="89">
        <v>1</v>
      </c>
    </row>
    <row r="3384" spans="1:12" ht="85.5">
      <c r="A3384" s="89" t="s">
        <v>512</v>
      </c>
      <c r="B3384" s="237">
        <v>112120502010</v>
      </c>
      <c r="C3384" s="89" t="s">
        <v>513</v>
      </c>
      <c r="D3384" s="89"/>
      <c r="E3384" s="236" t="s">
        <v>479</v>
      </c>
      <c r="F3384" s="236" t="s">
        <v>429</v>
      </c>
      <c r="G3384" s="236" t="s">
        <v>947</v>
      </c>
      <c r="H3384" s="238">
        <v>42278</v>
      </c>
      <c r="I3384" s="235">
        <v>42338</v>
      </c>
      <c r="J3384" s="136">
        <v>7468.59</v>
      </c>
      <c r="K3384" s="89"/>
      <c r="L3384" s="89">
        <v>1</v>
      </c>
    </row>
    <row r="3385" spans="1:12" ht="85.5">
      <c r="A3385" s="89" t="s">
        <v>512</v>
      </c>
      <c r="B3385" s="237">
        <v>112120502010</v>
      </c>
      <c r="C3385" s="89" t="s">
        <v>513</v>
      </c>
      <c r="D3385" s="89"/>
      <c r="E3385" s="236" t="s">
        <v>479</v>
      </c>
      <c r="F3385" s="236" t="s">
        <v>429</v>
      </c>
      <c r="G3385" s="236" t="s">
        <v>948</v>
      </c>
      <c r="H3385" s="238">
        <v>42278</v>
      </c>
      <c r="I3385" s="235">
        <v>42338</v>
      </c>
      <c r="J3385" s="136">
        <v>324.52</v>
      </c>
      <c r="K3385" s="89"/>
      <c r="L3385" s="89">
        <v>1</v>
      </c>
    </row>
    <row r="3386" spans="1:12" ht="85.5">
      <c r="A3386" s="89" t="s">
        <v>512</v>
      </c>
      <c r="B3386" s="237">
        <v>112120502010</v>
      </c>
      <c r="C3386" s="89" t="s">
        <v>513</v>
      </c>
      <c r="D3386" s="89"/>
      <c r="E3386" s="236" t="s">
        <v>479</v>
      </c>
      <c r="F3386" s="236" t="s">
        <v>429</v>
      </c>
      <c r="G3386" s="236" t="s">
        <v>949</v>
      </c>
      <c r="H3386" s="238">
        <v>42278</v>
      </c>
      <c r="I3386" s="235">
        <v>42338</v>
      </c>
      <c r="J3386" s="136">
        <v>3001.14</v>
      </c>
      <c r="K3386" s="89"/>
      <c r="L3386" s="89">
        <v>1</v>
      </c>
    </row>
    <row r="3387" spans="1:12" ht="85.5">
      <c r="A3387" s="89" t="s">
        <v>990</v>
      </c>
      <c r="B3387" s="237">
        <v>112120502010</v>
      </c>
      <c r="C3387" s="89" t="s">
        <v>513</v>
      </c>
      <c r="D3387" s="89"/>
      <c r="E3387" s="236" t="s">
        <v>479</v>
      </c>
      <c r="F3387" s="236" t="s">
        <v>429</v>
      </c>
      <c r="G3387" s="236" t="s">
        <v>951</v>
      </c>
      <c r="H3387" s="238">
        <v>42278</v>
      </c>
      <c r="I3387" s="235">
        <v>42335</v>
      </c>
      <c r="J3387" s="136">
        <v>1692.26</v>
      </c>
      <c r="K3387" s="89"/>
      <c r="L3387" s="89">
        <v>1</v>
      </c>
    </row>
    <row r="3388" spans="1:12" ht="85.5">
      <c r="A3388" s="89" t="s">
        <v>990</v>
      </c>
      <c r="B3388" s="237">
        <v>112120502010</v>
      </c>
      <c r="C3388" s="89" t="s">
        <v>513</v>
      </c>
      <c r="D3388" s="89"/>
      <c r="E3388" s="236" t="s">
        <v>479</v>
      </c>
      <c r="F3388" s="236" t="s">
        <v>429</v>
      </c>
      <c r="G3388" s="236" t="s">
        <v>952</v>
      </c>
      <c r="H3388" s="238">
        <v>42278</v>
      </c>
      <c r="I3388" s="235">
        <v>42338</v>
      </c>
      <c r="J3388" s="136">
        <v>406.87</v>
      </c>
      <c r="K3388" s="89"/>
      <c r="L3388" s="89">
        <v>1</v>
      </c>
    </row>
    <row r="3389" spans="1:12" ht="85.5">
      <c r="A3389" s="89" t="s">
        <v>990</v>
      </c>
      <c r="B3389" s="237">
        <v>112120502010</v>
      </c>
      <c r="C3389" s="89" t="s">
        <v>513</v>
      </c>
      <c r="D3389" s="89"/>
      <c r="E3389" s="236" t="s">
        <v>479</v>
      </c>
      <c r="F3389" s="236" t="s">
        <v>429</v>
      </c>
      <c r="G3389" s="236" t="s">
        <v>953</v>
      </c>
      <c r="H3389" s="238">
        <v>42278</v>
      </c>
      <c r="I3389" s="235">
        <v>42338</v>
      </c>
      <c r="J3389" s="136">
        <v>6126.77</v>
      </c>
      <c r="K3389" s="89"/>
      <c r="L3389" s="89">
        <v>1</v>
      </c>
    </row>
    <row r="3390" spans="1:12" ht="85.5">
      <c r="A3390" s="89" t="s">
        <v>990</v>
      </c>
      <c r="B3390" s="237">
        <v>112120502010</v>
      </c>
      <c r="C3390" s="89" t="s">
        <v>513</v>
      </c>
      <c r="D3390" s="89"/>
      <c r="E3390" s="236" t="s">
        <v>479</v>
      </c>
      <c r="F3390" s="236" t="s">
        <v>429</v>
      </c>
      <c r="G3390" s="236" t="s">
        <v>954</v>
      </c>
      <c r="H3390" s="238">
        <v>42278</v>
      </c>
      <c r="I3390" s="235">
        <v>42338</v>
      </c>
      <c r="J3390" s="136">
        <v>12627.44</v>
      </c>
      <c r="K3390" s="89"/>
      <c r="L3390" s="89">
        <v>1</v>
      </c>
    </row>
    <row r="3391" spans="1:12" ht="85.5">
      <c r="A3391" s="89" t="s">
        <v>524</v>
      </c>
      <c r="B3391" s="237">
        <v>112120502010</v>
      </c>
      <c r="C3391" s="89" t="s">
        <v>525</v>
      </c>
      <c r="D3391" s="89"/>
      <c r="E3391" s="236" t="s">
        <v>479</v>
      </c>
      <c r="F3391" s="236" t="s">
        <v>429</v>
      </c>
      <c r="G3391" s="236" t="s">
        <v>946</v>
      </c>
      <c r="H3391" s="238">
        <v>42278</v>
      </c>
      <c r="I3391" s="235">
        <v>42335</v>
      </c>
      <c r="J3391" s="136">
        <v>22117.32</v>
      </c>
      <c r="K3391" s="89"/>
      <c r="L3391" s="89">
        <v>1</v>
      </c>
    </row>
    <row r="3392" spans="1:12" ht="85.5">
      <c r="A3392" s="89" t="s">
        <v>524</v>
      </c>
      <c r="B3392" s="237">
        <v>112120502010</v>
      </c>
      <c r="C3392" s="89" t="s">
        <v>525</v>
      </c>
      <c r="D3392" s="89"/>
      <c r="E3392" s="236" t="s">
        <v>479</v>
      </c>
      <c r="F3392" s="236" t="s">
        <v>429</v>
      </c>
      <c r="G3392" s="236" t="s">
        <v>947</v>
      </c>
      <c r="H3392" s="238">
        <v>42278</v>
      </c>
      <c r="I3392" s="235">
        <v>42338</v>
      </c>
      <c r="J3392" s="136">
        <v>6678.92</v>
      </c>
      <c r="K3392" s="89"/>
      <c r="L3392" s="89">
        <v>1</v>
      </c>
    </row>
    <row r="3393" spans="1:12" ht="85.5">
      <c r="A3393" s="89" t="s">
        <v>524</v>
      </c>
      <c r="B3393" s="237">
        <v>112120502010</v>
      </c>
      <c r="C3393" s="89" t="s">
        <v>525</v>
      </c>
      <c r="D3393" s="89"/>
      <c r="E3393" s="236" t="s">
        <v>479</v>
      </c>
      <c r="F3393" s="236" t="s">
        <v>429</v>
      </c>
      <c r="G3393" s="236" t="s">
        <v>948</v>
      </c>
      <c r="H3393" s="238">
        <v>42278</v>
      </c>
      <c r="I3393" s="235">
        <v>42338</v>
      </c>
      <c r="J3393" s="136">
        <v>290.20999999999998</v>
      </c>
      <c r="K3393" s="89"/>
      <c r="L3393" s="89">
        <v>1</v>
      </c>
    </row>
    <row r="3394" spans="1:12" ht="85.5">
      <c r="A3394" s="89" t="s">
        <v>524</v>
      </c>
      <c r="B3394" s="237">
        <v>112120502010</v>
      </c>
      <c r="C3394" s="89" t="s">
        <v>525</v>
      </c>
      <c r="D3394" s="89"/>
      <c r="E3394" s="236" t="s">
        <v>479</v>
      </c>
      <c r="F3394" s="236" t="s">
        <v>429</v>
      </c>
      <c r="G3394" s="236" t="s">
        <v>949</v>
      </c>
      <c r="H3394" s="238">
        <v>42278</v>
      </c>
      <c r="I3394" s="235">
        <v>42338</v>
      </c>
      <c r="J3394" s="136">
        <v>2683.82</v>
      </c>
      <c r="K3394" s="89"/>
      <c r="L3394" s="89">
        <v>1</v>
      </c>
    </row>
    <row r="3395" spans="1:12" ht="85.5">
      <c r="A3395" s="89" t="s">
        <v>991</v>
      </c>
      <c r="B3395" s="237">
        <v>112120502010</v>
      </c>
      <c r="C3395" s="89" t="s">
        <v>525</v>
      </c>
      <c r="D3395" s="89"/>
      <c r="E3395" s="236" t="s">
        <v>479</v>
      </c>
      <c r="F3395" s="236" t="s">
        <v>429</v>
      </c>
      <c r="G3395" s="236" t="s">
        <v>951</v>
      </c>
      <c r="H3395" s="238">
        <v>42278</v>
      </c>
      <c r="I3395" s="235">
        <v>42335</v>
      </c>
      <c r="J3395" s="136">
        <v>1513.34</v>
      </c>
      <c r="K3395" s="89"/>
      <c r="L3395" s="89">
        <v>1</v>
      </c>
    </row>
    <row r="3396" spans="1:12" ht="85.5">
      <c r="A3396" s="89" t="s">
        <v>991</v>
      </c>
      <c r="B3396" s="237">
        <v>112120502010</v>
      </c>
      <c r="C3396" s="89" t="s">
        <v>525</v>
      </c>
      <c r="D3396" s="89"/>
      <c r="E3396" s="236" t="s">
        <v>479</v>
      </c>
      <c r="F3396" s="236" t="s">
        <v>429</v>
      </c>
      <c r="G3396" s="236" t="s">
        <v>952</v>
      </c>
      <c r="H3396" s="238">
        <v>42278</v>
      </c>
      <c r="I3396" s="235">
        <v>42338</v>
      </c>
      <c r="J3396" s="136">
        <v>363.85</v>
      </c>
      <c r="K3396" s="89"/>
      <c r="L3396" s="89">
        <v>1</v>
      </c>
    </row>
    <row r="3397" spans="1:12" ht="85.5">
      <c r="A3397" s="89" t="s">
        <v>991</v>
      </c>
      <c r="B3397" s="237">
        <v>112120502010</v>
      </c>
      <c r="C3397" s="89" t="s">
        <v>525</v>
      </c>
      <c r="D3397" s="89"/>
      <c r="E3397" s="236" t="s">
        <v>479</v>
      </c>
      <c r="F3397" s="236" t="s">
        <v>429</v>
      </c>
      <c r="G3397" s="236" t="s">
        <v>953</v>
      </c>
      <c r="H3397" s="238">
        <v>42278</v>
      </c>
      <c r="I3397" s="235">
        <v>42338</v>
      </c>
      <c r="J3397" s="136">
        <v>5478.98</v>
      </c>
      <c r="K3397" s="89"/>
      <c r="L3397" s="89">
        <v>1</v>
      </c>
    </row>
    <row r="3398" spans="1:12" ht="85.5">
      <c r="A3398" s="89" t="s">
        <v>991</v>
      </c>
      <c r="B3398" s="237">
        <v>112120502010</v>
      </c>
      <c r="C3398" s="89" t="s">
        <v>525</v>
      </c>
      <c r="D3398" s="89"/>
      <c r="E3398" s="236" t="s">
        <v>479</v>
      </c>
      <c r="F3398" s="236" t="s">
        <v>429</v>
      </c>
      <c r="G3398" s="236" t="s">
        <v>954</v>
      </c>
      <c r="H3398" s="238">
        <v>42278</v>
      </c>
      <c r="I3398" s="235">
        <v>42338</v>
      </c>
      <c r="J3398" s="136">
        <v>11292.31</v>
      </c>
      <c r="K3398" s="89"/>
      <c r="L3398" s="89">
        <v>1</v>
      </c>
    </row>
    <row r="3399" spans="1:12" ht="85.5">
      <c r="A3399" s="89" t="s">
        <v>534</v>
      </c>
      <c r="B3399" s="237">
        <v>112120502010</v>
      </c>
      <c r="C3399" s="89" t="s">
        <v>535</v>
      </c>
      <c r="D3399" s="89"/>
      <c r="E3399" s="236" t="s">
        <v>479</v>
      </c>
      <c r="F3399" s="236" t="s">
        <v>429</v>
      </c>
      <c r="G3399" s="236" t="s">
        <v>946</v>
      </c>
      <c r="H3399" s="238">
        <v>42278</v>
      </c>
      <c r="I3399" s="235">
        <v>42335</v>
      </c>
      <c r="J3399" s="136">
        <v>27107.55</v>
      </c>
      <c r="K3399" s="89"/>
      <c r="L3399" s="89">
        <v>1</v>
      </c>
    </row>
    <row r="3400" spans="1:12" ht="85.5">
      <c r="A3400" s="89" t="s">
        <v>534</v>
      </c>
      <c r="B3400" s="237">
        <v>112120502010</v>
      </c>
      <c r="C3400" s="89" t="s">
        <v>535</v>
      </c>
      <c r="D3400" s="89"/>
      <c r="E3400" s="236" t="s">
        <v>479</v>
      </c>
      <c r="F3400" s="236" t="s">
        <v>429</v>
      </c>
      <c r="G3400" s="236" t="s">
        <v>947</v>
      </c>
      <c r="H3400" s="238">
        <v>42278</v>
      </c>
      <c r="I3400" s="235">
        <v>42338</v>
      </c>
      <c r="J3400" s="136">
        <v>8185.86</v>
      </c>
      <c r="K3400" s="89"/>
      <c r="L3400" s="89">
        <v>1</v>
      </c>
    </row>
    <row r="3401" spans="1:12" ht="85.5">
      <c r="A3401" s="89" t="s">
        <v>534</v>
      </c>
      <c r="B3401" s="237">
        <v>112120502010</v>
      </c>
      <c r="C3401" s="89" t="s">
        <v>535</v>
      </c>
      <c r="D3401" s="89"/>
      <c r="E3401" s="236" t="s">
        <v>479</v>
      </c>
      <c r="F3401" s="236" t="s">
        <v>429</v>
      </c>
      <c r="G3401" s="236" t="s">
        <v>948</v>
      </c>
      <c r="H3401" s="238">
        <v>42278</v>
      </c>
      <c r="I3401" s="235">
        <v>42338</v>
      </c>
      <c r="J3401" s="136">
        <v>355.69</v>
      </c>
      <c r="K3401" s="89"/>
      <c r="L3401" s="89">
        <v>1</v>
      </c>
    </row>
    <row r="3402" spans="1:12" ht="85.5">
      <c r="A3402" s="89" t="s">
        <v>534</v>
      </c>
      <c r="B3402" s="237">
        <v>112120502010</v>
      </c>
      <c r="C3402" s="89" t="s">
        <v>535</v>
      </c>
      <c r="D3402" s="89"/>
      <c r="E3402" s="236" t="s">
        <v>479</v>
      </c>
      <c r="F3402" s="236" t="s">
        <v>429</v>
      </c>
      <c r="G3402" s="236" t="s">
        <v>949</v>
      </c>
      <c r="H3402" s="238">
        <v>42278</v>
      </c>
      <c r="I3402" s="235">
        <v>42338</v>
      </c>
      <c r="J3402" s="136">
        <v>3289.35</v>
      </c>
      <c r="K3402" s="89"/>
      <c r="L3402" s="89">
        <v>1</v>
      </c>
    </row>
    <row r="3403" spans="1:12" ht="85.5">
      <c r="A3403" s="89" t="s">
        <v>992</v>
      </c>
      <c r="B3403" s="237">
        <v>112120502010</v>
      </c>
      <c r="C3403" s="89" t="s">
        <v>535</v>
      </c>
      <c r="D3403" s="89"/>
      <c r="E3403" s="236" t="s">
        <v>479</v>
      </c>
      <c r="F3403" s="236" t="s">
        <v>429</v>
      </c>
      <c r="G3403" s="236" t="s">
        <v>951</v>
      </c>
      <c r="H3403" s="238">
        <v>42278</v>
      </c>
      <c r="I3403" s="235">
        <v>42335</v>
      </c>
      <c r="J3403" s="136">
        <v>1854.79</v>
      </c>
      <c r="K3403" s="89"/>
      <c r="L3403" s="89">
        <v>1</v>
      </c>
    </row>
    <row r="3404" spans="1:12" ht="85.5">
      <c r="A3404" s="89" t="s">
        <v>992</v>
      </c>
      <c r="B3404" s="237">
        <v>112120502010</v>
      </c>
      <c r="C3404" s="89" t="s">
        <v>535</v>
      </c>
      <c r="D3404" s="89"/>
      <c r="E3404" s="236" t="s">
        <v>479</v>
      </c>
      <c r="F3404" s="236" t="s">
        <v>429</v>
      </c>
      <c r="G3404" s="236" t="s">
        <v>952</v>
      </c>
      <c r="H3404" s="238">
        <v>42278</v>
      </c>
      <c r="I3404" s="235">
        <v>42338</v>
      </c>
      <c r="J3404" s="136">
        <v>445.94</v>
      </c>
      <c r="K3404" s="89"/>
      <c r="L3404" s="89">
        <v>1</v>
      </c>
    </row>
    <row r="3405" spans="1:12" ht="85.5">
      <c r="A3405" s="89" t="s">
        <v>992</v>
      </c>
      <c r="B3405" s="237">
        <v>112120502010</v>
      </c>
      <c r="C3405" s="89" t="s">
        <v>535</v>
      </c>
      <c r="D3405" s="89"/>
      <c r="E3405" s="236" t="s">
        <v>479</v>
      </c>
      <c r="F3405" s="236" t="s">
        <v>429</v>
      </c>
      <c r="G3405" s="236" t="s">
        <v>953</v>
      </c>
      <c r="H3405" s="238">
        <v>42278</v>
      </c>
      <c r="I3405" s="235">
        <v>42338</v>
      </c>
      <c r="J3405" s="136">
        <v>6715.18</v>
      </c>
      <c r="K3405" s="89"/>
      <c r="L3405" s="89">
        <v>1</v>
      </c>
    </row>
    <row r="3406" spans="1:12" ht="85.5">
      <c r="A3406" s="89" t="s">
        <v>992</v>
      </c>
      <c r="B3406" s="237">
        <v>112120502010</v>
      </c>
      <c r="C3406" s="89" t="s">
        <v>535</v>
      </c>
      <c r="D3406" s="89"/>
      <c r="E3406" s="236" t="s">
        <v>479</v>
      </c>
      <c r="F3406" s="236" t="s">
        <v>429</v>
      </c>
      <c r="G3406" s="236" t="s">
        <v>954</v>
      </c>
      <c r="H3406" s="238">
        <v>42278</v>
      </c>
      <c r="I3406" s="235">
        <v>42338</v>
      </c>
      <c r="J3406" s="136">
        <v>13840.15</v>
      </c>
      <c r="K3406" s="89"/>
      <c r="L3406" s="89">
        <v>1</v>
      </c>
    </row>
    <row r="3407" spans="1:12" ht="85.5">
      <c r="A3407" s="89" t="s">
        <v>539</v>
      </c>
      <c r="B3407" s="237">
        <v>112120502010</v>
      </c>
      <c r="C3407" s="89" t="s">
        <v>540</v>
      </c>
      <c r="D3407" s="89"/>
      <c r="E3407" s="236" t="s">
        <v>479</v>
      </c>
      <c r="F3407" s="236" t="s">
        <v>429</v>
      </c>
      <c r="G3407" s="236" t="s">
        <v>946</v>
      </c>
      <c r="H3407" s="238">
        <v>42278</v>
      </c>
      <c r="I3407" s="235">
        <v>42335</v>
      </c>
      <c r="J3407" s="136">
        <v>11401.87</v>
      </c>
      <c r="K3407" s="89"/>
      <c r="L3407" s="89">
        <v>1</v>
      </c>
    </row>
    <row r="3408" spans="1:12" ht="85.5">
      <c r="A3408" s="89" t="s">
        <v>539</v>
      </c>
      <c r="B3408" s="237">
        <v>112120502010</v>
      </c>
      <c r="C3408" s="89" t="s">
        <v>540</v>
      </c>
      <c r="D3408" s="89"/>
      <c r="E3408" s="236" t="s">
        <v>479</v>
      </c>
      <c r="F3408" s="236" t="s">
        <v>429</v>
      </c>
      <c r="G3408" s="236" t="s">
        <v>947</v>
      </c>
      <c r="H3408" s="238">
        <v>42278</v>
      </c>
      <c r="I3408" s="235">
        <v>42338</v>
      </c>
      <c r="J3408" s="136">
        <v>3443.11</v>
      </c>
      <c r="K3408" s="89"/>
      <c r="L3408" s="89">
        <v>1</v>
      </c>
    </row>
    <row r="3409" spans="1:12" ht="85.5">
      <c r="A3409" s="89" t="s">
        <v>539</v>
      </c>
      <c r="B3409" s="237">
        <v>112120502010</v>
      </c>
      <c r="C3409" s="89" t="s">
        <v>540</v>
      </c>
      <c r="D3409" s="89"/>
      <c r="E3409" s="236" t="s">
        <v>479</v>
      </c>
      <c r="F3409" s="236" t="s">
        <v>429</v>
      </c>
      <c r="G3409" s="236" t="s">
        <v>948</v>
      </c>
      <c r="H3409" s="238">
        <v>42278</v>
      </c>
      <c r="I3409" s="235">
        <v>42338</v>
      </c>
      <c r="J3409" s="136">
        <v>149.61000000000001</v>
      </c>
      <c r="K3409" s="89"/>
      <c r="L3409" s="89">
        <v>1</v>
      </c>
    </row>
    <row r="3410" spans="1:12" ht="85.5">
      <c r="A3410" s="89" t="s">
        <v>539</v>
      </c>
      <c r="B3410" s="237">
        <v>112120502010</v>
      </c>
      <c r="C3410" s="89" t="s">
        <v>540</v>
      </c>
      <c r="D3410" s="89"/>
      <c r="E3410" s="236" t="s">
        <v>479</v>
      </c>
      <c r="F3410" s="236" t="s">
        <v>429</v>
      </c>
      <c r="G3410" s="236" t="s">
        <v>949</v>
      </c>
      <c r="H3410" s="238">
        <v>42278</v>
      </c>
      <c r="I3410" s="235">
        <v>42338</v>
      </c>
      <c r="J3410" s="136">
        <v>1383.56</v>
      </c>
      <c r="K3410" s="89"/>
      <c r="L3410" s="89">
        <v>1</v>
      </c>
    </row>
    <row r="3411" spans="1:12" ht="85.5">
      <c r="A3411" s="89" t="s">
        <v>993</v>
      </c>
      <c r="B3411" s="237">
        <v>112120502010</v>
      </c>
      <c r="C3411" s="89" t="s">
        <v>540</v>
      </c>
      <c r="D3411" s="89"/>
      <c r="E3411" s="236" t="s">
        <v>479</v>
      </c>
      <c r="F3411" s="236" t="s">
        <v>429</v>
      </c>
      <c r="G3411" s="236" t="s">
        <v>951</v>
      </c>
      <c r="H3411" s="238">
        <v>42278</v>
      </c>
      <c r="I3411" s="235">
        <v>42335</v>
      </c>
      <c r="J3411" s="136">
        <v>780.15</v>
      </c>
      <c r="K3411" s="89"/>
      <c r="L3411" s="89">
        <v>1</v>
      </c>
    </row>
    <row r="3412" spans="1:12" ht="85.5">
      <c r="A3412" s="89" t="s">
        <v>993</v>
      </c>
      <c r="B3412" s="237">
        <v>112120502010</v>
      </c>
      <c r="C3412" s="89" t="s">
        <v>540</v>
      </c>
      <c r="D3412" s="89"/>
      <c r="E3412" s="236" t="s">
        <v>479</v>
      </c>
      <c r="F3412" s="236" t="s">
        <v>429</v>
      </c>
      <c r="G3412" s="236" t="s">
        <v>953</v>
      </c>
      <c r="H3412" s="238">
        <v>42278</v>
      </c>
      <c r="I3412" s="235">
        <v>42338</v>
      </c>
      <c r="J3412" s="136">
        <v>2824.51</v>
      </c>
      <c r="K3412" s="89"/>
      <c r="L3412" s="89">
        <v>1</v>
      </c>
    </row>
    <row r="3413" spans="1:12" ht="85.5">
      <c r="A3413" s="89" t="s">
        <v>993</v>
      </c>
      <c r="B3413" s="237">
        <v>112120502010</v>
      </c>
      <c r="C3413" s="89" t="s">
        <v>540</v>
      </c>
      <c r="D3413" s="89"/>
      <c r="E3413" s="236" t="s">
        <v>479</v>
      </c>
      <c r="F3413" s="236" t="s">
        <v>429</v>
      </c>
      <c r="G3413" s="236" t="s">
        <v>954</v>
      </c>
      <c r="H3413" s="238">
        <v>42278</v>
      </c>
      <c r="I3413" s="235">
        <v>42338</v>
      </c>
      <c r="J3413" s="136">
        <v>5821.39</v>
      </c>
      <c r="K3413" s="89"/>
      <c r="L3413" s="89">
        <v>1</v>
      </c>
    </row>
    <row r="3414" spans="1:12" ht="85.5">
      <c r="A3414" s="89" t="s">
        <v>550</v>
      </c>
      <c r="B3414" s="237">
        <v>112120502010</v>
      </c>
      <c r="C3414" s="89" t="s">
        <v>551</v>
      </c>
      <c r="D3414" s="89"/>
      <c r="E3414" s="236" t="s">
        <v>479</v>
      </c>
      <c r="F3414" s="236" t="s">
        <v>429</v>
      </c>
      <c r="G3414" s="236" t="s">
        <v>946</v>
      </c>
      <c r="H3414" s="238">
        <v>42278</v>
      </c>
      <c r="I3414" s="235">
        <v>42335</v>
      </c>
      <c r="J3414" s="136">
        <v>8858.58</v>
      </c>
      <c r="K3414" s="89"/>
      <c r="L3414" s="89">
        <v>1</v>
      </c>
    </row>
    <row r="3415" spans="1:12" ht="85.5">
      <c r="A3415" s="89" t="s">
        <v>550</v>
      </c>
      <c r="B3415" s="237">
        <v>112120502010</v>
      </c>
      <c r="C3415" s="89" t="s">
        <v>551</v>
      </c>
      <c r="D3415" s="89"/>
      <c r="E3415" s="236" t="s">
        <v>479</v>
      </c>
      <c r="F3415" s="236" t="s">
        <v>429</v>
      </c>
      <c r="G3415" s="236" t="s">
        <v>947</v>
      </c>
      <c r="H3415" s="238">
        <v>42278</v>
      </c>
      <c r="I3415" s="235">
        <v>42338</v>
      </c>
      <c r="J3415" s="136">
        <v>2675.09</v>
      </c>
      <c r="K3415" s="89"/>
      <c r="L3415" s="89">
        <v>1</v>
      </c>
    </row>
    <row r="3416" spans="1:12" ht="85.5">
      <c r="A3416" s="89" t="s">
        <v>550</v>
      </c>
      <c r="B3416" s="237">
        <v>112120502010</v>
      </c>
      <c r="C3416" s="89" t="s">
        <v>551</v>
      </c>
      <c r="D3416" s="89"/>
      <c r="E3416" s="236" t="s">
        <v>479</v>
      </c>
      <c r="F3416" s="236" t="s">
        <v>429</v>
      </c>
      <c r="G3416" s="236" t="s">
        <v>948</v>
      </c>
      <c r="H3416" s="238">
        <v>42278</v>
      </c>
      <c r="I3416" s="235">
        <v>42338</v>
      </c>
      <c r="J3416" s="136">
        <v>116.24</v>
      </c>
      <c r="K3416" s="89"/>
      <c r="L3416" s="89">
        <v>1</v>
      </c>
    </row>
    <row r="3417" spans="1:12" ht="85.5">
      <c r="A3417" s="89" t="s">
        <v>550</v>
      </c>
      <c r="B3417" s="237">
        <v>112120502010</v>
      </c>
      <c r="C3417" s="89" t="s">
        <v>551</v>
      </c>
      <c r="D3417" s="89"/>
      <c r="E3417" s="236" t="s">
        <v>479</v>
      </c>
      <c r="F3417" s="236" t="s">
        <v>429</v>
      </c>
      <c r="G3417" s="236" t="s">
        <v>949</v>
      </c>
      <c r="H3417" s="238">
        <v>42278</v>
      </c>
      <c r="I3417" s="235">
        <v>42338</v>
      </c>
      <c r="J3417" s="136">
        <v>1074.94</v>
      </c>
      <c r="K3417" s="89"/>
      <c r="L3417" s="89">
        <v>1</v>
      </c>
    </row>
    <row r="3418" spans="1:12" ht="85.5">
      <c r="A3418" s="89" t="s">
        <v>994</v>
      </c>
      <c r="B3418" s="237">
        <v>112120502010</v>
      </c>
      <c r="C3418" s="89" t="s">
        <v>551</v>
      </c>
      <c r="D3418" s="89"/>
      <c r="E3418" s="236" t="s">
        <v>479</v>
      </c>
      <c r="F3418" s="236" t="s">
        <v>429</v>
      </c>
      <c r="G3418" s="236" t="s">
        <v>951</v>
      </c>
      <c r="H3418" s="238">
        <v>42278</v>
      </c>
      <c r="I3418" s="235">
        <v>42335</v>
      </c>
      <c r="J3418" s="136">
        <v>606.13</v>
      </c>
      <c r="K3418" s="89"/>
      <c r="L3418" s="89">
        <v>1</v>
      </c>
    </row>
    <row r="3419" spans="1:12" ht="85.5">
      <c r="A3419" s="89" t="s">
        <v>994</v>
      </c>
      <c r="B3419" s="237">
        <v>112120502010</v>
      </c>
      <c r="C3419" s="89" t="s">
        <v>551</v>
      </c>
      <c r="D3419" s="89"/>
      <c r="E3419" s="236" t="s">
        <v>479</v>
      </c>
      <c r="F3419" s="236" t="s">
        <v>429</v>
      </c>
      <c r="G3419" s="236" t="s">
        <v>952</v>
      </c>
      <c r="H3419" s="238">
        <v>42278</v>
      </c>
      <c r="I3419" s="235">
        <v>42338</v>
      </c>
      <c r="J3419" s="136">
        <v>145.72999999999999</v>
      </c>
      <c r="K3419" s="89"/>
      <c r="L3419" s="89">
        <v>1</v>
      </c>
    </row>
    <row r="3420" spans="1:12" ht="85.5">
      <c r="A3420" s="89" t="s">
        <v>994</v>
      </c>
      <c r="B3420" s="237">
        <v>112120502010</v>
      </c>
      <c r="C3420" s="89" t="s">
        <v>551</v>
      </c>
      <c r="D3420" s="89"/>
      <c r="E3420" s="236" t="s">
        <v>479</v>
      </c>
      <c r="F3420" s="236" t="s">
        <v>429</v>
      </c>
      <c r="G3420" s="236" t="s">
        <v>953</v>
      </c>
      <c r="H3420" s="238">
        <v>42278</v>
      </c>
      <c r="I3420" s="235">
        <v>42338</v>
      </c>
      <c r="J3420" s="136">
        <v>2194.48</v>
      </c>
      <c r="K3420" s="89"/>
      <c r="L3420" s="89">
        <v>1</v>
      </c>
    </row>
    <row r="3421" spans="1:12" ht="85.5">
      <c r="A3421" s="89" t="s">
        <v>994</v>
      </c>
      <c r="B3421" s="237">
        <v>112120502010</v>
      </c>
      <c r="C3421" s="89" t="s">
        <v>551</v>
      </c>
      <c r="D3421" s="89"/>
      <c r="E3421" s="236" t="s">
        <v>479</v>
      </c>
      <c r="F3421" s="236" t="s">
        <v>429</v>
      </c>
      <c r="G3421" s="236" t="s">
        <v>954</v>
      </c>
      <c r="H3421" s="238">
        <v>42278</v>
      </c>
      <c r="I3421" s="235">
        <v>42338</v>
      </c>
      <c r="J3421" s="136">
        <v>4522.87</v>
      </c>
      <c r="K3421" s="89"/>
      <c r="L3421" s="89">
        <v>1</v>
      </c>
    </row>
    <row r="3422" spans="1:12" ht="85.5">
      <c r="A3422" s="89" t="s">
        <v>577</v>
      </c>
      <c r="B3422" s="237">
        <v>112120502010</v>
      </c>
      <c r="C3422" s="89" t="s">
        <v>578</v>
      </c>
      <c r="D3422" s="89"/>
      <c r="E3422" s="236" t="s">
        <v>479</v>
      </c>
      <c r="F3422" s="236" t="s">
        <v>429</v>
      </c>
      <c r="G3422" s="236" t="s">
        <v>946</v>
      </c>
      <c r="H3422" s="238">
        <v>42278</v>
      </c>
      <c r="I3422" s="235">
        <v>42335</v>
      </c>
      <c r="J3422" s="136">
        <v>8541.52</v>
      </c>
      <c r="K3422" s="89"/>
      <c r="L3422" s="89">
        <v>1</v>
      </c>
    </row>
    <row r="3423" spans="1:12" ht="85.5">
      <c r="A3423" s="89" t="s">
        <v>577</v>
      </c>
      <c r="B3423" s="237">
        <v>112120502010</v>
      </c>
      <c r="C3423" s="89" t="s">
        <v>578</v>
      </c>
      <c r="D3423" s="89"/>
      <c r="E3423" s="236" t="s">
        <v>479</v>
      </c>
      <c r="F3423" s="236" t="s">
        <v>429</v>
      </c>
      <c r="G3423" s="236" t="s">
        <v>947</v>
      </c>
      <c r="H3423" s="238">
        <v>42278</v>
      </c>
      <c r="I3423" s="235">
        <v>42338</v>
      </c>
      <c r="J3423" s="136">
        <v>2579.34</v>
      </c>
      <c r="K3423" s="89"/>
      <c r="L3423" s="89">
        <v>1</v>
      </c>
    </row>
    <row r="3424" spans="1:12" ht="85.5">
      <c r="A3424" s="89" t="s">
        <v>577</v>
      </c>
      <c r="B3424" s="237">
        <v>112120502010</v>
      </c>
      <c r="C3424" s="89" t="s">
        <v>578</v>
      </c>
      <c r="D3424" s="89"/>
      <c r="E3424" s="236" t="s">
        <v>479</v>
      </c>
      <c r="F3424" s="236" t="s">
        <v>429</v>
      </c>
      <c r="G3424" s="236" t="s">
        <v>948</v>
      </c>
      <c r="H3424" s="238">
        <v>42278</v>
      </c>
      <c r="I3424" s="235">
        <v>42338</v>
      </c>
      <c r="J3424" s="136">
        <v>112.08</v>
      </c>
      <c r="K3424" s="89"/>
      <c r="L3424" s="89">
        <v>1</v>
      </c>
    </row>
    <row r="3425" spans="1:12" ht="85.5">
      <c r="A3425" s="89" t="s">
        <v>577</v>
      </c>
      <c r="B3425" s="237">
        <v>112120502010</v>
      </c>
      <c r="C3425" s="89" t="s">
        <v>578</v>
      </c>
      <c r="D3425" s="89"/>
      <c r="E3425" s="236" t="s">
        <v>479</v>
      </c>
      <c r="F3425" s="236" t="s">
        <v>429</v>
      </c>
      <c r="G3425" s="236" t="s">
        <v>949</v>
      </c>
      <c r="H3425" s="238">
        <v>42278</v>
      </c>
      <c r="I3425" s="235">
        <v>42338</v>
      </c>
      <c r="J3425" s="136">
        <v>1036.47</v>
      </c>
      <c r="K3425" s="89"/>
      <c r="L3425" s="89">
        <v>1</v>
      </c>
    </row>
    <row r="3426" spans="1:12" ht="85.5">
      <c r="A3426" s="89" t="s">
        <v>995</v>
      </c>
      <c r="B3426" s="237">
        <v>112120502010</v>
      </c>
      <c r="C3426" s="89" t="s">
        <v>578</v>
      </c>
      <c r="D3426" s="89"/>
      <c r="E3426" s="236" t="s">
        <v>479</v>
      </c>
      <c r="F3426" s="236" t="s">
        <v>429</v>
      </c>
      <c r="G3426" s="236" t="s">
        <v>951</v>
      </c>
      <c r="H3426" s="238">
        <v>42278</v>
      </c>
      <c r="I3426" s="235">
        <v>42335</v>
      </c>
      <c r="J3426" s="136">
        <v>584.44000000000005</v>
      </c>
      <c r="K3426" s="89"/>
      <c r="L3426" s="89">
        <v>1</v>
      </c>
    </row>
    <row r="3427" spans="1:12" ht="85.5">
      <c r="A3427" s="89" t="s">
        <v>995</v>
      </c>
      <c r="B3427" s="237">
        <v>112120502010</v>
      </c>
      <c r="C3427" s="89" t="s">
        <v>578</v>
      </c>
      <c r="D3427" s="89"/>
      <c r="E3427" s="236" t="s">
        <v>479</v>
      </c>
      <c r="F3427" s="236" t="s">
        <v>429</v>
      </c>
      <c r="G3427" s="236" t="s">
        <v>952</v>
      </c>
      <c r="H3427" s="238">
        <v>42278</v>
      </c>
      <c r="I3427" s="235">
        <v>42338</v>
      </c>
      <c r="J3427" s="136">
        <v>140.51</v>
      </c>
      <c r="K3427" s="89"/>
      <c r="L3427" s="89">
        <v>1</v>
      </c>
    </row>
    <row r="3428" spans="1:12" ht="85.5">
      <c r="A3428" s="89" t="s">
        <v>995</v>
      </c>
      <c r="B3428" s="237">
        <v>112120502010</v>
      </c>
      <c r="C3428" s="89" t="s">
        <v>578</v>
      </c>
      <c r="D3428" s="89"/>
      <c r="E3428" s="236" t="s">
        <v>479</v>
      </c>
      <c r="F3428" s="236" t="s">
        <v>429</v>
      </c>
      <c r="G3428" s="236" t="s">
        <v>953</v>
      </c>
      <c r="H3428" s="238">
        <v>42278</v>
      </c>
      <c r="I3428" s="235">
        <v>42338</v>
      </c>
      <c r="J3428" s="136">
        <v>2115.9299999999998</v>
      </c>
      <c r="K3428" s="89"/>
      <c r="L3428" s="89">
        <v>1</v>
      </c>
    </row>
    <row r="3429" spans="1:12" ht="85.5">
      <c r="A3429" s="89" t="s">
        <v>995</v>
      </c>
      <c r="B3429" s="237">
        <v>112120502010</v>
      </c>
      <c r="C3429" s="89" t="s">
        <v>578</v>
      </c>
      <c r="D3429" s="89"/>
      <c r="E3429" s="236" t="s">
        <v>479</v>
      </c>
      <c r="F3429" s="236" t="s">
        <v>429</v>
      </c>
      <c r="G3429" s="236" t="s">
        <v>954</v>
      </c>
      <c r="H3429" s="238">
        <v>42278</v>
      </c>
      <c r="I3429" s="235">
        <v>42338</v>
      </c>
      <c r="J3429" s="136">
        <v>4360.99</v>
      </c>
      <c r="K3429" s="89"/>
      <c r="L3429" s="89">
        <v>1</v>
      </c>
    </row>
    <row r="3430" spans="1:12" ht="85.5">
      <c r="A3430" s="89" t="s">
        <v>586</v>
      </c>
      <c r="B3430" s="237">
        <v>112120502010</v>
      </c>
      <c r="C3430" s="89" t="s">
        <v>587</v>
      </c>
      <c r="D3430" s="89"/>
      <c r="E3430" s="236" t="s">
        <v>479</v>
      </c>
      <c r="F3430" s="236" t="s">
        <v>429</v>
      </c>
      <c r="G3430" s="236" t="s">
        <v>946</v>
      </c>
      <c r="H3430" s="238">
        <v>42278</v>
      </c>
      <c r="I3430" s="235">
        <v>42335</v>
      </c>
      <c r="J3430" s="136">
        <v>11683.47</v>
      </c>
      <c r="K3430" s="89"/>
      <c r="L3430" s="89">
        <v>1</v>
      </c>
    </row>
    <row r="3431" spans="1:12" ht="85.5">
      <c r="A3431" s="89" t="s">
        <v>586</v>
      </c>
      <c r="B3431" s="237">
        <v>112120502010</v>
      </c>
      <c r="C3431" s="89" t="s">
        <v>587</v>
      </c>
      <c r="D3431" s="89"/>
      <c r="E3431" s="236" t="s">
        <v>479</v>
      </c>
      <c r="F3431" s="236" t="s">
        <v>429</v>
      </c>
      <c r="G3431" s="236" t="s">
        <v>947</v>
      </c>
      <c r="H3431" s="238">
        <v>42278</v>
      </c>
      <c r="I3431" s="235">
        <v>42338</v>
      </c>
      <c r="J3431" s="136">
        <v>3528.14</v>
      </c>
      <c r="K3431" s="89"/>
      <c r="L3431" s="89">
        <v>1</v>
      </c>
    </row>
    <row r="3432" spans="1:12" ht="85.5">
      <c r="A3432" s="89" t="s">
        <v>586</v>
      </c>
      <c r="B3432" s="237">
        <v>112120502010</v>
      </c>
      <c r="C3432" s="89" t="s">
        <v>587</v>
      </c>
      <c r="D3432" s="89"/>
      <c r="E3432" s="236" t="s">
        <v>479</v>
      </c>
      <c r="F3432" s="236" t="s">
        <v>429</v>
      </c>
      <c r="G3432" s="236" t="s">
        <v>948</v>
      </c>
      <c r="H3432" s="238">
        <v>42278</v>
      </c>
      <c r="I3432" s="235">
        <v>42338</v>
      </c>
      <c r="J3432" s="136">
        <v>153.30000000000001</v>
      </c>
      <c r="K3432" s="89"/>
      <c r="L3432" s="89">
        <v>1</v>
      </c>
    </row>
    <row r="3433" spans="1:12" ht="85.5">
      <c r="A3433" s="89" t="s">
        <v>586</v>
      </c>
      <c r="B3433" s="237">
        <v>112120502010</v>
      </c>
      <c r="C3433" s="89" t="s">
        <v>587</v>
      </c>
      <c r="D3433" s="89"/>
      <c r="E3433" s="236" t="s">
        <v>479</v>
      </c>
      <c r="F3433" s="236" t="s">
        <v>429</v>
      </c>
      <c r="G3433" s="236" t="s">
        <v>949</v>
      </c>
      <c r="H3433" s="238">
        <v>42278</v>
      </c>
      <c r="I3433" s="235">
        <v>42338</v>
      </c>
      <c r="J3433" s="136">
        <v>1417.73</v>
      </c>
      <c r="K3433" s="89"/>
      <c r="L3433" s="89">
        <v>1</v>
      </c>
    </row>
    <row r="3434" spans="1:12" ht="85.5">
      <c r="A3434" s="89" t="s">
        <v>996</v>
      </c>
      <c r="B3434" s="237">
        <v>112120502010</v>
      </c>
      <c r="C3434" s="89" t="s">
        <v>587</v>
      </c>
      <c r="D3434" s="89"/>
      <c r="E3434" s="236" t="s">
        <v>479</v>
      </c>
      <c r="F3434" s="236" t="s">
        <v>429</v>
      </c>
      <c r="G3434" s="236" t="s">
        <v>951</v>
      </c>
      <c r="H3434" s="238">
        <v>42278</v>
      </c>
      <c r="I3434" s="235">
        <v>42335</v>
      </c>
      <c r="J3434" s="136">
        <v>799.42</v>
      </c>
      <c r="K3434" s="89"/>
      <c r="L3434" s="89">
        <v>1</v>
      </c>
    </row>
    <row r="3435" spans="1:12" ht="85.5">
      <c r="A3435" s="89" t="s">
        <v>996</v>
      </c>
      <c r="B3435" s="237">
        <v>112120502010</v>
      </c>
      <c r="C3435" s="89" t="s">
        <v>587</v>
      </c>
      <c r="D3435" s="89"/>
      <c r="E3435" s="236" t="s">
        <v>479</v>
      </c>
      <c r="F3435" s="236" t="s">
        <v>429</v>
      </c>
      <c r="G3435" s="236" t="s">
        <v>952</v>
      </c>
      <c r="H3435" s="238">
        <v>42278</v>
      </c>
      <c r="I3435" s="235">
        <v>42338</v>
      </c>
      <c r="J3435" s="136">
        <v>192.2</v>
      </c>
      <c r="K3435" s="89"/>
      <c r="L3435" s="89">
        <v>1</v>
      </c>
    </row>
    <row r="3436" spans="1:12" ht="85.5">
      <c r="A3436" s="89" t="s">
        <v>996</v>
      </c>
      <c r="B3436" s="237">
        <v>112120502010</v>
      </c>
      <c r="C3436" s="89" t="s">
        <v>587</v>
      </c>
      <c r="D3436" s="89"/>
      <c r="E3436" s="236" t="s">
        <v>479</v>
      </c>
      <c r="F3436" s="236" t="s">
        <v>429</v>
      </c>
      <c r="G3436" s="236" t="s">
        <v>953</v>
      </c>
      <c r="H3436" s="238">
        <v>42278</v>
      </c>
      <c r="I3436" s="235">
        <v>42338</v>
      </c>
      <c r="J3436" s="136">
        <v>2894.27</v>
      </c>
      <c r="K3436" s="89"/>
      <c r="L3436" s="89">
        <v>1</v>
      </c>
    </row>
    <row r="3437" spans="1:12" ht="85.5">
      <c r="A3437" s="89" t="s">
        <v>996</v>
      </c>
      <c r="B3437" s="237">
        <v>112120502010</v>
      </c>
      <c r="C3437" s="89" t="s">
        <v>587</v>
      </c>
      <c r="D3437" s="89"/>
      <c r="E3437" s="236" t="s">
        <v>479</v>
      </c>
      <c r="F3437" s="236" t="s">
        <v>429</v>
      </c>
      <c r="G3437" s="236" t="s">
        <v>954</v>
      </c>
      <c r="H3437" s="238">
        <v>42278</v>
      </c>
      <c r="I3437" s="235">
        <v>42338</v>
      </c>
      <c r="J3437" s="136">
        <v>5965.16</v>
      </c>
      <c r="K3437" s="89"/>
      <c r="L3437" s="89">
        <v>1</v>
      </c>
    </row>
    <row r="3438" spans="1:12" ht="85.5">
      <c r="A3438" s="89" t="s">
        <v>590</v>
      </c>
      <c r="B3438" s="237">
        <v>112120502010</v>
      </c>
      <c r="C3438" s="89" t="s">
        <v>591</v>
      </c>
      <c r="D3438" s="89"/>
      <c r="E3438" s="236" t="s">
        <v>479</v>
      </c>
      <c r="F3438" s="236" t="s">
        <v>429</v>
      </c>
      <c r="G3438" s="236" t="s">
        <v>946</v>
      </c>
      <c r="H3438" s="238">
        <v>42278</v>
      </c>
      <c r="I3438" s="235">
        <v>42335</v>
      </c>
      <c r="J3438" s="136">
        <v>13039.14</v>
      </c>
      <c r="K3438" s="89"/>
      <c r="L3438" s="89">
        <v>1</v>
      </c>
    </row>
    <row r="3439" spans="1:12" ht="85.5">
      <c r="A3439" s="89" t="s">
        <v>590</v>
      </c>
      <c r="B3439" s="237">
        <v>112120502010</v>
      </c>
      <c r="C3439" s="89" t="s">
        <v>591</v>
      </c>
      <c r="D3439" s="89"/>
      <c r="E3439" s="236" t="s">
        <v>479</v>
      </c>
      <c r="F3439" s="236" t="s">
        <v>429</v>
      </c>
      <c r="G3439" s="236" t="s">
        <v>947</v>
      </c>
      <c r="H3439" s="238">
        <v>42278</v>
      </c>
      <c r="I3439" s="235">
        <v>42338</v>
      </c>
      <c r="J3439" s="136">
        <v>3937.52</v>
      </c>
      <c r="K3439" s="89"/>
      <c r="L3439" s="89">
        <v>1</v>
      </c>
    </row>
    <row r="3440" spans="1:12" ht="85.5">
      <c r="A3440" s="89" t="s">
        <v>590</v>
      </c>
      <c r="B3440" s="237">
        <v>112120502010</v>
      </c>
      <c r="C3440" s="89" t="s">
        <v>591</v>
      </c>
      <c r="D3440" s="89"/>
      <c r="E3440" s="236" t="s">
        <v>479</v>
      </c>
      <c r="F3440" s="236" t="s">
        <v>429</v>
      </c>
      <c r="G3440" s="236" t="s">
        <v>948</v>
      </c>
      <c r="H3440" s="238">
        <v>42278</v>
      </c>
      <c r="I3440" s="235">
        <v>42338</v>
      </c>
      <c r="J3440" s="136">
        <v>171.09</v>
      </c>
      <c r="K3440" s="89"/>
      <c r="L3440" s="89">
        <v>1</v>
      </c>
    </row>
    <row r="3441" spans="1:12" ht="85.5">
      <c r="A3441" s="89" t="s">
        <v>590</v>
      </c>
      <c r="B3441" s="237">
        <v>112120502010</v>
      </c>
      <c r="C3441" s="89" t="s">
        <v>591</v>
      </c>
      <c r="D3441" s="89"/>
      <c r="E3441" s="236" t="s">
        <v>479</v>
      </c>
      <c r="F3441" s="236" t="s">
        <v>429</v>
      </c>
      <c r="G3441" s="236" t="s">
        <v>949</v>
      </c>
      <c r="H3441" s="238">
        <v>42278</v>
      </c>
      <c r="I3441" s="235">
        <v>42338</v>
      </c>
      <c r="J3441" s="136">
        <v>1582.23</v>
      </c>
      <c r="K3441" s="89"/>
      <c r="L3441" s="89">
        <v>1</v>
      </c>
    </row>
    <row r="3442" spans="1:12" ht="85.5">
      <c r="A3442" s="89" t="s">
        <v>997</v>
      </c>
      <c r="B3442" s="237">
        <v>112120502010</v>
      </c>
      <c r="C3442" s="89" t="s">
        <v>591</v>
      </c>
      <c r="D3442" s="89"/>
      <c r="E3442" s="236" t="s">
        <v>479</v>
      </c>
      <c r="F3442" s="236" t="s">
        <v>429</v>
      </c>
      <c r="G3442" s="236" t="s">
        <v>951</v>
      </c>
      <c r="H3442" s="238">
        <v>42278</v>
      </c>
      <c r="I3442" s="235">
        <v>42335</v>
      </c>
      <c r="J3442" s="136">
        <v>892.18</v>
      </c>
      <c r="K3442" s="89"/>
      <c r="L3442" s="89">
        <v>1</v>
      </c>
    </row>
    <row r="3443" spans="1:12" ht="85.5">
      <c r="A3443" s="89" t="s">
        <v>997</v>
      </c>
      <c r="B3443" s="237">
        <v>112120502010</v>
      </c>
      <c r="C3443" s="89" t="s">
        <v>591</v>
      </c>
      <c r="D3443" s="89"/>
      <c r="E3443" s="236" t="s">
        <v>479</v>
      </c>
      <c r="F3443" s="236" t="s">
        <v>429</v>
      </c>
      <c r="G3443" s="236" t="s">
        <v>952</v>
      </c>
      <c r="H3443" s="238">
        <v>42278</v>
      </c>
      <c r="I3443" s="235">
        <v>42338</v>
      </c>
      <c r="J3443" s="136">
        <v>214.5</v>
      </c>
      <c r="K3443" s="89"/>
      <c r="L3443" s="89">
        <v>1</v>
      </c>
    </row>
    <row r="3444" spans="1:12" ht="85.5">
      <c r="A3444" s="89" t="s">
        <v>997</v>
      </c>
      <c r="B3444" s="237">
        <v>112120502010</v>
      </c>
      <c r="C3444" s="89" t="s">
        <v>591</v>
      </c>
      <c r="D3444" s="89"/>
      <c r="E3444" s="236" t="s">
        <v>479</v>
      </c>
      <c r="F3444" s="236" t="s">
        <v>429</v>
      </c>
      <c r="G3444" s="236" t="s">
        <v>953</v>
      </c>
      <c r="H3444" s="238">
        <v>42278</v>
      </c>
      <c r="I3444" s="235">
        <v>42338</v>
      </c>
      <c r="J3444" s="136">
        <v>3230.1</v>
      </c>
      <c r="K3444" s="89"/>
      <c r="L3444" s="89">
        <v>1</v>
      </c>
    </row>
    <row r="3445" spans="1:12" ht="85.5">
      <c r="A3445" s="89" t="s">
        <v>997</v>
      </c>
      <c r="B3445" s="237">
        <v>112120502010</v>
      </c>
      <c r="C3445" s="89" t="s">
        <v>591</v>
      </c>
      <c r="D3445" s="89"/>
      <c r="E3445" s="236" t="s">
        <v>479</v>
      </c>
      <c r="F3445" s="236" t="s">
        <v>429</v>
      </c>
      <c r="G3445" s="236" t="s">
        <v>954</v>
      </c>
      <c r="H3445" s="238">
        <v>42278</v>
      </c>
      <c r="I3445" s="235">
        <v>42338</v>
      </c>
      <c r="J3445" s="136">
        <v>6657.32</v>
      </c>
      <c r="K3445" s="89"/>
      <c r="L3445" s="89">
        <v>1</v>
      </c>
    </row>
    <row r="3446" spans="1:12" ht="85.5">
      <c r="A3446" s="89" t="s">
        <v>603</v>
      </c>
      <c r="B3446" s="237">
        <v>112120502010</v>
      </c>
      <c r="C3446" s="89" t="s">
        <v>604</v>
      </c>
      <c r="D3446" s="89"/>
      <c r="E3446" s="236" t="s">
        <v>479</v>
      </c>
      <c r="F3446" s="236" t="s">
        <v>429</v>
      </c>
      <c r="G3446" s="236" t="s">
        <v>946</v>
      </c>
      <c r="H3446" s="238">
        <v>42278</v>
      </c>
      <c r="I3446" s="235">
        <v>42335</v>
      </c>
      <c r="J3446" s="136">
        <v>7589.17</v>
      </c>
      <c r="K3446" s="89"/>
      <c r="L3446" s="89">
        <v>1</v>
      </c>
    </row>
    <row r="3447" spans="1:12" ht="85.5">
      <c r="A3447" s="89" t="s">
        <v>603</v>
      </c>
      <c r="B3447" s="237">
        <v>112120502010</v>
      </c>
      <c r="C3447" s="89" t="s">
        <v>604</v>
      </c>
      <c r="D3447" s="89"/>
      <c r="E3447" s="236" t="s">
        <v>479</v>
      </c>
      <c r="F3447" s="236" t="s">
        <v>429</v>
      </c>
      <c r="G3447" s="236" t="s">
        <v>947</v>
      </c>
      <c r="H3447" s="238">
        <v>42278</v>
      </c>
      <c r="I3447" s="235">
        <v>42338</v>
      </c>
      <c r="J3447" s="136">
        <v>2291.7600000000002</v>
      </c>
      <c r="K3447" s="89"/>
      <c r="L3447" s="89">
        <v>1</v>
      </c>
    </row>
    <row r="3448" spans="1:12" ht="85.5">
      <c r="A3448" s="89" t="s">
        <v>603</v>
      </c>
      <c r="B3448" s="237">
        <v>112120502010</v>
      </c>
      <c r="C3448" s="89" t="s">
        <v>604</v>
      </c>
      <c r="D3448" s="89"/>
      <c r="E3448" s="236" t="s">
        <v>479</v>
      </c>
      <c r="F3448" s="236" t="s">
        <v>429</v>
      </c>
      <c r="G3448" s="236" t="s">
        <v>948</v>
      </c>
      <c r="H3448" s="238">
        <v>42278</v>
      </c>
      <c r="I3448" s="235">
        <v>42338</v>
      </c>
      <c r="J3448" s="136">
        <v>99.58</v>
      </c>
      <c r="K3448" s="89"/>
      <c r="L3448" s="89">
        <v>1</v>
      </c>
    </row>
    <row r="3449" spans="1:12" ht="85.5">
      <c r="A3449" s="89" t="s">
        <v>603</v>
      </c>
      <c r="B3449" s="237">
        <v>112120502010</v>
      </c>
      <c r="C3449" s="89" t="s">
        <v>604</v>
      </c>
      <c r="D3449" s="89"/>
      <c r="E3449" s="236" t="s">
        <v>479</v>
      </c>
      <c r="F3449" s="236" t="s">
        <v>429</v>
      </c>
      <c r="G3449" s="236" t="s">
        <v>949</v>
      </c>
      <c r="H3449" s="238">
        <v>42278</v>
      </c>
      <c r="I3449" s="235">
        <v>42338</v>
      </c>
      <c r="J3449" s="136">
        <v>920.91</v>
      </c>
      <c r="K3449" s="89"/>
      <c r="L3449" s="89">
        <v>1</v>
      </c>
    </row>
    <row r="3450" spans="1:12" ht="85.5">
      <c r="A3450" s="89" t="s">
        <v>998</v>
      </c>
      <c r="B3450" s="237">
        <v>112120502010</v>
      </c>
      <c r="C3450" s="89" t="s">
        <v>604</v>
      </c>
      <c r="D3450" s="89"/>
      <c r="E3450" s="236" t="s">
        <v>479</v>
      </c>
      <c r="F3450" s="236" t="s">
        <v>429</v>
      </c>
      <c r="G3450" s="236" t="s">
        <v>951</v>
      </c>
      <c r="H3450" s="238">
        <v>42278</v>
      </c>
      <c r="I3450" s="235">
        <v>42335</v>
      </c>
      <c r="J3450" s="136">
        <v>519.28</v>
      </c>
      <c r="K3450" s="89"/>
      <c r="L3450" s="89">
        <v>1</v>
      </c>
    </row>
    <row r="3451" spans="1:12" ht="85.5">
      <c r="A3451" s="89" t="s">
        <v>998</v>
      </c>
      <c r="B3451" s="237">
        <v>112120502010</v>
      </c>
      <c r="C3451" s="89" t="s">
        <v>604</v>
      </c>
      <c r="D3451" s="89"/>
      <c r="E3451" s="236" t="s">
        <v>479</v>
      </c>
      <c r="F3451" s="236" t="s">
        <v>429</v>
      </c>
      <c r="G3451" s="236" t="s">
        <v>952</v>
      </c>
      <c r="H3451" s="238">
        <v>42278</v>
      </c>
      <c r="I3451" s="235">
        <v>42338</v>
      </c>
      <c r="J3451" s="136">
        <v>124.85</v>
      </c>
      <c r="K3451" s="89"/>
      <c r="L3451" s="89">
        <v>1</v>
      </c>
    </row>
    <row r="3452" spans="1:12" ht="85.5">
      <c r="A3452" s="89" t="s">
        <v>998</v>
      </c>
      <c r="B3452" s="237">
        <v>112120502010</v>
      </c>
      <c r="C3452" s="89" t="s">
        <v>604</v>
      </c>
      <c r="D3452" s="89"/>
      <c r="E3452" s="236" t="s">
        <v>479</v>
      </c>
      <c r="F3452" s="236" t="s">
        <v>429</v>
      </c>
      <c r="G3452" s="236" t="s">
        <v>953</v>
      </c>
      <c r="H3452" s="238">
        <v>42278</v>
      </c>
      <c r="I3452" s="235">
        <v>42338</v>
      </c>
      <c r="J3452" s="136">
        <v>1880.02</v>
      </c>
      <c r="K3452" s="89"/>
      <c r="L3452" s="89">
        <v>1</v>
      </c>
    </row>
    <row r="3453" spans="1:12" ht="85.5">
      <c r="A3453" s="89" t="s">
        <v>998</v>
      </c>
      <c r="B3453" s="237">
        <v>112120502010</v>
      </c>
      <c r="C3453" s="89" t="s">
        <v>604</v>
      </c>
      <c r="D3453" s="89"/>
      <c r="E3453" s="236" t="s">
        <v>479</v>
      </c>
      <c r="F3453" s="236" t="s">
        <v>429</v>
      </c>
      <c r="G3453" s="236" t="s">
        <v>954</v>
      </c>
      <c r="H3453" s="238">
        <v>42278</v>
      </c>
      <c r="I3453" s="235">
        <v>42338</v>
      </c>
      <c r="J3453" s="136">
        <v>3874.76</v>
      </c>
      <c r="K3453" s="89"/>
      <c r="L3453" s="89">
        <v>1</v>
      </c>
    </row>
    <row r="3454" spans="1:12" ht="85.5">
      <c r="A3454" s="89" t="s">
        <v>628</v>
      </c>
      <c r="B3454" s="237">
        <v>112120502010</v>
      </c>
      <c r="C3454" s="89" t="s">
        <v>629</v>
      </c>
      <c r="D3454" s="89"/>
      <c r="E3454" s="236" t="s">
        <v>479</v>
      </c>
      <c r="F3454" s="236" t="s">
        <v>429</v>
      </c>
      <c r="G3454" s="236" t="s">
        <v>946</v>
      </c>
      <c r="H3454" s="238">
        <v>42278</v>
      </c>
      <c r="I3454" s="235">
        <v>42335</v>
      </c>
      <c r="J3454" s="136">
        <v>9158.1</v>
      </c>
      <c r="K3454" s="89"/>
      <c r="L3454" s="89">
        <v>1</v>
      </c>
    </row>
    <row r="3455" spans="1:12" ht="85.5">
      <c r="A3455" s="89" t="s">
        <v>628</v>
      </c>
      <c r="B3455" s="237">
        <v>112120502010</v>
      </c>
      <c r="C3455" s="89" t="s">
        <v>629</v>
      </c>
      <c r="D3455" s="89"/>
      <c r="E3455" s="236" t="s">
        <v>479</v>
      </c>
      <c r="F3455" s="236" t="s">
        <v>429</v>
      </c>
      <c r="G3455" s="236" t="s">
        <v>947</v>
      </c>
      <c r="H3455" s="238">
        <v>42278</v>
      </c>
      <c r="I3455" s="235">
        <v>42338</v>
      </c>
      <c r="J3455" s="136">
        <v>2765.54</v>
      </c>
      <c r="K3455" s="89"/>
      <c r="L3455" s="89">
        <v>1</v>
      </c>
    </row>
    <row r="3456" spans="1:12" ht="85.5">
      <c r="A3456" s="89" t="s">
        <v>628</v>
      </c>
      <c r="B3456" s="237">
        <v>112120502010</v>
      </c>
      <c r="C3456" s="89" t="s">
        <v>629</v>
      </c>
      <c r="D3456" s="89"/>
      <c r="E3456" s="236" t="s">
        <v>479</v>
      </c>
      <c r="F3456" s="236" t="s">
        <v>429</v>
      </c>
      <c r="G3456" s="236" t="s">
        <v>948</v>
      </c>
      <c r="H3456" s="238">
        <v>42278</v>
      </c>
      <c r="I3456" s="235">
        <v>42338</v>
      </c>
      <c r="J3456" s="136">
        <v>120.17</v>
      </c>
      <c r="K3456" s="89"/>
      <c r="L3456" s="89">
        <v>1</v>
      </c>
    </row>
    <row r="3457" spans="1:12" ht="85.5">
      <c r="A3457" s="89" t="s">
        <v>628</v>
      </c>
      <c r="B3457" s="237">
        <v>112120502010</v>
      </c>
      <c r="C3457" s="89" t="s">
        <v>629</v>
      </c>
      <c r="D3457" s="89"/>
      <c r="E3457" s="236" t="s">
        <v>479</v>
      </c>
      <c r="F3457" s="236" t="s">
        <v>429</v>
      </c>
      <c r="G3457" s="236" t="s">
        <v>949</v>
      </c>
      <c r="H3457" s="238">
        <v>42278</v>
      </c>
      <c r="I3457" s="235">
        <v>42338</v>
      </c>
      <c r="J3457" s="136">
        <v>1111.29</v>
      </c>
      <c r="K3457" s="89"/>
      <c r="L3457" s="89">
        <v>1</v>
      </c>
    </row>
    <row r="3458" spans="1:12" ht="85.5">
      <c r="A3458" s="89" t="s">
        <v>999</v>
      </c>
      <c r="B3458" s="237">
        <v>112120502010</v>
      </c>
      <c r="C3458" s="89" t="s">
        <v>629</v>
      </c>
      <c r="D3458" s="89"/>
      <c r="E3458" s="236" t="s">
        <v>479</v>
      </c>
      <c r="F3458" s="236" t="s">
        <v>429</v>
      </c>
      <c r="G3458" s="236" t="s">
        <v>951</v>
      </c>
      <c r="H3458" s="238">
        <v>42278</v>
      </c>
      <c r="I3458" s="235">
        <v>42335</v>
      </c>
      <c r="J3458" s="136">
        <v>626.63</v>
      </c>
      <c r="K3458" s="89"/>
      <c r="L3458" s="89">
        <v>1</v>
      </c>
    </row>
    <row r="3459" spans="1:12" ht="85.5">
      <c r="A3459" s="89" t="s">
        <v>999</v>
      </c>
      <c r="B3459" s="237">
        <v>112120502010</v>
      </c>
      <c r="C3459" s="89" t="s">
        <v>629</v>
      </c>
      <c r="D3459" s="89"/>
      <c r="E3459" s="236" t="s">
        <v>479</v>
      </c>
      <c r="F3459" s="236" t="s">
        <v>429</v>
      </c>
      <c r="G3459" s="236" t="s">
        <v>952</v>
      </c>
      <c r="H3459" s="238">
        <v>42278</v>
      </c>
      <c r="I3459" s="235">
        <v>42338</v>
      </c>
      <c r="J3459" s="136">
        <v>150.66</v>
      </c>
      <c r="K3459" s="89"/>
      <c r="L3459" s="89">
        <v>1</v>
      </c>
    </row>
    <row r="3460" spans="1:12" ht="85.5">
      <c r="A3460" s="89" t="s">
        <v>999</v>
      </c>
      <c r="B3460" s="237">
        <v>112120502010</v>
      </c>
      <c r="C3460" s="89" t="s">
        <v>629</v>
      </c>
      <c r="D3460" s="89"/>
      <c r="E3460" s="236" t="s">
        <v>479</v>
      </c>
      <c r="F3460" s="236" t="s">
        <v>429</v>
      </c>
      <c r="G3460" s="236" t="s">
        <v>953</v>
      </c>
      <c r="H3460" s="238">
        <v>42278</v>
      </c>
      <c r="I3460" s="235">
        <v>42338</v>
      </c>
      <c r="J3460" s="136">
        <v>2268.6799999999998</v>
      </c>
      <c r="K3460" s="89"/>
      <c r="L3460" s="89">
        <v>1</v>
      </c>
    </row>
    <row r="3461" spans="1:12" ht="85.5">
      <c r="A3461" s="89" t="s">
        <v>999</v>
      </c>
      <c r="B3461" s="237">
        <v>112120502010</v>
      </c>
      <c r="C3461" s="89" t="s">
        <v>629</v>
      </c>
      <c r="D3461" s="89"/>
      <c r="E3461" s="236" t="s">
        <v>479</v>
      </c>
      <c r="F3461" s="236" t="s">
        <v>429</v>
      </c>
      <c r="G3461" s="236" t="s">
        <v>954</v>
      </c>
      <c r="H3461" s="238">
        <v>42278</v>
      </c>
      <c r="I3461" s="235">
        <v>42338</v>
      </c>
      <c r="J3461" s="136">
        <v>4675.8</v>
      </c>
      <c r="K3461" s="89"/>
      <c r="L3461" s="89">
        <v>1</v>
      </c>
    </row>
    <row r="3462" spans="1:12" ht="85.5">
      <c r="A3462" s="89" t="s">
        <v>641</v>
      </c>
      <c r="B3462" s="237">
        <v>112120502010</v>
      </c>
      <c r="C3462" s="89" t="s">
        <v>640</v>
      </c>
      <c r="D3462" s="89"/>
      <c r="E3462" s="236" t="s">
        <v>479</v>
      </c>
      <c r="F3462" s="236" t="s">
        <v>429</v>
      </c>
      <c r="G3462" s="236" t="s">
        <v>946</v>
      </c>
      <c r="H3462" s="238">
        <v>42278</v>
      </c>
      <c r="I3462" s="235">
        <v>42335</v>
      </c>
      <c r="J3462" s="136">
        <v>14038.53</v>
      </c>
      <c r="K3462" s="89"/>
      <c r="L3462" s="89">
        <v>1</v>
      </c>
    </row>
    <row r="3463" spans="1:12" ht="85.5">
      <c r="A3463" s="89" t="s">
        <v>641</v>
      </c>
      <c r="B3463" s="237">
        <v>112120502010</v>
      </c>
      <c r="C3463" s="89" t="s">
        <v>640</v>
      </c>
      <c r="D3463" s="89"/>
      <c r="E3463" s="236" t="s">
        <v>479</v>
      </c>
      <c r="F3463" s="236" t="s">
        <v>429</v>
      </c>
      <c r="G3463" s="236" t="s">
        <v>947</v>
      </c>
      <c r="H3463" s="238">
        <v>42278</v>
      </c>
      <c r="I3463" s="235">
        <v>42338</v>
      </c>
      <c r="J3463" s="136">
        <v>4239.32</v>
      </c>
      <c r="K3463" s="89"/>
      <c r="L3463" s="89">
        <v>1</v>
      </c>
    </row>
    <row r="3464" spans="1:12" ht="85.5">
      <c r="A3464" s="89" t="s">
        <v>641</v>
      </c>
      <c r="B3464" s="237">
        <v>112120502010</v>
      </c>
      <c r="C3464" s="89" t="s">
        <v>640</v>
      </c>
      <c r="D3464" s="89"/>
      <c r="E3464" s="236" t="s">
        <v>479</v>
      </c>
      <c r="F3464" s="236" t="s">
        <v>429</v>
      </c>
      <c r="G3464" s="236" t="s">
        <v>948</v>
      </c>
      <c r="H3464" s="238">
        <v>42278</v>
      </c>
      <c r="I3464" s="235">
        <v>42338</v>
      </c>
      <c r="J3464" s="136">
        <v>184.2</v>
      </c>
      <c r="K3464" s="89"/>
      <c r="L3464" s="89">
        <v>1</v>
      </c>
    </row>
    <row r="3465" spans="1:12" ht="85.5">
      <c r="A3465" s="89" t="s">
        <v>641</v>
      </c>
      <c r="B3465" s="237">
        <v>112120502010</v>
      </c>
      <c r="C3465" s="89" t="s">
        <v>640</v>
      </c>
      <c r="D3465" s="89"/>
      <c r="E3465" s="236" t="s">
        <v>479</v>
      </c>
      <c r="F3465" s="236" t="s">
        <v>429</v>
      </c>
      <c r="G3465" s="236" t="s">
        <v>949</v>
      </c>
      <c r="H3465" s="238">
        <v>42278</v>
      </c>
      <c r="I3465" s="235">
        <v>42338</v>
      </c>
      <c r="J3465" s="136">
        <v>1703.5</v>
      </c>
      <c r="K3465" s="89"/>
      <c r="L3465" s="89">
        <v>1</v>
      </c>
    </row>
    <row r="3466" spans="1:12" ht="85.5">
      <c r="A3466" s="89" t="s">
        <v>1000</v>
      </c>
      <c r="B3466" s="237">
        <v>112120502010</v>
      </c>
      <c r="C3466" s="89" t="s">
        <v>640</v>
      </c>
      <c r="D3466" s="89"/>
      <c r="E3466" s="236" t="s">
        <v>479</v>
      </c>
      <c r="F3466" s="236" t="s">
        <v>429</v>
      </c>
      <c r="G3466" s="236" t="s">
        <v>951</v>
      </c>
      <c r="H3466" s="238">
        <v>42278</v>
      </c>
      <c r="I3466" s="235">
        <v>42335</v>
      </c>
      <c r="J3466" s="136">
        <v>960.56</v>
      </c>
      <c r="K3466" s="89"/>
      <c r="L3466" s="89">
        <v>1</v>
      </c>
    </row>
    <row r="3467" spans="1:12" ht="85.5">
      <c r="A3467" s="89" t="s">
        <v>1000</v>
      </c>
      <c r="B3467" s="237">
        <v>112120502010</v>
      </c>
      <c r="C3467" s="89" t="s">
        <v>640</v>
      </c>
      <c r="D3467" s="89"/>
      <c r="E3467" s="236" t="s">
        <v>479</v>
      </c>
      <c r="F3467" s="236" t="s">
        <v>429</v>
      </c>
      <c r="G3467" s="236" t="s">
        <v>952</v>
      </c>
      <c r="H3467" s="238">
        <v>42278</v>
      </c>
      <c r="I3467" s="235">
        <v>42338</v>
      </c>
      <c r="J3467" s="136">
        <v>230.94</v>
      </c>
      <c r="K3467" s="89"/>
      <c r="L3467" s="89">
        <v>1</v>
      </c>
    </row>
    <row r="3468" spans="1:12" ht="85.5">
      <c r="A3468" s="89" t="s">
        <v>1000</v>
      </c>
      <c r="B3468" s="237">
        <v>112120502010</v>
      </c>
      <c r="C3468" s="89" t="s">
        <v>640</v>
      </c>
      <c r="D3468" s="89"/>
      <c r="E3468" s="236" t="s">
        <v>479</v>
      </c>
      <c r="F3468" s="236" t="s">
        <v>429</v>
      </c>
      <c r="G3468" s="236" t="s">
        <v>953</v>
      </c>
      <c r="H3468" s="238">
        <v>42278</v>
      </c>
      <c r="I3468" s="235">
        <v>42338</v>
      </c>
      <c r="J3468" s="136">
        <v>3477.67</v>
      </c>
      <c r="K3468" s="89"/>
      <c r="L3468" s="89">
        <v>1</v>
      </c>
    </row>
    <row r="3469" spans="1:12" ht="85.5">
      <c r="A3469" s="89" t="s">
        <v>1000</v>
      </c>
      <c r="B3469" s="237">
        <v>112120502010</v>
      </c>
      <c r="C3469" s="89" t="s">
        <v>640</v>
      </c>
      <c r="D3469" s="89"/>
      <c r="E3469" s="236" t="s">
        <v>479</v>
      </c>
      <c r="F3469" s="236" t="s">
        <v>429</v>
      </c>
      <c r="G3469" s="236" t="s">
        <v>954</v>
      </c>
      <c r="H3469" s="238">
        <v>42278</v>
      </c>
      <c r="I3469" s="235">
        <v>42338</v>
      </c>
      <c r="J3469" s="136">
        <v>7167.57</v>
      </c>
      <c r="K3469" s="89"/>
      <c r="L3469" s="89">
        <v>1</v>
      </c>
    </row>
    <row r="3470" spans="1:12" ht="85.5">
      <c r="A3470" s="89" t="s">
        <v>646</v>
      </c>
      <c r="B3470" s="237">
        <v>112120502010</v>
      </c>
      <c r="C3470" s="89" t="s">
        <v>645</v>
      </c>
      <c r="D3470" s="89"/>
      <c r="E3470" s="236" t="s">
        <v>479</v>
      </c>
      <c r="F3470" s="236" t="s">
        <v>429</v>
      </c>
      <c r="G3470" s="236" t="s">
        <v>946</v>
      </c>
      <c r="H3470" s="238">
        <v>42278</v>
      </c>
      <c r="I3470" s="235">
        <v>42335</v>
      </c>
      <c r="J3470" s="136">
        <v>3848.93</v>
      </c>
      <c r="K3470" s="89"/>
      <c r="L3470" s="89">
        <v>1</v>
      </c>
    </row>
    <row r="3471" spans="1:12" ht="85.5">
      <c r="A3471" s="89" t="s">
        <v>646</v>
      </c>
      <c r="B3471" s="237">
        <v>112120502010</v>
      </c>
      <c r="C3471" s="89" t="s">
        <v>645</v>
      </c>
      <c r="D3471" s="89"/>
      <c r="E3471" s="236" t="s">
        <v>479</v>
      </c>
      <c r="F3471" s="236" t="s">
        <v>429</v>
      </c>
      <c r="G3471" s="236" t="s">
        <v>947</v>
      </c>
      <c r="H3471" s="238">
        <v>42278</v>
      </c>
      <c r="I3471" s="235">
        <v>42338</v>
      </c>
      <c r="J3471" s="136">
        <v>1162.29</v>
      </c>
      <c r="K3471" s="89"/>
      <c r="L3471" s="89">
        <v>1</v>
      </c>
    </row>
    <row r="3472" spans="1:12" ht="85.5">
      <c r="A3472" s="89" t="s">
        <v>646</v>
      </c>
      <c r="B3472" s="237">
        <v>112120502010</v>
      </c>
      <c r="C3472" s="89" t="s">
        <v>645</v>
      </c>
      <c r="D3472" s="89"/>
      <c r="E3472" s="236" t="s">
        <v>479</v>
      </c>
      <c r="F3472" s="236" t="s">
        <v>429</v>
      </c>
      <c r="G3472" s="236" t="s">
        <v>948</v>
      </c>
      <c r="H3472" s="238">
        <v>42278</v>
      </c>
      <c r="I3472" s="235">
        <v>42338</v>
      </c>
      <c r="J3472" s="136">
        <v>50.5</v>
      </c>
      <c r="K3472" s="89"/>
      <c r="L3472" s="89">
        <v>1</v>
      </c>
    </row>
    <row r="3473" spans="1:12" ht="85.5">
      <c r="A3473" s="89" t="s">
        <v>646</v>
      </c>
      <c r="B3473" s="237">
        <v>112120502010</v>
      </c>
      <c r="C3473" s="89" t="s">
        <v>645</v>
      </c>
      <c r="D3473" s="89"/>
      <c r="E3473" s="236" t="s">
        <v>479</v>
      </c>
      <c r="F3473" s="236" t="s">
        <v>429</v>
      </c>
      <c r="G3473" s="236" t="s">
        <v>949</v>
      </c>
      <c r="H3473" s="238">
        <v>42278</v>
      </c>
      <c r="I3473" s="235">
        <v>42338</v>
      </c>
      <c r="J3473" s="136">
        <v>467.05</v>
      </c>
      <c r="K3473" s="89"/>
      <c r="L3473" s="89">
        <v>1</v>
      </c>
    </row>
    <row r="3474" spans="1:12" ht="85.5">
      <c r="A3474" s="89" t="s">
        <v>1001</v>
      </c>
      <c r="B3474" s="237">
        <v>112120502010</v>
      </c>
      <c r="C3474" s="89" t="s">
        <v>645</v>
      </c>
      <c r="D3474" s="89"/>
      <c r="E3474" s="236" t="s">
        <v>479</v>
      </c>
      <c r="F3474" s="236" t="s">
        <v>429</v>
      </c>
      <c r="G3474" s="236" t="s">
        <v>951</v>
      </c>
      <c r="H3474" s="238">
        <v>42278</v>
      </c>
      <c r="I3474" s="235">
        <v>42335</v>
      </c>
      <c r="J3474" s="136">
        <v>263.36</v>
      </c>
      <c r="K3474" s="89"/>
      <c r="L3474" s="89">
        <v>1</v>
      </c>
    </row>
    <row r="3475" spans="1:12" ht="85.5">
      <c r="A3475" s="89" t="s">
        <v>1001</v>
      </c>
      <c r="B3475" s="237">
        <v>112120502010</v>
      </c>
      <c r="C3475" s="89" t="s">
        <v>645</v>
      </c>
      <c r="D3475" s="89"/>
      <c r="E3475" s="236" t="s">
        <v>479</v>
      </c>
      <c r="F3475" s="236" t="s">
        <v>429</v>
      </c>
      <c r="G3475" s="236" t="s">
        <v>952</v>
      </c>
      <c r="H3475" s="238">
        <v>42278</v>
      </c>
      <c r="I3475" s="235">
        <v>42338</v>
      </c>
      <c r="J3475" s="136">
        <v>63.32</v>
      </c>
      <c r="K3475" s="89"/>
      <c r="L3475" s="89">
        <v>1</v>
      </c>
    </row>
    <row r="3476" spans="1:12" ht="85.5">
      <c r="A3476" s="89" t="s">
        <v>1001</v>
      </c>
      <c r="B3476" s="237">
        <v>112120502010</v>
      </c>
      <c r="C3476" s="89" t="s">
        <v>645</v>
      </c>
      <c r="D3476" s="89"/>
      <c r="E3476" s="236" t="s">
        <v>479</v>
      </c>
      <c r="F3476" s="236" t="s">
        <v>429</v>
      </c>
      <c r="G3476" s="236" t="s">
        <v>953</v>
      </c>
      <c r="H3476" s="238">
        <v>42278</v>
      </c>
      <c r="I3476" s="235">
        <v>42338</v>
      </c>
      <c r="J3476" s="136">
        <v>953.47</v>
      </c>
      <c r="K3476" s="89"/>
      <c r="L3476" s="89">
        <v>1</v>
      </c>
    </row>
    <row r="3477" spans="1:12" ht="85.5">
      <c r="A3477" s="89" t="s">
        <v>1001</v>
      </c>
      <c r="B3477" s="237">
        <v>112120502010</v>
      </c>
      <c r="C3477" s="89" t="s">
        <v>645</v>
      </c>
      <c r="D3477" s="89"/>
      <c r="E3477" s="236" t="s">
        <v>479</v>
      </c>
      <c r="F3477" s="236" t="s">
        <v>429</v>
      </c>
      <c r="G3477" s="236" t="s">
        <v>954</v>
      </c>
      <c r="H3477" s="238">
        <v>42278</v>
      </c>
      <c r="I3477" s="235">
        <v>42338</v>
      </c>
      <c r="J3477" s="136">
        <v>1965.12</v>
      </c>
      <c r="K3477" s="89"/>
      <c r="L3477" s="89">
        <v>1</v>
      </c>
    </row>
    <row r="3478" spans="1:12" ht="85.5">
      <c r="A3478" s="89" t="s">
        <v>649</v>
      </c>
      <c r="B3478" s="237">
        <v>112120502010</v>
      </c>
      <c r="C3478" s="89" t="s">
        <v>650</v>
      </c>
      <c r="D3478" s="89"/>
      <c r="E3478" s="236" t="s">
        <v>479</v>
      </c>
      <c r="F3478" s="236" t="s">
        <v>429</v>
      </c>
      <c r="G3478" s="236" t="s">
        <v>946</v>
      </c>
      <c r="H3478" s="238">
        <v>42278</v>
      </c>
      <c r="I3478" s="235">
        <v>42335</v>
      </c>
      <c r="J3478" s="136">
        <v>7686.65</v>
      </c>
      <c r="K3478" s="89"/>
      <c r="L3478" s="89">
        <v>1</v>
      </c>
    </row>
    <row r="3479" spans="1:12" ht="85.5">
      <c r="A3479" s="89" t="s">
        <v>649</v>
      </c>
      <c r="B3479" s="237">
        <v>112120502010</v>
      </c>
      <c r="C3479" s="89" t="s">
        <v>650</v>
      </c>
      <c r="D3479" s="89"/>
      <c r="E3479" s="236" t="s">
        <v>479</v>
      </c>
      <c r="F3479" s="236" t="s">
        <v>429</v>
      </c>
      <c r="G3479" s="236" t="s">
        <v>947</v>
      </c>
      <c r="H3479" s="238">
        <v>42278</v>
      </c>
      <c r="I3479" s="235">
        <v>42338</v>
      </c>
      <c r="J3479" s="136">
        <v>2321.19</v>
      </c>
      <c r="K3479" s="89"/>
      <c r="L3479" s="89">
        <v>1</v>
      </c>
    </row>
    <row r="3480" spans="1:12" ht="85.5">
      <c r="A3480" s="89" t="s">
        <v>649</v>
      </c>
      <c r="B3480" s="237">
        <v>112120502010</v>
      </c>
      <c r="C3480" s="89" t="s">
        <v>650</v>
      </c>
      <c r="D3480" s="89"/>
      <c r="E3480" s="236" t="s">
        <v>479</v>
      </c>
      <c r="F3480" s="236" t="s">
        <v>429</v>
      </c>
      <c r="G3480" s="236" t="s">
        <v>948</v>
      </c>
      <c r="H3480" s="238">
        <v>42278</v>
      </c>
      <c r="I3480" s="235">
        <v>42338</v>
      </c>
      <c r="J3480" s="136">
        <v>100.86</v>
      </c>
      <c r="K3480" s="89"/>
      <c r="L3480" s="89">
        <v>1</v>
      </c>
    </row>
    <row r="3481" spans="1:12" ht="85.5">
      <c r="A3481" s="89" t="s">
        <v>649</v>
      </c>
      <c r="B3481" s="237">
        <v>112120502010</v>
      </c>
      <c r="C3481" s="89" t="s">
        <v>650</v>
      </c>
      <c r="D3481" s="89"/>
      <c r="E3481" s="236" t="s">
        <v>479</v>
      </c>
      <c r="F3481" s="236" t="s">
        <v>429</v>
      </c>
      <c r="G3481" s="236" t="s">
        <v>949</v>
      </c>
      <c r="H3481" s="238">
        <v>42278</v>
      </c>
      <c r="I3481" s="235">
        <v>42338</v>
      </c>
      <c r="J3481" s="136">
        <v>932.74</v>
      </c>
      <c r="K3481" s="89"/>
      <c r="L3481" s="89">
        <v>1</v>
      </c>
    </row>
    <row r="3482" spans="1:12" ht="85.5">
      <c r="A3482" s="89" t="s">
        <v>1002</v>
      </c>
      <c r="B3482" s="237">
        <v>112120502010</v>
      </c>
      <c r="C3482" s="89" t="s">
        <v>650</v>
      </c>
      <c r="D3482" s="89"/>
      <c r="E3482" s="236" t="s">
        <v>479</v>
      </c>
      <c r="F3482" s="236" t="s">
        <v>429</v>
      </c>
      <c r="G3482" s="236" t="s">
        <v>951</v>
      </c>
      <c r="H3482" s="238">
        <v>42278</v>
      </c>
      <c r="I3482" s="235">
        <v>42335</v>
      </c>
      <c r="J3482" s="136">
        <v>525.94000000000005</v>
      </c>
      <c r="K3482" s="89"/>
      <c r="L3482" s="89">
        <v>1</v>
      </c>
    </row>
    <row r="3483" spans="1:12" ht="85.5">
      <c r="A3483" s="89" t="s">
        <v>1002</v>
      </c>
      <c r="B3483" s="237">
        <v>112120502010</v>
      </c>
      <c r="C3483" s="89" t="s">
        <v>650</v>
      </c>
      <c r="D3483" s="89"/>
      <c r="E3483" s="236" t="s">
        <v>479</v>
      </c>
      <c r="F3483" s="236" t="s">
        <v>429</v>
      </c>
      <c r="G3483" s="236" t="s">
        <v>952</v>
      </c>
      <c r="H3483" s="238">
        <v>42278</v>
      </c>
      <c r="I3483" s="235">
        <v>42338</v>
      </c>
      <c r="J3483" s="136">
        <v>126.45</v>
      </c>
      <c r="K3483" s="89"/>
      <c r="L3483" s="89">
        <v>1</v>
      </c>
    </row>
    <row r="3484" spans="1:12" ht="85.5">
      <c r="A3484" s="89" t="s">
        <v>1002</v>
      </c>
      <c r="B3484" s="237">
        <v>112120502010</v>
      </c>
      <c r="C3484" s="89" t="s">
        <v>650</v>
      </c>
      <c r="D3484" s="89"/>
      <c r="E3484" s="236" t="s">
        <v>479</v>
      </c>
      <c r="F3484" s="236" t="s">
        <v>429</v>
      </c>
      <c r="G3484" s="236" t="s">
        <v>953</v>
      </c>
      <c r="H3484" s="238">
        <v>42278</v>
      </c>
      <c r="I3484" s="235">
        <v>42338</v>
      </c>
      <c r="J3484" s="136">
        <v>1904.16</v>
      </c>
      <c r="K3484" s="89"/>
      <c r="L3484" s="89">
        <v>1</v>
      </c>
    </row>
    <row r="3485" spans="1:12" ht="85.5">
      <c r="A3485" s="89" t="s">
        <v>1002</v>
      </c>
      <c r="B3485" s="237">
        <v>112120502010</v>
      </c>
      <c r="C3485" s="89" t="s">
        <v>650</v>
      </c>
      <c r="D3485" s="89"/>
      <c r="E3485" s="236" t="s">
        <v>479</v>
      </c>
      <c r="F3485" s="236" t="s">
        <v>429</v>
      </c>
      <c r="G3485" s="236" t="s">
        <v>954</v>
      </c>
      <c r="H3485" s="238">
        <v>42278</v>
      </c>
      <c r="I3485" s="235">
        <v>42338</v>
      </c>
      <c r="J3485" s="136">
        <v>3924.53</v>
      </c>
      <c r="K3485" s="89"/>
      <c r="L3485" s="89">
        <v>1</v>
      </c>
    </row>
    <row r="3486" spans="1:12" ht="85.5">
      <c r="A3486" s="89" t="s">
        <v>658</v>
      </c>
      <c r="B3486" s="237">
        <v>112120502010</v>
      </c>
      <c r="C3486" s="89" t="s">
        <v>659</v>
      </c>
      <c r="D3486" s="89"/>
      <c r="E3486" s="236" t="s">
        <v>479</v>
      </c>
      <c r="F3486" s="236" t="s">
        <v>429</v>
      </c>
      <c r="G3486" s="236" t="s">
        <v>946</v>
      </c>
      <c r="H3486" s="238">
        <v>42278</v>
      </c>
      <c r="I3486" s="235">
        <v>42335</v>
      </c>
      <c r="J3486" s="136">
        <v>8147.71</v>
      </c>
      <c r="K3486" s="89"/>
      <c r="L3486" s="89">
        <v>1</v>
      </c>
    </row>
    <row r="3487" spans="1:12" ht="85.5">
      <c r="A3487" s="89" t="s">
        <v>658</v>
      </c>
      <c r="B3487" s="237">
        <v>112120502010</v>
      </c>
      <c r="C3487" s="89" t="s">
        <v>659</v>
      </c>
      <c r="D3487" s="89"/>
      <c r="E3487" s="236" t="s">
        <v>479</v>
      </c>
      <c r="F3487" s="236" t="s">
        <v>429</v>
      </c>
      <c r="G3487" s="236" t="s">
        <v>947</v>
      </c>
      <c r="H3487" s="238">
        <v>42278</v>
      </c>
      <c r="I3487" s="235">
        <v>42338</v>
      </c>
      <c r="J3487" s="136">
        <v>2495.21</v>
      </c>
      <c r="K3487" s="89"/>
      <c r="L3487" s="89">
        <v>1</v>
      </c>
    </row>
    <row r="3488" spans="1:12" ht="85.5">
      <c r="A3488" s="89" t="s">
        <v>658</v>
      </c>
      <c r="B3488" s="237">
        <v>112120502010</v>
      </c>
      <c r="C3488" s="89" t="s">
        <v>659</v>
      </c>
      <c r="D3488" s="89"/>
      <c r="E3488" s="236" t="s">
        <v>479</v>
      </c>
      <c r="F3488" s="236" t="s">
        <v>429</v>
      </c>
      <c r="G3488" s="236" t="s">
        <v>948</v>
      </c>
      <c r="H3488" s="238">
        <v>42278</v>
      </c>
      <c r="I3488" s="235">
        <v>42338</v>
      </c>
      <c r="J3488" s="136">
        <v>108.43</v>
      </c>
      <c r="K3488" s="89"/>
      <c r="L3488" s="89">
        <v>1</v>
      </c>
    </row>
    <row r="3489" spans="1:12" ht="85.5">
      <c r="A3489" s="89" t="s">
        <v>658</v>
      </c>
      <c r="B3489" s="237">
        <v>112120502010</v>
      </c>
      <c r="C3489" s="89" t="s">
        <v>659</v>
      </c>
      <c r="D3489" s="89"/>
      <c r="E3489" s="236" t="s">
        <v>479</v>
      </c>
      <c r="F3489" s="236" t="s">
        <v>429</v>
      </c>
      <c r="G3489" s="236" t="s">
        <v>949</v>
      </c>
      <c r="H3489" s="238">
        <v>42278</v>
      </c>
      <c r="I3489" s="235">
        <v>42338</v>
      </c>
      <c r="J3489" s="136">
        <v>1002.65</v>
      </c>
      <c r="K3489" s="89"/>
      <c r="L3489" s="89">
        <v>1</v>
      </c>
    </row>
    <row r="3490" spans="1:12" ht="85.5">
      <c r="A3490" s="89" t="s">
        <v>1003</v>
      </c>
      <c r="B3490" s="237">
        <v>112120502010</v>
      </c>
      <c r="C3490" s="89" t="s">
        <v>659</v>
      </c>
      <c r="D3490" s="89"/>
      <c r="E3490" s="236" t="s">
        <v>479</v>
      </c>
      <c r="F3490" s="236" t="s">
        <v>429</v>
      </c>
      <c r="G3490" s="236" t="s">
        <v>951</v>
      </c>
      <c r="H3490" s="238">
        <v>42278</v>
      </c>
      <c r="I3490" s="235">
        <v>42335</v>
      </c>
      <c r="J3490" s="136">
        <v>565.37</v>
      </c>
      <c r="K3490" s="89"/>
      <c r="L3490" s="89">
        <v>1</v>
      </c>
    </row>
    <row r="3491" spans="1:12" ht="85.5">
      <c r="A3491" s="89" t="s">
        <v>1003</v>
      </c>
      <c r="B3491" s="237">
        <v>112120502010</v>
      </c>
      <c r="C3491" s="89" t="s">
        <v>659</v>
      </c>
      <c r="D3491" s="89"/>
      <c r="E3491" s="236" t="s">
        <v>479</v>
      </c>
      <c r="F3491" s="236" t="s">
        <v>429</v>
      </c>
      <c r="G3491" s="236" t="s">
        <v>952</v>
      </c>
      <c r="H3491" s="238">
        <v>42278</v>
      </c>
      <c r="I3491" s="235">
        <v>42338</v>
      </c>
      <c r="J3491" s="136">
        <v>135.93</v>
      </c>
      <c r="K3491" s="89"/>
      <c r="L3491" s="89">
        <v>1</v>
      </c>
    </row>
    <row r="3492" spans="1:12" ht="85.5">
      <c r="A3492" s="89" t="s">
        <v>1003</v>
      </c>
      <c r="B3492" s="237">
        <v>112120502010</v>
      </c>
      <c r="C3492" s="89" t="s">
        <v>659</v>
      </c>
      <c r="D3492" s="89"/>
      <c r="E3492" s="236" t="s">
        <v>479</v>
      </c>
      <c r="F3492" s="236" t="s">
        <v>429</v>
      </c>
      <c r="G3492" s="236" t="s">
        <v>953</v>
      </c>
      <c r="H3492" s="238">
        <v>42278</v>
      </c>
      <c r="I3492" s="235">
        <v>42338</v>
      </c>
      <c r="J3492" s="136">
        <v>2046.95</v>
      </c>
      <c r="K3492" s="89"/>
      <c r="L3492" s="89">
        <v>1</v>
      </c>
    </row>
    <row r="3493" spans="1:12" ht="85.5">
      <c r="A3493" s="89" t="s">
        <v>1003</v>
      </c>
      <c r="B3493" s="237">
        <v>112120502010</v>
      </c>
      <c r="C3493" s="89" t="s">
        <v>659</v>
      </c>
      <c r="D3493" s="89"/>
      <c r="E3493" s="236" t="s">
        <v>479</v>
      </c>
      <c r="F3493" s="236" t="s">
        <v>429</v>
      </c>
      <c r="G3493" s="236" t="s">
        <v>954</v>
      </c>
      <c r="H3493" s="238">
        <v>42278</v>
      </c>
      <c r="I3493" s="235">
        <v>42338</v>
      </c>
      <c r="J3493" s="136">
        <v>4218.75</v>
      </c>
      <c r="K3493" s="89"/>
      <c r="L3493" s="89">
        <v>1</v>
      </c>
    </row>
    <row r="3494" spans="1:12" ht="85.5">
      <c r="A3494" s="89" t="s">
        <v>543</v>
      </c>
      <c r="B3494" s="237">
        <v>112120502010</v>
      </c>
      <c r="C3494" s="89" t="s">
        <v>544</v>
      </c>
      <c r="D3494" s="89"/>
      <c r="E3494" s="236" t="s">
        <v>479</v>
      </c>
      <c r="F3494" s="236" t="s">
        <v>429</v>
      </c>
      <c r="G3494" s="236" t="s">
        <v>946</v>
      </c>
      <c r="H3494" s="238">
        <v>42278</v>
      </c>
      <c r="I3494" s="235">
        <v>42335</v>
      </c>
      <c r="J3494" s="136">
        <v>6196.15</v>
      </c>
      <c r="K3494" s="89"/>
      <c r="L3494" s="89">
        <v>1</v>
      </c>
    </row>
    <row r="3495" spans="1:12" ht="85.5">
      <c r="A3495" s="89" t="s">
        <v>543</v>
      </c>
      <c r="B3495" s="237">
        <v>112120502010</v>
      </c>
      <c r="C3495" s="89" t="s">
        <v>544</v>
      </c>
      <c r="D3495" s="89"/>
      <c r="E3495" s="236" t="s">
        <v>479</v>
      </c>
      <c r="F3495" s="236" t="s">
        <v>429</v>
      </c>
      <c r="G3495" s="236" t="s">
        <v>947</v>
      </c>
      <c r="H3495" s="238">
        <v>42278</v>
      </c>
      <c r="I3495" s="235">
        <v>42338</v>
      </c>
      <c r="J3495" s="136">
        <v>1871.1</v>
      </c>
      <c r="K3495" s="89"/>
      <c r="L3495" s="89">
        <v>1</v>
      </c>
    </row>
    <row r="3496" spans="1:12" ht="85.5">
      <c r="A3496" s="89" t="s">
        <v>543</v>
      </c>
      <c r="B3496" s="237">
        <v>112120502010</v>
      </c>
      <c r="C3496" s="89" t="s">
        <v>544</v>
      </c>
      <c r="D3496" s="89"/>
      <c r="E3496" s="236" t="s">
        <v>479</v>
      </c>
      <c r="F3496" s="236" t="s">
        <v>429</v>
      </c>
      <c r="G3496" s="236" t="s">
        <v>948</v>
      </c>
      <c r="H3496" s="238">
        <v>42278</v>
      </c>
      <c r="I3496" s="235">
        <v>42338</v>
      </c>
      <c r="J3496" s="136">
        <v>81.3</v>
      </c>
      <c r="K3496" s="89"/>
      <c r="L3496" s="89">
        <v>1</v>
      </c>
    </row>
    <row r="3497" spans="1:12" ht="85.5">
      <c r="A3497" s="89" t="s">
        <v>543</v>
      </c>
      <c r="B3497" s="237">
        <v>112120502010</v>
      </c>
      <c r="C3497" s="89" t="s">
        <v>544</v>
      </c>
      <c r="D3497" s="89"/>
      <c r="E3497" s="236" t="s">
        <v>479</v>
      </c>
      <c r="F3497" s="236" t="s">
        <v>429</v>
      </c>
      <c r="G3497" s="236" t="s">
        <v>949</v>
      </c>
      <c r="H3497" s="238">
        <v>42278</v>
      </c>
      <c r="I3497" s="235">
        <v>42338</v>
      </c>
      <c r="J3497" s="136">
        <v>751.87</v>
      </c>
      <c r="K3497" s="89"/>
      <c r="L3497" s="89">
        <v>1</v>
      </c>
    </row>
    <row r="3498" spans="1:12" ht="85.5">
      <c r="A3498" s="89" t="s">
        <v>1004</v>
      </c>
      <c r="B3498" s="237">
        <v>112120502010</v>
      </c>
      <c r="C3498" s="89" t="s">
        <v>544</v>
      </c>
      <c r="D3498" s="89"/>
      <c r="E3498" s="236" t="s">
        <v>479</v>
      </c>
      <c r="F3498" s="236" t="s">
        <v>429</v>
      </c>
      <c r="G3498" s="236" t="s">
        <v>951</v>
      </c>
      <c r="H3498" s="238">
        <v>42278</v>
      </c>
      <c r="I3498" s="235">
        <v>42335</v>
      </c>
      <c r="J3498" s="136">
        <v>423.96</v>
      </c>
      <c r="K3498" s="89"/>
      <c r="L3498" s="89">
        <v>1</v>
      </c>
    </row>
    <row r="3499" spans="1:12" ht="85.5">
      <c r="A3499" s="89" t="s">
        <v>1004</v>
      </c>
      <c r="B3499" s="237">
        <v>112120502010</v>
      </c>
      <c r="C3499" s="89" t="s">
        <v>544</v>
      </c>
      <c r="D3499" s="89"/>
      <c r="E3499" s="236" t="s">
        <v>479</v>
      </c>
      <c r="F3499" s="236" t="s">
        <v>429</v>
      </c>
      <c r="G3499" s="236" t="s">
        <v>952</v>
      </c>
      <c r="H3499" s="238">
        <v>42278</v>
      </c>
      <c r="I3499" s="235">
        <v>42338</v>
      </c>
      <c r="J3499" s="136">
        <v>101.93</v>
      </c>
      <c r="K3499" s="89"/>
      <c r="L3499" s="89">
        <v>1</v>
      </c>
    </row>
    <row r="3500" spans="1:12" ht="85.5">
      <c r="A3500" s="89" t="s">
        <v>1004</v>
      </c>
      <c r="B3500" s="237">
        <v>112120502010</v>
      </c>
      <c r="C3500" s="89" t="s">
        <v>544</v>
      </c>
      <c r="D3500" s="89"/>
      <c r="E3500" s="236" t="s">
        <v>479</v>
      </c>
      <c r="F3500" s="236" t="s">
        <v>429</v>
      </c>
      <c r="G3500" s="236" t="s">
        <v>953</v>
      </c>
      <c r="H3500" s="238">
        <v>42278</v>
      </c>
      <c r="I3500" s="235">
        <v>42338</v>
      </c>
      <c r="J3500" s="136">
        <v>1534.93</v>
      </c>
      <c r="K3500" s="89"/>
      <c r="L3500" s="89">
        <v>1</v>
      </c>
    </row>
    <row r="3501" spans="1:12" ht="85.5">
      <c r="A3501" s="89" t="s">
        <v>1004</v>
      </c>
      <c r="B3501" s="237">
        <v>112120502010</v>
      </c>
      <c r="C3501" s="89" t="s">
        <v>544</v>
      </c>
      <c r="D3501" s="89"/>
      <c r="E3501" s="236" t="s">
        <v>479</v>
      </c>
      <c r="F3501" s="236" t="s">
        <v>429</v>
      </c>
      <c r="G3501" s="236" t="s">
        <v>954</v>
      </c>
      <c r="H3501" s="238">
        <v>42278</v>
      </c>
      <c r="I3501" s="235">
        <v>42338</v>
      </c>
      <c r="J3501" s="136">
        <v>3163.53</v>
      </c>
      <c r="K3501" s="89"/>
      <c r="L3501" s="89">
        <v>1</v>
      </c>
    </row>
    <row r="3502" spans="1:12" ht="85.5">
      <c r="A3502" s="89" t="s">
        <v>555</v>
      </c>
      <c r="B3502" s="237">
        <v>112120502010</v>
      </c>
      <c r="C3502" s="89" t="s">
        <v>556</v>
      </c>
      <c r="D3502" s="89"/>
      <c r="E3502" s="236" t="s">
        <v>479</v>
      </c>
      <c r="F3502" s="236" t="s">
        <v>429</v>
      </c>
      <c r="G3502" s="236" t="s">
        <v>946</v>
      </c>
      <c r="H3502" s="238">
        <v>42278</v>
      </c>
      <c r="I3502" s="235">
        <v>42335</v>
      </c>
      <c r="J3502" s="136">
        <v>4996.58</v>
      </c>
      <c r="K3502" s="89"/>
      <c r="L3502" s="89">
        <v>1</v>
      </c>
    </row>
    <row r="3503" spans="1:12" ht="85.5">
      <c r="A3503" s="89" t="s">
        <v>555</v>
      </c>
      <c r="B3503" s="237">
        <v>112120502010</v>
      </c>
      <c r="C3503" s="89" t="s">
        <v>556</v>
      </c>
      <c r="D3503" s="89"/>
      <c r="E3503" s="236" t="s">
        <v>479</v>
      </c>
      <c r="F3503" s="236" t="s">
        <v>429</v>
      </c>
      <c r="G3503" s="236" t="s">
        <v>947</v>
      </c>
      <c r="H3503" s="238">
        <v>42278</v>
      </c>
      <c r="I3503" s="235">
        <v>42338</v>
      </c>
      <c r="J3503" s="136">
        <v>1508.85</v>
      </c>
      <c r="K3503" s="89"/>
      <c r="L3503" s="89">
        <v>1</v>
      </c>
    </row>
    <row r="3504" spans="1:12" ht="85.5">
      <c r="A3504" s="89" t="s">
        <v>555</v>
      </c>
      <c r="B3504" s="237">
        <v>112120502010</v>
      </c>
      <c r="C3504" s="89" t="s">
        <v>556</v>
      </c>
      <c r="D3504" s="89"/>
      <c r="E3504" s="236" t="s">
        <v>479</v>
      </c>
      <c r="F3504" s="236" t="s">
        <v>429</v>
      </c>
      <c r="G3504" s="236" t="s">
        <v>948</v>
      </c>
      <c r="H3504" s="238">
        <v>42278</v>
      </c>
      <c r="I3504" s="235">
        <v>42338</v>
      </c>
      <c r="J3504" s="136">
        <v>65.56</v>
      </c>
      <c r="K3504" s="89"/>
      <c r="L3504" s="89">
        <v>1</v>
      </c>
    </row>
    <row r="3505" spans="1:12" ht="85.5">
      <c r="A3505" s="89" t="s">
        <v>555</v>
      </c>
      <c r="B3505" s="237">
        <v>112120502010</v>
      </c>
      <c r="C3505" s="89" t="s">
        <v>556</v>
      </c>
      <c r="D3505" s="89"/>
      <c r="E3505" s="236" t="s">
        <v>479</v>
      </c>
      <c r="F3505" s="236" t="s">
        <v>429</v>
      </c>
      <c r="G3505" s="236" t="s">
        <v>949</v>
      </c>
      <c r="H3505" s="238">
        <v>42278</v>
      </c>
      <c r="I3505" s="235">
        <v>42338</v>
      </c>
      <c r="J3505" s="136">
        <v>606.30999999999995</v>
      </c>
      <c r="K3505" s="89"/>
      <c r="L3505" s="89">
        <v>1</v>
      </c>
    </row>
    <row r="3506" spans="1:12" ht="85.5">
      <c r="A3506" s="89" t="s">
        <v>1005</v>
      </c>
      <c r="B3506" s="237">
        <v>112120502010</v>
      </c>
      <c r="C3506" s="89" t="s">
        <v>556</v>
      </c>
      <c r="D3506" s="89"/>
      <c r="E3506" s="236" t="s">
        <v>479</v>
      </c>
      <c r="F3506" s="236" t="s">
        <v>429</v>
      </c>
      <c r="G3506" s="236" t="s">
        <v>951</v>
      </c>
      <c r="H3506" s="238">
        <v>42278</v>
      </c>
      <c r="I3506" s="235">
        <v>42335</v>
      </c>
      <c r="J3506" s="136">
        <v>341.88</v>
      </c>
      <c r="K3506" s="89"/>
      <c r="L3506" s="89">
        <v>1</v>
      </c>
    </row>
    <row r="3507" spans="1:12" ht="85.5">
      <c r="A3507" s="89" t="s">
        <v>1005</v>
      </c>
      <c r="B3507" s="237">
        <v>112120502010</v>
      </c>
      <c r="C3507" s="89" t="s">
        <v>556</v>
      </c>
      <c r="D3507" s="89"/>
      <c r="E3507" s="236" t="s">
        <v>479</v>
      </c>
      <c r="F3507" s="236" t="s">
        <v>429</v>
      </c>
      <c r="G3507" s="236" t="s">
        <v>952</v>
      </c>
      <c r="H3507" s="238">
        <v>42278</v>
      </c>
      <c r="I3507" s="235">
        <v>42338</v>
      </c>
      <c r="J3507" s="136">
        <v>82.2</v>
      </c>
      <c r="K3507" s="89"/>
      <c r="L3507" s="89">
        <v>1</v>
      </c>
    </row>
    <row r="3508" spans="1:12" ht="85.5">
      <c r="A3508" s="89" t="s">
        <v>1005</v>
      </c>
      <c r="B3508" s="237">
        <v>112120502010</v>
      </c>
      <c r="C3508" s="89" t="s">
        <v>556</v>
      </c>
      <c r="D3508" s="89"/>
      <c r="E3508" s="236" t="s">
        <v>479</v>
      </c>
      <c r="F3508" s="236" t="s">
        <v>429</v>
      </c>
      <c r="G3508" s="236" t="s">
        <v>953</v>
      </c>
      <c r="H3508" s="238">
        <v>42278</v>
      </c>
      <c r="I3508" s="235">
        <v>42338</v>
      </c>
      <c r="J3508" s="136">
        <v>1237.77</v>
      </c>
      <c r="K3508" s="89"/>
      <c r="L3508" s="89">
        <v>1</v>
      </c>
    </row>
    <row r="3509" spans="1:12" ht="85.5">
      <c r="A3509" s="89" t="s">
        <v>1005</v>
      </c>
      <c r="B3509" s="237">
        <v>112120502010</v>
      </c>
      <c r="C3509" s="89" t="s">
        <v>556</v>
      </c>
      <c r="D3509" s="89"/>
      <c r="E3509" s="236" t="s">
        <v>479</v>
      </c>
      <c r="F3509" s="236" t="s">
        <v>429</v>
      </c>
      <c r="G3509" s="236" t="s">
        <v>954</v>
      </c>
      <c r="H3509" s="238">
        <v>42278</v>
      </c>
      <c r="I3509" s="235">
        <v>42338</v>
      </c>
      <c r="J3509" s="136">
        <v>2551.08</v>
      </c>
      <c r="K3509" s="89"/>
      <c r="L3509" s="89">
        <v>1</v>
      </c>
    </row>
    <row r="3510" spans="1:12" ht="85.5">
      <c r="A3510" s="89" t="s">
        <v>561</v>
      </c>
      <c r="B3510" s="237">
        <v>112120502010</v>
      </c>
      <c r="C3510" s="89" t="s">
        <v>559</v>
      </c>
      <c r="D3510" s="89"/>
      <c r="E3510" s="236" t="s">
        <v>479</v>
      </c>
      <c r="F3510" s="236" t="s">
        <v>429</v>
      </c>
      <c r="G3510" s="236" t="s">
        <v>946</v>
      </c>
      <c r="H3510" s="238">
        <v>42278</v>
      </c>
      <c r="I3510" s="235">
        <v>42335</v>
      </c>
      <c r="J3510" s="136">
        <v>4282.5200000000004</v>
      </c>
      <c r="K3510" s="89"/>
      <c r="L3510" s="89">
        <v>1</v>
      </c>
    </row>
    <row r="3511" spans="1:12" ht="85.5">
      <c r="A3511" s="89" t="s">
        <v>561</v>
      </c>
      <c r="B3511" s="237">
        <v>112120502010</v>
      </c>
      <c r="C3511" s="89" t="s">
        <v>559</v>
      </c>
      <c r="D3511" s="89"/>
      <c r="E3511" s="236" t="s">
        <v>479</v>
      </c>
      <c r="F3511" s="236" t="s">
        <v>429</v>
      </c>
      <c r="G3511" s="236" t="s">
        <v>947</v>
      </c>
      <c r="H3511" s="238">
        <v>42278</v>
      </c>
      <c r="I3511" s="235">
        <v>42338</v>
      </c>
      <c r="J3511" s="136">
        <v>1293.22</v>
      </c>
      <c r="K3511" s="89"/>
      <c r="L3511" s="89">
        <v>1</v>
      </c>
    </row>
    <row r="3512" spans="1:12" ht="85.5">
      <c r="A3512" s="89" t="s">
        <v>561</v>
      </c>
      <c r="B3512" s="237">
        <v>112120502010</v>
      </c>
      <c r="C3512" s="89" t="s">
        <v>559</v>
      </c>
      <c r="D3512" s="89"/>
      <c r="E3512" s="236" t="s">
        <v>479</v>
      </c>
      <c r="F3512" s="236" t="s">
        <v>429</v>
      </c>
      <c r="G3512" s="236" t="s">
        <v>948</v>
      </c>
      <c r="H3512" s="238">
        <v>42278</v>
      </c>
      <c r="I3512" s="235">
        <v>42338</v>
      </c>
      <c r="J3512" s="136">
        <v>56.19</v>
      </c>
      <c r="K3512" s="89"/>
      <c r="L3512" s="89">
        <v>1</v>
      </c>
    </row>
    <row r="3513" spans="1:12" ht="85.5">
      <c r="A3513" s="89" t="s">
        <v>561</v>
      </c>
      <c r="B3513" s="237">
        <v>112120502010</v>
      </c>
      <c r="C3513" s="89" t="s">
        <v>559</v>
      </c>
      <c r="D3513" s="89"/>
      <c r="E3513" s="236" t="s">
        <v>479</v>
      </c>
      <c r="F3513" s="236" t="s">
        <v>429</v>
      </c>
      <c r="G3513" s="236" t="s">
        <v>949</v>
      </c>
      <c r="H3513" s="238">
        <v>42278</v>
      </c>
      <c r="I3513" s="235">
        <v>42338</v>
      </c>
      <c r="J3513" s="136">
        <v>519.66</v>
      </c>
      <c r="K3513" s="89"/>
      <c r="L3513" s="89">
        <v>1</v>
      </c>
    </row>
    <row r="3514" spans="1:12" ht="85.5">
      <c r="A3514" s="89" t="s">
        <v>1006</v>
      </c>
      <c r="B3514" s="237">
        <v>112120502010</v>
      </c>
      <c r="C3514" s="89" t="s">
        <v>559</v>
      </c>
      <c r="D3514" s="89"/>
      <c r="E3514" s="236" t="s">
        <v>479</v>
      </c>
      <c r="F3514" s="236" t="s">
        <v>429</v>
      </c>
      <c r="G3514" s="236" t="s">
        <v>951</v>
      </c>
      <c r="H3514" s="238">
        <v>42278</v>
      </c>
      <c r="I3514" s="235">
        <v>42335</v>
      </c>
      <c r="J3514" s="136">
        <v>293.02</v>
      </c>
      <c r="K3514" s="89"/>
      <c r="L3514" s="89">
        <v>1</v>
      </c>
    </row>
    <row r="3515" spans="1:12" ht="85.5">
      <c r="A3515" s="89" t="s">
        <v>1006</v>
      </c>
      <c r="B3515" s="237">
        <v>112120502010</v>
      </c>
      <c r="C3515" s="89" t="s">
        <v>559</v>
      </c>
      <c r="D3515" s="89"/>
      <c r="E3515" s="236" t="s">
        <v>479</v>
      </c>
      <c r="F3515" s="236" t="s">
        <v>429</v>
      </c>
      <c r="G3515" s="236" t="s">
        <v>952</v>
      </c>
      <c r="H3515" s="238">
        <v>42278</v>
      </c>
      <c r="I3515" s="235">
        <v>42338</v>
      </c>
      <c r="J3515" s="136">
        <v>70.45</v>
      </c>
      <c r="K3515" s="89"/>
      <c r="L3515" s="89">
        <v>1</v>
      </c>
    </row>
    <row r="3516" spans="1:12" ht="85.5">
      <c r="A3516" s="89" t="s">
        <v>1006</v>
      </c>
      <c r="B3516" s="237">
        <v>112120502010</v>
      </c>
      <c r="C3516" s="89" t="s">
        <v>559</v>
      </c>
      <c r="D3516" s="89"/>
      <c r="E3516" s="236" t="s">
        <v>479</v>
      </c>
      <c r="F3516" s="236" t="s">
        <v>429</v>
      </c>
      <c r="G3516" s="236" t="s">
        <v>953</v>
      </c>
      <c r="H3516" s="238">
        <v>42278</v>
      </c>
      <c r="I3516" s="235">
        <v>42338</v>
      </c>
      <c r="J3516" s="136">
        <v>1060.8800000000001</v>
      </c>
      <c r="K3516" s="89"/>
      <c r="L3516" s="89">
        <v>1</v>
      </c>
    </row>
    <row r="3517" spans="1:12" ht="85.5">
      <c r="A3517" s="89" t="s">
        <v>1006</v>
      </c>
      <c r="B3517" s="237">
        <v>112120502010</v>
      </c>
      <c r="C3517" s="89" t="s">
        <v>559</v>
      </c>
      <c r="D3517" s="89"/>
      <c r="E3517" s="236" t="s">
        <v>479</v>
      </c>
      <c r="F3517" s="236" t="s">
        <v>429</v>
      </c>
      <c r="G3517" s="236" t="s">
        <v>954</v>
      </c>
      <c r="H3517" s="238">
        <v>42278</v>
      </c>
      <c r="I3517" s="235">
        <v>42338</v>
      </c>
      <c r="J3517" s="136">
        <v>2186.5</v>
      </c>
      <c r="K3517" s="89"/>
      <c r="L3517" s="89">
        <v>1</v>
      </c>
    </row>
    <row r="3518" spans="1:12" ht="85.5">
      <c r="A3518" s="89" t="s">
        <v>562</v>
      </c>
      <c r="B3518" s="237">
        <v>112120502010</v>
      </c>
      <c r="C3518" s="89" t="s">
        <v>563</v>
      </c>
      <c r="D3518" s="89"/>
      <c r="E3518" s="236" t="s">
        <v>479</v>
      </c>
      <c r="F3518" s="236" t="s">
        <v>429</v>
      </c>
      <c r="G3518" s="236" t="s">
        <v>946</v>
      </c>
      <c r="H3518" s="238">
        <v>42278</v>
      </c>
      <c r="I3518" s="235">
        <v>42335</v>
      </c>
      <c r="J3518" s="136">
        <v>14930.37</v>
      </c>
      <c r="K3518" s="89"/>
      <c r="L3518" s="89">
        <v>1</v>
      </c>
    </row>
    <row r="3519" spans="1:12" ht="85.5">
      <c r="A3519" s="89" t="s">
        <v>562</v>
      </c>
      <c r="B3519" s="237">
        <v>112120502010</v>
      </c>
      <c r="C3519" s="89" t="s">
        <v>563</v>
      </c>
      <c r="D3519" s="89"/>
      <c r="E3519" s="236" t="s">
        <v>479</v>
      </c>
      <c r="F3519" s="236" t="s">
        <v>429</v>
      </c>
      <c r="G3519" s="236" t="s">
        <v>947</v>
      </c>
      <c r="H3519" s="238">
        <v>42278</v>
      </c>
      <c r="I3519" s="235">
        <v>42338</v>
      </c>
      <c r="J3519" s="136">
        <v>4508.63</v>
      </c>
      <c r="K3519" s="89"/>
      <c r="L3519" s="89">
        <v>1</v>
      </c>
    </row>
    <row r="3520" spans="1:12" ht="85.5">
      <c r="A3520" s="89" t="s">
        <v>562</v>
      </c>
      <c r="B3520" s="237">
        <v>112120502010</v>
      </c>
      <c r="C3520" s="89" t="s">
        <v>563</v>
      </c>
      <c r="D3520" s="89"/>
      <c r="E3520" s="236" t="s">
        <v>479</v>
      </c>
      <c r="F3520" s="236" t="s">
        <v>429</v>
      </c>
      <c r="G3520" s="236" t="s">
        <v>948</v>
      </c>
      <c r="H3520" s="238">
        <v>42278</v>
      </c>
      <c r="I3520" s="235">
        <v>42338</v>
      </c>
      <c r="J3520" s="136">
        <v>195.91</v>
      </c>
      <c r="K3520" s="89"/>
      <c r="L3520" s="89">
        <v>1</v>
      </c>
    </row>
    <row r="3521" spans="1:12" ht="85.5">
      <c r="A3521" s="89" t="s">
        <v>562</v>
      </c>
      <c r="B3521" s="237">
        <v>112120502010</v>
      </c>
      <c r="C3521" s="89" t="s">
        <v>563</v>
      </c>
      <c r="D3521" s="89"/>
      <c r="E3521" s="236" t="s">
        <v>479</v>
      </c>
      <c r="F3521" s="236" t="s">
        <v>429</v>
      </c>
      <c r="G3521" s="236" t="s">
        <v>949</v>
      </c>
      <c r="H3521" s="238">
        <v>42278</v>
      </c>
      <c r="I3521" s="235">
        <v>42338</v>
      </c>
      <c r="J3521" s="136">
        <v>1811.72</v>
      </c>
      <c r="K3521" s="89"/>
      <c r="L3521" s="89">
        <v>1</v>
      </c>
    </row>
    <row r="3522" spans="1:12" ht="85.5">
      <c r="A3522" s="89" t="s">
        <v>1007</v>
      </c>
      <c r="B3522" s="237">
        <v>112120502010</v>
      </c>
      <c r="C3522" s="89" t="s">
        <v>563</v>
      </c>
      <c r="D3522" s="89"/>
      <c r="E3522" s="236" t="s">
        <v>479</v>
      </c>
      <c r="F3522" s="236" t="s">
        <v>429</v>
      </c>
      <c r="G3522" s="236" t="s">
        <v>951</v>
      </c>
      <c r="H3522" s="238">
        <v>42278</v>
      </c>
      <c r="I3522" s="235">
        <v>42335</v>
      </c>
      <c r="J3522" s="136">
        <v>1021.58</v>
      </c>
      <c r="K3522" s="89"/>
      <c r="L3522" s="89">
        <v>1</v>
      </c>
    </row>
    <row r="3523" spans="1:12" ht="85.5">
      <c r="A3523" s="89" t="s">
        <v>1007</v>
      </c>
      <c r="B3523" s="237">
        <v>112120502010</v>
      </c>
      <c r="C3523" s="89" t="s">
        <v>563</v>
      </c>
      <c r="D3523" s="89"/>
      <c r="E3523" s="236" t="s">
        <v>479</v>
      </c>
      <c r="F3523" s="236" t="s">
        <v>429</v>
      </c>
      <c r="G3523" s="236" t="s">
        <v>952</v>
      </c>
      <c r="H3523" s="238">
        <v>42278</v>
      </c>
      <c r="I3523" s="235">
        <v>42338</v>
      </c>
      <c r="J3523" s="136">
        <v>245.62</v>
      </c>
      <c r="K3523" s="89"/>
      <c r="L3523" s="89">
        <v>1</v>
      </c>
    </row>
    <row r="3524" spans="1:12" ht="85.5">
      <c r="A3524" s="89" t="s">
        <v>1007</v>
      </c>
      <c r="B3524" s="237">
        <v>112120502010</v>
      </c>
      <c r="C3524" s="89" t="s">
        <v>563</v>
      </c>
      <c r="D3524" s="89"/>
      <c r="E3524" s="236" t="s">
        <v>479</v>
      </c>
      <c r="F3524" s="236" t="s">
        <v>429</v>
      </c>
      <c r="G3524" s="236" t="s">
        <v>953</v>
      </c>
      <c r="H3524" s="238">
        <v>42278</v>
      </c>
      <c r="I3524" s="235">
        <v>42338</v>
      </c>
      <c r="J3524" s="136">
        <v>3698.6</v>
      </c>
      <c r="K3524" s="89"/>
      <c r="L3524" s="89">
        <v>1</v>
      </c>
    </row>
    <row r="3525" spans="1:12" ht="85.5">
      <c r="A3525" s="89" t="s">
        <v>1007</v>
      </c>
      <c r="B3525" s="237">
        <v>112120502010</v>
      </c>
      <c r="C3525" s="89" t="s">
        <v>563</v>
      </c>
      <c r="D3525" s="89"/>
      <c r="E3525" s="236" t="s">
        <v>479</v>
      </c>
      <c r="F3525" s="236" t="s">
        <v>429</v>
      </c>
      <c r="G3525" s="236" t="s">
        <v>954</v>
      </c>
      <c r="H3525" s="238">
        <v>42278</v>
      </c>
      <c r="I3525" s="235">
        <v>42338</v>
      </c>
      <c r="J3525" s="136">
        <v>7622.91</v>
      </c>
      <c r="K3525" s="89"/>
      <c r="L3525" s="89">
        <v>1</v>
      </c>
    </row>
    <row r="3526" spans="1:12" ht="85.5">
      <c r="A3526" s="89" t="s">
        <v>565</v>
      </c>
      <c r="B3526" s="237">
        <v>112120502010</v>
      </c>
      <c r="C3526" s="89" t="s">
        <v>566</v>
      </c>
      <c r="D3526" s="89"/>
      <c r="E3526" s="236" t="s">
        <v>479</v>
      </c>
      <c r="F3526" s="236" t="s">
        <v>429</v>
      </c>
      <c r="G3526" s="236" t="s">
        <v>946</v>
      </c>
      <c r="H3526" s="238">
        <v>42278</v>
      </c>
      <c r="I3526" s="235">
        <v>42335</v>
      </c>
      <c r="J3526" s="136">
        <v>7981.68</v>
      </c>
      <c r="K3526" s="89"/>
      <c r="L3526" s="89">
        <v>1</v>
      </c>
    </row>
    <row r="3527" spans="1:12" ht="85.5">
      <c r="A3527" s="89" t="s">
        <v>565</v>
      </c>
      <c r="B3527" s="237">
        <v>112120502010</v>
      </c>
      <c r="C3527" s="89" t="s">
        <v>566</v>
      </c>
      <c r="D3527" s="89"/>
      <c r="E3527" s="236" t="s">
        <v>479</v>
      </c>
      <c r="F3527" s="236" t="s">
        <v>429</v>
      </c>
      <c r="G3527" s="236" t="s">
        <v>947</v>
      </c>
      <c r="H3527" s="238">
        <v>42278</v>
      </c>
      <c r="I3527" s="235">
        <v>42338</v>
      </c>
      <c r="J3527" s="136">
        <v>2410.29</v>
      </c>
      <c r="K3527" s="89"/>
      <c r="L3527" s="89">
        <v>1</v>
      </c>
    </row>
    <row r="3528" spans="1:12" ht="85.5">
      <c r="A3528" s="89" t="s">
        <v>565</v>
      </c>
      <c r="B3528" s="237">
        <v>112120502010</v>
      </c>
      <c r="C3528" s="89" t="s">
        <v>566</v>
      </c>
      <c r="D3528" s="89"/>
      <c r="E3528" s="236" t="s">
        <v>479</v>
      </c>
      <c r="F3528" s="236" t="s">
        <v>429</v>
      </c>
      <c r="G3528" s="236" t="s">
        <v>948</v>
      </c>
      <c r="H3528" s="238">
        <v>42278</v>
      </c>
      <c r="I3528" s="235">
        <v>42338</v>
      </c>
      <c r="J3528" s="136">
        <v>104.73</v>
      </c>
      <c r="K3528" s="89"/>
      <c r="L3528" s="89">
        <v>1</v>
      </c>
    </row>
    <row r="3529" spans="1:12" ht="85.5">
      <c r="A3529" s="89" t="s">
        <v>565</v>
      </c>
      <c r="B3529" s="237">
        <v>112120502010</v>
      </c>
      <c r="C3529" s="89" t="s">
        <v>566</v>
      </c>
      <c r="D3529" s="89"/>
      <c r="E3529" s="236" t="s">
        <v>479</v>
      </c>
      <c r="F3529" s="236" t="s">
        <v>429</v>
      </c>
      <c r="G3529" s="236" t="s">
        <v>949</v>
      </c>
      <c r="H3529" s="238">
        <v>42278</v>
      </c>
      <c r="I3529" s="235">
        <v>42338</v>
      </c>
      <c r="J3529" s="136">
        <v>968.54</v>
      </c>
      <c r="K3529" s="89"/>
      <c r="L3529" s="89">
        <v>1</v>
      </c>
    </row>
    <row r="3530" spans="1:12" ht="85.5">
      <c r="A3530" s="89" t="s">
        <v>1008</v>
      </c>
      <c r="B3530" s="237">
        <v>112120502010</v>
      </c>
      <c r="C3530" s="89" t="s">
        <v>566</v>
      </c>
      <c r="D3530" s="89"/>
      <c r="E3530" s="236" t="s">
        <v>479</v>
      </c>
      <c r="F3530" s="236" t="s">
        <v>429</v>
      </c>
      <c r="G3530" s="236" t="s">
        <v>951</v>
      </c>
      <c r="H3530" s="238">
        <v>42278</v>
      </c>
      <c r="I3530" s="235">
        <v>42335</v>
      </c>
      <c r="J3530" s="136">
        <v>546.13</v>
      </c>
      <c r="K3530" s="89"/>
      <c r="L3530" s="89">
        <v>1</v>
      </c>
    </row>
    <row r="3531" spans="1:12" ht="85.5">
      <c r="A3531" s="89" t="s">
        <v>1008</v>
      </c>
      <c r="B3531" s="237">
        <v>112120502010</v>
      </c>
      <c r="C3531" s="89" t="s">
        <v>566</v>
      </c>
      <c r="D3531" s="89"/>
      <c r="E3531" s="236" t="s">
        <v>479</v>
      </c>
      <c r="F3531" s="236" t="s">
        <v>429</v>
      </c>
      <c r="G3531" s="236" t="s">
        <v>952</v>
      </c>
      <c r="H3531" s="238">
        <v>42278</v>
      </c>
      <c r="I3531" s="235">
        <v>42338</v>
      </c>
      <c r="J3531" s="136">
        <v>131.30000000000001</v>
      </c>
      <c r="K3531" s="89"/>
      <c r="L3531" s="89">
        <v>1</v>
      </c>
    </row>
    <row r="3532" spans="1:12" ht="85.5">
      <c r="A3532" s="89" t="s">
        <v>1008</v>
      </c>
      <c r="B3532" s="237">
        <v>112120502010</v>
      </c>
      <c r="C3532" s="89" t="s">
        <v>566</v>
      </c>
      <c r="D3532" s="89"/>
      <c r="E3532" s="236" t="s">
        <v>479</v>
      </c>
      <c r="F3532" s="236" t="s">
        <v>429</v>
      </c>
      <c r="G3532" s="236" t="s">
        <v>953</v>
      </c>
      <c r="H3532" s="238">
        <v>42278</v>
      </c>
      <c r="I3532" s="235">
        <v>42338</v>
      </c>
      <c r="J3532" s="136">
        <v>1977.25</v>
      </c>
      <c r="K3532" s="89"/>
      <c r="L3532" s="89">
        <v>1</v>
      </c>
    </row>
    <row r="3533" spans="1:12" ht="85.5">
      <c r="A3533" s="89" t="s">
        <v>1008</v>
      </c>
      <c r="B3533" s="237">
        <v>112120502010</v>
      </c>
      <c r="C3533" s="89" t="s">
        <v>566</v>
      </c>
      <c r="D3533" s="89"/>
      <c r="E3533" s="236" t="s">
        <v>479</v>
      </c>
      <c r="F3533" s="236" t="s">
        <v>429</v>
      </c>
      <c r="G3533" s="236" t="s">
        <v>954</v>
      </c>
      <c r="H3533" s="238">
        <v>42278</v>
      </c>
      <c r="I3533" s="235">
        <v>42338</v>
      </c>
      <c r="J3533" s="136">
        <v>4075.16</v>
      </c>
      <c r="K3533" s="89"/>
      <c r="L3533" s="89">
        <v>1</v>
      </c>
    </row>
    <row r="3534" spans="1:12" ht="85.5">
      <c r="A3534" s="89" t="s">
        <v>568</v>
      </c>
      <c r="B3534" s="237">
        <v>112120502010</v>
      </c>
      <c r="C3534" s="89" t="s">
        <v>569</v>
      </c>
      <c r="D3534" s="89"/>
      <c r="E3534" s="236" t="s">
        <v>479</v>
      </c>
      <c r="F3534" s="236" t="s">
        <v>429</v>
      </c>
      <c r="G3534" s="236" t="s">
        <v>946</v>
      </c>
      <c r="H3534" s="238">
        <v>42278</v>
      </c>
      <c r="I3534" s="235">
        <v>42335</v>
      </c>
      <c r="J3534" s="136">
        <v>8059.74</v>
      </c>
      <c r="K3534" s="89"/>
      <c r="L3534" s="89">
        <v>1</v>
      </c>
    </row>
    <row r="3535" spans="1:12" ht="85.5">
      <c r="A3535" s="89" t="s">
        <v>568</v>
      </c>
      <c r="B3535" s="237">
        <v>112120502010</v>
      </c>
      <c r="C3535" s="89" t="s">
        <v>569</v>
      </c>
      <c r="D3535" s="89"/>
      <c r="E3535" s="236" t="s">
        <v>479</v>
      </c>
      <c r="F3535" s="236" t="s">
        <v>429</v>
      </c>
      <c r="G3535" s="236" t="s">
        <v>947</v>
      </c>
      <c r="H3535" s="238">
        <v>42278</v>
      </c>
      <c r="I3535" s="235">
        <v>42338</v>
      </c>
      <c r="J3535" s="136">
        <v>2433.86</v>
      </c>
      <c r="K3535" s="89"/>
      <c r="L3535" s="89">
        <v>1</v>
      </c>
    </row>
    <row r="3536" spans="1:12" ht="85.5">
      <c r="A3536" s="89" t="s">
        <v>568</v>
      </c>
      <c r="B3536" s="237">
        <v>112120502010</v>
      </c>
      <c r="C3536" s="89" t="s">
        <v>569</v>
      </c>
      <c r="D3536" s="89"/>
      <c r="E3536" s="236" t="s">
        <v>479</v>
      </c>
      <c r="F3536" s="236" t="s">
        <v>429</v>
      </c>
      <c r="G3536" s="236" t="s">
        <v>948</v>
      </c>
      <c r="H3536" s="238">
        <v>42278</v>
      </c>
      <c r="I3536" s="235">
        <v>42338</v>
      </c>
      <c r="J3536" s="136">
        <v>105.75</v>
      </c>
      <c r="K3536" s="89"/>
      <c r="L3536" s="89">
        <v>1</v>
      </c>
    </row>
    <row r="3537" spans="1:12" ht="85.5">
      <c r="A3537" s="89" t="s">
        <v>568</v>
      </c>
      <c r="B3537" s="237">
        <v>112120502010</v>
      </c>
      <c r="C3537" s="89" t="s">
        <v>569</v>
      </c>
      <c r="D3537" s="89"/>
      <c r="E3537" s="236" t="s">
        <v>479</v>
      </c>
      <c r="F3537" s="236" t="s">
        <v>429</v>
      </c>
      <c r="G3537" s="236" t="s">
        <v>949</v>
      </c>
      <c r="H3537" s="238">
        <v>42278</v>
      </c>
      <c r="I3537" s="235">
        <v>42338</v>
      </c>
      <c r="J3537" s="136">
        <v>978.01</v>
      </c>
      <c r="K3537" s="89"/>
      <c r="L3537" s="89">
        <v>1</v>
      </c>
    </row>
    <row r="3538" spans="1:12" ht="85.5">
      <c r="A3538" s="89" t="s">
        <v>1009</v>
      </c>
      <c r="B3538" s="237">
        <v>112120502010</v>
      </c>
      <c r="C3538" s="89" t="s">
        <v>569</v>
      </c>
      <c r="D3538" s="89"/>
      <c r="E3538" s="236" t="s">
        <v>479</v>
      </c>
      <c r="F3538" s="236" t="s">
        <v>429</v>
      </c>
      <c r="G3538" s="236" t="s">
        <v>951</v>
      </c>
      <c r="H3538" s="238">
        <v>42278</v>
      </c>
      <c r="I3538" s="235">
        <v>42335</v>
      </c>
      <c r="J3538" s="136">
        <v>551.47</v>
      </c>
      <c r="K3538" s="89"/>
      <c r="L3538" s="89">
        <v>1</v>
      </c>
    </row>
    <row r="3539" spans="1:12" ht="85.5">
      <c r="A3539" s="89" t="s">
        <v>1009</v>
      </c>
      <c r="B3539" s="237">
        <v>112120502010</v>
      </c>
      <c r="C3539" s="89" t="s">
        <v>569</v>
      </c>
      <c r="D3539" s="89"/>
      <c r="E3539" s="236" t="s">
        <v>479</v>
      </c>
      <c r="F3539" s="236" t="s">
        <v>429</v>
      </c>
      <c r="G3539" s="236" t="s">
        <v>952</v>
      </c>
      <c r="H3539" s="238">
        <v>42278</v>
      </c>
      <c r="I3539" s="235">
        <v>42338</v>
      </c>
      <c r="J3539" s="136">
        <v>132.59</v>
      </c>
      <c r="K3539" s="89"/>
      <c r="L3539" s="89">
        <v>1</v>
      </c>
    </row>
    <row r="3540" spans="1:12" ht="85.5">
      <c r="A3540" s="89" t="s">
        <v>1009</v>
      </c>
      <c r="B3540" s="237">
        <v>112120502010</v>
      </c>
      <c r="C3540" s="89" t="s">
        <v>569</v>
      </c>
      <c r="D3540" s="89"/>
      <c r="E3540" s="236" t="s">
        <v>479</v>
      </c>
      <c r="F3540" s="236" t="s">
        <v>429</v>
      </c>
      <c r="G3540" s="236" t="s">
        <v>953</v>
      </c>
      <c r="H3540" s="238">
        <v>42278</v>
      </c>
      <c r="I3540" s="235">
        <v>42338</v>
      </c>
      <c r="J3540" s="136">
        <v>1996.59</v>
      </c>
      <c r="K3540" s="89"/>
      <c r="L3540" s="89">
        <v>1</v>
      </c>
    </row>
    <row r="3541" spans="1:12" ht="85.5">
      <c r="A3541" s="89" t="s">
        <v>1009</v>
      </c>
      <c r="B3541" s="237">
        <v>112120502010</v>
      </c>
      <c r="C3541" s="89" t="s">
        <v>569</v>
      </c>
      <c r="D3541" s="89"/>
      <c r="E3541" s="236" t="s">
        <v>479</v>
      </c>
      <c r="F3541" s="236" t="s">
        <v>429</v>
      </c>
      <c r="G3541" s="236" t="s">
        <v>954</v>
      </c>
      <c r="H3541" s="238">
        <v>42278</v>
      </c>
      <c r="I3541" s="235">
        <v>42338</v>
      </c>
      <c r="J3541" s="136">
        <v>4115.01</v>
      </c>
      <c r="K3541" s="89"/>
      <c r="L3541" s="89">
        <v>1</v>
      </c>
    </row>
    <row r="3542" spans="1:12" ht="85.5">
      <c r="A3542" s="89" t="s">
        <v>574</v>
      </c>
      <c r="B3542" s="237">
        <v>112120502010</v>
      </c>
      <c r="C3542" s="89" t="s">
        <v>573</v>
      </c>
      <c r="D3542" s="89"/>
      <c r="E3542" s="236" t="s">
        <v>479</v>
      </c>
      <c r="F3542" s="236" t="s">
        <v>429</v>
      </c>
      <c r="G3542" s="236" t="s">
        <v>946</v>
      </c>
      <c r="H3542" s="238">
        <v>42278</v>
      </c>
      <c r="I3542" s="235">
        <v>42335</v>
      </c>
      <c r="J3542" s="136">
        <v>7906.99</v>
      </c>
      <c r="K3542" s="89"/>
      <c r="L3542" s="89">
        <v>1</v>
      </c>
    </row>
    <row r="3543" spans="1:12" ht="85.5">
      <c r="A3543" s="89" t="s">
        <v>574</v>
      </c>
      <c r="B3543" s="237">
        <v>112120502010</v>
      </c>
      <c r="C3543" s="89" t="s">
        <v>573</v>
      </c>
      <c r="D3543" s="89"/>
      <c r="E3543" s="236" t="s">
        <v>479</v>
      </c>
      <c r="F3543" s="236" t="s">
        <v>429</v>
      </c>
      <c r="G3543" s="236" t="s">
        <v>947</v>
      </c>
      <c r="H3543" s="238">
        <v>42278</v>
      </c>
      <c r="I3543" s="235">
        <v>42338</v>
      </c>
      <c r="J3543" s="136">
        <v>2387.73</v>
      </c>
      <c r="K3543" s="89"/>
      <c r="L3543" s="89">
        <v>1</v>
      </c>
    </row>
    <row r="3544" spans="1:12" ht="85.5">
      <c r="A3544" s="89" t="s">
        <v>574</v>
      </c>
      <c r="B3544" s="237">
        <v>112120502010</v>
      </c>
      <c r="C3544" s="89" t="s">
        <v>573</v>
      </c>
      <c r="D3544" s="89"/>
      <c r="E3544" s="236" t="s">
        <v>479</v>
      </c>
      <c r="F3544" s="236" t="s">
        <v>429</v>
      </c>
      <c r="G3544" s="236" t="s">
        <v>948</v>
      </c>
      <c r="H3544" s="238">
        <v>42278</v>
      </c>
      <c r="I3544" s="235">
        <v>42338</v>
      </c>
      <c r="J3544" s="136">
        <v>103.75</v>
      </c>
      <c r="K3544" s="89"/>
      <c r="L3544" s="89">
        <v>1</v>
      </c>
    </row>
    <row r="3545" spans="1:12" ht="85.5">
      <c r="A3545" s="89" t="s">
        <v>574</v>
      </c>
      <c r="B3545" s="237">
        <v>112120502010</v>
      </c>
      <c r="C3545" s="89" t="s">
        <v>573</v>
      </c>
      <c r="D3545" s="89"/>
      <c r="E3545" s="236" t="s">
        <v>479</v>
      </c>
      <c r="F3545" s="236" t="s">
        <v>429</v>
      </c>
      <c r="G3545" s="236" t="s">
        <v>949</v>
      </c>
      <c r="H3545" s="238">
        <v>42278</v>
      </c>
      <c r="I3545" s="235">
        <v>42338</v>
      </c>
      <c r="J3545" s="136">
        <v>959.47</v>
      </c>
      <c r="K3545" s="89"/>
      <c r="L3545" s="89">
        <v>1</v>
      </c>
    </row>
    <row r="3546" spans="1:12" ht="85.5">
      <c r="A3546" s="89" t="s">
        <v>1010</v>
      </c>
      <c r="B3546" s="237">
        <v>112120502010</v>
      </c>
      <c r="C3546" s="89" t="s">
        <v>573</v>
      </c>
      <c r="D3546" s="89"/>
      <c r="E3546" s="236" t="s">
        <v>479</v>
      </c>
      <c r="F3546" s="236" t="s">
        <v>429</v>
      </c>
      <c r="G3546" s="236" t="s">
        <v>951</v>
      </c>
      <c r="H3546" s="238">
        <v>42278</v>
      </c>
      <c r="I3546" s="235">
        <v>42335</v>
      </c>
      <c r="J3546" s="136">
        <v>541.02</v>
      </c>
      <c r="K3546" s="89"/>
      <c r="L3546" s="89">
        <v>1</v>
      </c>
    </row>
    <row r="3547" spans="1:12" ht="85.5">
      <c r="A3547" s="89" t="s">
        <v>1010</v>
      </c>
      <c r="B3547" s="237">
        <v>112120502010</v>
      </c>
      <c r="C3547" s="89" t="s">
        <v>573</v>
      </c>
      <c r="D3547" s="89"/>
      <c r="E3547" s="236" t="s">
        <v>479</v>
      </c>
      <c r="F3547" s="236" t="s">
        <v>429</v>
      </c>
      <c r="G3547" s="236" t="s">
        <v>952</v>
      </c>
      <c r="H3547" s="238">
        <v>42278</v>
      </c>
      <c r="I3547" s="235">
        <v>42338</v>
      </c>
      <c r="J3547" s="136">
        <v>130.08000000000001</v>
      </c>
      <c r="K3547" s="89"/>
      <c r="L3547" s="89">
        <v>1</v>
      </c>
    </row>
    <row r="3548" spans="1:12" ht="85.5">
      <c r="A3548" s="89" t="s">
        <v>1010</v>
      </c>
      <c r="B3548" s="237">
        <v>112120502010</v>
      </c>
      <c r="C3548" s="89" t="s">
        <v>573</v>
      </c>
      <c r="D3548" s="89"/>
      <c r="E3548" s="236" t="s">
        <v>479</v>
      </c>
      <c r="F3548" s="236" t="s">
        <v>429</v>
      </c>
      <c r="G3548" s="236" t="s">
        <v>953</v>
      </c>
      <c r="H3548" s="238">
        <v>42278</v>
      </c>
      <c r="I3548" s="235">
        <v>42338</v>
      </c>
      <c r="J3548" s="136">
        <v>1958.75</v>
      </c>
      <c r="K3548" s="89"/>
      <c r="L3548" s="89">
        <v>1</v>
      </c>
    </row>
    <row r="3549" spans="1:12" ht="85.5">
      <c r="A3549" s="89" t="s">
        <v>1010</v>
      </c>
      <c r="B3549" s="237">
        <v>112120502010</v>
      </c>
      <c r="C3549" s="89" t="s">
        <v>573</v>
      </c>
      <c r="D3549" s="89"/>
      <c r="E3549" s="236" t="s">
        <v>479</v>
      </c>
      <c r="F3549" s="236" t="s">
        <v>429</v>
      </c>
      <c r="G3549" s="236" t="s">
        <v>954</v>
      </c>
      <c r="H3549" s="238">
        <v>42278</v>
      </c>
      <c r="I3549" s="235">
        <v>42338</v>
      </c>
      <c r="J3549" s="136">
        <v>4037.03</v>
      </c>
      <c r="K3549" s="89"/>
      <c r="L3549" s="89">
        <v>1</v>
      </c>
    </row>
    <row r="3550" spans="1:12" ht="85.5">
      <c r="A3550" s="89" t="s">
        <v>583</v>
      </c>
      <c r="B3550" s="237">
        <v>112120502010</v>
      </c>
      <c r="C3550" s="89" t="s">
        <v>581</v>
      </c>
      <c r="D3550" s="89"/>
      <c r="E3550" s="236" t="s">
        <v>479</v>
      </c>
      <c r="F3550" s="236" t="s">
        <v>429</v>
      </c>
      <c r="G3550" s="236" t="s">
        <v>946</v>
      </c>
      <c r="H3550" s="238">
        <v>42278</v>
      </c>
      <c r="I3550" s="235">
        <v>42335</v>
      </c>
      <c r="J3550" s="136">
        <v>19879.150000000001</v>
      </c>
      <c r="K3550" s="89"/>
      <c r="L3550" s="89">
        <v>1</v>
      </c>
    </row>
    <row r="3551" spans="1:12" ht="85.5">
      <c r="A3551" s="89" t="s">
        <v>583</v>
      </c>
      <c r="B3551" s="237">
        <v>112120502010</v>
      </c>
      <c r="C3551" s="89" t="s">
        <v>581</v>
      </c>
      <c r="D3551" s="89"/>
      <c r="E3551" s="236" t="s">
        <v>479</v>
      </c>
      <c r="F3551" s="236" t="s">
        <v>429</v>
      </c>
      <c r="G3551" s="236" t="s">
        <v>947</v>
      </c>
      <c r="H3551" s="238">
        <v>42278</v>
      </c>
      <c r="I3551" s="235">
        <v>42338</v>
      </c>
      <c r="J3551" s="136">
        <v>6003.05</v>
      </c>
      <c r="K3551" s="89"/>
      <c r="L3551" s="89">
        <v>1</v>
      </c>
    </row>
    <row r="3552" spans="1:12" ht="85.5">
      <c r="A3552" s="89" t="s">
        <v>583</v>
      </c>
      <c r="B3552" s="237">
        <v>112120502010</v>
      </c>
      <c r="C3552" s="89" t="s">
        <v>581</v>
      </c>
      <c r="D3552" s="89"/>
      <c r="E3552" s="236" t="s">
        <v>479</v>
      </c>
      <c r="F3552" s="236" t="s">
        <v>429</v>
      </c>
      <c r="G3552" s="236" t="s">
        <v>948</v>
      </c>
      <c r="H3552" s="238">
        <v>42278</v>
      </c>
      <c r="I3552" s="235">
        <v>42338</v>
      </c>
      <c r="J3552" s="136">
        <v>260.83999999999997</v>
      </c>
      <c r="K3552" s="89"/>
      <c r="L3552" s="89">
        <v>1</v>
      </c>
    </row>
    <row r="3553" spans="1:12" ht="85.5">
      <c r="A3553" s="89" t="s">
        <v>583</v>
      </c>
      <c r="B3553" s="237">
        <v>112120502010</v>
      </c>
      <c r="C3553" s="89" t="s">
        <v>581</v>
      </c>
      <c r="D3553" s="89"/>
      <c r="E3553" s="236" t="s">
        <v>479</v>
      </c>
      <c r="F3553" s="236" t="s">
        <v>429</v>
      </c>
      <c r="G3553" s="236" t="s">
        <v>949</v>
      </c>
      <c r="H3553" s="238">
        <v>42278</v>
      </c>
      <c r="I3553" s="235">
        <v>42338</v>
      </c>
      <c r="J3553" s="136">
        <v>2412.23</v>
      </c>
      <c r="K3553" s="89"/>
      <c r="L3553" s="89">
        <v>1</v>
      </c>
    </row>
    <row r="3554" spans="1:12" ht="85.5">
      <c r="A3554" s="89" t="s">
        <v>1011</v>
      </c>
      <c r="B3554" s="237">
        <v>112120502010</v>
      </c>
      <c r="C3554" s="89" t="s">
        <v>581</v>
      </c>
      <c r="D3554" s="89"/>
      <c r="E3554" s="236" t="s">
        <v>479</v>
      </c>
      <c r="F3554" s="236" t="s">
        <v>429</v>
      </c>
      <c r="G3554" s="236" t="s">
        <v>951</v>
      </c>
      <c r="H3554" s="238">
        <v>42278</v>
      </c>
      <c r="I3554" s="235">
        <v>42335</v>
      </c>
      <c r="J3554" s="136">
        <v>1360.19</v>
      </c>
      <c r="K3554" s="89"/>
      <c r="L3554" s="89">
        <v>1</v>
      </c>
    </row>
    <row r="3555" spans="1:12" ht="85.5">
      <c r="A3555" s="89" t="s">
        <v>1011</v>
      </c>
      <c r="B3555" s="237">
        <v>112120502010</v>
      </c>
      <c r="C3555" s="89" t="s">
        <v>581</v>
      </c>
      <c r="D3555" s="89"/>
      <c r="E3555" s="236" t="s">
        <v>479</v>
      </c>
      <c r="F3555" s="236" t="s">
        <v>429</v>
      </c>
      <c r="G3555" s="236" t="s">
        <v>952</v>
      </c>
      <c r="H3555" s="238">
        <v>42278</v>
      </c>
      <c r="I3555" s="235">
        <v>42338</v>
      </c>
      <c r="J3555" s="136">
        <v>327.02999999999997</v>
      </c>
      <c r="K3555" s="89"/>
      <c r="L3555" s="89">
        <v>1</v>
      </c>
    </row>
    <row r="3556" spans="1:12" ht="85.5">
      <c r="A3556" s="89" t="s">
        <v>1011</v>
      </c>
      <c r="B3556" s="237">
        <v>112120502010</v>
      </c>
      <c r="C3556" s="89" t="s">
        <v>581</v>
      </c>
      <c r="D3556" s="89"/>
      <c r="E3556" s="236" t="s">
        <v>479</v>
      </c>
      <c r="F3556" s="236" t="s">
        <v>429</v>
      </c>
      <c r="G3556" s="236" t="s">
        <v>953</v>
      </c>
      <c r="H3556" s="238">
        <v>42278</v>
      </c>
      <c r="I3556" s="235">
        <v>42338</v>
      </c>
      <c r="J3556" s="136">
        <v>4924.53</v>
      </c>
      <c r="K3556" s="89"/>
      <c r="L3556" s="89">
        <v>1</v>
      </c>
    </row>
    <row r="3557" spans="1:12" ht="85.5">
      <c r="A3557" s="89" t="s">
        <v>1011</v>
      </c>
      <c r="B3557" s="237">
        <v>112120502010</v>
      </c>
      <c r="C3557" s="89" t="s">
        <v>581</v>
      </c>
      <c r="D3557" s="89"/>
      <c r="E3557" s="236" t="s">
        <v>479</v>
      </c>
      <c r="F3557" s="236" t="s">
        <v>429</v>
      </c>
      <c r="G3557" s="236" t="s">
        <v>954</v>
      </c>
      <c r="H3557" s="238">
        <v>42278</v>
      </c>
      <c r="I3557" s="235">
        <v>42338</v>
      </c>
      <c r="J3557" s="136">
        <v>10149.58</v>
      </c>
      <c r="K3557" s="89"/>
      <c r="L3557" s="89">
        <v>1</v>
      </c>
    </row>
    <row r="3558" spans="1:12" ht="85.5">
      <c r="A3558" s="89" t="s">
        <v>597</v>
      </c>
      <c r="B3558" s="237">
        <v>112120502010</v>
      </c>
      <c r="C3558" s="89" t="s">
        <v>596</v>
      </c>
      <c r="D3558" s="89"/>
      <c r="E3558" s="236" t="s">
        <v>479</v>
      </c>
      <c r="F3558" s="236" t="s">
        <v>429</v>
      </c>
      <c r="G3558" s="236" t="s">
        <v>946</v>
      </c>
      <c r="H3558" s="238">
        <v>42278</v>
      </c>
      <c r="I3558" s="235">
        <v>42335</v>
      </c>
      <c r="J3558" s="136">
        <v>21402.880000000001</v>
      </c>
      <c r="K3558" s="89"/>
      <c r="L3558" s="89">
        <v>1</v>
      </c>
    </row>
    <row r="3559" spans="1:12" ht="85.5">
      <c r="A3559" s="89" t="s">
        <v>597</v>
      </c>
      <c r="B3559" s="237">
        <v>112120502010</v>
      </c>
      <c r="C3559" s="89" t="s">
        <v>596</v>
      </c>
      <c r="D3559" s="89"/>
      <c r="E3559" s="236" t="s">
        <v>479</v>
      </c>
      <c r="F3559" s="236" t="s">
        <v>429</v>
      </c>
      <c r="G3559" s="236" t="s">
        <v>947</v>
      </c>
      <c r="H3559" s="238">
        <v>42278</v>
      </c>
      <c r="I3559" s="235">
        <v>42338</v>
      </c>
      <c r="J3559" s="136">
        <v>6463.18</v>
      </c>
      <c r="K3559" s="89"/>
      <c r="L3559" s="89">
        <v>1</v>
      </c>
    </row>
    <row r="3560" spans="1:12" ht="85.5">
      <c r="A3560" s="89" t="s">
        <v>597</v>
      </c>
      <c r="B3560" s="237">
        <v>112120502010</v>
      </c>
      <c r="C3560" s="89" t="s">
        <v>596</v>
      </c>
      <c r="D3560" s="89"/>
      <c r="E3560" s="236" t="s">
        <v>479</v>
      </c>
      <c r="F3560" s="236" t="s">
        <v>429</v>
      </c>
      <c r="G3560" s="236" t="s">
        <v>948</v>
      </c>
      <c r="H3560" s="238">
        <v>42278</v>
      </c>
      <c r="I3560" s="235">
        <v>42338</v>
      </c>
      <c r="J3560" s="136">
        <v>280.83</v>
      </c>
      <c r="K3560" s="89"/>
      <c r="L3560" s="89">
        <v>1</v>
      </c>
    </row>
    <row r="3561" spans="1:12" ht="85.5">
      <c r="A3561" s="89" t="s">
        <v>597</v>
      </c>
      <c r="B3561" s="237">
        <v>112120502010</v>
      </c>
      <c r="C3561" s="89" t="s">
        <v>596</v>
      </c>
      <c r="D3561" s="89"/>
      <c r="E3561" s="236" t="s">
        <v>479</v>
      </c>
      <c r="F3561" s="236" t="s">
        <v>429</v>
      </c>
      <c r="G3561" s="236" t="s">
        <v>949</v>
      </c>
      <c r="H3561" s="238">
        <v>42278</v>
      </c>
      <c r="I3561" s="235">
        <v>42338</v>
      </c>
      <c r="J3561" s="136">
        <v>2597.13</v>
      </c>
      <c r="K3561" s="89"/>
      <c r="L3561" s="89">
        <v>1</v>
      </c>
    </row>
    <row r="3562" spans="1:12" ht="85.5">
      <c r="A3562" s="89" t="s">
        <v>1012</v>
      </c>
      <c r="B3562" s="237">
        <v>112120502010</v>
      </c>
      <c r="C3562" s="89" t="s">
        <v>596</v>
      </c>
      <c r="D3562" s="89"/>
      <c r="E3562" s="236" t="s">
        <v>479</v>
      </c>
      <c r="F3562" s="236" t="s">
        <v>429</v>
      </c>
      <c r="G3562" s="236" t="s">
        <v>951</v>
      </c>
      <c r="H3562" s="238">
        <v>42278</v>
      </c>
      <c r="I3562" s="235">
        <v>42335</v>
      </c>
      <c r="J3562" s="136">
        <v>1464.45</v>
      </c>
      <c r="K3562" s="89"/>
      <c r="L3562" s="89">
        <v>1</v>
      </c>
    </row>
    <row r="3563" spans="1:12" ht="85.5">
      <c r="A3563" s="89" t="s">
        <v>1012</v>
      </c>
      <c r="B3563" s="237">
        <v>112120502010</v>
      </c>
      <c r="C3563" s="89" t="s">
        <v>596</v>
      </c>
      <c r="D3563" s="89"/>
      <c r="E3563" s="236" t="s">
        <v>479</v>
      </c>
      <c r="F3563" s="236" t="s">
        <v>429</v>
      </c>
      <c r="G3563" s="236" t="s">
        <v>952</v>
      </c>
      <c r="H3563" s="238">
        <v>42278</v>
      </c>
      <c r="I3563" s="235">
        <v>42338</v>
      </c>
      <c r="J3563" s="136">
        <v>352.09</v>
      </c>
      <c r="K3563" s="89"/>
      <c r="L3563" s="89">
        <v>1</v>
      </c>
    </row>
    <row r="3564" spans="1:12" ht="85.5">
      <c r="A3564" s="89" t="s">
        <v>1012</v>
      </c>
      <c r="B3564" s="237">
        <v>112120502010</v>
      </c>
      <c r="C3564" s="89" t="s">
        <v>596</v>
      </c>
      <c r="D3564" s="89"/>
      <c r="E3564" s="236" t="s">
        <v>479</v>
      </c>
      <c r="F3564" s="236" t="s">
        <v>429</v>
      </c>
      <c r="G3564" s="236" t="s">
        <v>953</v>
      </c>
      <c r="H3564" s="238">
        <v>42278</v>
      </c>
      <c r="I3564" s="235">
        <v>42338</v>
      </c>
      <c r="J3564" s="136">
        <v>5301.99</v>
      </c>
      <c r="K3564" s="89"/>
      <c r="L3564" s="89">
        <v>1</v>
      </c>
    </row>
    <row r="3565" spans="1:12" ht="85.5">
      <c r="A3565" s="89" t="s">
        <v>1012</v>
      </c>
      <c r="B3565" s="237">
        <v>112120502010</v>
      </c>
      <c r="C3565" s="89" t="s">
        <v>596</v>
      </c>
      <c r="D3565" s="89"/>
      <c r="E3565" s="236" t="s">
        <v>479</v>
      </c>
      <c r="F3565" s="236" t="s">
        <v>429</v>
      </c>
      <c r="G3565" s="236" t="s">
        <v>954</v>
      </c>
      <c r="H3565" s="238">
        <v>42278</v>
      </c>
      <c r="I3565" s="235">
        <v>42338</v>
      </c>
      <c r="J3565" s="136">
        <v>10927.55</v>
      </c>
      <c r="K3565" s="89"/>
      <c r="L3565" s="89">
        <v>1</v>
      </c>
    </row>
    <row r="3566" spans="1:12" ht="85.5">
      <c r="A3566" s="89" t="s">
        <v>600</v>
      </c>
      <c r="B3566" s="237">
        <v>112120502010</v>
      </c>
      <c r="C3566" s="89" t="s">
        <v>601</v>
      </c>
      <c r="D3566" s="89"/>
      <c r="E3566" s="236" t="s">
        <v>479</v>
      </c>
      <c r="F3566" s="236" t="s">
        <v>429</v>
      </c>
      <c r="G3566" s="236" t="s">
        <v>947</v>
      </c>
      <c r="H3566" s="238">
        <v>42278</v>
      </c>
      <c r="I3566" s="235">
        <v>42338</v>
      </c>
      <c r="J3566" s="136">
        <v>1306.53</v>
      </c>
      <c r="K3566" s="89"/>
      <c r="L3566" s="89">
        <v>1</v>
      </c>
    </row>
    <row r="3567" spans="1:12" ht="85.5">
      <c r="A3567" s="89" t="s">
        <v>600</v>
      </c>
      <c r="B3567" s="237">
        <v>112120502010</v>
      </c>
      <c r="C3567" s="89" t="s">
        <v>601</v>
      </c>
      <c r="D3567" s="89"/>
      <c r="E3567" s="236" t="s">
        <v>479</v>
      </c>
      <c r="F3567" s="236" t="s">
        <v>429</v>
      </c>
      <c r="G3567" s="236" t="s">
        <v>948</v>
      </c>
      <c r="H3567" s="238">
        <v>42278</v>
      </c>
      <c r="I3567" s="235">
        <v>42338</v>
      </c>
      <c r="J3567" s="136">
        <v>56.77</v>
      </c>
      <c r="K3567" s="89"/>
      <c r="L3567" s="89">
        <v>1</v>
      </c>
    </row>
    <row r="3568" spans="1:12" ht="85.5">
      <c r="A3568" s="89" t="s">
        <v>600</v>
      </c>
      <c r="B3568" s="237">
        <v>112120502010</v>
      </c>
      <c r="C3568" s="89" t="s">
        <v>601</v>
      </c>
      <c r="D3568" s="89"/>
      <c r="E3568" s="236" t="s">
        <v>479</v>
      </c>
      <c r="F3568" s="236" t="s">
        <v>429</v>
      </c>
      <c r="G3568" s="236" t="s">
        <v>949</v>
      </c>
      <c r="H3568" s="238">
        <v>42278</v>
      </c>
      <c r="I3568" s="235">
        <v>42338</v>
      </c>
      <c r="J3568" s="136">
        <v>525.01</v>
      </c>
      <c r="K3568" s="89"/>
      <c r="L3568" s="89">
        <v>1</v>
      </c>
    </row>
    <row r="3569" spans="1:12" ht="85.5">
      <c r="A3569" s="89" t="s">
        <v>1013</v>
      </c>
      <c r="B3569" s="237">
        <v>112120502010</v>
      </c>
      <c r="C3569" s="89" t="s">
        <v>601</v>
      </c>
      <c r="D3569" s="89"/>
      <c r="E3569" s="236" t="s">
        <v>479</v>
      </c>
      <c r="F3569" s="236" t="s">
        <v>429</v>
      </c>
      <c r="G3569" s="236" t="s">
        <v>946</v>
      </c>
      <c r="H3569" s="238">
        <v>42278</v>
      </c>
      <c r="I3569" s="235">
        <v>42335</v>
      </c>
      <c r="J3569" s="136">
        <v>4326.59</v>
      </c>
      <c r="K3569" s="89"/>
      <c r="L3569" s="89">
        <v>1</v>
      </c>
    </row>
    <row r="3570" spans="1:12" ht="85.5">
      <c r="A3570" s="89" t="s">
        <v>1014</v>
      </c>
      <c r="B3570" s="237">
        <v>112120502010</v>
      </c>
      <c r="C3570" s="89" t="s">
        <v>601</v>
      </c>
      <c r="D3570" s="89"/>
      <c r="E3570" s="236" t="s">
        <v>479</v>
      </c>
      <c r="F3570" s="236" t="s">
        <v>429</v>
      </c>
      <c r="G3570" s="236" t="s">
        <v>951</v>
      </c>
      <c r="H3570" s="238">
        <v>42278</v>
      </c>
      <c r="I3570" s="235">
        <v>42335</v>
      </c>
      <c r="J3570" s="136">
        <v>296.04000000000002</v>
      </c>
      <c r="K3570" s="89"/>
      <c r="L3570" s="89">
        <v>1</v>
      </c>
    </row>
    <row r="3571" spans="1:12" ht="85.5">
      <c r="A3571" s="89" t="s">
        <v>1014</v>
      </c>
      <c r="B3571" s="237">
        <v>112120502010</v>
      </c>
      <c r="C3571" s="89" t="s">
        <v>601</v>
      </c>
      <c r="D3571" s="89"/>
      <c r="E3571" s="236" t="s">
        <v>479</v>
      </c>
      <c r="F3571" s="236" t="s">
        <v>429</v>
      </c>
      <c r="G3571" s="236" t="s">
        <v>952</v>
      </c>
      <c r="H3571" s="238">
        <v>42278</v>
      </c>
      <c r="I3571" s="235">
        <v>42338</v>
      </c>
      <c r="J3571" s="136">
        <v>71.180000000000007</v>
      </c>
      <c r="K3571" s="89"/>
      <c r="L3571" s="89">
        <v>1</v>
      </c>
    </row>
    <row r="3572" spans="1:12" ht="85.5">
      <c r="A3572" s="89" t="s">
        <v>1014</v>
      </c>
      <c r="B3572" s="237">
        <v>112120502010</v>
      </c>
      <c r="C3572" s="89" t="s">
        <v>601</v>
      </c>
      <c r="D3572" s="89"/>
      <c r="E3572" s="236" t="s">
        <v>479</v>
      </c>
      <c r="F3572" s="236" t="s">
        <v>429</v>
      </c>
      <c r="G3572" s="236" t="s">
        <v>953</v>
      </c>
      <c r="H3572" s="238">
        <v>42278</v>
      </c>
      <c r="I3572" s="235">
        <v>42338</v>
      </c>
      <c r="J3572" s="136">
        <v>1071.8</v>
      </c>
      <c r="K3572" s="89"/>
      <c r="L3572" s="89">
        <v>1</v>
      </c>
    </row>
    <row r="3573" spans="1:12" ht="85.5">
      <c r="A3573" s="89" t="s">
        <v>1014</v>
      </c>
      <c r="B3573" s="237">
        <v>112120502010</v>
      </c>
      <c r="C3573" s="89" t="s">
        <v>601</v>
      </c>
      <c r="D3573" s="89"/>
      <c r="E3573" s="236" t="s">
        <v>479</v>
      </c>
      <c r="F3573" s="236" t="s">
        <v>429</v>
      </c>
      <c r="G3573" s="236" t="s">
        <v>954</v>
      </c>
      <c r="H3573" s="238">
        <v>42278</v>
      </c>
      <c r="I3573" s="235">
        <v>42338</v>
      </c>
      <c r="J3573" s="136">
        <v>2209</v>
      </c>
      <c r="K3573" s="89"/>
      <c r="L3573" s="89">
        <v>1</v>
      </c>
    </row>
    <row r="3574" spans="1:12" ht="85.5">
      <c r="A3574" s="89" t="s">
        <v>608</v>
      </c>
      <c r="B3574" s="237">
        <v>112120502010</v>
      </c>
      <c r="C3574" s="89" t="s">
        <v>607</v>
      </c>
      <c r="D3574" s="89"/>
      <c r="E3574" s="236" t="s">
        <v>479</v>
      </c>
      <c r="F3574" s="236" t="s">
        <v>429</v>
      </c>
      <c r="G3574" s="236" t="s">
        <v>946</v>
      </c>
      <c r="H3574" s="238">
        <v>42278</v>
      </c>
      <c r="I3574" s="235">
        <v>42335</v>
      </c>
      <c r="J3574" s="136">
        <v>10643.37</v>
      </c>
      <c r="K3574" s="89"/>
      <c r="L3574" s="89">
        <v>1</v>
      </c>
    </row>
    <row r="3575" spans="1:12" ht="85.5">
      <c r="A3575" s="89" t="s">
        <v>608</v>
      </c>
      <c r="B3575" s="237">
        <v>112120502010</v>
      </c>
      <c r="C3575" s="89" t="s">
        <v>607</v>
      </c>
      <c r="D3575" s="89"/>
      <c r="E3575" s="236" t="s">
        <v>479</v>
      </c>
      <c r="F3575" s="236" t="s">
        <v>429</v>
      </c>
      <c r="G3575" s="236" t="s">
        <v>947</v>
      </c>
      <c r="H3575" s="238">
        <v>42278</v>
      </c>
      <c r="I3575" s="235">
        <v>42338</v>
      </c>
      <c r="J3575" s="136">
        <v>3214.05</v>
      </c>
      <c r="K3575" s="89"/>
      <c r="L3575" s="89">
        <v>1</v>
      </c>
    </row>
    <row r="3576" spans="1:12" ht="85.5">
      <c r="A3576" s="89" t="s">
        <v>608</v>
      </c>
      <c r="B3576" s="237">
        <v>112120502010</v>
      </c>
      <c r="C3576" s="89" t="s">
        <v>607</v>
      </c>
      <c r="D3576" s="89"/>
      <c r="E3576" s="236" t="s">
        <v>479</v>
      </c>
      <c r="F3576" s="236" t="s">
        <v>429</v>
      </c>
      <c r="G3576" s="236" t="s">
        <v>948</v>
      </c>
      <c r="H3576" s="238">
        <v>42278</v>
      </c>
      <c r="I3576" s="235">
        <v>42338</v>
      </c>
      <c r="J3576" s="136">
        <v>139.65</v>
      </c>
      <c r="K3576" s="89"/>
      <c r="L3576" s="89">
        <v>1</v>
      </c>
    </row>
    <row r="3577" spans="1:12" ht="85.5">
      <c r="A3577" s="89" t="s">
        <v>608</v>
      </c>
      <c r="B3577" s="237">
        <v>112120502010</v>
      </c>
      <c r="C3577" s="89" t="s">
        <v>607</v>
      </c>
      <c r="D3577" s="89"/>
      <c r="E3577" s="236" t="s">
        <v>479</v>
      </c>
      <c r="F3577" s="236" t="s">
        <v>429</v>
      </c>
      <c r="G3577" s="236" t="s">
        <v>949</v>
      </c>
      <c r="H3577" s="238">
        <v>42278</v>
      </c>
      <c r="I3577" s="235">
        <v>42338</v>
      </c>
      <c r="J3577" s="136">
        <v>1291.52</v>
      </c>
      <c r="K3577" s="89"/>
      <c r="L3577" s="89">
        <v>1</v>
      </c>
    </row>
    <row r="3578" spans="1:12" ht="85.5">
      <c r="A3578" s="89" t="s">
        <v>1015</v>
      </c>
      <c r="B3578" s="237">
        <v>112120502010</v>
      </c>
      <c r="C3578" s="89" t="s">
        <v>607</v>
      </c>
      <c r="D3578" s="89"/>
      <c r="E3578" s="236" t="s">
        <v>479</v>
      </c>
      <c r="F3578" s="236" t="s">
        <v>429</v>
      </c>
      <c r="G3578" s="236" t="s">
        <v>951</v>
      </c>
      <c r="H3578" s="238">
        <v>42278</v>
      </c>
      <c r="I3578" s="235">
        <v>42335</v>
      </c>
      <c r="J3578" s="136">
        <v>728.25</v>
      </c>
      <c r="K3578" s="89"/>
      <c r="L3578" s="89">
        <v>1</v>
      </c>
    </row>
    <row r="3579" spans="1:12" ht="85.5">
      <c r="A3579" s="89" t="s">
        <v>1015</v>
      </c>
      <c r="B3579" s="237">
        <v>112120502010</v>
      </c>
      <c r="C3579" s="89" t="s">
        <v>607</v>
      </c>
      <c r="D3579" s="89"/>
      <c r="E3579" s="236" t="s">
        <v>479</v>
      </c>
      <c r="F3579" s="236" t="s">
        <v>429</v>
      </c>
      <c r="G3579" s="236" t="s">
        <v>952</v>
      </c>
      <c r="H3579" s="238">
        <v>42278</v>
      </c>
      <c r="I3579" s="235">
        <v>42338</v>
      </c>
      <c r="J3579" s="136">
        <v>175.09</v>
      </c>
      <c r="K3579" s="89"/>
      <c r="L3579" s="89">
        <v>1</v>
      </c>
    </row>
    <row r="3580" spans="1:12" ht="85.5">
      <c r="A3580" s="89" t="s">
        <v>1015</v>
      </c>
      <c r="B3580" s="237">
        <v>112120502010</v>
      </c>
      <c r="C3580" s="89" t="s">
        <v>607</v>
      </c>
      <c r="D3580" s="89"/>
      <c r="E3580" s="236" t="s">
        <v>479</v>
      </c>
      <c r="F3580" s="236" t="s">
        <v>429</v>
      </c>
      <c r="G3580" s="236" t="s">
        <v>953</v>
      </c>
      <c r="H3580" s="238">
        <v>42278</v>
      </c>
      <c r="I3580" s="235">
        <v>42338</v>
      </c>
      <c r="J3580" s="136">
        <v>2636.61</v>
      </c>
      <c r="K3580" s="89"/>
      <c r="L3580" s="89">
        <v>1</v>
      </c>
    </row>
    <row r="3581" spans="1:12" ht="85.5">
      <c r="A3581" s="89" t="s">
        <v>1015</v>
      </c>
      <c r="B3581" s="237">
        <v>112120502010</v>
      </c>
      <c r="C3581" s="89" t="s">
        <v>607</v>
      </c>
      <c r="D3581" s="89"/>
      <c r="E3581" s="236" t="s">
        <v>479</v>
      </c>
      <c r="F3581" s="236" t="s">
        <v>429</v>
      </c>
      <c r="G3581" s="236" t="s">
        <v>954</v>
      </c>
      <c r="H3581" s="238">
        <v>42278</v>
      </c>
      <c r="I3581" s="235">
        <v>42338</v>
      </c>
      <c r="J3581" s="136">
        <v>5434.12</v>
      </c>
      <c r="K3581" s="89"/>
      <c r="L3581" s="89">
        <v>1</v>
      </c>
    </row>
    <row r="3582" spans="1:12" ht="85.5">
      <c r="A3582" s="89" t="s">
        <v>611</v>
      </c>
      <c r="B3582" s="237">
        <v>112120502010</v>
      </c>
      <c r="C3582" s="89" t="s">
        <v>610</v>
      </c>
      <c r="D3582" s="89"/>
      <c r="E3582" s="236" t="s">
        <v>479</v>
      </c>
      <c r="F3582" s="236" t="s">
        <v>429</v>
      </c>
      <c r="G3582" s="236" t="s">
        <v>946</v>
      </c>
      <c r="H3582" s="238">
        <v>42278</v>
      </c>
      <c r="I3582" s="235">
        <v>42335</v>
      </c>
      <c r="J3582" s="136">
        <v>9281.34</v>
      </c>
      <c r="K3582" s="89"/>
      <c r="L3582" s="89">
        <v>1</v>
      </c>
    </row>
    <row r="3583" spans="1:12" ht="85.5">
      <c r="A3583" s="89" t="s">
        <v>611</v>
      </c>
      <c r="B3583" s="237">
        <v>112120502010</v>
      </c>
      <c r="C3583" s="89" t="s">
        <v>610</v>
      </c>
      <c r="D3583" s="89"/>
      <c r="E3583" s="236" t="s">
        <v>479</v>
      </c>
      <c r="F3583" s="236" t="s">
        <v>429</v>
      </c>
      <c r="G3583" s="236" t="s">
        <v>947</v>
      </c>
      <c r="H3583" s="238">
        <v>42278</v>
      </c>
      <c r="I3583" s="235">
        <v>42338</v>
      </c>
      <c r="J3583" s="136">
        <v>2802.75</v>
      </c>
      <c r="K3583" s="89"/>
      <c r="L3583" s="89">
        <v>1</v>
      </c>
    </row>
    <row r="3584" spans="1:12" ht="85.5">
      <c r="A3584" s="89" t="s">
        <v>611</v>
      </c>
      <c r="B3584" s="237">
        <v>112120502010</v>
      </c>
      <c r="C3584" s="89" t="s">
        <v>610</v>
      </c>
      <c r="D3584" s="89"/>
      <c r="E3584" s="236" t="s">
        <v>479</v>
      </c>
      <c r="F3584" s="236" t="s">
        <v>429</v>
      </c>
      <c r="G3584" s="236" t="s">
        <v>948</v>
      </c>
      <c r="H3584" s="238">
        <v>42278</v>
      </c>
      <c r="I3584" s="235">
        <v>42338</v>
      </c>
      <c r="J3584" s="136">
        <v>121.78</v>
      </c>
      <c r="K3584" s="89"/>
      <c r="L3584" s="89">
        <v>1</v>
      </c>
    </row>
    <row r="3585" spans="1:12" ht="85.5">
      <c r="A3585" s="89" t="s">
        <v>611</v>
      </c>
      <c r="B3585" s="237">
        <v>112120502010</v>
      </c>
      <c r="C3585" s="89" t="s">
        <v>610</v>
      </c>
      <c r="D3585" s="89"/>
      <c r="E3585" s="236" t="s">
        <v>479</v>
      </c>
      <c r="F3585" s="236" t="s">
        <v>429</v>
      </c>
      <c r="G3585" s="236" t="s">
        <v>949</v>
      </c>
      <c r="H3585" s="238">
        <v>42278</v>
      </c>
      <c r="I3585" s="235">
        <v>42338</v>
      </c>
      <c r="J3585" s="136">
        <v>1126.24</v>
      </c>
      <c r="K3585" s="89"/>
      <c r="L3585" s="89">
        <v>1</v>
      </c>
    </row>
    <row r="3586" spans="1:12" ht="85.5">
      <c r="A3586" s="89" t="s">
        <v>1016</v>
      </c>
      <c r="B3586" s="237">
        <v>112120502010</v>
      </c>
      <c r="C3586" s="89" t="s">
        <v>610</v>
      </c>
      <c r="D3586" s="89"/>
      <c r="E3586" s="236" t="s">
        <v>479</v>
      </c>
      <c r="F3586" s="236" t="s">
        <v>429</v>
      </c>
      <c r="G3586" s="236" t="s">
        <v>951</v>
      </c>
      <c r="H3586" s="238">
        <v>42278</v>
      </c>
      <c r="I3586" s="235">
        <v>42335</v>
      </c>
      <c r="J3586" s="136">
        <v>635.05999999999995</v>
      </c>
      <c r="K3586" s="89"/>
      <c r="L3586" s="89">
        <v>1</v>
      </c>
    </row>
    <row r="3587" spans="1:12" ht="85.5">
      <c r="A3587" s="89" t="s">
        <v>1016</v>
      </c>
      <c r="B3587" s="237">
        <v>112120502010</v>
      </c>
      <c r="C3587" s="89" t="s">
        <v>610</v>
      </c>
      <c r="D3587" s="89"/>
      <c r="E3587" s="236" t="s">
        <v>479</v>
      </c>
      <c r="F3587" s="236" t="s">
        <v>429</v>
      </c>
      <c r="G3587" s="236" t="s">
        <v>952</v>
      </c>
      <c r="H3587" s="238">
        <v>42278</v>
      </c>
      <c r="I3587" s="235">
        <v>42338</v>
      </c>
      <c r="J3587" s="136">
        <v>152.69</v>
      </c>
      <c r="K3587" s="89"/>
      <c r="L3587" s="89">
        <v>1</v>
      </c>
    </row>
    <row r="3588" spans="1:12" ht="85.5">
      <c r="A3588" s="89" t="s">
        <v>1016</v>
      </c>
      <c r="B3588" s="237">
        <v>112120502010</v>
      </c>
      <c r="C3588" s="89" t="s">
        <v>610</v>
      </c>
      <c r="D3588" s="89"/>
      <c r="E3588" s="236" t="s">
        <v>479</v>
      </c>
      <c r="F3588" s="236" t="s">
        <v>429</v>
      </c>
      <c r="G3588" s="236" t="s">
        <v>953</v>
      </c>
      <c r="H3588" s="238">
        <v>42278</v>
      </c>
      <c r="I3588" s="235">
        <v>42338</v>
      </c>
      <c r="J3588" s="136">
        <v>2299.21</v>
      </c>
      <c r="K3588" s="89"/>
      <c r="L3588" s="89">
        <v>1</v>
      </c>
    </row>
    <row r="3589" spans="1:12" ht="85.5">
      <c r="A3589" s="89" t="s">
        <v>1016</v>
      </c>
      <c r="B3589" s="237">
        <v>112120502010</v>
      </c>
      <c r="C3589" s="89" t="s">
        <v>610</v>
      </c>
      <c r="D3589" s="89"/>
      <c r="E3589" s="236" t="s">
        <v>479</v>
      </c>
      <c r="F3589" s="236" t="s">
        <v>429</v>
      </c>
      <c r="G3589" s="236" t="s">
        <v>954</v>
      </c>
      <c r="H3589" s="238">
        <v>42278</v>
      </c>
      <c r="I3589" s="235">
        <v>42338</v>
      </c>
      <c r="J3589" s="136">
        <v>4738.72</v>
      </c>
      <c r="K3589" s="89"/>
      <c r="L3589" s="89">
        <v>1</v>
      </c>
    </row>
    <row r="3590" spans="1:12" ht="85.5">
      <c r="A3590" s="89" t="s">
        <v>616</v>
      </c>
      <c r="B3590" s="237">
        <v>112120502010</v>
      </c>
      <c r="C3590" s="89" t="s">
        <v>615</v>
      </c>
      <c r="D3590" s="89"/>
      <c r="E3590" s="236" t="s">
        <v>479</v>
      </c>
      <c r="F3590" s="236" t="s">
        <v>429</v>
      </c>
      <c r="G3590" s="236" t="s">
        <v>946</v>
      </c>
      <c r="H3590" s="238">
        <v>42278</v>
      </c>
      <c r="I3590" s="235">
        <v>42335</v>
      </c>
      <c r="J3590" s="136">
        <v>5440.27</v>
      </c>
      <c r="K3590" s="89"/>
      <c r="L3590" s="89">
        <v>1</v>
      </c>
    </row>
    <row r="3591" spans="1:12" ht="85.5">
      <c r="A3591" s="89" t="s">
        <v>616</v>
      </c>
      <c r="B3591" s="237">
        <v>112120502010</v>
      </c>
      <c r="C3591" s="89" t="s">
        <v>615</v>
      </c>
      <c r="D3591" s="89"/>
      <c r="E3591" s="236" t="s">
        <v>479</v>
      </c>
      <c r="F3591" s="236" t="s">
        <v>429</v>
      </c>
      <c r="G3591" s="236" t="s">
        <v>947</v>
      </c>
      <c r="H3591" s="238">
        <v>42278</v>
      </c>
      <c r="I3591" s="235">
        <v>42338</v>
      </c>
      <c r="J3591" s="136">
        <v>1642.83</v>
      </c>
      <c r="K3591" s="89"/>
      <c r="L3591" s="89">
        <v>1</v>
      </c>
    </row>
    <row r="3592" spans="1:12" ht="85.5">
      <c r="A3592" s="89" t="s">
        <v>616</v>
      </c>
      <c r="B3592" s="237">
        <v>112120502010</v>
      </c>
      <c r="C3592" s="89" t="s">
        <v>615</v>
      </c>
      <c r="D3592" s="89"/>
      <c r="E3592" s="236" t="s">
        <v>479</v>
      </c>
      <c r="F3592" s="236" t="s">
        <v>429</v>
      </c>
      <c r="G3592" s="236" t="s">
        <v>948</v>
      </c>
      <c r="H3592" s="238">
        <v>42278</v>
      </c>
      <c r="I3592" s="235">
        <v>42338</v>
      </c>
      <c r="J3592" s="136">
        <v>71.38</v>
      </c>
      <c r="K3592" s="89"/>
      <c r="L3592" s="89">
        <v>1</v>
      </c>
    </row>
    <row r="3593" spans="1:12" ht="85.5">
      <c r="A3593" s="89" t="s">
        <v>616</v>
      </c>
      <c r="B3593" s="237">
        <v>112120502010</v>
      </c>
      <c r="C3593" s="89" t="s">
        <v>615</v>
      </c>
      <c r="D3593" s="89"/>
      <c r="E3593" s="236" t="s">
        <v>479</v>
      </c>
      <c r="F3593" s="236" t="s">
        <v>429</v>
      </c>
      <c r="G3593" s="236" t="s">
        <v>949</v>
      </c>
      <c r="H3593" s="238">
        <v>42278</v>
      </c>
      <c r="I3593" s="235">
        <v>42338</v>
      </c>
      <c r="J3593" s="136">
        <v>660.15</v>
      </c>
      <c r="K3593" s="89"/>
      <c r="L3593" s="89">
        <v>1</v>
      </c>
    </row>
    <row r="3594" spans="1:12" ht="85.5">
      <c r="A3594" s="89" t="s">
        <v>1017</v>
      </c>
      <c r="B3594" s="237">
        <v>112120502010</v>
      </c>
      <c r="C3594" s="89" t="s">
        <v>615</v>
      </c>
      <c r="D3594" s="89"/>
      <c r="E3594" s="236" t="s">
        <v>479</v>
      </c>
      <c r="F3594" s="236" t="s">
        <v>429</v>
      </c>
      <c r="G3594" s="236" t="s">
        <v>951</v>
      </c>
      <c r="H3594" s="238">
        <v>42278</v>
      </c>
      <c r="I3594" s="235">
        <v>42335</v>
      </c>
      <c r="J3594" s="136">
        <v>372.24</v>
      </c>
      <c r="K3594" s="89"/>
      <c r="L3594" s="89">
        <v>1</v>
      </c>
    </row>
    <row r="3595" spans="1:12" ht="85.5">
      <c r="A3595" s="89" t="s">
        <v>1017</v>
      </c>
      <c r="B3595" s="237">
        <v>112120502010</v>
      </c>
      <c r="C3595" s="89" t="s">
        <v>615</v>
      </c>
      <c r="D3595" s="89"/>
      <c r="E3595" s="236" t="s">
        <v>479</v>
      </c>
      <c r="F3595" s="236" t="s">
        <v>429</v>
      </c>
      <c r="G3595" s="236" t="s">
        <v>952</v>
      </c>
      <c r="H3595" s="238">
        <v>42278</v>
      </c>
      <c r="I3595" s="235">
        <v>42338</v>
      </c>
      <c r="J3595" s="136">
        <v>89.5</v>
      </c>
      <c r="K3595" s="89"/>
      <c r="L3595" s="89">
        <v>1</v>
      </c>
    </row>
    <row r="3596" spans="1:12" ht="85.5">
      <c r="A3596" s="89" t="s">
        <v>1017</v>
      </c>
      <c r="B3596" s="237">
        <v>112120502010</v>
      </c>
      <c r="C3596" s="89" t="s">
        <v>615</v>
      </c>
      <c r="D3596" s="89"/>
      <c r="E3596" s="236" t="s">
        <v>479</v>
      </c>
      <c r="F3596" s="236" t="s">
        <v>429</v>
      </c>
      <c r="G3596" s="236" t="s">
        <v>953</v>
      </c>
      <c r="H3596" s="238">
        <v>42278</v>
      </c>
      <c r="I3596" s="235">
        <v>42338</v>
      </c>
      <c r="J3596" s="136">
        <v>1347.68</v>
      </c>
      <c r="K3596" s="89"/>
      <c r="L3596" s="89">
        <v>1</v>
      </c>
    </row>
    <row r="3597" spans="1:12" ht="85.5">
      <c r="A3597" s="89" t="s">
        <v>1017</v>
      </c>
      <c r="B3597" s="237">
        <v>112120502010</v>
      </c>
      <c r="C3597" s="89" t="s">
        <v>615</v>
      </c>
      <c r="D3597" s="89"/>
      <c r="E3597" s="236" t="s">
        <v>479</v>
      </c>
      <c r="F3597" s="236" t="s">
        <v>429</v>
      </c>
      <c r="G3597" s="236" t="s">
        <v>954</v>
      </c>
      <c r="H3597" s="238">
        <v>42278</v>
      </c>
      <c r="I3597" s="235">
        <v>42338</v>
      </c>
      <c r="J3597" s="136">
        <v>2777.6</v>
      </c>
      <c r="K3597" s="89"/>
      <c r="L3597" s="89">
        <v>1</v>
      </c>
    </row>
    <row r="3598" spans="1:12" ht="85.5">
      <c r="A3598" s="89" t="s">
        <v>617</v>
      </c>
      <c r="B3598" s="237">
        <v>112120502010</v>
      </c>
      <c r="C3598" s="89" t="s">
        <v>446</v>
      </c>
      <c r="D3598" s="89"/>
      <c r="E3598" s="236" t="s">
        <v>479</v>
      </c>
      <c r="F3598" s="236" t="s">
        <v>429</v>
      </c>
      <c r="G3598" s="236" t="s">
        <v>946</v>
      </c>
      <c r="H3598" s="238">
        <v>42278</v>
      </c>
      <c r="I3598" s="235">
        <v>42335</v>
      </c>
      <c r="J3598" s="136">
        <v>8256.18</v>
      </c>
      <c r="K3598" s="89"/>
      <c r="L3598" s="89">
        <v>1</v>
      </c>
    </row>
    <row r="3599" spans="1:12" ht="85.5">
      <c r="A3599" s="89" t="s">
        <v>617</v>
      </c>
      <c r="B3599" s="237">
        <v>112120502010</v>
      </c>
      <c r="C3599" s="89" t="s">
        <v>446</v>
      </c>
      <c r="D3599" s="89"/>
      <c r="E3599" s="236" t="s">
        <v>479</v>
      </c>
      <c r="F3599" s="236" t="s">
        <v>429</v>
      </c>
      <c r="G3599" s="236" t="s">
        <v>947</v>
      </c>
      <c r="H3599" s="238">
        <v>42278</v>
      </c>
      <c r="I3599" s="235">
        <v>42338</v>
      </c>
      <c r="J3599" s="136">
        <v>2493.1799999999998</v>
      </c>
      <c r="K3599" s="89"/>
      <c r="L3599" s="89">
        <v>1</v>
      </c>
    </row>
    <row r="3600" spans="1:12" ht="85.5">
      <c r="A3600" s="89" t="s">
        <v>617</v>
      </c>
      <c r="B3600" s="237">
        <v>112120502010</v>
      </c>
      <c r="C3600" s="89" t="s">
        <v>446</v>
      </c>
      <c r="D3600" s="89"/>
      <c r="E3600" s="236" t="s">
        <v>479</v>
      </c>
      <c r="F3600" s="236" t="s">
        <v>429</v>
      </c>
      <c r="G3600" s="236" t="s">
        <v>948</v>
      </c>
      <c r="H3600" s="238">
        <v>42278</v>
      </c>
      <c r="I3600" s="235">
        <v>42338</v>
      </c>
      <c r="J3600" s="136">
        <v>108.33</v>
      </c>
      <c r="K3600" s="89"/>
      <c r="L3600" s="89">
        <v>1</v>
      </c>
    </row>
    <row r="3601" spans="1:12" ht="85.5">
      <c r="A3601" s="89" t="s">
        <v>617</v>
      </c>
      <c r="B3601" s="237">
        <v>112120502010</v>
      </c>
      <c r="C3601" s="89" t="s">
        <v>446</v>
      </c>
      <c r="D3601" s="89"/>
      <c r="E3601" s="236" t="s">
        <v>479</v>
      </c>
      <c r="F3601" s="236" t="s">
        <v>429</v>
      </c>
      <c r="G3601" s="236" t="s">
        <v>949</v>
      </c>
      <c r="H3601" s="238">
        <v>42278</v>
      </c>
      <c r="I3601" s="235">
        <v>42338</v>
      </c>
      <c r="J3601" s="136">
        <v>1001.85</v>
      </c>
      <c r="K3601" s="89"/>
      <c r="L3601" s="89">
        <v>1</v>
      </c>
    </row>
    <row r="3602" spans="1:12" ht="85.5">
      <c r="A3602" s="89" t="s">
        <v>1018</v>
      </c>
      <c r="B3602" s="237">
        <v>112120502010</v>
      </c>
      <c r="C3602" s="89" t="s">
        <v>446</v>
      </c>
      <c r="D3602" s="89"/>
      <c r="E3602" s="236" t="s">
        <v>479</v>
      </c>
      <c r="F3602" s="236" t="s">
        <v>429</v>
      </c>
      <c r="G3602" s="236" t="s">
        <v>951</v>
      </c>
      <c r="H3602" s="238">
        <v>42278</v>
      </c>
      <c r="I3602" s="235">
        <v>42335</v>
      </c>
      <c r="J3602" s="136">
        <v>564.91</v>
      </c>
      <c r="K3602" s="89"/>
      <c r="L3602" s="89">
        <v>1</v>
      </c>
    </row>
    <row r="3603" spans="1:12" ht="85.5">
      <c r="A3603" s="89" t="s">
        <v>1018</v>
      </c>
      <c r="B3603" s="237">
        <v>112120502010</v>
      </c>
      <c r="C3603" s="89" t="s">
        <v>446</v>
      </c>
      <c r="D3603" s="89"/>
      <c r="E3603" s="236" t="s">
        <v>479</v>
      </c>
      <c r="F3603" s="236" t="s">
        <v>429</v>
      </c>
      <c r="G3603" s="236" t="s">
        <v>952</v>
      </c>
      <c r="H3603" s="238">
        <v>42278</v>
      </c>
      <c r="I3603" s="235">
        <v>42338</v>
      </c>
      <c r="J3603" s="136">
        <v>135.82</v>
      </c>
      <c r="K3603" s="89"/>
      <c r="L3603" s="89">
        <v>1</v>
      </c>
    </row>
    <row r="3604" spans="1:12" ht="85.5">
      <c r="A3604" s="89" t="s">
        <v>1018</v>
      </c>
      <c r="B3604" s="237">
        <v>112120502010</v>
      </c>
      <c r="C3604" s="89" t="s">
        <v>446</v>
      </c>
      <c r="D3604" s="89"/>
      <c r="E3604" s="236" t="s">
        <v>479</v>
      </c>
      <c r="F3604" s="236" t="s">
        <v>429</v>
      </c>
      <c r="G3604" s="236" t="s">
        <v>953</v>
      </c>
      <c r="H3604" s="238">
        <v>42278</v>
      </c>
      <c r="I3604" s="235">
        <v>42338</v>
      </c>
      <c r="J3604" s="136">
        <v>2045.25</v>
      </c>
      <c r="K3604" s="89"/>
      <c r="L3604" s="89">
        <v>1</v>
      </c>
    </row>
    <row r="3605" spans="1:12" ht="85.5">
      <c r="A3605" s="89" t="s">
        <v>1018</v>
      </c>
      <c r="B3605" s="237">
        <v>112120502010</v>
      </c>
      <c r="C3605" s="89" t="s">
        <v>446</v>
      </c>
      <c r="D3605" s="89"/>
      <c r="E3605" s="236" t="s">
        <v>479</v>
      </c>
      <c r="F3605" s="236" t="s">
        <v>429</v>
      </c>
      <c r="G3605" s="236" t="s">
        <v>954</v>
      </c>
      <c r="H3605" s="238">
        <v>42278</v>
      </c>
      <c r="I3605" s="235">
        <v>42338</v>
      </c>
      <c r="J3605" s="136">
        <v>4215.3100000000004</v>
      </c>
      <c r="K3605" s="89"/>
      <c r="L3605" s="89">
        <v>1</v>
      </c>
    </row>
    <row r="3606" spans="1:12" ht="85.5">
      <c r="A3606" s="89" t="s">
        <v>620</v>
      </c>
      <c r="B3606" s="237">
        <v>112120502010</v>
      </c>
      <c r="C3606" s="89" t="s">
        <v>619</v>
      </c>
      <c r="D3606" s="89"/>
      <c r="E3606" s="236" t="s">
        <v>479</v>
      </c>
      <c r="F3606" s="236" t="s">
        <v>429</v>
      </c>
      <c r="G3606" s="236" t="s">
        <v>946</v>
      </c>
      <c r="H3606" s="238">
        <v>42278</v>
      </c>
      <c r="I3606" s="235">
        <v>42335</v>
      </c>
      <c r="J3606" s="136">
        <v>9487.8700000000008</v>
      </c>
      <c r="K3606" s="89"/>
      <c r="L3606" s="89">
        <v>1</v>
      </c>
    </row>
    <row r="3607" spans="1:12" ht="85.5">
      <c r="A3607" s="89" t="s">
        <v>620</v>
      </c>
      <c r="B3607" s="237">
        <v>112120502010</v>
      </c>
      <c r="C3607" s="89" t="s">
        <v>619</v>
      </c>
      <c r="D3607" s="89"/>
      <c r="E3607" s="236" t="s">
        <v>479</v>
      </c>
      <c r="F3607" s="236" t="s">
        <v>429</v>
      </c>
      <c r="G3607" s="236" t="s">
        <v>947</v>
      </c>
      <c r="H3607" s="238">
        <v>42278</v>
      </c>
      <c r="I3607" s="235">
        <v>42338</v>
      </c>
      <c r="J3607" s="136">
        <v>2865.12</v>
      </c>
      <c r="K3607" s="89"/>
      <c r="L3607" s="89">
        <v>1</v>
      </c>
    </row>
    <row r="3608" spans="1:12" ht="85.5">
      <c r="A3608" s="89" t="s">
        <v>620</v>
      </c>
      <c r="B3608" s="237">
        <v>112120502010</v>
      </c>
      <c r="C3608" s="89" t="s">
        <v>619</v>
      </c>
      <c r="D3608" s="89"/>
      <c r="E3608" s="236" t="s">
        <v>479</v>
      </c>
      <c r="F3608" s="236" t="s">
        <v>429</v>
      </c>
      <c r="G3608" s="236" t="s">
        <v>948</v>
      </c>
      <c r="H3608" s="238">
        <v>42278</v>
      </c>
      <c r="I3608" s="235">
        <v>42338</v>
      </c>
      <c r="J3608" s="136">
        <v>124.49</v>
      </c>
      <c r="K3608" s="89"/>
      <c r="L3608" s="89">
        <v>1</v>
      </c>
    </row>
    <row r="3609" spans="1:12" ht="85.5">
      <c r="A3609" s="89" t="s">
        <v>620</v>
      </c>
      <c r="B3609" s="237">
        <v>112120502010</v>
      </c>
      <c r="C3609" s="89" t="s">
        <v>619</v>
      </c>
      <c r="D3609" s="89"/>
      <c r="E3609" s="236" t="s">
        <v>479</v>
      </c>
      <c r="F3609" s="236" t="s">
        <v>429</v>
      </c>
      <c r="G3609" s="236" t="s">
        <v>949</v>
      </c>
      <c r="H3609" s="238">
        <v>42278</v>
      </c>
      <c r="I3609" s="235">
        <v>42338</v>
      </c>
      <c r="J3609" s="136">
        <v>1151.3</v>
      </c>
      <c r="K3609" s="89"/>
      <c r="L3609" s="89">
        <v>1</v>
      </c>
    </row>
    <row r="3610" spans="1:12" ht="85.5">
      <c r="A3610" s="89" t="s">
        <v>1019</v>
      </c>
      <c r="B3610" s="237">
        <v>112120502010</v>
      </c>
      <c r="C3610" s="89" t="s">
        <v>619</v>
      </c>
      <c r="D3610" s="89"/>
      <c r="E3610" s="236" t="s">
        <v>479</v>
      </c>
      <c r="F3610" s="236" t="s">
        <v>429</v>
      </c>
      <c r="G3610" s="236" t="s">
        <v>951</v>
      </c>
      <c r="H3610" s="238">
        <v>42278</v>
      </c>
      <c r="I3610" s="235">
        <v>42335</v>
      </c>
      <c r="J3610" s="136">
        <v>649.19000000000005</v>
      </c>
      <c r="K3610" s="89"/>
      <c r="L3610" s="89">
        <v>1</v>
      </c>
    </row>
    <row r="3611" spans="1:12" ht="85.5">
      <c r="A3611" s="89" t="s">
        <v>1019</v>
      </c>
      <c r="B3611" s="237">
        <v>112120502010</v>
      </c>
      <c r="C3611" s="89" t="s">
        <v>619</v>
      </c>
      <c r="D3611" s="89"/>
      <c r="E3611" s="236" t="s">
        <v>479</v>
      </c>
      <c r="F3611" s="236" t="s">
        <v>429</v>
      </c>
      <c r="G3611" s="236" t="s">
        <v>952</v>
      </c>
      <c r="H3611" s="238">
        <v>42278</v>
      </c>
      <c r="I3611" s="235">
        <v>42338</v>
      </c>
      <c r="J3611" s="136">
        <v>156.08000000000001</v>
      </c>
      <c r="K3611" s="89"/>
      <c r="L3611" s="89">
        <v>1</v>
      </c>
    </row>
    <row r="3612" spans="1:12" ht="85.5">
      <c r="A3612" s="89" t="s">
        <v>1019</v>
      </c>
      <c r="B3612" s="237">
        <v>112120502010</v>
      </c>
      <c r="C3612" s="89" t="s">
        <v>619</v>
      </c>
      <c r="D3612" s="89"/>
      <c r="E3612" s="236" t="s">
        <v>479</v>
      </c>
      <c r="F3612" s="236" t="s">
        <v>429</v>
      </c>
      <c r="G3612" s="236" t="s">
        <v>953</v>
      </c>
      <c r="H3612" s="238">
        <v>42278</v>
      </c>
      <c r="I3612" s="235">
        <v>42338</v>
      </c>
      <c r="J3612" s="136">
        <v>2350.37</v>
      </c>
      <c r="K3612" s="89"/>
      <c r="L3612" s="89">
        <v>1</v>
      </c>
    </row>
    <row r="3613" spans="1:12" ht="85.5">
      <c r="A3613" s="89" t="s">
        <v>1019</v>
      </c>
      <c r="B3613" s="237">
        <v>112120502010</v>
      </c>
      <c r="C3613" s="89" t="s">
        <v>619</v>
      </c>
      <c r="D3613" s="89"/>
      <c r="E3613" s="236" t="s">
        <v>479</v>
      </c>
      <c r="F3613" s="236" t="s">
        <v>429</v>
      </c>
      <c r="G3613" s="236" t="s">
        <v>954</v>
      </c>
      <c r="H3613" s="238">
        <v>42278</v>
      </c>
      <c r="I3613" s="235">
        <v>42338</v>
      </c>
      <c r="J3613" s="136">
        <v>4844.17</v>
      </c>
      <c r="K3613" s="89"/>
      <c r="L3613" s="89">
        <v>1</v>
      </c>
    </row>
    <row r="3614" spans="1:12" ht="85.5">
      <c r="A3614" s="89" t="s">
        <v>621</v>
      </c>
      <c r="B3614" s="237">
        <v>112120502010</v>
      </c>
      <c r="C3614" s="89" t="s">
        <v>622</v>
      </c>
      <c r="D3614" s="89"/>
      <c r="E3614" s="236" t="s">
        <v>479</v>
      </c>
      <c r="F3614" s="236" t="s">
        <v>429</v>
      </c>
      <c r="G3614" s="236" t="s">
        <v>946</v>
      </c>
      <c r="H3614" s="238">
        <v>42278</v>
      </c>
      <c r="I3614" s="235">
        <v>42335</v>
      </c>
      <c r="J3614" s="136">
        <v>7550.71</v>
      </c>
      <c r="K3614" s="89"/>
      <c r="L3614" s="89">
        <v>1</v>
      </c>
    </row>
    <row r="3615" spans="1:12" ht="85.5">
      <c r="A3615" s="89" t="s">
        <v>621</v>
      </c>
      <c r="B3615" s="237">
        <v>112120502010</v>
      </c>
      <c r="C3615" s="89" t="s">
        <v>622</v>
      </c>
      <c r="D3615" s="89"/>
      <c r="E3615" s="236" t="s">
        <v>479</v>
      </c>
      <c r="F3615" s="236" t="s">
        <v>429</v>
      </c>
      <c r="G3615" s="236" t="s">
        <v>947</v>
      </c>
      <c r="H3615" s="238">
        <v>42278</v>
      </c>
      <c r="I3615" s="235">
        <v>42338</v>
      </c>
      <c r="J3615" s="136">
        <v>2280.14</v>
      </c>
      <c r="K3615" s="89"/>
      <c r="L3615" s="89">
        <v>1</v>
      </c>
    </row>
    <row r="3616" spans="1:12" ht="85.5">
      <c r="A3616" s="89" t="s">
        <v>621</v>
      </c>
      <c r="B3616" s="237">
        <v>112120502010</v>
      </c>
      <c r="C3616" s="89" t="s">
        <v>622</v>
      </c>
      <c r="D3616" s="89"/>
      <c r="E3616" s="236" t="s">
        <v>479</v>
      </c>
      <c r="F3616" s="236" t="s">
        <v>429</v>
      </c>
      <c r="G3616" s="236" t="s">
        <v>948</v>
      </c>
      <c r="H3616" s="238">
        <v>42278</v>
      </c>
      <c r="I3616" s="235">
        <v>42338</v>
      </c>
      <c r="J3616" s="136">
        <v>99.08</v>
      </c>
      <c r="K3616" s="89"/>
      <c r="L3616" s="89">
        <v>1</v>
      </c>
    </row>
    <row r="3617" spans="1:12" ht="85.5">
      <c r="A3617" s="89" t="s">
        <v>621</v>
      </c>
      <c r="B3617" s="237">
        <v>112120502010</v>
      </c>
      <c r="C3617" s="89" t="s">
        <v>622</v>
      </c>
      <c r="D3617" s="89"/>
      <c r="E3617" s="236" t="s">
        <v>479</v>
      </c>
      <c r="F3617" s="236" t="s">
        <v>429</v>
      </c>
      <c r="G3617" s="236" t="s">
        <v>949</v>
      </c>
      <c r="H3617" s="238">
        <v>42278</v>
      </c>
      <c r="I3617" s="235">
        <v>42338</v>
      </c>
      <c r="J3617" s="136">
        <v>916.24</v>
      </c>
      <c r="K3617" s="89"/>
      <c r="L3617" s="89">
        <v>1</v>
      </c>
    </row>
    <row r="3618" spans="1:12" ht="85.5">
      <c r="A3618" s="89" t="s">
        <v>1020</v>
      </c>
      <c r="B3618" s="237">
        <v>112120502010</v>
      </c>
      <c r="C3618" s="89" t="s">
        <v>622</v>
      </c>
      <c r="D3618" s="89"/>
      <c r="E3618" s="236" t="s">
        <v>479</v>
      </c>
      <c r="F3618" s="236" t="s">
        <v>429</v>
      </c>
      <c r="G3618" s="236" t="s">
        <v>951</v>
      </c>
      <c r="H3618" s="238">
        <v>42278</v>
      </c>
      <c r="I3618" s="235">
        <v>42335</v>
      </c>
      <c r="J3618" s="136">
        <v>516.64</v>
      </c>
      <c r="K3618" s="89"/>
      <c r="L3618" s="89">
        <v>1</v>
      </c>
    </row>
    <row r="3619" spans="1:12" ht="85.5">
      <c r="A3619" s="89" t="s">
        <v>1020</v>
      </c>
      <c r="B3619" s="237">
        <v>112120502010</v>
      </c>
      <c r="C3619" s="89" t="s">
        <v>622</v>
      </c>
      <c r="D3619" s="89"/>
      <c r="E3619" s="236" t="s">
        <v>479</v>
      </c>
      <c r="F3619" s="236" t="s">
        <v>429</v>
      </c>
      <c r="G3619" s="236" t="s">
        <v>952</v>
      </c>
      <c r="H3619" s="238">
        <v>42278</v>
      </c>
      <c r="I3619" s="235">
        <v>42338</v>
      </c>
      <c r="J3619" s="136">
        <v>124.21</v>
      </c>
      <c r="K3619" s="89"/>
      <c r="L3619" s="89">
        <v>1</v>
      </c>
    </row>
    <row r="3620" spans="1:12" ht="85.5">
      <c r="A3620" s="89" t="s">
        <v>1020</v>
      </c>
      <c r="B3620" s="237">
        <v>112120502010</v>
      </c>
      <c r="C3620" s="89" t="s">
        <v>622</v>
      </c>
      <c r="D3620" s="89"/>
      <c r="E3620" s="236" t="s">
        <v>479</v>
      </c>
      <c r="F3620" s="236" t="s">
        <v>429</v>
      </c>
      <c r="G3620" s="236" t="s">
        <v>953</v>
      </c>
      <c r="H3620" s="238">
        <v>42278</v>
      </c>
      <c r="I3620" s="235">
        <v>42338</v>
      </c>
      <c r="J3620" s="136">
        <v>1870.49</v>
      </c>
      <c r="K3620" s="89"/>
      <c r="L3620" s="89">
        <v>1</v>
      </c>
    </row>
    <row r="3621" spans="1:12" ht="85.5">
      <c r="A3621" s="89" t="s">
        <v>1020</v>
      </c>
      <c r="B3621" s="237">
        <v>112120502010</v>
      </c>
      <c r="C3621" s="89" t="s">
        <v>622</v>
      </c>
      <c r="D3621" s="89"/>
      <c r="E3621" s="236" t="s">
        <v>479</v>
      </c>
      <c r="F3621" s="236" t="s">
        <v>429</v>
      </c>
      <c r="G3621" s="236" t="s">
        <v>954</v>
      </c>
      <c r="H3621" s="238">
        <v>42278</v>
      </c>
      <c r="I3621" s="235">
        <v>42338</v>
      </c>
      <c r="J3621" s="136">
        <v>3855.12</v>
      </c>
      <c r="K3621" s="89"/>
      <c r="L3621" s="89">
        <v>1</v>
      </c>
    </row>
    <row r="3622" spans="1:12" ht="85.5">
      <c r="A3622" s="89" t="s">
        <v>631</v>
      </c>
      <c r="B3622" s="237">
        <v>112120502010</v>
      </c>
      <c r="C3622" s="89" t="s">
        <v>632</v>
      </c>
      <c r="D3622" s="89"/>
      <c r="E3622" s="236" t="s">
        <v>479</v>
      </c>
      <c r="F3622" s="236" t="s">
        <v>429</v>
      </c>
      <c r="G3622" s="236" t="s">
        <v>946</v>
      </c>
      <c r="H3622" s="238">
        <v>42278</v>
      </c>
      <c r="I3622" s="235">
        <v>42335</v>
      </c>
      <c r="J3622" s="136">
        <v>10285.209999999999</v>
      </c>
      <c r="K3622" s="89"/>
      <c r="L3622" s="89">
        <v>1</v>
      </c>
    </row>
    <row r="3623" spans="1:12" ht="85.5">
      <c r="A3623" s="89" t="s">
        <v>631</v>
      </c>
      <c r="B3623" s="237">
        <v>112120502010</v>
      </c>
      <c r="C3623" s="89" t="s">
        <v>632</v>
      </c>
      <c r="D3623" s="89"/>
      <c r="E3623" s="236" t="s">
        <v>479</v>
      </c>
      <c r="F3623" s="236" t="s">
        <v>429</v>
      </c>
      <c r="G3623" s="236" t="s">
        <v>947</v>
      </c>
      <c r="H3623" s="238">
        <v>42278</v>
      </c>
      <c r="I3623" s="235">
        <v>42338</v>
      </c>
      <c r="J3623" s="136">
        <v>3105.9</v>
      </c>
      <c r="K3623" s="89"/>
      <c r="L3623" s="89">
        <v>1</v>
      </c>
    </row>
    <row r="3624" spans="1:12" ht="85.5">
      <c r="A3624" s="89" t="s">
        <v>631</v>
      </c>
      <c r="B3624" s="237">
        <v>112120502010</v>
      </c>
      <c r="C3624" s="89" t="s">
        <v>632</v>
      </c>
      <c r="D3624" s="89"/>
      <c r="E3624" s="236" t="s">
        <v>479</v>
      </c>
      <c r="F3624" s="236" t="s">
        <v>429</v>
      </c>
      <c r="G3624" s="236" t="s">
        <v>948</v>
      </c>
      <c r="H3624" s="238">
        <v>42278</v>
      </c>
      <c r="I3624" s="235">
        <v>42338</v>
      </c>
      <c r="J3624" s="136">
        <v>134.96</v>
      </c>
      <c r="K3624" s="89"/>
      <c r="L3624" s="89">
        <v>1</v>
      </c>
    </row>
    <row r="3625" spans="1:12" ht="85.5">
      <c r="A3625" s="89" t="s">
        <v>631</v>
      </c>
      <c r="B3625" s="237">
        <v>112120502010</v>
      </c>
      <c r="C3625" s="89" t="s">
        <v>632</v>
      </c>
      <c r="D3625" s="89"/>
      <c r="E3625" s="236" t="s">
        <v>479</v>
      </c>
      <c r="F3625" s="236" t="s">
        <v>429</v>
      </c>
      <c r="G3625" s="236" t="s">
        <v>949</v>
      </c>
      <c r="H3625" s="238">
        <v>42278</v>
      </c>
      <c r="I3625" s="235">
        <v>42338</v>
      </c>
      <c r="J3625" s="136">
        <v>1248.06</v>
      </c>
      <c r="K3625" s="89"/>
      <c r="L3625" s="89">
        <v>1</v>
      </c>
    </row>
    <row r="3626" spans="1:12" ht="85.5">
      <c r="A3626" s="89" t="s">
        <v>1021</v>
      </c>
      <c r="B3626" s="237">
        <v>112120502010</v>
      </c>
      <c r="C3626" s="89" t="s">
        <v>632</v>
      </c>
      <c r="D3626" s="89"/>
      <c r="E3626" s="236" t="s">
        <v>479</v>
      </c>
      <c r="F3626" s="236" t="s">
        <v>429</v>
      </c>
      <c r="G3626" s="236" t="s">
        <v>951</v>
      </c>
      <c r="H3626" s="238">
        <v>42278</v>
      </c>
      <c r="I3626" s="235">
        <v>42335</v>
      </c>
      <c r="J3626" s="136">
        <v>703.75</v>
      </c>
      <c r="K3626" s="89"/>
      <c r="L3626" s="89">
        <v>1</v>
      </c>
    </row>
    <row r="3627" spans="1:12" ht="85.5">
      <c r="A3627" s="89" t="s">
        <v>1021</v>
      </c>
      <c r="B3627" s="237">
        <v>112120502010</v>
      </c>
      <c r="C3627" s="89" t="s">
        <v>632</v>
      </c>
      <c r="D3627" s="89"/>
      <c r="E3627" s="236" t="s">
        <v>479</v>
      </c>
      <c r="F3627" s="236" t="s">
        <v>429</v>
      </c>
      <c r="G3627" s="236" t="s">
        <v>952</v>
      </c>
      <c r="H3627" s="238">
        <v>42278</v>
      </c>
      <c r="I3627" s="235">
        <v>42338</v>
      </c>
      <c r="J3627" s="136">
        <v>169.2</v>
      </c>
      <c r="K3627" s="89"/>
      <c r="L3627" s="89">
        <v>1</v>
      </c>
    </row>
    <row r="3628" spans="1:12" ht="85.5">
      <c r="A3628" s="89" t="s">
        <v>1021</v>
      </c>
      <c r="B3628" s="237">
        <v>112120502010</v>
      </c>
      <c r="C3628" s="89" t="s">
        <v>632</v>
      </c>
      <c r="D3628" s="89"/>
      <c r="E3628" s="236" t="s">
        <v>479</v>
      </c>
      <c r="F3628" s="236" t="s">
        <v>429</v>
      </c>
      <c r="G3628" s="236" t="s">
        <v>953</v>
      </c>
      <c r="H3628" s="238">
        <v>42278</v>
      </c>
      <c r="I3628" s="235">
        <v>42338</v>
      </c>
      <c r="J3628" s="136">
        <v>2547.89</v>
      </c>
      <c r="K3628" s="89"/>
      <c r="L3628" s="89">
        <v>1</v>
      </c>
    </row>
    <row r="3629" spans="1:12" ht="85.5">
      <c r="A3629" s="89" t="s">
        <v>1021</v>
      </c>
      <c r="B3629" s="237">
        <v>112120502010</v>
      </c>
      <c r="C3629" s="89" t="s">
        <v>632</v>
      </c>
      <c r="D3629" s="89"/>
      <c r="E3629" s="236" t="s">
        <v>479</v>
      </c>
      <c r="F3629" s="236" t="s">
        <v>429</v>
      </c>
      <c r="G3629" s="236" t="s">
        <v>954</v>
      </c>
      <c r="H3629" s="238">
        <v>42278</v>
      </c>
      <c r="I3629" s="235">
        <v>42338</v>
      </c>
      <c r="J3629" s="136">
        <v>5251.26</v>
      </c>
      <c r="K3629" s="89"/>
      <c r="L3629" s="89">
        <v>1</v>
      </c>
    </row>
    <row r="3630" spans="1:12" ht="85.5">
      <c r="A3630" s="89" t="s">
        <v>638</v>
      </c>
      <c r="B3630" s="237">
        <v>112120502010</v>
      </c>
      <c r="C3630" s="89" t="s">
        <v>637</v>
      </c>
      <c r="D3630" s="89"/>
      <c r="E3630" s="236" t="s">
        <v>479</v>
      </c>
      <c r="F3630" s="236" t="s">
        <v>429</v>
      </c>
      <c r="G3630" s="236" t="s">
        <v>946</v>
      </c>
      <c r="H3630" s="238">
        <v>42278</v>
      </c>
      <c r="I3630" s="235">
        <v>42335</v>
      </c>
      <c r="J3630" s="136">
        <v>6778.76</v>
      </c>
      <c r="K3630" s="89"/>
      <c r="L3630" s="89">
        <v>1</v>
      </c>
    </row>
    <row r="3631" spans="1:12" ht="85.5">
      <c r="A3631" s="89" t="s">
        <v>638</v>
      </c>
      <c r="B3631" s="237">
        <v>112120502010</v>
      </c>
      <c r="C3631" s="89" t="s">
        <v>637</v>
      </c>
      <c r="D3631" s="89"/>
      <c r="E3631" s="236" t="s">
        <v>479</v>
      </c>
      <c r="F3631" s="236" t="s">
        <v>429</v>
      </c>
      <c r="G3631" s="236" t="s">
        <v>947</v>
      </c>
      <c r="H3631" s="238">
        <v>42278</v>
      </c>
      <c r="I3631" s="235">
        <v>42338</v>
      </c>
      <c r="J3631" s="136">
        <v>2047.03</v>
      </c>
      <c r="K3631" s="89"/>
      <c r="L3631" s="89">
        <v>1</v>
      </c>
    </row>
    <row r="3632" spans="1:12" ht="85.5">
      <c r="A3632" s="89" t="s">
        <v>638</v>
      </c>
      <c r="B3632" s="237">
        <v>112120502010</v>
      </c>
      <c r="C3632" s="89" t="s">
        <v>637</v>
      </c>
      <c r="D3632" s="89"/>
      <c r="E3632" s="236" t="s">
        <v>479</v>
      </c>
      <c r="F3632" s="236" t="s">
        <v>429</v>
      </c>
      <c r="G3632" s="236" t="s">
        <v>948</v>
      </c>
      <c r="H3632" s="238">
        <v>42278</v>
      </c>
      <c r="I3632" s="235">
        <v>42338</v>
      </c>
      <c r="J3632" s="136">
        <v>88.95</v>
      </c>
      <c r="K3632" s="89"/>
      <c r="L3632" s="89">
        <v>1</v>
      </c>
    </row>
    <row r="3633" spans="1:12" ht="85.5">
      <c r="A3633" s="89" t="s">
        <v>638</v>
      </c>
      <c r="B3633" s="237">
        <v>112120502010</v>
      </c>
      <c r="C3633" s="89" t="s">
        <v>637</v>
      </c>
      <c r="D3633" s="89"/>
      <c r="E3633" s="236" t="s">
        <v>479</v>
      </c>
      <c r="F3633" s="236" t="s">
        <v>429</v>
      </c>
      <c r="G3633" s="236" t="s">
        <v>949</v>
      </c>
      <c r="H3633" s="238">
        <v>42278</v>
      </c>
      <c r="I3633" s="235">
        <v>42338</v>
      </c>
      <c r="J3633" s="136">
        <v>822.57</v>
      </c>
      <c r="K3633" s="89"/>
      <c r="L3633" s="89">
        <v>1</v>
      </c>
    </row>
    <row r="3634" spans="1:12" ht="85.5">
      <c r="A3634" s="89" t="s">
        <v>1022</v>
      </c>
      <c r="B3634" s="237">
        <v>112120502010</v>
      </c>
      <c r="C3634" s="89" t="s">
        <v>637</v>
      </c>
      <c r="D3634" s="89"/>
      <c r="E3634" s="236" t="s">
        <v>479</v>
      </c>
      <c r="F3634" s="236" t="s">
        <v>429</v>
      </c>
      <c r="G3634" s="236" t="s">
        <v>951</v>
      </c>
      <c r="H3634" s="238">
        <v>42278</v>
      </c>
      <c r="I3634" s="235">
        <v>42335</v>
      </c>
      <c r="J3634" s="136">
        <v>463.82</v>
      </c>
      <c r="K3634" s="89"/>
      <c r="L3634" s="89">
        <v>1</v>
      </c>
    </row>
    <row r="3635" spans="1:12" ht="85.5">
      <c r="A3635" s="89" t="s">
        <v>1022</v>
      </c>
      <c r="B3635" s="237">
        <v>112120502010</v>
      </c>
      <c r="C3635" s="89" t="s">
        <v>637</v>
      </c>
      <c r="D3635" s="89"/>
      <c r="E3635" s="236" t="s">
        <v>479</v>
      </c>
      <c r="F3635" s="236" t="s">
        <v>429</v>
      </c>
      <c r="G3635" s="236" t="s">
        <v>952</v>
      </c>
      <c r="H3635" s="238">
        <v>42278</v>
      </c>
      <c r="I3635" s="235">
        <v>42338</v>
      </c>
      <c r="J3635" s="136">
        <v>111.52</v>
      </c>
      <c r="K3635" s="89"/>
      <c r="L3635" s="89">
        <v>1</v>
      </c>
    </row>
    <row r="3636" spans="1:12" ht="85.5">
      <c r="A3636" s="89" t="s">
        <v>1022</v>
      </c>
      <c r="B3636" s="237">
        <v>112120502010</v>
      </c>
      <c r="C3636" s="89" t="s">
        <v>637</v>
      </c>
      <c r="D3636" s="89"/>
      <c r="E3636" s="236" t="s">
        <v>479</v>
      </c>
      <c r="F3636" s="236" t="s">
        <v>429</v>
      </c>
      <c r="G3636" s="236" t="s">
        <v>953</v>
      </c>
      <c r="H3636" s="238">
        <v>42278</v>
      </c>
      <c r="I3636" s="235">
        <v>42338</v>
      </c>
      <c r="J3636" s="136">
        <v>1679.26</v>
      </c>
      <c r="K3636" s="89"/>
      <c r="L3636" s="89">
        <v>1</v>
      </c>
    </row>
    <row r="3637" spans="1:12" ht="85.5">
      <c r="A3637" s="89" t="s">
        <v>1022</v>
      </c>
      <c r="B3637" s="237">
        <v>112120502010</v>
      </c>
      <c r="C3637" s="89" t="s">
        <v>637</v>
      </c>
      <c r="D3637" s="89"/>
      <c r="E3637" s="236" t="s">
        <v>479</v>
      </c>
      <c r="F3637" s="236" t="s">
        <v>429</v>
      </c>
      <c r="G3637" s="236" t="s">
        <v>954</v>
      </c>
      <c r="H3637" s="238">
        <v>42278</v>
      </c>
      <c r="I3637" s="235">
        <v>42338</v>
      </c>
      <c r="J3637" s="136">
        <v>3460.99</v>
      </c>
      <c r="K3637" s="89"/>
      <c r="L3637" s="89">
        <v>1</v>
      </c>
    </row>
    <row r="3638" spans="1:12" ht="85.5">
      <c r="A3638" s="89" t="s">
        <v>653</v>
      </c>
      <c r="B3638" s="237">
        <v>112120502010</v>
      </c>
      <c r="C3638" s="89" t="s">
        <v>654</v>
      </c>
      <c r="D3638" s="89"/>
      <c r="E3638" s="236" t="s">
        <v>479</v>
      </c>
      <c r="F3638" s="236" t="s">
        <v>429</v>
      </c>
      <c r="G3638" s="236" t="s">
        <v>946</v>
      </c>
      <c r="H3638" s="238">
        <v>42278</v>
      </c>
      <c r="I3638" s="235">
        <v>42335</v>
      </c>
      <c r="J3638" s="136">
        <v>19682.330000000002</v>
      </c>
      <c r="K3638" s="89"/>
      <c r="L3638" s="89">
        <v>1</v>
      </c>
    </row>
    <row r="3639" spans="1:12" ht="85.5">
      <c r="A3639" s="89" t="s">
        <v>653</v>
      </c>
      <c r="B3639" s="237">
        <v>112120502010</v>
      </c>
      <c r="C3639" s="89" t="s">
        <v>654</v>
      </c>
      <c r="D3639" s="89"/>
      <c r="E3639" s="236" t="s">
        <v>479</v>
      </c>
      <c r="F3639" s="236" t="s">
        <v>429</v>
      </c>
      <c r="G3639" s="236" t="s">
        <v>947</v>
      </c>
      <c r="H3639" s="238">
        <v>42278</v>
      </c>
      <c r="I3639" s="235">
        <v>42338</v>
      </c>
      <c r="J3639" s="136">
        <v>5943.61</v>
      </c>
      <c r="K3639" s="89"/>
      <c r="L3639" s="89">
        <v>1</v>
      </c>
    </row>
    <row r="3640" spans="1:12" ht="85.5">
      <c r="A3640" s="89" t="s">
        <v>653</v>
      </c>
      <c r="B3640" s="237">
        <v>112120502010</v>
      </c>
      <c r="C3640" s="89" t="s">
        <v>654</v>
      </c>
      <c r="D3640" s="89"/>
      <c r="E3640" s="236" t="s">
        <v>479</v>
      </c>
      <c r="F3640" s="236" t="s">
        <v>429</v>
      </c>
      <c r="G3640" s="236" t="s">
        <v>948</v>
      </c>
      <c r="H3640" s="238">
        <v>42278</v>
      </c>
      <c r="I3640" s="235">
        <v>42338</v>
      </c>
      <c r="J3640" s="136">
        <v>258.27</v>
      </c>
      <c r="K3640" s="89"/>
      <c r="L3640" s="89">
        <v>1</v>
      </c>
    </row>
    <row r="3641" spans="1:12" ht="85.5">
      <c r="A3641" s="89" t="s">
        <v>653</v>
      </c>
      <c r="B3641" s="237">
        <v>112120502010</v>
      </c>
      <c r="C3641" s="89" t="s">
        <v>654</v>
      </c>
      <c r="D3641" s="89"/>
      <c r="E3641" s="236" t="s">
        <v>479</v>
      </c>
      <c r="F3641" s="236" t="s">
        <v>429</v>
      </c>
      <c r="G3641" s="236" t="s">
        <v>949</v>
      </c>
      <c r="H3641" s="238">
        <v>42278</v>
      </c>
      <c r="I3641" s="235">
        <v>42338</v>
      </c>
      <c r="J3641" s="136">
        <v>2388.35</v>
      </c>
      <c r="K3641" s="89"/>
      <c r="L3641" s="89">
        <v>1</v>
      </c>
    </row>
    <row r="3642" spans="1:12" ht="85.5">
      <c r="A3642" s="89" t="s">
        <v>1023</v>
      </c>
      <c r="B3642" s="237">
        <v>112120502010</v>
      </c>
      <c r="C3642" s="89" t="s">
        <v>654</v>
      </c>
      <c r="D3642" s="89"/>
      <c r="E3642" s="236" t="s">
        <v>479</v>
      </c>
      <c r="F3642" s="236" t="s">
        <v>429</v>
      </c>
      <c r="G3642" s="236" t="s">
        <v>951</v>
      </c>
      <c r="H3642" s="238">
        <v>42278</v>
      </c>
      <c r="I3642" s="235">
        <v>42335</v>
      </c>
      <c r="J3642" s="136">
        <v>1346.73</v>
      </c>
      <c r="K3642" s="89"/>
      <c r="L3642" s="89">
        <v>1</v>
      </c>
    </row>
    <row r="3643" spans="1:12" ht="85.5">
      <c r="A3643" s="89" t="s">
        <v>1023</v>
      </c>
      <c r="B3643" s="237">
        <v>112120502010</v>
      </c>
      <c r="C3643" s="89" t="s">
        <v>654</v>
      </c>
      <c r="D3643" s="89"/>
      <c r="E3643" s="236" t="s">
        <v>479</v>
      </c>
      <c r="F3643" s="236" t="s">
        <v>429</v>
      </c>
      <c r="G3643" s="236" t="s">
        <v>952</v>
      </c>
      <c r="H3643" s="238">
        <v>42278</v>
      </c>
      <c r="I3643" s="235">
        <v>42338</v>
      </c>
      <c r="J3643" s="136">
        <v>323.79000000000002</v>
      </c>
      <c r="K3643" s="89"/>
      <c r="L3643" s="89">
        <v>1</v>
      </c>
    </row>
    <row r="3644" spans="1:12" ht="85.5">
      <c r="A3644" s="89" t="s">
        <v>1023</v>
      </c>
      <c r="B3644" s="237">
        <v>112120502010</v>
      </c>
      <c r="C3644" s="89" t="s">
        <v>654</v>
      </c>
      <c r="D3644" s="89"/>
      <c r="E3644" s="236" t="s">
        <v>479</v>
      </c>
      <c r="F3644" s="236" t="s">
        <v>429</v>
      </c>
      <c r="G3644" s="236" t="s">
        <v>953</v>
      </c>
      <c r="H3644" s="238">
        <v>42278</v>
      </c>
      <c r="I3644" s="235">
        <v>42338</v>
      </c>
      <c r="J3644" s="136">
        <v>4875.7700000000004</v>
      </c>
      <c r="K3644" s="89"/>
      <c r="L3644" s="89">
        <v>1</v>
      </c>
    </row>
    <row r="3645" spans="1:12" ht="85.5">
      <c r="A3645" s="89" t="s">
        <v>1023</v>
      </c>
      <c r="B3645" s="237">
        <v>112120502010</v>
      </c>
      <c r="C3645" s="89" t="s">
        <v>654</v>
      </c>
      <c r="D3645" s="89"/>
      <c r="E3645" s="236" t="s">
        <v>479</v>
      </c>
      <c r="F3645" s="236" t="s">
        <v>429</v>
      </c>
      <c r="G3645" s="236" t="s">
        <v>954</v>
      </c>
      <c r="H3645" s="238">
        <v>42278</v>
      </c>
      <c r="I3645" s="235">
        <v>42338</v>
      </c>
      <c r="J3645" s="136">
        <v>10049.09</v>
      </c>
      <c r="K3645" s="89"/>
      <c r="L3645" s="89">
        <v>1</v>
      </c>
    </row>
    <row r="3646" spans="1:12" ht="85.5">
      <c r="A3646" s="89" t="s">
        <v>671</v>
      </c>
      <c r="B3646" s="237">
        <v>112120502010</v>
      </c>
      <c r="C3646" s="89" t="s">
        <v>672</v>
      </c>
      <c r="D3646" s="89"/>
      <c r="E3646" s="236" t="s">
        <v>479</v>
      </c>
      <c r="F3646" s="236" t="s">
        <v>429</v>
      </c>
      <c r="G3646" s="236" t="s">
        <v>946</v>
      </c>
      <c r="H3646" s="238">
        <v>42278</v>
      </c>
      <c r="I3646" s="235">
        <v>42335</v>
      </c>
      <c r="J3646" s="136">
        <v>5094.0600000000004</v>
      </c>
      <c r="K3646" s="89"/>
      <c r="L3646" s="89">
        <v>1</v>
      </c>
    </row>
    <row r="3647" spans="1:12" ht="85.5">
      <c r="A3647" s="89" t="s">
        <v>671</v>
      </c>
      <c r="B3647" s="237">
        <v>112120502010</v>
      </c>
      <c r="C3647" s="89" t="s">
        <v>672</v>
      </c>
      <c r="D3647" s="89"/>
      <c r="E3647" s="236" t="s">
        <v>479</v>
      </c>
      <c r="F3647" s="236" t="s">
        <v>429</v>
      </c>
      <c r="G3647" s="236" t="s">
        <v>947</v>
      </c>
      <c r="H3647" s="238">
        <v>42278</v>
      </c>
      <c r="I3647" s="235">
        <v>42338</v>
      </c>
      <c r="J3647" s="136">
        <v>1538.29</v>
      </c>
      <c r="K3647" s="89"/>
      <c r="L3647" s="89">
        <v>1</v>
      </c>
    </row>
    <row r="3648" spans="1:12" ht="85.5">
      <c r="A3648" s="89" t="s">
        <v>671</v>
      </c>
      <c r="B3648" s="237">
        <v>112120502010</v>
      </c>
      <c r="C3648" s="89" t="s">
        <v>672</v>
      </c>
      <c r="D3648" s="89"/>
      <c r="E3648" s="236" t="s">
        <v>479</v>
      </c>
      <c r="F3648" s="236" t="s">
        <v>429</v>
      </c>
      <c r="G3648" s="236" t="s">
        <v>948</v>
      </c>
      <c r="H3648" s="238">
        <v>42278</v>
      </c>
      <c r="I3648" s="235">
        <v>42338</v>
      </c>
      <c r="J3648" s="136">
        <v>66.84</v>
      </c>
      <c r="K3648" s="89"/>
      <c r="L3648" s="89">
        <v>1</v>
      </c>
    </row>
    <row r="3649" spans="1:12" ht="85.5">
      <c r="A3649" s="89" t="s">
        <v>671</v>
      </c>
      <c r="B3649" s="237">
        <v>112120502010</v>
      </c>
      <c r="C3649" s="89" t="s">
        <v>672</v>
      </c>
      <c r="D3649" s="89"/>
      <c r="E3649" s="236" t="s">
        <v>479</v>
      </c>
      <c r="F3649" s="236" t="s">
        <v>429</v>
      </c>
      <c r="G3649" s="236" t="s">
        <v>949</v>
      </c>
      <c r="H3649" s="238">
        <v>42278</v>
      </c>
      <c r="I3649" s="235">
        <v>42338</v>
      </c>
      <c r="J3649" s="136">
        <v>618.14</v>
      </c>
      <c r="K3649" s="89"/>
      <c r="L3649" s="89">
        <v>1</v>
      </c>
    </row>
    <row r="3650" spans="1:12" ht="85.5">
      <c r="A3650" s="89" t="s">
        <v>1024</v>
      </c>
      <c r="B3650" s="237">
        <v>112120502010</v>
      </c>
      <c r="C3650" s="89" t="s">
        <v>672</v>
      </c>
      <c r="D3650" s="89"/>
      <c r="E3650" s="236" t="s">
        <v>479</v>
      </c>
      <c r="F3650" s="236" t="s">
        <v>429</v>
      </c>
      <c r="G3650" s="236" t="s">
        <v>951</v>
      </c>
      <c r="H3650" s="238">
        <v>42278</v>
      </c>
      <c r="I3650" s="235">
        <v>42335</v>
      </c>
      <c r="J3650" s="136">
        <v>348.55</v>
      </c>
      <c r="K3650" s="89"/>
      <c r="L3650" s="89">
        <v>1</v>
      </c>
    </row>
    <row r="3651" spans="1:12" ht="85.5">
      <c r="A3651" s="89" t="s">
        <v>1024</v>
      </c>
      <c r="B3651" s="237">
        <v>112120502010</v>
      </c>
      <c r="C3651" s="89" t="s">
        <v>672</v>
      </c>
      <c r="D3651" s="89"/>
      <c r="E3651" s="236" t="s">
        <v>479</v>
      </c>
      <c r="F3651" s="236" t="s">
        <v>429</v>
      </c>
      <c r="G3651" s="236" t="s">
        <v>952</v>
      </c>
      <c r="H3651" s="238">
        <v>42278</v>
      </c>
      <c r="I3651" s="235">
        <v>42338</v>
      </c>
      <c r="J3651" s="136">
        <v>83.8</v>
      </c>
      <c r="K3651" s="89"/>
      <c r="L3651" s="89">
        <v>1</v>
      </c>
    </row>
    <row r="3652" spans="1:12" ht="85.5">
      <c r="A3652" s="89" t="s">
        <v>1024</v>
      </c>
      <c r="B3652" s="237">
        <v>112120502010</v>
      </c>
      <c r="C3652" s="89" t="s">
        <v>672</v>
      </c>
      <c r="D3652" s="89"/>
      <c r="E3652" s="236" t="s">
        <v>479</v>
      </c>
      <c r="F3652" s="236" t="s">
        <v>429</v>
      </c>
      <c r="G3652" s="236" t="s">
        <v>953</v>
      </c>
      <c r="H3652" s="238">
        <v>42278</v>
      </c>
      <c r="I3652" s="235">
        <v>42338</v>
      </c>
      <c r="J3652" s="136">
        <v>1261.92</v>
      </c>
      <c r="K3652" s="89"/>
      <c r="L3652" s="89">
        <v>1</v>
      </c>
    </row>
    <row r="3653" spans="1:12" ht="85.5">
      <c r="A3653" s="89" t="s">
        <v>1024</v>
      </c>
      <c r="B3653" s="237">
        <v>112120502010</v>
      </c>
      <c r="C3653" s="89" t="s">
        <v>672</v>
      </c>
      <c r="D3653" s="89"/>
      <c r="E3653" s="236" t="s">
        <v>479</v>
      </c>
      <c r="F3653" s="236" t="s">
        <v>429</v>
      </c>
      <c r="G3653" s="236" t="s">
        <v>954</v>
      </c>
      <c r="H3653" s="238">
        <v>42278</v>
      </c>
      <c r="I3653" s="235">
        <v>42338</v>
      </c>
      <c r="J3653" s="136">
        <v>2600.84</v>
      </c>
      <c r="K3653" s="89"/>
      <c r="L3653" s="89">
        <v>1</v>
      </c>
    </row>
    <row r="3654" spans="1:12" ht="85.5">
      <c r="A3654" s="89" t="s">
        <v>676</v>
      </c>
      <c r="B3654" s="237">
        <v>112120502010</v>
      </c>
      <c r="C3654" s="89" t="s">
        <v>675</v>
      </c>
      <c r="D3654" s="89"/>
      <c r="E3654" s="236" t="s">
        <v>479</v>
      </c>
      <c r="F3654" s="236" t="s">
        <v>429</v>
      </c>
      <c r="G3654" s="236" t="s">
        <v>946</v>
      </c>
      <c r="H3654" s="238">
        <v>42278</v>
      </c>
      <c r="I3654" s="235">
        <v>42335</v>
      </c>
      <c r="J3654" s="136">
        <v>5973.19</v>
      </c>
      <c r="K3654" s="89"/>
      <c r="L3654" s="89">
        <v>1</v>
      </c>
    </row>
    <row r="3655" spans="1:12" ht="85.5">
      <c r="A3655" s="89" t="s">
        <v>676</v>
      </c>
      <c r="B3655" s="237">
        <v>112120502010</v>
      </c>
      <c r="C3655" s="89" t="s">
        <v>675</v>
      </c>
      <c r="D3655" s="89"/>
      <c r="E3655" s="236" t="s">
        <v>479</v>
      </c>
      <c r="F3655" s="236" t="s">
        <v>429</v>
      </c>
      <c r="G3655" s="236" t="s">
        <v>947</v>
      </c>
      <c r="H3655" s="238">
        <v>42278</v>
      </c>
      <c r="I3655" s="235">
        <v>42338</v>
      </c>
      <c r="J3655" s="136">
        <v>1803.77</v>
      </c>
      <c r="K3655" s="89"/>
      <c r="L3655" s="89">
        <v>1</v>
      </c>
    </row>
    <row r="3656" spans="1:12" ht="85.5">
      <c r="A3656" s="89" t="s">
        <v>676</v>
      </c>
      <c r="B3656" s="237">
        <v>112120502010</v>
      </c>
      <c r="C3656" s="89" t="s">
        <v>675</v>
      </c>
      <c r="D3656" s="89"/>
      <c r="E3656" s="236" t="s">
        <v>479</v>
      </c>
      <c r="F3656" s="236" t="s">
        <v>429</v>
      </c>
      <c r="G3656" s="236" t="s">
        <v>948</v>
      </c>
      <c r="H3656" s="238">
        <v>42278</v>
      </c>
      <c r="I3656" s="235">
        <v>42338</v>
      </c>
      <c r="J3656" s="136">
        <v>78.38</v>
      </c>
      <c r="K3656" s="89"/>
      <c r="L3656" s="89">
        <v>1</v>
      </c>
    </row>
    <row r="3657" spans="1:12" ht="85.5">
      <c r="A3657" s="89" t="s">
        <v>676</v>
      </c>
      <c r="B3657" s="237">
        <v>112120502010</v>
      </c>
      <c r="C3657" s="89" t="s">
        <v>675</v>
      </c>
      <c r="D3657" s="89"/>
      <c r="E3657" s="236" t="s">
        <v>479</v>
      </c>
      <c r="F3657" s="236" t="s">
        <v>429</v>
      </c>
      <c r="G3657" s="236" t="s">
        <v>949</v>
      </c>
      <c r="H3657" s="238">
        <v>42278</v>
      </c>
      <c r="I3657" s="235">
        <v>42338</v>
      </c>
      <c r="J3657" s="136">
        <v>724.82</v>
      </c>
      <c r="K3657" s="89"/>
      <c r="L3657" s="89">
        <v>1</v>
      </c>
    </row>
    <row r="3658" spans="1:12" ht="85.5">
      <c r="A3658" s="89" t="s">
        <v>1025</v>
      </c>
      <c r="B3658" s="237">
        <v>112120502010</v>
      </c>
      <c r="C3658" s="89" t="s">
        <v>675</v>
      </c>
      <c r="D3658" s="89"/>
      <c r="E3658" s="236" t="s">
        <v>479</v>
      </c>
      <c r="F3658" s="236" t="s">
        <v>429</v>
      </c>
      <c r="G3658" s="236" t="s">
        <v>951</v>
      </c>
      <c r="H3658" s="238">
        <v>42278</v>
      </c>
      <c r="I3658" s="235">
        <v>42335</v>
      </c>
      <c r="J3658" s="136">
        <v>408.7</v>
      </c>
      <c r="K3658" s="89"/>
      <c r="L3658" s="89">
        <v>1</v>
      </c>
    </row>
    <row r="3659" spans="1:12" ht="85.5">
      <c r="A3659" s="89" t="s">
        <v>1025</v>
      </c>
      <c r="B3659" s="237">
        <v>112120502010</v>
      </c>
      <c r="C3659" s="89" t="s">
        <v>675</v>
      </c>
      <c r="D3659" s="89"/>
      <c r="E3659" s="236" t="s">
        <v>479</v>
      </c>
      <c r="F3659" s="236" t="s">
        <v>429</v>
      </c>
      <c r="G3659" s="236" t="s">
        <v>952</v>
      </c>
      <c r="H3659" s="238">
        <v>42278</v>
      </c>
      <c r="I3659" s="235">
        <v>42338</v>
      </c>
      <c r="J3659" s="136">
        <v>98.26</v>
      </c>
      <c r="K3659" s="89"/>
      <c r="L3659" s="89">
        <v>1</v>
      </c>
    </row>
    <row r="3660" spans="1:12" ht="85.5">
      <c r="A3660" s="89" t="s">
        <v>1025</v>
      </c>
      <c r="B3660" s="237">
        <v>112120502010</v>
      </c>
      <c r="C3660" s="89" t="s">
        <v>675</v>
      </c>
      <c r="D3660" s="89"/>
      <c r="E3660" s="236" t="s">
        <v>479</v>
      </c>
      <c r="F3660" s="236" t="s">
        <v>429</v>
      </c>
      <c r="G3660" s="236" t="s">
        <v>953</v>
      </c>
      <c r="H3660" s="238">
        <v>42278</v>
      </c>
      <c r="I3660" s="235">
        <v>42338</v>
      </c>
      <c r="J3660" s="136">
        <v>1479.7</v>
      </c>
      <c r="K3660" s="89"/>
      <c r="L3660" s="89">
        <v>1</v>
      </c>
    </row>
    <row r="3661" spans="1:12" ht="85.5">
      <c r="A3661" s="89" t="s">
        <v>1025</v>
      </c>
      <c r="B3661" s="237">
        <v>112120502010</v>
      </c>
      <c r="C3661" s="89" t="s">
        <v>675</v>
      </c>
      <c r="D3661" s="89"/>
      <c r="E3661" s="236" t="s">
        <v>479</v>
      </c>
      <c r="F3661" s="236" t="s">
        <v>429</v>
      </c>
      <c r="G3661" s="236" t="s">
        <v>954</v>
      </c>
      <c r="H3661" s="238">
        <v>42278</v>
      </c>
      <c r="I3661" s="235">
        <v>42338</v>
      </c>
      <c r="J3661" s="136">
        <v>3049.7</v>
      </c>
      <c r="K3661" s="89"/>
      <c r="L3661" s="89">
        <v>1</v>
      </c>
    </row>
    <row r="3662" spans="1:12" ht="85.5">
      <c r="A3662" s="89" t="s">
        <v>677</v>
      </c>
      <c r="B3662" s="237">
        <v>112120502010</v>
      </c>
      <c r="C3662" s="89" t="s">
        <v>678</v>
      </c>
      <c r="D3662" s="89"/>
      <c r="E3662" s="236" t="s">
        <v>479</v>
      </c>
      <c r="F3662" s="236" t="s">
        <v>429</v>
      </c>
      <c r="G3662" s="236" t="s">
        <v>946</v>
      </c>
      <c r="H3662" s="238">
        <v>42278</v>
      </c>
      <c r="I3662" s="235">
        <v>42335</v>
      </c>
      <c r="J3662" s="136">
        <v>10969.03</v>
      </c>
      <c r="K3662" s="89"/>
      <c r="L3662" s="89">
        <v>1</v>
      </c>
    </row>
    <row r="3663" spans="1:12" ht="85.5">
      <c r="A3663" s="89" t="s">
        <v>677</v>
      </c>
      <c r="B3663" s="237">
        <v>112120502010</v>
      </c>
      <c r="C3663" s="89" t="s">
        <v>678</v>
      </c>
      <c r="D3663" s="89"/>
      <c r="E3663" s="236" t="s">
        <v>479</v>
      </c>
      <c r="F3663" s="236" t="s">
        <v>429</v>
      </c>
      <c r="G3663" s="236" t="s">
        <v>947</v>
      </c>
      <c r="H3663" s="238">
        <v>42278</v>
      </c>
      <c r="I3663" s="235">
        <v>42338</v>
      </c>
      <c r="J3663" s="136">
        <v>3312.4</v>
      </c>
      <c r="K3663" s="89"/>
      <c r="L3663" s="89">
        <v>1</v>
      </c>
    </row>
    <row r="3664" spans="1:12" ht="85.5">
      <c r="A3664" s="89" t="s">
        <v>677</v>
      </c>
      <c r="B3664" s="237">
        <v>112120502010</v>
      </c>
      <c r="C3664" s="89" t="s">
        <v>678</v>
      </c>
      <c r="D3664" s="89"/>
      <c r="E3664" s="236" t="s">
        <v>479</v>
      </c>
      <c r="F3664" s="236" t="s">
        <v>429</v>
      </c>
      <c r="G3664" s="236" t="s">
        <v>948</v>
      </c>
      <c r="H3664" s="238">
        <v>42278</v>
      </c>
      <c r="I3664" s="235">
        <v>42338</v>
      </c>
      <c r="J3664" s="136">
        <v>143.93</v>
      </c>
      <c r="K3664" s="89"/>
      <c r="L3664" s="89">
        <v>1</v>
      </c>
    </row>
    <row r="3665" spans="1:12" ht="85.5">
      <c r="A3665" s="89" t="s">
        <v>677</v>
      </c>
      <c r="B3665" s="237">
        <v>112120502010</v>
      </c>
      <c r="C3665" s="89" t="s">
        <v>678</v>
      </c>
      <c r="D3665" s="89"/>
      <c r="E3665" s="236" t="s">
        <v>479</v>
      </c>
      <c r="F3665" s="236" t="s">
        <v>429</v>
      </c>
      <c r="G3665" s="236" t="s">
        <v>949</v>
      </c>
      <c r="H3665" s="238">
        <v>42278</v>
      </c>
      <c r="I3665" s="235">
        <v>42338</v>
      </c>
      <c r="J3665" s="136">
        <v>1331.04</v>
      </c>
      <c r="K3665" s="89"/>
      <c r="L3665" s="89">
        <v>1</v>
      </c>
    </row>
    <row r="3666" spans="1:12" ht="85.5">
      <c r="A3666" s="89" t="s">
        <v>1026</v>
      </c>
      <c r="B3666" s="237">
        <v>112120502010</v>
      </c>
      <c r="C3666" s="89" t="s">
        <v>678</v>
      </c>
      <c r="D3666" s="89"/>
      <c r="E3666" s="236" t="s">
        <v>479</v>
      </c>
      <c r="F3666" s="236" t="s">
        <v>429</v>
      </c>
      <c r="G3666" s="236" t="s">
        <v>951</v>
      </c>
      <c r="H3666" s="238">
        <v>42278</v>
      </c>
      <c r="I3666" s="235">
        <v>42335</v>
      </c>
      <c r="J3666" s="136">
        <v>750.54</v>
      </c>
      <c r="K3666" s="89"/>
      <c r="L3666" s="89">
        <v>1</v>
      </c>
    </row>
    <row r="3667" spans="1:12" ht="85.5">
      <c r="A3667" s="89" t="s">
        <v>1026</v>
      </c>
      <c r="B3667" s="237">
        <v>112120502010</v>
      </c>
      <c r="C3667" s="89" t="s">
        <v>678</v>
      </c>
      <c r="D3667" s="89"/>
      <c r="E3667" s="236" t="s">
        <v>479</v>
      </c>
      <c r="F3667" s="236" t="s">
        <v>429</v>
      </c>
      <c r="G3667" s="236" t="s">
        <v>952</v>
      </c>
      <c r="H3667" s="238">
        <v>42278</v>
      </c>
      <c r="I3667" s="235">
        <v>42338</v>
      </c>
      <c r="J3667" s="136">
        <v>180.45</v>
      </c>
      <c r="K3667" s="89"/>
      <c r="L3667" s="89">
        <v>1</v>
      </c>
    </row>
    <row r="3668" spans="1:12" ht="85.5">
      <c r="A3668" s="89" t="s">
        <v>1026</v>
      </c>
      <c r="B3668" s="237">
        <v>112120502010</v>
      </c>
      <c r="C3668" s="89" t="s">
        <v>678</v>
      </c>
      <c r="D3668" s="89"/>
      <c r="E3668" s="236" t="s">
        <v>479</v>
      </c>
      <c r="F3668" s="236" t="s">
        <v>429</v>
      </c>
      <c r="G3668" s="236" t="s">
        <v>953</v>
      </c>
      <c r="H3668" s="238">
        <v>42278</v>
      </c>
      <c r="I3668" s="235">
        <v>42338</v>
      </c>
      <c r="J3668" s="136">
        <v>2717.28</v>
      </c>
      <c r="K3668" s="89"/>
      <c r="L3668" s="89">
        <v>1</v>
      </c>
    </row>
    <row r="3669" spans="1:12" ht="85.5">
      <c r="A3669" s="89" t="s">
        <v>1026</v>
      </c>
      <c r="B3669" s="237">
        <v>112120502010</v>
      </c>
      <c r="C3669" s="89" t="s">
        <v>678</v>
      </c>
      <c r="D3669" s="89"/>
      <c r="E3669" s="236" t="s">
        <v>479</v>
      </c>
      <c r="F3669" s="236" t="s">
        <v>429</v>
      </c>
      <c r="G3669" s="236" t="s">
        <v>954</v>
      </c>
      <c r="H3669" s="238">
        <v>42278</v>
      </c>
      <c r="I3669" s="235">
        <v>42338</v>
      </c>
      <c r="J3669" s="136">
        <v>5600.39</v>
      </c>
      <c r="K3669" s="89"/>
      <c r="L3669" s="89">
        <v>1</v>
      </c>
    </row>
    <row r="3670" spans="1:12" ht="85.5">
      <c r="A3670" s="89" t="s">
        <v>806</v>
      </c>
      <c r="B3670" s="237">
        <v>112120502010</v>
      </c>
      <c r="C3670" s="89" t="s">
        <v>807</v>
      </c>
      <c r="D3670" s="89"/>
      <c r="E3670" s="236" t="s">
        <v>479</v>
      </c>
      <c r="F3670" s="236" t="s">
        <v>429</v>
      </c>
      <c r="G3670" s="236" t="s">
        <v>946</v>
      </c>
      <c r="H3670" s="238">
        <v>42278</v>
      </c>
      <c r="I3670" s="235">
        <v>42335</v>
      </c>
      <c r="J3670" s="136">
        <v>32473.49</v>
      </c>
      <c r="K3670" s="89"/>
      <c r="L3670" s="89">
        <v>1</v>
      </c>
    </row>
    <row r="3671" spans="1:12" ht="85.5">
      <c r="A3671" s="89" t="s">
        <v>806</v>
      </c>
      <c r="B3671" s="237">
        <v>112120502010</v>
      </c>
      <c r="C3671" s="89" t="s">
        <v>807</v>
      </c>
      <c r="D3671" s="89"/>
      <c r="E3671" s="236" t="s">
        <v>479</v>
      </c>
      <c r="F3671" s="236" t="s">
        <v>429</v>
      </c>
      <c r="G3671" s="236" t="s">
        <v>947</v>
      </c>
      <c r="H3671" s="238">
        <v>42278</v>
      </c>
      <c r="I3671" s="235">
        <v>42338</v>
      </c>
      <c r="J3671" s="136">
        <v>9806.25</v>
      </c>
      <c r="K3671" s="89"/>
      <c r="L3671" s="89">
        <v>1</v>
      </c>
    </row>
    <row r="3672" spans="1:12" ht="85.5">
      <c r="A3672" s="89" t="s">
        <v>806</v>
      </c>
      <c r="B3672" s="237">
        <v>112120502010</v>
      </c>
      <c r="C3672" s="89" t="s">
        <v>807</v>
      </c>
      <c r="D3672" s="89"/>
      <c r="E3672" s="236" t="s">
        <v>479</v>
      </c>
      <c r="F3672" s="236" t="s">
        <v>429</v>
      </c>
      <c r="G3672" s="236" t="s">
        <v>948</v>
      </c>
      <c r="H3672" s="238">
        <v>42278</v>
      </c>
      <c r="I3672" s="235">
        <v>42338</v>
      </c>
      <c r="J3672" s="136">
        <v>426.09</v>
      </c>
      <c r="K3672" s="89"/>
      <c r="L3672" s="89">
        <v>1</v>
      </c>
    </row>
    <row r="3673" spans="1:12" ht="85.5">
      <c r="A3673" s="89" t="s">
        <v>806</v>
      </c>
      <c r="B3673" s="237">
        <v>112120502010</v>
      </c>
      <c r="C3673" s="89" t="s">
        <v>807</v>
      </c>
      <c r="D3673" s="89"/>
      <c r="E3673" s="236" t="s">
        <v>479</v>
      </c>
      <c r="F3673" s="236" t="s">
        <v>429</v>
      </c>
      <c r="G3673" s="236" t="s">
        <v>949</v>
      </c>
      <c r="H3673" s="238">
        <v>42278</v>
      </c>
      <c r="I3673" s="235">
        <v>42338</v>
      </c>
      <c r="J3673" s="136">
        <v>3940.49</v>
      </c>
      <c r="K3673" s="89"/>
      <c r="L3673" s="89">
        <v>1</v>
      </c>
    </row>
    <row r="3674" spans="1:12" ht="85.5">
      <c r="A3674" s="89" t="s">
        <v>1027</v>
      </c>
      <c r="B3674" s="237">
        <v>112120502010</v>
      </c>
      <c r="C3674" s="89" t="s">
        <v>807</v>
      </c>
      <c r="D3674" s="89"/>
      <c r="E3674" s="236" t="s">
        <v>479</v>
      </c>
      <c r="F3674" s="236" t="s">
        <v>429</v>
      </c>
      <c r="G3674" s="236" t="s">
        <v>951</v>
      </c>
      <c r="H3674" s="238">
        <v>42278</v>
      </c>
      <c r="I3674" s="235">
        <v>42335</v>
      </c>
      <c r="J3674" s="136">
        <v>2221.94</v>
      </c>
      <c r="K3674" s="89"/>
      <c r="L3674" s="89">
        <v>1</v>
      </c>
    </row>
    <row r="3675" spans="1:12" ht="85.5">
      <c r="A3675" s="89" t="s">
        <v>1027</v>
      </c>
      <c r="B3675" s="237">
        <v>112120502010</v>
      </c>
      <c r="C3675" s="89" t="s">
        <v>807</v>
      </c>
      <c r="D3675" s="89"/>
      <c r="E3675" s="236" t="s">
        <v>479</v>
      </c>
      <c r="F3675" s="236" t="s">
        <v>429</v>
      </c>
      <c r="G3675" s="236" t="s">
        <v>952</v>
      </c>
      <c r="H3675" s="238">
        <v>42278</v>
      </c>
      <c r="I3675" s="235">
        <v>42338</v>
      </c>
      <c r="J3675" s="136">
        <v>534.21</v>
      </c>
      <c r="K3675" s="89"/>
      <c r="L3675" s="89">
        <v>1</v>
      </c>
    </row>
    <row r="3676" spans="1:12" ht="85.5">
      <c r="A3676" s="89" t="s">
        <v>1027</v>
      </c>
      <c r="B3676" s="237">
        <v>112120502010</v>
      </c>
      <c r="C3676" s="89" t="s">
        <v>807</v>
      </c>
      <c r="D3676" s="89"/>
      <c r="E3676" s="236" t="s">
        <v>479</v>
      </c>
      <c r="F3676" s="236" t="s">
        <v>429</v>
      </c>
      <c r="G3676" s="236" t="s">
        <v>953</v>
      </c>
      <c r="H3676" s="238">
        <v>42278</v>
      </c>
      <c r="I3676" s="235">
        <v>42338</v>
      </c>
      <c r="J3676" s="136">
        <v>8044.44</v>
      </c>
      <c r="K3676" s="89"/>
      <c r="L3676" s="89">
        <v>1</v>
      </c>
    </row>
    <row r="3677" spans="1:12" ht="85.5">
      <c r="A3677" s="89" t="s">
        <v>1027</v>
      </c>
      <c r="B3677" s="237">
        <v>112120502010</v>
      </c>
      <c r="C3677" s="89" t="s">
        <v>807</v>
      </c>
      <c r="D3677" s="89"/>
      <c r="E3677" s="236" t="s">
        <v>479</v>
      </c>
      <c r="F3677" s="236" t="s">
        <v>429</v>
      </c>
      <c r="G3677" s="236" t="s">
        <v>954</v>
      </c>
      <c r="H3677" s="238">
        <v>42278</v>
      </c>
      <c r="I3677" s="235">
        <v>42338</v>
      </c>
      <c r="J3677" s="136">
        <v>16579.8</v>
      </c>
      <c r="K3677" s="89"/>
      <c r="L3677" s="89">
        <v>1</v>
      </c>
    </row>
    <row r="3678" spans="1:12" ht="85.5">
      <c r="A3678" s="89" t="s">
        <v>803</v>
      </c>
      <c r="B3678" s="237">
        <v>112120502010</v>
      </c>
      <c r="C3678" s="89" t="s">
        <v>804</v>
      </c>
      <c r="D3678" s="89"/>
      <c r="E3678" s="236" t="s">
        <v>479</v>
      </c>
      <c r="F3678" s="236" t="s">
        <v>429</v>
      </c>
      <c r="G3678" s="236" t="s">
        <v>947</v>
      </c>
      <c r="H3678" s="238">
        <v>42278</v>
      </c>
      <c r="I3678" s="235">
        <v>42338</v>
      </c>
      <c r="J3678" s="136">
        <v>4828.47</v>
      </c>
      <c r="K3678" s="89"/>
      <c r="L3678" s="89">
        <v>1</v>
      </c>
    </row>
    <row r="3679" spans="1:12" ht="85.5">
      <c r="A3679" s="89" t="s">
        <v>803</v>
      </c>
      <c r="B3679" s="237">
        <v>112120502010</v>
      </c>
      <c r="C3679" s="89" t="s">
        <v>804</v>
      </c>
      <c r="D3679" s="89"/>
      <c r="E3679" s="236" t="s">
        <v>479</v>
      </c>
      <c r="F3679" s="236" t="s">
        <v>429</v>
      </c>
      <c r="G3679" s="236" t="s">
        <v>948</v>
      </c>
      <c r="H3679" s="238">
        <v>42278</v>
      </c>
      <c r="I3679" s="235">
        <v>42338</v>
      </c>
      <c r="J3679" s="136">
        <v>209.81</v>
      </c>
      <c r="K3679" s="89"/>
      <c r="L3679" s="89">
        <v>1</v>
      </c>
    </row>
    <row r="3680" spans="1:12" ht="85.5">
      <c r="A3680" s="89" t="s">
        <v>803</v>
      </c>
      <c r="B3680" s="237">
        <v>112120502010</v>
      </c>
      <c r="C3680" s="89" t="s">
        <v>804</v>
      </c>
      <c r="D3680" s="89"/>
      <c r="E3680" s="236" t="s">
        <v>479</v>
      </c>
      <c r="F3680" s="236" t="s">
        <v>429</v>
      </c>
      <c r="G3680" s="236" t="s">
        <v>949</v>
      </c>
      <c r="H3680" s="238">
        <v>42278</v>
      </c>
      <c r="I3680" s="235">
        <v>42338</v>
      </c>
      <c r="J3680" s="136">
        <v>1940.24</v>
      </c>
      <c r="K3680" s="89"/>
      <c r="L3680" s="89">
        <v>1</v>
      </c>
    </row>
    <row r="3681" spans="1:12" ht="85.5">
      <c r="A3681" s="89" t="s">
        <v>1028</v>
      </c>
      <c r="B3681" s="237">
        <v>112120502010</v>
      </c>
      <c r="C3681" s="89" t="s">
        <v>804</v>
      </c>
      <c r="D3681" s="89"/>
      <c r="E3681" s="236" t="s">
        <v>479</v>
      </c>
      <c r="F3681" s="236" t="s">
        <v>429</v>
      </c>
      <c r="G3681" s="236" t="s">
        <v>946</v>
      </c>
      <c r="H3681" s="238">
        <v>42278</v>
      </c>
      <c r="I3681" s="235">
        <v>42335</v>
      </c>
      <c r="J3681" s="136">
        <v>15989.51</v>
      </c>
      <c r="K3681" s="89"/>
      <c r="L3681" s="89">
        <v>1</v>
      </c>
    </row>
    <row r="3682" spans="1:12" ht="85.5">
      <c r="A3682" s="89" t="s">
        <v>1029</v>
      </c>
      <c r="B3682" s="237">
        <v>112120502010</v>
      </c>
      <c r="C3682" s="89" t="s">
        <v>804</v>
      </c>
      <c r="D3682" s="89"/>
      <c r="E3682" s="236" t="s">
        <v>479</v>
      </c>
      <c r="F3682" s="236" t="s">
        <v>429</v>
      </c>
      <c r="G3682" s="236" t="s">
        <v>951</v>
      </c>
      <c r="H3682" s="238">
        <v>42278</v>
      </c>
      <c r="I3682" s="235">
        <v>42335</v>
      </c>
      <c r="J3682" s="136">
        <v>1094.05</v>
      </c>
      <c r="K3682" s="89"/>
      <c r="L3682" s="89">
        <v>1</v>
      </c>
    </row>
    <row r="3683" spans="1:12" ht="85.5">
      <c r="A3683" s="89" t="s">
        <v>1029</v>
      </c>
      <c r="B3683" s="237">
        <v>112120502010</v>
      </c>
      <c r="C3683" s="89" t="s">
        <v>804</v>
      </c>
      <c r="D3683" s="89"/>
      <c r="E3683" s="236" t="s">
        <v>479</v>
      </c>
      <c r="F3683" s="236" t="s">
        <v>429</v>
      </c>
      <c r="G3683" s="236" t="s">
        <v>952</v>
      </c>
      <c r="H3683" s="238">
        <v>42278</v>
      </c>
      <c r="I3683" s="235">
        <v>42338</v>
      </c>
      <c r="J3683" s="136">
        <v>263.04000000000002</v>
      </c>
      <c r="K3683" s="89"/>
      <c r="L3683" s="89">
        <v>1</v>
      </c>
    </row>
    <row r="3684" spans="1:12" ht="85.5">
      <c r="A3684" s="89" t="s">
        <v>1029</v>
      </c>
      <c r="B3684" s="237">
        <v>112120502010</v>
      </c>
      <c r="C3684" s="89" t="s">
        <v>804</v>
      </c>
      <c r="D3684" s="89"/>
      <c r="E3684" s="236" t="s">
        <v>479</v>
      </c>
      <c r="F3684" s="236" t="s">
        <v>429</v>
      </c>
      <c r="G3684" s="236" t="s">
        <v>953</v>
      </c>
      <c r="H3684" s="238">
        <v>42278</v>
      </c>
      <c r="I3684" s="235">
        <v>42338</v>
      </c>
      <c r="J3684" s="136">
        <v>3960.98</v>
      </c>
      <c r="K3684" s="89"/>
      <c r="L3684" s="89">
        <v>1</v>
      </c>
    </row>
    <row r="3685" spans="1:12" ht="85.5">
      <c r="A3685" s="89" t="s">
        <v>1029</v>
      </c>
      <c r="B3685" s="237">
        <v>112120502010</v>
      </c>
      <c r="C3685" s="89" t="s">
        <v>804</v>
      </c>
      <c r="D3685" s="89"/>
      <c r="E3685" s="236" t="s">
        <v>479</v>
      </c>
      <c r="F3685" s="236" t="s">
        <v>429</v>
      </c>
      <c r="G3685" s="236" t="s">
        <v>954</v>
      </c>
      <c r="H3685" s="238">
        <v>42278</v>
      </c>
      <c r="I3685" s="235">
        <v>42338</v>
      </c>
      <c r="J3685" s="136">
        <v>8163.71</v>
      </c>
      <c r="K3685" s="89"/>
      <c r="L3685" s="89">
        <v>1</v>
      </c>
    </row>
    <row r="3686" spans="1:12" ht="114">
      <c r="A3686" s="89" t="s">
        <v>731</v>
      </c>
      <c r="B3686" s="237"/>
      <c r="C3686" s="89" t="s">
        <v>459</v>
      </c>
      <c r="D3686" s="89"/>
      <c r="E3686" s="236" t="s">
        <v>508</v>
      </c>
      <c r="F3686" s="236" t="s">
        <v>1030</v>
      </c>
      <c r="G3686" s="236" t="s">
        <v>954</v>
      </c>
      <c r="H3686" s="238">
        <v>42248</v>
      </c>
      <c r="I3686" s="235">
        <v>42314</v>
      </c>
      <c r="J3686" s="136">
        <v>129582.63</v>
      </c>
      <c r="K3686" s="89"/>
      <c r="L3686" s="89">
        <v>1</v>
      </c>
    </row>
    <row r="3687" spans="1:12" ht="114">
      <c r="A3687" s="89" t="s">
        <v>731</v>
      </c>
      <c r="B3687" s="237">
        <v>211010200000</v>
      </c>
      <c r="C3687" s="89" t="s">
        <v>459</v>
      </c>
      <c r="D3687" s="89"/>
      <c r="E3687" s="236" t="s">
        <v>508</v>
      </c>
      <c r="F3687" s="236" t="s">
        <v>426</v>
      </c>
      <c r="G3687" s="236" t="s">
        <v>1031</v>
      </c>
      <c r="H3687" s="238">
        <v>42248</v>
      </c>
      <c r="I3687" s="235">
        <v>42314</v>
      </c>
      <c r="J3687" s="136">
        <v>-44.71</v>
      </c>
      <c r="K3687" s="89"/>
      <c r="L3687" s="89">
        <v>1</v>
      </c>
    </row>
    <row r="3688" spans="1:12" ht="85.5">
      <c r="A3688" s="89" t="s">
        <v>716</v>
      </c>
      <c r="B3688" s="237"/>
      <c r="C3688" s="89" t="s">
        <v>458</v>
      </c>
      <c r="D3688" s="89"/>
      <c r="E3688" s="236" t="s">
        <v>702</v>
      </c>
      <c r="F3688" s="236" t="s">
        <v>1030</v>
      </c>
      <c r="G3688" s="236" t="s">
        <v>1032</v>
      </c>
      <c r="H3688" s="238">
        <v>42248</v>
      </c>
      <c r="I3688" s="235">
        <v>42312</v>
      </c>
      <c r="J3688" s="136">
        <v>104157.97</v>
      </c>
      <c r="K3688" s="89"/>
      <c r="L3688" s="89">
        <v>1</v>
      </c>
    </row>
    <row r="3689" spans="1:12" ht="114">
      <c r="A3689" s="89" t="s">
        <v>690</v>
      </c>
      <c r="B3689" s="237">
        <v>112120502030</v>
      </c>
      <c r="C3689" s="89" t="s">
        <v>454</v>
      </c>
      <c r="D3689" s="89"/>
      <c r="E3689" s="236" t="s">
        <v>508</v>
      </c>
      <c r="F3689" s="236" t="s">
        <v>1030</v>
      </c>
      <c r="G3689" s="236" t="s">
        <v>1033</v>
      </c>
      <c r="H3689" s="238">
        <v>42248</v>
      </c>
      <c r="I3689" s="235">
        <v>42314</v>
      </c>
      <c r="J3689" s="136">
        <v>87089.22</v>
      </c>
      <c r="K3689" s="89"/>
      <c r="L3689" s="89">
        <v>1</v>
      </c>
    </row>
    <row r="3690" spans="1:12" ht="85.5">
      <c r="A3690" s="89" t="s">
        <v>703</v>
      </c>
      <c r="B3690" s="237"/>
      <c r="C3690" s="89" t="s">
        <v>456</v>
      </c>
      <c r="D3690" s="89"/>
      <c r="E3690" s="236" t="s">
        <v>702</v>
      </c>
      <c r="F3690" s="236" t="s">
        <v>1030</v>
      </c>
      <c r="G3690" s="236" t="s">
        <v>1034</v>
      </c>
      <c r="H3690" s="238">
        <v>42248</v>
      </c>
      <c r="I3690" s="235">
        <v>42313</v>
      </c>
      <c r="J3690" s="136">
        <v>67134.3</v>
      </c>
      <c r="K3690" s="89"/>
      <c r="L3690" s="89">
        <v>1</v>
      </c>
    </row>
    <row r="3691" spans="1:12" ht="128.25">
      <c r="A3691" s="89" t="s">
        <v>720</v>
      </c>
      <c r="B3691" s="237">
        <v>112120502030</v>
      </c>
      <c r="C3691" s="89" t="s">
        <v>719</v>
      </c>
      <c r="D3691" s="89"/>
      <c r="E3691" s="236" t="s">
        <v>721</v>
      </c>
      <c r="F3691" s="236" t="s">
        <v>1030</v>
      </c>
      <c r="G3691" s="236" t="s">
        <v>1035</v>
      </c>
      <c r="H3691" s="238">
        <v>42248</v>
      </c>
      <c r="I3691" s="235">
        <v>42312</v>
      </c>
      <c r="J3691" s="136">
        <v>75265.52</v>
      </c>
      <c r="K3691" s="89"/>
      <c r="L3691" s="89">
        <v>1</v>
      </c>
    </row>
    <row r="3692" spans="1:12" ht="114">
      <c r="A3692" s="89" t="s">
        <v>742</v>
      </c>
      <c r="B3692" s="237"/>
      <c r="C3692" s="89" t="s">
        <v>460</v>
      </c>
      <c r="D3692" s="89"/>
      <c r="E3692" s="236" t="s">
        <v>508</v>
      </c>
      <c r="F3692" s="236" t="s">
        <v>1030</v>
      </c>
      <c r="G3692" s="236" t="s">
        <v>1036</v>
      </c>
      <c r="H3692" s="238">
        <v>42248</v>
      </c>
      <c r="I3692" s="235">
        <v>42314</v>
      </c>
      <c r="J3692" s="136">
        <v>126301.72</v>
      </c>
      <c r="K3692" s="89"/>
      <c r="L3692" s="89">
        <v>1</v>
      </c>
    </row>
    <row r="3693" spans="1:12" ht="114">
      <c r="A3693" s="89" t="s">
        <v>751</v>
      </c>
      <c r="B3693" s="237"/>
      <c r="C3693" s="89" t="s">
        <v>461</v>
      </c>
      <c r="D3693" s="89"/>
      <c r="E3693" s="236" t="s">
        <v>508</v>
      </c>
      <c r="F3693" s="236" t="s">
        <v>1030</v>
      </c>
      <c r="G3693" s="236" t="s">
        <v>1037</v>
      </c>
      <c r="H3693" s="238">
        <v>42248</v>
      </c>
      <c r="I3693" s="235">
        <v>42317</v>
      </c>
      <c r="J3693" s="136">
        <v>105294.52</v>
      </c>
      <c r="K3693" s="89"/>
      <c r="L3693" s="89">
        <v>1</v>
      </c>
    </row>
    <row r="3694" spans="1:12" ht="114">
      <c r="A3694" s="89" t="s">
        <v>760</v>
      </c>
      <c r="B3694" s="237"/>
      <c r="C3694" s="89" t="s">
        <v>463</v>
      </c>
      <c r="D3694" s="89"/>
      <c r="E3694" s="236" t="s">
        <v>508</v>
      </c>
      <c r="F3694" s="236" t="s">
        <v>1030</v>
      </c>
      <c r="G3694" s="236" t="s">
        <v>1038</v>
      </c>
      <c r="H3694" s="238">
        <v>42248</v>
      </c>
      <c r="I3694" s="235">
        <v>42314</v>
      </c>
      <c r="J3694" s="136">
        <v>51691.71</v>
      </c>
      <c r="K3694" s="89"/>
      <c r="L3694" s="89">
        <v>1</v>
      </c>
    </row>
    <row r="3695" spans="1:12" ht="114">
      <c r="A3695" s="89" t="s">
        <v>766</v>
      </c>
      <c r="B3695" s="237">
        <v>112120502030</v>
      </c>
      <c r="C3695" s="89" t="s">
        <v>465</v>
      </c>
      <c r="D3695" s="89"/>
      <c r="E3695" s="236" t="s">
        <v>508</v>
      </c>
      <c r="F3695" s="236" t="s">
        <v>1030</v>
      </c>
      <c r="G3695" s="236" t="s">
        <v>1039</v>
      </c>
      <c r="H3695" s="238">
        <v>42248</v>
      </c>
      <c r="I3695" s="235">
        <v>42314</v>
      </c>
      <c r="J3695" s="136">
        <v>110267.38</v>
      </c>
      <c r="K3695" s="89"/>
      <c r="L3695" s="89">
        <v>1</v>
      </c>
    </row>
    <row r="3696" spans="1:12" ht="128.25">
      <c r="A3696" s="89" t="s">
        <v>775</v>
      </c>
      <c r="B3696" s="237">
        <v>112120502030</v>
      </c>
      <c r="C3696" s="89" t="s">
        <v>466</v>
      </c>
      <c r="D3696" s="89"/>
      <c r="E3696" s="236" t="s">
        <v>721</v>
      </c>
      <c r="F3696" s="236" t="s">
        <v>1030</v>
      </c>
      <c r="G3696" s="236" t="s">
        <v>1040</v>
      </c>
      <c r="H3696" s="238">
        <v>42248</v>
      </c>
      <c r="I3696" s="235">
        <v>42313</v>
      </c>
      <c r="J3696" s="136">
        <v>89874.44</v>
      </c>
      <c r="K3696" s="89"/>
      <c r="L3696" s="89">
        <v>1</v>
      </c>
    </row>
    <row r="3697" spans="1:12" ht="114">
      <c r="A3697" s="89" t="s">
        <v>730</v>
      </c>
      <c r="B3697" s="237">
        <v>112120502040</v>
      </c>
      <c r="C3697" s="89" t="s">
        <v>459</v>
      </c>
      <c r="D3697" s="89"/>
      <c r="E3697" s="236" t="s">
        <v>508</v>
      </c>
      <c r="F3697" s="236" t="s">
        <v>1041</v>
      </c>
      <c r="G3697" s="236" t="s">
        <v>954</v>
      </c>
      <c r="H3697" s="238">
        <v>42248</v>
      </c>
      <c r="I3697" s="235">
        <v>42314</v>
      </c>
      <c r="J3697" s="136">
        <v>642513.85</v>
      </c>
      <c r="K3697" s="89"/>
      <c r="L3697" s="89">
        <v>1</v>
      </c>
    </row>
    <row r="3698" spans="1:12" ht="114">
      <c r="A3698" s="89" t="s">
        <v>730</v>
      </c>
      <c r="B3698" s="237">
        <v>211010200000</v>
      </c>
      <c r="C3698" s="89" t="s">
        <v>459</v>
      </c>
      <c r="D3698" s="89"/>
      <c r="E3698" s="236" t="s">
        <v>508</v>
      </c>
      <c r="F3698" s="236" t="s">
        <v>426</v>
      </c>
      <c r="G3698" s="236" t="s">
        <v>1031</v>
      </c>
      <c r="H3698" s="238">
        <v>42248</v>
      </c>
      <c r="I3698" s="235">
        <v>42314</v>
      </c>
      <c r="J3698" s="136">
        <v>-221.68</v>
      </c>
      <c r="K3698" s="89"/>
      <c r="L3698" s="89">
        <v>1</v>
      </c>
    </row>
    <row r="3699" spans="1:12" ht="85.5">
      <c r="A3699" s="89" t="s">
        <v>715</v>
      </c>
      <c r="B3699" s="237">
        <v>112120502040</v>
      </c>
      <c r="C3699" s="89" t="s">
        <v>458</v>
      </c>
      <c r="D3699" s="89"/>
      <c r="E3699" s="236" t="s">
        <v>702</v>
      </c>
      <c r="F3699" s="236" t="s">
        <v>1041</v>
      </c>
      <c r="G3699" s="236" t="s">
        <v>1032</v>
      </c>
      <c r="H3699" s="238">
        <v>42248</v>
      </c>
      <c r="I3699" s="235">
        <v>42312</v>
      </c>
      <c r="J3699" s="136">
        <v>874902.1</v>
      </c>
      <c r="K3699" s="89"/>
      <c r="L3699" s="89">
        <v>1</v>
      </c>
    </row>
    <row r="3700" spans="1:12" ht="114">
      <c r="A3700" s="89" t="s">
        <v>691</v>
      </c>
      <c r="B3700" s="237"/>
      <c r="C3700" s="89" t="s">
        <v>454</v>
      </c>
      <c r="D3700" s="89"/>
      <c r="E3700" s="236" t="s">
        <v>508</v>
      </c>
      <c r="F3700" s="236" t="s">
        <v>1041</v>
      </c>
      <c r="G3700" s="236" t="s">
        <v>1033</v>
      </c>
      <c r="H3700" s="238">
        <v>42248</v>
      </c>
      <c r="I3700" s="235">
        <v>42314</v>
      </c>
      <c r="J3700" s="136">
        <v>161737.13</v>
      </c>
      <c r="K3700" s="89"/>
      <c r="L3700" s="89">
        <v>1</v>
      </c>
    </row>
    <row r="3701" spans="1:12" ht="85.5">
      <c r="A3701" s="89" t="s">
        <v>701</v>
      </c>
      <c r="B3701" s="237">
        <v>112120502040</v>
      </c>
      <c r="C3701" s="89" t="s">
        <v>456</v>
      </c>
      <c r="D3701" s="89"/>
      <c r="E3701" s="236" t="s">
        <v>702</v>
      </c>
      <c r="F3701" s="236" t="s">
        <v>1041</v>
      </c>
      <c r="G3701" s="236" t="s">
        <v>1034</v>
      </c>
      <c r="H3701" s="238">
        <v>42248</v>
      </c>
      <c r="I3701" s="235">
        <v>42313</v>
      </c>
      <c r="J3701" s="136">
        <v>496793.85</v>
      </c>
      <c r="K3701" s="89"/>
      <c r="L3701" s="89">
        <v>1</v>
      </c>
    </row>
    <row r="3702" spans="1:12" ht="128.25">
      <c r="A3702" s="89" t="s">
        <v>722</v>
      </c>
      <c r="B3702" s="237"/>
      <c r="C3702" s="89" t="s">
        <v>719</v>
      </c>
      <c r="D3702" s="89"/>
      <c r="E3702" s="236" t="s">
        <v>721</v>
      </c>
      <c r="F3702" s="236" t="s">
        <v>1041</v>
      </c>
      <c r="G3702" s="236" t="s">
        <v>1035</v>
      </c>
      <c r="H3702" s="238">
        <v>42248</v>
      </c>
      <c r="I3702" s="235">
        <v>42312</v>
      </c>
      <c r="J3702" s="136">
        <v>324582.58</v>
      </c>
      <c r="K3702" s="89"/>
      <c r="L3702" s="89">
        <v>1</v>
      </c>
    </row>
    <row r="3703" spans="1:12" ht="114">
      <c r="A3703" s="89" t="s">
        <v>741</v>
      </c>
      <c r="B3703" s="237">
        <v>112120502040</v>
      </c>
      <c r="C3703" s="89" t="s">
        <v>460</v>
      </c>
      <c r="D3703" s="89"/>
      <c r="E3703" s="236" t="s">
        <v>508</v>
      </c>
      <c r="F3703" s="236" t="s">
        <v>1041</v>
      </c>
      <c r="G3703" s="236" t="s">
        <v>1036</v>
      </c>
      <c r="H3703" s="238">
        <v>42248</v>
      </c>
      <c r="I3703" s="235">
        <v>42314</v>
      </c>
      <c r="J3703" s="136">
        <v>715709.71</v>
      </c>
      <c r="K3703" s="89"/>
      <c r="L3703" s="89">
        <v>1</v>
      </c>
    </row>
    <row r="3704" spans="1:12" ht="114">
      <c r="A3704" s="89" t="s">
        <v>750</v>
      </c>
      <c r="B3704" s="237">
        <v>112120502040</v>
      </c>
      <c r="C3704" s="89" t="s">
        <v>461</v>
      </c>
      <c r="D3704" s="89"/>
      <c r="E3704" s="236" t="s">
        <v>508</v>
      </c>
      <c r="F3704" s="236" t="s">
        <v>1041</v>
      </c>
      <c r="G3704" s="236" t="s">
        <v>1037</v>
      </c>
      <c r="H3704" s="238">
        <v>42248</v>
      </c>
      <c r="I3704" s="235">
        <v>42317</v>
      </c>
      <c r="J3704" s="136">
        <v>483943.74</v>
      </c>
      <c r="K3704" s="89"/>
      <c r="L3704" s="89">
        <v>1</v>
      </c>
    </row>
    <row r="3705" spans="1:12" ht="114">
      <c r="A3705" s="89" t="s">
        <v>759</v>
      </c>
      <c r="B3705" s="237">
        <v>112120502040</v>
      </c>
      <c r="C3705" s="89" t="s">
        <v>463</v>
      </c>
      <c r="D3705" s="89"/>
      <c r="E3705" s="236" t="s">
        <v>508</v>
      </c>
      <c r="F3705" s="236" t="s">
        <v>1041</v>
      </c>
      <c r="G3705" s="236" t="s">
        <v>1038</v>
      </c>
      <c r="H3705" s="238">
        <v>42248</v>
      </c>
      <c r="I3705" s="235">
        <v>42314</v>
      </c>
      <c r="J3705" s="136">
        <v>325620.08</v>
      </c>
      <c r="K3705" s="89"/>
      <c r="L3705" s="89">
        <v>1</v>
      </c>
    </row>
    <row r="3706" spans="1:12" ht="114">
      <c r="A3706" s="89" t="s">
        <v>767</v>
      </c>
      <c r="B3706" s="237"/>
      <c r="C3706" s="89" t="s">
        <v>465</v>
      </c>
      <c r="D3706" s="89"/>
      <c r="E3706" s="236" t="s">
        <v>508</v>
      </c>
      <c r="F3706" s="236" t="s">
        <v>1041</v>
      </c>
      <c r="G3706" s="236" t="s">
        <v>1039</v>
      </c>
      <c r="H3706" s="238">
        <v>42248</v>
      </c>
      <c r="I3706" s="235">
        <v>42314</v>
      </c>
      <c r="J3706" s="136">
        <v>204782.28</v>
      </c>
      <c r="K3706" s="89"/>
      <c r="L3706" s="89">
        <v>1</v>
      </c>
    </row>
    <row r="3707" spans="1:12" ht="128.25">
      <c r="A3707" s="89" t="s">
        <v>776</v>
      </c>
      <c r="B3707" s="237"/>
      <c r="C3707" s="89" t="s">
        <v>466</v>
      </c>
      <c r="D3707" s="89"/>
      <c r="E3707" s="236" t="s">
        <v>721</v>
      </c>
      <c r="F3707" s="236" t="s">
        <v>1041</v>
      </c>
      <c r="G3707" s="236" t="s">
        <v>1040</v>
      </c>
      <c r="H3707" s="238">
        <v>42248</v>
      </c>
      <c r="I3707" s="235">
        <v>42313</v>
      </c>
      <c r="J3707" s="136">
        <v>383148.95</v>
      </c>
      <c r="K3707" s="89"/>
      <c r="L3707" s="89">
        <v>1</v>
      </c>
    </row>
    <row r="3708" spans="1:12" ht="99.75">
      <c r="A3708" s="89" t="s">
        <v>1042</v>
      </c>
      <c r="B3708" s="237">
        <v>112120502050</v>
      </c>
      <c r="C3708" s="89" t="s">
        <v>460</v>
      </c>
      <c r="D3708" s="89"/>
      <c r="E3708" s="236" t="s">
        <v>1043</v>
      </c>
      <c r="F3708" s="236" t="s">
        <v>1044</v>
      </c>
      <c r="G3708" s="236" t="s">
        <v>1045</v>
      </c>
      <c r="H3708" s="238">
        <v>42309</v>
      </c>
      <c r="I3708" s="235">
        <v>42318</v>
      </c>
      <c r="J3708" s="136">
        <v>1089.47</v>
      </c>
      <c r="K3708" s="89"/>
      <c r="L3708" s="89">
        <v>1</v>
      </c>
    </row>
    <row r="3709" spans="1:12" ht="99.75">
      <c r="A3709" s="89" t="s">
        <v>1046</v>
      </c>
      <c r="B3709" s="237">
        <v>112120502050</v>
      </c>
      <c r="C3709" s="89" t="s">
        <v>461</v>
      </c>
      <c r="D3709" s="89"/>
      <c r="E3709" s="236" t="s">
        <v>1047</v>
      </c>
      <c r="F3709" s="236" t="s">
        <v>1044</v>
      </c>
      <c r="G3709" s="236" t="s">
        <v>1048</v>
      </c>
      <c r="H3709" s="238">
        <v>42309</v>
      </c>
      <c r="I3709" s="235">
        <v>42338</v>
      </c>
      <c r="J3709" s="136">
        <v>3331.93</v>
      </c>
      <c r="K3709" s="89"/>
      <c r="L3709" s="89">
        <v>1</v>
      </c>
    </row>
    <row r="3710" spans="1:12" ht="114">
      <c r="A3710" s="89" t="s">
        <v>1049</v>
      </c>
      <c r="B3710" s="237">
        <v>112120502050</v>
      </c>
      <c r="C3710" s="89" t="s">
        <v>465</v>
      </c>
      <c r="D3710" s="89"/>
      <c r="E3710" s="236" t="s">
        <v>1050</v>
      </c>
      <c r="F3710" s="236" t="s">
        <v>1044</v>
      </c>
      <c r="G3710" s="236" t="s">
        <v>1051</v>
      </c>
      <c r="H3710" s="238">
        <v>42309</v>
      </c>
      <c r="I3710" s="235">
        <v>42338</v>
      </c>
      <c r="J3710" s="136">
        <v>37897.24</v>
      </c>
      <c r="K3710" s="89"/>
      <c r="L3710" s="89">
        <v>1</v>
      </c>
    </row>
    <row r="3711" spans="1:12" ht="114">
      <c r="A3711" s="89" t="s">
        <v>1052</v>
      </c>
      <c r="B3711" s="237">
        <v>112120502050</v>
      </c>
      <c r="C3711" s="89" t="s">
        <v>496</v>
      </c>
      <c r="D3711" s="89"/>
      <c r="E3711" s="236" t="s">
        <v>1053</v>
      </c>
      <c r="F3711" s="236" t="s">
        <v>1044</v>
      </c>
      <c r="G3711" s="236" t="s">
        <v>1054</v>
      </c>
      <c r="H3711" s="238">
        <v>42309</v>
      </c>
      <c r="I3711" s="235">
        <v>42338</v>
      </c>
      <c r="J3711" s="136">
        <v>15003.98</v>
      </c>
      <c r="K3711" s="89"/>
      <c r="L3711" s="89">
        <v>1</v>
      </c>
    </row>
    <row r="3712" spans="1:12" ht="114">
      <c r="A3712" s="89" t="s">
        <v>1055</v>
      </c>
      <c r="B3712" s="237">
        <v>112120502050</v>
      </c>
      <c r="C3712" s="89" t="s">
        <v>1056</v>
      </c>
      <c r="D3712" s="89"/>
      <c r="E3712" s="236" t="s">
        <v>1057</v>
      </c>
      <c r="F3712" s="236" t="s">
        <v>1044</v>
      </c>
      <c r="G3712" s="236" t="s">
        <v>1058</v>
      </c>
      <c r="H3712" s="238">
        <v>42309</v>
      </c>
      <c r="I3712" s="235">
        <v>42332</v>
      </c>
      <c r="J3712" s="136">
        <v>1950</v>
      </c>
      <c r="K3712" s="89"/>
      <c r="L3712" s="89">
        <v>1</v>
      </c>
    </row>
    <row r="3713" spans="1:12" ht="99.75">
      <c r="A3713" s="89" t="s">
        <v>1059</v>
      </c>
      <c r="B3713" s="237">
        <v>112120502050</v>
      </c>
      <c r="C3713" s="89" t="s">
        <v>486</v>
      </c>
      <c r="D3713" s="89"/>
      <c r="E3713" s="236" t="s">
        <v>1060</v>
      </c>
      <c r="F3713" s="236" t="s">
        <v>1044</v>
      </c>
      <c r="G3713" s="236" t="s">
        <v>1061</v>
      </c>
      <c r="H3713" s="238">
        <v>42309</v>
      </c>
      <c r="I3713" s="235">
        <v>42338</v>
      </c>
      <c r="J3713" s="136">
        <v>9667.5</v>
      </c>
      <c r="K3713" s="89"/>
      <c r="L3713" s="89">
        <v>1</v>
      </c>
    </row>
    <row r="3714" spans="1:12" ht="128.25">
      <c r="A3714" s="89" t="s">
        <v>709</v>
      </c>
      <c r="B3714" s="237">
        <v>112120503010</v>
      </c>
      <c r="C3714" s="89" t="s">
        <v>458</v>
      </c>
      <c r="D3714" s="89"/>
      <c r="E3714" s="236" t="s">
        <v>710</v>
      </c>
      <c r="F3714" s="236" t="s">
        <v>1062</v>
      </c>
      <c r="G3714" s="236" t="s">
        <v>1063</v>
      </c>
      <c r="H3714" s="238">
        <v>42248</v>
      </c>
      <c r="I3714" s="235">
        <v>42311</v>
      </c>
      <c r="J3714" s="136">
        <v>3381.4</v>
      </c>
      <c r="K3714" s="89"/>
      <c r="L3714" s="89">
        <v>1</v>
      </c>
    </row>
    <row r="3715" spans="1:12" ht="71.25">
      <c r="A3715" s="89" t="s">
        <v>1064</v>
      </c>
      <c r="B3715" s="237">
        <v>112120503020</v>
      </c>
      <c r="C3715" s="89" t="s">
        <v>454</v>
      </c>
      <c r="D3715" s="89"/>
      <c r="E3715" s="236" t="s">
        <v>1065</v>
      </c>
      <c r="F3715" s="236" t="s">
        <v>406</v>
      </c>
      <c r="G3715" s="236" t="s">
        <v>1066</v>
      </c>
      <c r="H3715" s="238">
        <v>42278</v>
      </c>
      <c r="I3715" s="235">
        <v>42324</v>
      </c>
      <c r="J3715" s="136">
        <v>5373</v>
      </c>
      <c r="K3715" s="89"/>
      <c r="L3715" s="89">
        <v>1</v>
      </c>
    </row>
    <row r="3716" spans="1:12" ht="156.75">
      <c r="A3716" s="89" t="s">
        <v>1067</v>
      </c>
      <c r="B3716" s="237">
        <v>112120503020</v>
      </c>
      <c r="C3716" s="89" t="s">
        <v>449</v>
      </c>
      <c r="D3716" s="89"/>
      <c r="E3716" s="236" t="s">
        <v>1068</v>
      </c>
      <c r="F3716" s="236" t="s">
        <v>406</v>
      </c>
      <c r="G3716" s="236" t="s">
        <v>1069</v>
      </c>
      <c r="H3716" s="238">
        <v>42278</v>
      </c>
      <c r="I3716" s="235">
        <v>42335</v>
      </c>
      <c r="J3716" s="136">
        <v>514.5</v>
      </c>
      <c r="K3716" s="89"/>
      <c r="L3716" s="89">
        <v>1</v>
      </c>
    </row>
    <row r="3717" spans="1:12" ht="156.75">
      <c r="A3717" s="89" t="s">
        <v>1067</v>
      </c>
      <c r="B3717" s="237">
        <v>112120503020</v>
      </c>
      <c r="C3717" s="89" t="s">
        <v>449</v>
      </c>
      <c r="D3717" s="89"/>
      <c r="E3717" s="236" t="s">
        <v>1068</v>
      </c>
      <c r="F3717" s="236" t="s">
        <v>406</v>
      </c>
      <c r="G3717" s="236" t="s">
        <v>1070</v>
      </c>
      <c r="H3717" s="238">
        <v>42278</v>
      </c>
      <c r="I3717" s="235">
        <v>42338</v>
      </c>
      <c r="J3717" s="136">
        <v>2131.5</v>
      </c>
      <c r="K3717" s="89"/>
      <c r="L3717" s="89">
        <v>1</v>
      </c>
    </row>
    <row r="3718" spans="1:12" ht="85.5">
      <c r="A3718" s="89" t="s">
        <v>735</v>
      </c>
      <c r="B3718" s="237">
        <v>112120503030</v>
      </c>
      <c r="C3718" s="89" t="s">
        <v>459</v>
      </c>
      <c r="D3718" s="89"/>
      <c r="E3718" s="236" t="s">
        <v>683</v>
      </c>
      <c r="F3718" s="236" t="s">
        <v>1071</v>
      </c>
      <c r="G3718" s="236" t="s">
        <v>1072</v>
      </c>
      <c r="H3718" s="238">
        <v>42248</v>
      </c>
      <c r="I3718" s="235">
        <v>42313</v>
      </c>
      <c r="J3718" s="136">
        <v>10304.959999999999</v>
      </c>
      <c r="K3718" s="89"/>
      <c r="L3718" s="89">
        <v>1</v>
      </c>
    </row>
    <row r="3719" spans="1:12" ht="85.5">
      <c r="A3719" s="89" t="s">
        <v>714</v>
      </c>
      <c r="B3719" s="237">
        <v>112120503030</v>
      </c>
      <c r="C3719" s="89" t="s">
        <v>458</v>
      </c>
      <c r="D3719" s="89"/>
      <c r="E3719" s="236" t="s">
        <v>683</v>
      </c>
      <c r="F3719" s="236" t="s">
        <v>1071</v>
      </c>
      <c r="G3719" s="236" t="s">
        <v>1073</v>
      </c>
      <c r="H3719" s="238">
        <v>42248</v>
      </c>
      <c r="I3719" s="235">
        <v>42313</v>
      </c>
      <c r="J3719" s="136">
        <v>8416.3799999999992</v>
      </c>
      <c r="K3719" s="89"/>
      <c r="L3719" s="89">
        <v>1</v>
      </c>
    </row>
    <row r="3720" spans="1:12" ht="85.5">
      <c r="A3720" s="89" t="s">
        <v>714</v>
      </c>
      <c r="B3720" s="237">
        <v>112120503030</v>
      </c>
      <c r="C3720" s="89" t="s">
        <v>458</v>
      </c>
      <c r="D3720" s="89"/>
      <c r="E3720" s="236" t="s">
        <v>683</v>
      </c>
      <c r="F3720" s="236" t="s">
        <v>1071</v>
      </c>
      <c r="G3720" s="236" t="s">
        <v>1074</v>
      </c>
      <c r="H3720" s="238">
        <v>42248</v>
      </c>
      <c r="I3720" s="235">
        <v>42313</v>
      </c>
      <c r="J3720" s="136">
        <v>7793.5</v>
      </c>
      <c r="K3720" s="89"/>
      <c r="L3720" s="89">
        <v>1</v>
      </c>
    </row>
    <row r="3721" spans="1:12" ht="85.5">
      <c r="A3721" s="89" t="s">
        <v>693</v>
      </c>
      <c r="B3721" s="237">
        <v>112120503030</v>
      </c>
      <c r="C3721" s="89" t="s">
        <v>454</v>
      </c>
      <c r="D3721" s="89"/>
      <c r="E3721" s="236" t="s">
        <v>683</v>
      </c>
      <c r="F3721" s="236" t="s">
        <v>1071</v>
      </c>
      <c r="G3721" s="236" t="s">
        <v>1075</v>
      </c>
      <c r="H3721" s="238">
        <v>42248</v>
      </c>
      <c r="I3721" s="235">
        <v>42313</v>
      </c>
      <c r="J3721" s="136">
        <v>10051.58</v>
      </c>
      <c r="K3721" s="89"/>
      <c r="L3721" s="89">
        <v>1</v>
      </c>
    </row>
    <row r="3722" spans="1:12" ht="85.5">
      <c r="A3722" s="89" t="s">
        <v>693</v>
      </c>
      <c r="B3722" s="237">
        <v>112120503030</v>
      </c>
      <c r="C3722" s="89" t="s">
        <v>454</v>
      </c>
      <c r="D3722" s="89"/>
      <c r="E3722" s="236" t="s">
        <v>683</v>
      </c>
      <c r="F3722" s="236" t="s">
        <v>1071</v>
      </c>
      <c r="G3722" s="236" t="s">
        <v>1076</v>
      </c>
      <c r="H3722" s="238">
        <v>42248</v>
      </c>
      <c r="I3722" s="235">
        <v>42313</v>
      </c>
      <c r="J3722" s="136">
        <v>5059.3999999999996</v>
      </c>
      <c r="K3722" s="89"/>
      <c r="L3722" s="89">
        <v>1</v>
      </c>
    </row>
    <row r="3723" spans="1:12" ht="85.5">
      <c r="A3723" s="89" t="s">
        <v>693</v>
      </c>
      <c r="B3723" s="237">
        <v>112120503030</v>
      </c>
      <c r="C3723" s="89" t="s">
        <v>454</v>
      </c>
      <c r="D3723" s="89"/>
      <c r="E3723" s="236" t="s">
        <v>683</v>
      </c>
      <c r="F3723" s="236" t="s">
        <v>1071</v>
      </c>
      <c r="G3723" s="236" t="s">
        <v>1077</v>
      </c>
      <c r="H3723" s="238">
        <v>42248</v>
      </c>
      <c r="I3723" s="235">
        <v>42313</v>
      </c>
      <c r="J3723" s="136">
        <v>2316.9899999999998</v>
      </c>
      <c r="K3723" s="89"/>
      <c r="L3723" s="89">
        <v>1</v>
      </c>
    </row>
    <row r="3724" spans="1:12" ht="85.5">
      <c r="A3724" s="89" t="s">
        <v>699</v>
      </c>
      <c r="B3724" s="237">
        <v>112120503030</v>
      </c>
      <c r="C3724" s="89" t="s">
        <v>456</v>
      </c>
      <c r="D3724" s="89"/>
      <c r="E3724" s="236" t="s">
        <v>683</v>
      </c>
      <c r="F3724" s="236" t="s">
        <v>1071</v>
      </c>
      <c r="G3724" s="236" t="s">
        <v>1078</v>
      </c>
      <c r="H3724" s="238">
        <v>42248</v>
      </c>
      <c r="I3724" s="235">
        <v>42313</v>
      </c>
      <c r="J3724" s="136">
        <v>15791.39</v>
      </c>
      <c r="K3724" s="89"/>
      <c r="L3724" s="89">
        <v>1</v>
      </c>
    </row>
    <row r="3725" spans="1:12" ht="85.5">
      <c r="A3725" s="89" t="s">
        <v>699</v>
      </c>
      <c r="B3725" s="237">
        <v>112120503030</v>
      </c>
      <c r="C3725" s="89" t="s">
        <v>456</v>
      </c>
      <c r="D3725" s="89"/>
      <c r="E3725" s="236" t="s">
        <v>683</v>
      </c>
      <c r="F3725" s="236" t="s">
        <v>1071</v>
      </c>
      <c r="G3725" s="236" t="s">
        <v>1079</v>
      </c>
      <c r="H3725" s="238">
        <v>42248</v>
      </c>
      <c r="I3725" s="235">
        <v>42313</v>
      </c>
      <c r="J3725" s="136">
        <v>1719.2</v>
      </c>
      <c r="K3725" s="89"/>
      <c r="L3725" s="89">
        <v>1</v>
      </c>
    </row>
    <row r="3726" spans="1:12" ht="85.5">
      <c r="A3726" s="89" t="s">
        <v>726</v>
      </c>
      <c r="B3726" s="237">
        <v>112120503030</v>
      </c>
      <c r="C3726" s="89" t="s">
        <v>719</v>
      </c>
      <c r="D3726" s="89"/>
      <c r="E3726" s="236" t="s">
        <v>683</v>
      </c>
      <c r="F3726" s="236" t="s">
        <v>1071</v>
      </c>
      <c r="G3726" s="236" t="s">
        <v>1080</v>
      </c>
      <c r="H3726" s="238">
        <v>42248</v>
      </c>
      <c r="I3726" s="235">
        <v>42313</v>
      </c>
      <c r="J3726" s="136">
        <v>16614.740000000002</v>
      </c>
      <c r="K3726" s="89"/>
      <c r="L3726" s="89">
        <v>1</v>
      </c>
    </row>
    <row r="3727" spans="1:12" ht="85.5">
      <c r="A3727" s="89" t="s">
        <v>726</v>
      </c>
      <c r="B3727" s="237">
        <v>112120503030</v>
      </c>
      <c r="C3727" s="89" t="s">
        <v>719</v>
      </c>
      <c r="D3727" s="89"/>
      <c r="E3727" s="236" t="s">
        <v>683</v>
      </c>
      <c r="F3727" s="236" t="s">
        <v>1071</v>
      </c>
      <c r="G3727" s="236" t="s">
        <v>1081</v>
      </c>
      <c r="H3727" s="238">
        <v>42248</v>
      </c>
      <c r="I3727" s="235">
        <v>42313</v>
      </c>
      <c r="J3727" s="136">
        <v>1094.04</v>
      </c>
      <c r="K3727" s="89"/>
      <c r="L3727" s="89">
        <v>1</v>
      </c>
    </row>
    <row r="3728" spans="1:12" ht="85.5">
      <c r="A3728" s="89" t="s">
        <v>745</v>
      </c>
      <c r="B3728" s="237">
        <v>112120503030</v>
      </c>
      <c r="C3728" s="89" t="s">
        <v>460</v>
      </c>
      <c r="D3728" s="89"/>
      <c r="E3728" s="236" t="s">
        <v>683</v>
      </c>
      <c r="F3728" s="236" t="s">
        <v>1071</v>
      </c>
      <c r="G3728" s="236" t="s">
        <v>1082</v>
      </c>
      <c r="H3728" s="238">
        <v>42248</v>
      </c>
      <c r="I3728" s="235">
        <v>42313</v>
      </c>
      <c r="J3728" s="136">
        <v>2322.52</v>
      </c>
      <c r="K3728" s="89"/>
      <c r="L3728" s="89">
        <v>1</v>
      </c>
    </row>
    <row r="3729" spans="1:12" ht="85.5">
      <c r="A3729" s="89" t="s">
        <v>745</v>
      </c>
      <c r="B3729" s="237">
        <v>112120503030</v>
      </c>
      <c r="C3729" s="89" t="s">
        <v>460</v>
      </c>
      <c r="D3729" s="89"/>
      <c r="E3729" s="236" t="s">
        <v>683</v>
      </c>
      <c r="F3729" s="236" t="s">
        <v>1071</v>
      </c>
      <c r="G3729" s="236" t="s">
        <v>1083</v>
      </c>
      <c r="H3729" s="238">
        <v>42248</v>
      </c>
      <c r="I3729" s="235">
        <v>42313</v>
      </c>
      <c r="J3729" s="136">
        <v>16429.55</v>
      </c>
      <c r="K3729" s="89"/>
      <c r="L3729" s="89">
        <v>1</v>
      </c>
    </row>
    <row r="3730" spans="1:12" ht="85.5">
      <c r="A3730" s="89" t="s">
        <v>754</v>
      </c>
      <c r="B3730" s="237">
        <v>112120503030</v>
      </c>
      <c r="C3730" s="89" t="s">
        <v>461</v>
      </c>
      <c r="D3730" s="89"/>
      <c r="E3730" s="236" t="s">
        <v>683</v>
      </c>
      <c r="F3730" s="236" t="s">
        <v>1071</v>
      </c>
      <c r="G3730" s="236" t="s">
        <v>1084</v>
      </c>
      <c r="H3730" s="238">
        <v>42248</v>
      </c>
      <c r="I3730" s="235">
        <v>42313</v>
      </c>
      <c r="J3730" s="136">
        <v>10480.459999999999</v>
      </c>
      <c r="K3730" s="89"/>
      <c r="L3730" s="89">
        <v>1</v>
      </c>
    </row>
    <row r="3731" spans="1:12" ht="85.5">
      <c r="A3731" s="89" t="s">
        <v>754</v>
      </c>
      <c r="B3731" s="237">
        <v>112120503030</v>
      </c>
      <c r="C3731" s="89" t="s">
        <v>461</v>
      </c>
      <c r="D3731" s="89"/>
      <c r="E3731" s="236" t="s">
        <v>683</v>
      </c>
      <c r="F3731" s="236" t="s">
        <v>1071</v>
      </c>
      <c r="G3731" s="236" t="s">
        <v>1085</v>
      </c>
      <c r="H3731" s="238">
        <v>42248</v>
      </c>
      <c r="I3731" s="235">
        <v>42313</v>
      </c>
      <c r="J3731" s="136">
        <v>4100.8599999999997</v>
      </c>
      <c r="K3731" s="89"/>
      <c r="L3731" s="89">
        <v>1</v>
      </c>
    </row>
    <row r="3732" spans="1:12" ht="85.5">
      <c r="A3732" s="89" t="s">
        <v>762</v>
      </c>
      <c r="B3732" s="237">
        <v>112120503030</v>
      </c>
      <c r="C3732" s="89" t="s">
        <v>463</v>
      </c>
      <c r="D3732" s="89"/>
      <c r="E3732" s="236" t="s">
        <v>683</v>
      </c>
      <c r="F3732" s="236" t="s">
        <v>1071</v>
      </c>
      <c r="G3732" s="236" t="s">
        <v>1086</v>
      </c>
      <c r="H3732" s="238">
        <v>42248</v>
      </c>
      <c r="I3732" s="235">
        <v>42313</v>
      </c>
      <c r="J3732" s="136">
        <v>15586.51</v>
      </c>
      <c r="K3732" s="89"/>
      <c r="L3732" s="89">
        <v>1</v>
      </c>
    </row>
    <row r="3733" spans="1:12" ht="85.5">
      <c r="A3733" s="89" t="s">
        <v>770</v>
      </c>
      <c r="B3733" s="237">
        <v>112120503030</v>
      </c>
      <c r="C3733" s="89" t="s">
        <v>465</v>
      </c>
      <c r="D3733" s="89"/>
      <c r="E3733" s="236" t="s">
        <v>683</v>
      </c>
      <c r="F3733" s="236" t="s">
        <v>1071</v>
      </c>
      <c r="G3733" s="236" t="s">
        <v>1087</v>
      </c>
      <c r="H3733" s="238">
        <v>42248</v>
      </c>
      <c r="I3733" s="235">
        <v>42313</v>
      </c>
      <c r="J3733" s="136">
        <v>14392.28</v>
      </c>
      <c r="K3733" s="89"/>
      <c r="L3733" s="89">
        <v>1</v>
      </c>
    </row>
    <row r="3734" spans="1:12" ht="85.5">
      <c r="A3734" s="89" t="s">
        <v>778</v>
      </c>
      <c r="B3734" s="237">
        <v>112120503030</v>
      </c>
      <c r="C3734" s="89" t="s">
        <v>466</v>
      </c>
      <c r="D3734" s="89"/>
      <c r="E3734" s="236" t="s">
        <v>683</v>
      </c>
      <c r="F3734" s="236" t="s">
        <v>1071</v>
      </c>
      <c r="G3734" s="236" t="s">
        <v>1088</v>
      </c>
      <c r="H3734" s="238">
        <v>42248</v>
      </c>
      <c r="I3734" s="235">
        <v>42313</v>
      </c>
      <c r="J3734" s="136">
        <v>7919.84</v>
      </c>
      <c r="K3734" s="89"/>
      <c r="L3734" s="89">
        <v>1</v>
      </c>
    </row>
    <row r="3735" spans="1:12" ht="85.5">
      <c r="A3735" s="89" t="s">
        <v>778</v>
      </c>
      <c r="B3735" s="237">
        <v>112120503030</v>
      </c>
      <c r="C3735" s="89" t="s">
        <v>466</v>
      </c>
      <c r="D3735" s="89"/>
      <c r="E3735" s="236" t="s">
        <v>683</v>
      </c>
      <c r="F3735" s="236" t="s">
        <v>1071</v>
      </c>
      <c r="G3735" s="236" t="s">
        <v>1089</v>
      </c>
      <c r="H3735" s="238">
        <v>42248</v>
      </c>
      <c r="I3735" s="235">
        <v>42313</v>
      </c>
      <c r="J3735" s="136">
        <v>6455.33</v>
      </c>
      <c r="K3735" s="89"/>
      <c r="L3735" s="89">
        <v>1</v>
      </c>
    </row>
    <row r="3736" spans="1:12" ht="85.5">
      <c r="A3736" s="89" t="s">
        <v>451</v>
      </c>
      <c r="B3736" s="237">
        <v>112120503030</v>
      </c>
      <c r="C3736" s="89" t="s">
        <v>449</v>
      </c>
      <c r="D3736" s="89"/>
      <c r="E3736" s="236" t="s">
        <v>452</v>
      </c>
      <c r="F3736" s="236" t="s">
        <v>1071</v>
      </c>
      <c r="G3736" s="236" t="s">
        <v>1090</v>
      </c>
      <c r="H3736" s="238">
        <v>42248</v>
      </c>
      <c r="I3736" s="235">
        <v>42321</v>
      </c>
      <c r="J3736" s="136">
        <v>4528.66</v>
      </c>
      <c r="K3736" s="89"/>
      <c r="L3736" s="89">
        <v>1</v>
      </c>
    </row>
    <row r="3737" spans="1:12" ht="85.5">
      <c r="A3737" s="89" t="s">
        <v>682</v>
      </c>
      <c r="B3737" s="237">
        <v>112120503030</v>
      </c>
      <c r="C3737" s="89" t="s">
        <v>449</v>
      </c>
      <c r="D3737" s="89"/>
      <c r="E3737" s="236" t="s">
        <v>683</v>
      </c>
      <c r="F3737" s="236" t="s">
        <v>1071</v>
      </c>
      <c r="G3737" s="236" t="s">
        <v>1091</v>
      </c>
      <c r="H3737" s="238">
        <v>42248</v>
      </c>
      <c r="I3737" s="235">
        <v>42313</v>
      </c>
      <c r="J3737" s="136">
        <v>14092.59</v>
      </c>
      <c r="K3737" s="89"/>
      <c r="L3737" s="89">
        <v>1</v>
      </c>
    </row>
    <row r="3738" spans="1:12" ht="85.5">
      <c r="A3738" s="89" t="s">
        <v>682</v>
      </c>
      <c r="B3738" s="237">
        <v>112120503030</v>
      </c>
      <c r="C3738" s="89" t="s">
        <v>449</v>
      </c>
      <c r="D3738" s="89"/>
      <c r="E3738" s="236" t="s">
        <v>683</v>
      </c>
      <c r="F3738" s="236" t="s">
        <v>1071</v>
      </c>
      <c r="G3738" s="236" t="s">
        <v>1092</v>
      </c>
      <c r="H3738" s="238">
        <v>42248</v>
      </c>
      <c r="I3738" s="235">
        <v>42313</v>
      </c>
      <c r="J3738" s="136">
        <v>4372.4399999999996</v>
      </c>
      <c r="K3738" s="89"/>
      <c r="L3738" s="89">
        <v>1</v>
      </c>
    </row>
    <row r="3739" spans="1:12" ht="85.5">
      <c r="A3739" s="89" t="s">
        <v>682</v>
      </c>
      <c r="B3739" s="237">
        <v>112120503030</v>
      </c>
      <c r="C3739" s="89" t="s">
        <v>449</v>
      </c>
      <c r="D3739" s="89"/>
      <c r="E3739" s="236" t="s">
        <v>683</v>
      </c>
      <c r="F3739" s="236" t="s">
        <v>1071</v>
      </c>
      <c r="G3739" s="236" t="s">
        <v>1093</v>
      </c>
      <c r="H3739" s="238">
        <v>42278</v>
      </c>
      <c r="I3739" s="235">
        <v>42338</v>
      </c>
      <c r="J3739" s="136">
        <v>3344.04</v>
      </c>
      <c r="K3739" s="89"/>
      <c r="L3739" s="89">
        <v>1</v>
      </c>
    </row>
    <row r="3740" spans="1:12" ht="213.75">
      <c r="A3740" s="89" t="s">
        <v>785</v>
      </c>
      <c r="B3740" s="237">
        <v>112120503040</v>
      </c>
      <c r="C3740" s="89" t="s">
        <v>783</v>
      </c>
      <c r="D3740" s="89"/>
      <c r="E3740" s="236" t="s">
        <v>488</v>
      </c>
      <c r="F3740" s="236" t="s">
        <v>1094</v>
      </c>
      <c r="G3740" s="236" t="s">
        <v>1095</v>
      </c>
      <c r="H3740" s="238">
        <v>42278</v>
      </c>
      <c r="I3740" s="235">
        <v>42338</v>
      </c>
      <c r="J3740" s="136">
        <v>163202.10999999999</v>
      </c>
      <c r="K3740" s="89"/>
      <c r="L3740" s="89">
        <v>1</v>
      </c>
    </row>
    <row r="3741" spans="1:12" ht="213.75">
      <c r="A3741" s="89" t="s">
        <v>785</v>
      </c>
      <c r="B3741" s="237">
        <v>112120503040</v>
      </c>
      <c r="C3741" s="89" t="s">
        <v>783</v>
      </c>
      <c r="D3741" s="89"/>
      <c r="E3741" s="236" t="s">
        <v>488</v>
      </c>
      <c r="F3741" s="236" t="s">
        <v>1094</v>
      </c>
      <c r="G3741" s="236" t="s">
        <v>1096</v>
      </c>
      <c r="H3741" s="238">
        <v>42278</v>
      </c>
      <c r="I3741" s="235">
        <v>42338</v>
      </c>
      <c r="J3741" s="136">
        <v>139367.25</v>
      </c>
      <c r="K3741" s="89"/>
      <c r="L3741" s="89">
        <v>1</v>
      </c>
    </row>
    <row r="3742" spans="1:12" ht="270.75">
      <c r="A3742" s="89" t="s">
        <v>782</v>
      </c>
      <c r="B3742" s="237">
        <v>112120503040</v>
      </c>
      <c r="C3742" s="89" t="s">
        <v>783</v>
      </c>
      <c r="D3742" s="89"/>
      <c r="E3742" s="236" t="s">
        <v>560</v>
      </c>
      <c r="F3742" s="236" t="s">
        <v>1094</v>
      </c>
      <c r="G3742" s="236" t="s">
        <v>1097</v>
      </c>
      <c r="H3742" s="238">
        <v>42278</v>
      </c>
      <c r="I3742" s="235">
        <v>42338</v>
      </c>
      <c r="J3742" s="136">
        <v>244803.04</v>
      </c>
      <c r="K3742" s="89"/>
      <c r="L3742" s="89">
        <v>1</v>
      </c>
    </row>
    <row r="3743" spans="1:12" ht="270.75">
      <c r="A3743" s="89" t="s">
        <v>782</v>
      </c>
      <c r="B3743" s="237">
        <v>112120503040</v>
      </c>
      <c r="C3743" s="89" t="s">
        <v>783</v>
      </c>
      <c r="D3743" s="89"/>
      <c r="E3743" s="236" t="s">
        <v>560</v>
      </c>
      <c r="F3743" s="236" t="s">
        <v>1094</v>
      </c>
      <c r="G3743" s="236" t="s">
        <v>1098</v>
      </c>
      <c r="H3743" s="238">
        <v>42278</v>
      </c>
      <c r="I3743" s="235">
        <v>42338</v>
      </c>
      <c r="J3743" s="136">
        <v>209050.77</v>
      </c>
      <c r="K3743" s="89"/>
      <c r="L3743" s="89">
        <v>1</v>
      </c>
    </row>
    <row r="3744" spans="1:12" ht="99.75">
      <c r="A3744" s="89" t="s">
        <v>796</v>
      </c>
      <c r="B3744" s="237">
        <v>112120503040</v>
      </c>
      <c r="C3744" s="89" t="s">
        <v>794</v>
      </c>
      <c r="D3744" s="89"/>
      <c r="E3744" s="236" t="s">
        <v>533</v>
      </c>
      <c r="F3744" s="236" t="s">
        <v>1094</v>
      </c>
      <c r="G3744" s="236" t="s">
        <v>1099</v>
      </c>
      <c r="H3744" s="238">
        <v>42278</v>
      </c>
      <c r="I3744" s="235">
        <v>42338</v>
      </c>
      <c r="J3744" s="136">
        <v>396150.56</v>
      </c>
      <c r="K3744" s="89"/>
      <c r="L3744" s="89">
        <v>1</v>
      </c>
    </row>
    <row r="3745" spans="1:12" ht="85.5">
      <c r="A3745" s="89" t="s">
        <v>796</v>
      </c>
      <c r="B3745" s="237">
        <v>112120503040</v>
      </c>
      <c r="C3745" s="89" t="s">
        <v>794</v>
      </c>
      <c r="D3745" s="89"/>
      <c r="E3745" s="236" t="s">
        <v>530</v>
      </c>
      <c r="F3745" s="236" t="s">
        <v>1094</v>
      </c>
      <c r="G3745" s="236" t="s">
        <v>1100</v>
      </c>
      <c r="H3745" s="238">
        <v>42278</v>
      </c>
      <c r="I3745" s="235">
        <v>42338</v>
      </c>
      <c r="J3745" s="136">
        <v>237690.34</v>
      </c>
      <c r="K3745" s="89"/>
      <c r="L3745" s="89">
        <v>1</v>
      </c>
    </row>
    <row r="3746" spans="1:12" ht="71.25">
      <c r="A3746" s="89" t="s">
        <v>796</v>
      </c>
      <c r="B3746" s="237">
        <v>112120503040</v>
      </c>
      <c r="C3746" s="89" t="s">
        <v>794</v>
      </c>
      <c r="D3746" s="89"/>
      <c r="E3746" s="236" t="s">
        <v>542</v>
      </c>
      <c r="F3746" s="236" t="s">
        <v>1094</v>
      </c>
      <c r="G3746" s="236" t="s">
        <v>1101</v>
      </c>
      <c r="H3746" s="238">
        <v>42278</v>
      </c>
      <c r="I3746" s="235">
        <v>42338</v>
      </c>
      <c r="J3746" s="136">
        <v>158460.10999999999</v>
      </c>
      <c r="K3746" s="89"/>
      <c r="L3746" s="89">
        <v>1</v>
      </c>
    </row>
    <row r="3747" spans="1:12" ht="99.75">
      <c r="A3747" s="89" t="s">
        <v>788</v>
      </c>
      <c r="B3747" s="237">
        <v>112120503040</v>
      </c>
      <c r="C3747" s="89" t="s">
        <v>789</v>
      </c>
      <c r="D3747" s="89"/>
      <c r="E3747" s="236" t="s">
        <v>484</v>
      </c>
      <c r="F3747" s="236" t="s">
        <v>1094</v>
      </c>
      <c r="G3747" s="236" t="s">
        <v>1102</v>
      </c>
      <c r="H3747" s="238">
        <v>42278</v>
      </c>
      <c r="I3747" s="235">
        <v>42338</v>
      </c>
      <c r="J3747" s="136">
        <v>90292.9</v>
      </c>
      <c r="K3747" s="89"/>
      <c r="L3747" s="89">
        <v>1</v>
      </c>
    </row>
    <row r="3748" spans="1:12" ht="71.25">
      <c r="A3748" s="89" t="s">
        <v>788</v>
      </c>
      <c r="B3748" s="237">
        <v>112120503040</v>
      </c>
      <c r="C3748" s="89" t="s">
        <v>789</v>
      </c>
      <c r="D3748" s="89"/>
      <c r="E3748" s="236" t="s">
        <v>447</v>
      </c>
      <c r="F3748" s="236" t="s">
        <v>1094</v>
      </c>
      <c r="G3748" s="236" t="s">
        <v>1103</v>
      </c>
      <c r="H3748" s="238">
        <v>42278</v>
      </c>
      <c r="I3748" s="235">
        <v>42338</v>
      </c>
      <c r="J3748" s="136">
        <v>722343.18</v>
      </c>
      <c r="K3748" s="89"/>
      <c r="L3748" s="89">
        <v>1</v>
      </c>
    </row>
    <row r="3749" spans="1:12" ht="270.75">
      <c r="A3749" s="89" t="s">
        <v>788</v>
      </c>
      <c r="B3749" s="237">
        <v>112120503040</v>
      </c>
      <c r="C3749" s="89" t="s">
        <v>789</v>
      </c>
      <c r="D3749" s="89"/>
      <c r="E3749" s="236" t="s">
        <v>560</v>
      </c>
      <c r="F3749" s="236" t="s">
        <v>1094</v>
      </c>
      <c r="G3749" s="236" t="s">
        <v>1104</v>
      </c>
      <c r="H3749" s="238">
        <v>42278</v>
      </c>
      <c r="I3749" s="235">
        <v>42338</v>
      </c>
      <c r="J3749" s="136">
        <v>90292.9</v>
      </c>
      <c r="K3749" s="89"/>
      <c r="L3749" s="89">
        <v>1</v>
      </c>
    </row>
    <row r="3750" spans="1:12" ht="156.75">
      <c r="A3750" s="89" t="s">
        <v>800</v>
      </c>
      <c r="B3750" s="237">
        <v>112120503040</v>
      </c>
      <c r="C3750" s="89" t="s">
        <v>799</v>
      </c>
      <c r="D3750" s="89"/>
      <c r="E3750" s="236" t="s">
        <v>493</v>
      </c>
      <c r="F3750" s="236" t="s">
        <v>1094</v>
      </c>
      <c r="G3750" s="236" t="s">
        <v>1105</v>
      </c>
      <c r="H3750" s="238">
        <v>42278</v>
      </c>
      <c r="I3750" s="235">
        <v>42338</v>
      </c>
      <c r="J3750" s="136">
        <v>254579.96</v>
      </c>
      <c r="K3750" s="89"/>
      <c r="L3750" s="89">
        <v>1</v>
      </c>
    </row>
    <row r="3751" spans="1:12" ht="213.75">
      <c r="A3751" s="89" t="s">
        <v>800</v>
      </c>
      <c r="B3751" s="237">
        <v>112120503040</v>
      </c>
      <c r="C3751" s="89" t="s">
        <v>799</v>
      </c>
      <c r="D3751" s="89"/>
      <c r="E3751" s="236" t="s">
        <v>488</v>
      </c>
      <c r="F3751" s="236" t="s">
        <v>1094</v>
      </c>
      <c r="G3751" s="236" t="s">
        <v>1106</v>
      </c>
      <c r="H3751" s="238">
        <v>42278</v>
      </c>
      <c r="I3751" s="235">
        <v>42338</v>
      </c>
      <c r="J3751" s="136">
        <v>254656.34</v>
      </c>
      <c r="K3751" s="89"/>
      <c r="L3751" s="89">
        <v>1</v>
      </c>
    </row>
    <row r="3752" spans="1:12" ht="71.25">
      <c r="A3752" s="89" t="s">
        <v>800</v>
      </c>
      <c r="B3752" s="237">
        <v>112120503040</v>
      </c>
      <c r="C3752" s="89" t="s">
        <v>799</v>
      </c>
      <c r="D3752" s="89"/>
      <c r="E3752" s="236" t="s">
        <v>589</v>
      </c>
      <c r="F3752" s="236" t="s">
        <v>1094</v>
      </c>
      <c r="G3752" s="236" t="s">
        <v>1107</v>
      </c>
      <c r="H3752" s="238">
        <v>42278</v>
      </c>
      <c r="I3752" s="235">
        <v>42338</v>
      </c>
      <c r="J3752" s="136">
        <v>254579.96</v>
      </c>
      <c r="K3752" s="89"/>
      <c r="L3752" s="89">
        <v>1</v>
      </c>
    </row>
    <row r="3753" spans="1:12" ht="156.75">
      <c r="A3753" s="89" t="s">
        <v>681</v>
      </c>
      <c r="B3753" s="237">
        <v>112120503040</v>
      </c>
      <c r="C3753" s="89" t="s">
        <v>680</v>
      </c>
      <c r="D3753" s="89"/>
      <c r="E3753" s="236" t="s">
        <v>493</v>
      </c>
      <c r="F3753" s="236" t="s">
        <v>1094</v>
      </c>
      <c r="G3753" s="236" t="s">
        <v>1108</v>
      </c>
      <c r="H3753" s="238">
        <v>42278</v>
      </c>
      <c r="I3753" s="235">
        <v>42338</v>
      </c>
      <c r="J3753" s="136">
        <v>126086.32</v>
      </c>
      <c r="K3753" s="89"/>
      <c r="L3753" s="89">
        <v>1</v>
      </c>
    </row>
    <row r="3754" spans="1:12" ht="213.75">
      <c r="A3754" s="89" t="s">
        <v>681</v>
      </c>
      <c r="B3754" s="237">
        <v>112120503040</v>
      </c>
      <c r="C3754" s="89" t="s">
        <v>680</v>
      </c>
      <c r="D3754" s="89"/>
      <c r="E3754" s="236" t="s">
        <v>488</v>
      </c>
      <c r="F3754" s="236" t="s">
        <v>1094</v>
      </c>
      <c r="G3754" s="236" t="s">
        <v>1109</v>
      </c>
      <c r="H3754" s="238">
        <v>42278</v>
      </c>
      <c r="I3754" s="235">
        <v>42338</v>
      </c>
      <c r="J3754" s="136">
        <v>126048.5</v>
      </c>
      <c r="K3754" s="89"/>
      <c r="L3754" s="89">
        <v>1</v>
      </c>
    </row>
    <row r="3755" spans="1:12" ht="71.25">
      <c r="A3755" s="89" t="s">
        <v>681</v>
      </c>
      <c r="B3755" s="237">
        <v>112120503040</v>
      </c>
      <c r="C3755" s="89" t="s">
        <v>680</v>
      </c>
      <c r="D3755" s="89"/>
      <c r="E3755" s="236" t="s">
        <v>589</v>
      </c>
      <c r="F3755" s="236" t="s">
        <v>1094</v>
      </c>
      <c r="G3755" s="236" t="s">
        <v>1110</v>
      </c>
      <c r="H3755" s="238">
        <v>42278</v>
      </c>
      <c r="I3755" s="235">
        <v>42338</v>
      </c>
      <c r="J3755" s="136">
        <v>126048.5</v>
      </c>
      <c r="K3755" s="89"/>
      <c r="L3755" s="89">
        <v>1</v>
      </c>
    </row>
    <row r="3756" spans="1:12" ht="114">
      <c r="A3756" s="89" t="s">
        <v>507</v>
      </c>
      <c r="B3756" s="237">
        <v>112120503040</v>
      </c>
      <c r="C3756" s="89" t="s">
        <v>506</v>
      </c>
      <c r="D3756" s="89"/>
      <c r="E3756" s="236" t="s">
        <v>509</v>
      </c>
      <c r="F3756" s="236" t="s">
        <v>1094</v>
      </c>
      <c r="G3756" s="236" t="s">
        <v>425</v>
      </c>
      <c r="H3756" s="238">
        <v>42278</v>
      </c>
      <c r="I3756" s="235">
        <v>42338</v>
      </c>
      <c r="J3756" s="136">
        <v>364392.28</v>
      </c>
      <c r="K3756" s="89"/>
      <c r="L3756" s="89">
        <v>1</v>
      </c>
    </row>
    <row r="3757" spans="1:12" ht="114">
      <c r="A3757" s="89" t="s">
        <v>507</v>
      </c>
      <c r="B3757" s="237">
        <v>112120503040</v>
      </c>
      <c r="C3757" s="89" t="s">
        <v>506</v>
      </c>
      <c r="D3757" s="89"/>
      <c r="E3757" s="236" t="s">
        <v>508</v>
      </c>
      <c r="F3757" s="236" t="s">
        <v>1094</v>
      </c>
      <c r="G3757" s="236" t="s">
        <v>1111</v>
      </c>
      <c r="H3757" s="238">
        <v>42278</v>
      </c>
      <c r="I3757" s="235">
        <v>42338</v>
      </c>
      <c r="J3757" s="136">
        <v>448482.8</v>
      </c>
      <c r="K3757" s="89"/>
      <c r="L3757" s="89">
        <v>1</v>
      </c>
    </row>
    <row r="3758" spans="1:12" ht="71.25">
      <c r="A3758" s="89" t="s">
        <v>507</v>
      </c>
      <c r="B3758" s="237">
        <v>112120503040</v>
      </c>
      <c r="C3758" s="89" t="s">
        <v>506</v>
      </c>
      <c r="D3758" s="89"/>
      <c r="E3758" s="236" t="s">
        <v>447</v>
      </c>
      <c r="F3758" s="236" t="s">
        <v>1094</v>
      </c>
      <c r="G3758" s="236" t="s">
        <v>1112</v>
      </c>
      <c r="H3758" s="238">
        <v>42278</v>
      </c>
      <c r="I3758" s="235">
        <v>42338</v>
      </c>
      <c r="J3758" s="136">
        <v>588633.68000000005</v>
      </c>
      <c r="K3758" s="89"/>
      <c r="L3758" s="89">
        <v>1</v>
      </c>
    </row>
    <row r="3759" spans="1:12" ht="114">
      <c r="A3759" s="89" t="s">
        <v>507</v>
      </c>
      <c r="B3759" s="237">
        <v>211010200000</v>
      </c>
      <c r="C3759" s="89" t="s">
        <v>506</v>
      </c>
      <c r="D3759" s="89"/>
      <c r="E3759" s="236" t="s">
        <v>509</v>
      </c>
      <c r="F3759" s="236" t="s">
        <v>426</v>
      </c>
      <c r="G3759" s="236" t="s">
        <v>1113</v>
      </c>
      <c r="H3759" s="238">
        <v>42278</v>
      </c>
      <c r="I3759" s="235">
        <v>42338</v>
      </c>
      <c r="J3759" s="136">
        <v>-18219.61</v>
      </c>
      <c r="K3759" s="89"/>
      <c r="L3759" s="89">
        <v>1</v>
      </c>
    </row>
    <row r="3760" spans="1:12" ht="114">
      <c r="A3760" s="89" t="s">
        <v>817</v>
      </c>
      <c r="B3760" s="237">
        <v>112120503040</v>
      </c>
      <c r="C3760" s="89" t="s">
        <v>472</v>
      </c>
      <c r="D3760" s="89"/>
      <c r="E3760" s="236" t="s">
        <v>494</v>
      </c>
      <c r="F3760" s="236" t="s">
        <v>1094</v>
      </c>
      <c r="G3760" s="236" t="s">
        <v>1114</v>
      </c>
      <c r="H3760" s="238">
        <v>42278</v>
      </c>
      <c r="I3760" s="235">
        <v>42338</v>
      </c>
      <c r="J3760" s="136">
        <v>108780.72</v>
      </c>
      <c r="K3760" s="89"/>
      <c r="L3760" s="89">
        <v>1</v>
      </c>
    </row>
    <row r="3761" spans="1:12" ht="156.75">
      <c r="A3761" s="89" t="s">
        <v>817</v>
      </c>
      <c r="B3761" s="237">
        <v>112120503040</v>
      </c>
      <c r="C3761" s="89" t="s">
        <v>472</v>
      </c>
      <c r="D3761" s="89"/>
      <c r="E3761" s="236" t="s">
        <v>493</v>
      </c>
      <c r="F3761" s="236" t="s">
        <v>1094</v>
      </c>
      <c r="G3761" s="236" t="s">
        <v>1115</v>
      </c>
      <c r="H3761" s="238">
        <v>42278</v>
      </c>
      <c r="I3761" s="235">
        <v>42338</v>
      </c>
      <c r="J3761" s="136">
        <v>108748.08</v>
      </c>
      <c r="K3761" s="89"/>
      <c r="L3761" s="89">
        <v>1</v>
      </c>
    </row>
    <row r="3762" spans="1:12" ht="213.75">
      <c r="A3762" s="89" t="s">
        <v>817</v>
      </c>
      <c r="B3762" s="237">
        <v>112120503040</v>
      </c>
      <c r="C3762" s="89" t="s">
        <v>472</v>
      </c>
      <c r="D3762" s="89"/>
      <c r="E3762" s="236" t="s">
        <v>488</v>
      </c>
      <c r="F3762" s="236" t="s">
        <v>1094</v>
      </c>
      <c r="G3762" s="236" t="s">
        <v>1116</v>
      </c>
      <c r="H3762" s="238">
        <v>42278</v>
      </c>
      <c r="I3762" s="235">
        <v>42338</v>
      </c>
      <c r="J3762" s="136">
        <v>108748.08</v>
      </c>
      <c r="K3762" s="89"/>
      <c r="L3762" s="89">
        <v>1</v>
      </c>
    </row>
    <row r="3763" spans="1:12" ht="114">
      <c r="A3763" s="89" t="s">
        <v>811</v>
      </c>
      <c r="B3763" s="237">
        <v>112120503040</v>
      </c>
      <c r="C3763" s="89" t="s">
        <v>812</v>
      </c>
      <c r="D3763" s="89"/>
      <c r="E3763" s="236" t="s">
        <v>508</v>
      </c>
      <c r="F3763" s="236" t="s">
        <v>1094</v>
      </c>
      <c r="G3763" s="236" t="s">
        <v>1117</v>
      </c>
      <c r="H3763" s="238">
        <v>42278</v>
      </c>
      <c r="I3763" s="235">
        <v>42338</v>
      </c>
      <c r="J3763" s="136">
        <v>40316.67</v>
      </c>
      <c r="K3763" s="89"/>
      <c r="L3763" s="89">
        <v>1</v>
      </c>
    </row>
    <row r="3764" spans="1:12" ht="71.25">
      <c r="A3764" s="89" t="s">
        <v>811</v>
      </c>
      <c r="B3764" s="237">
        <v>112120503040</v>
      </c>
      <c r="C3764" s="89" t="s">
        <v>812</v>
      </c>
      <c r="D3764" s="89"/>
      <c r="E3764" s="236" t="s">
        <v>447</v>
      </c>
      <c r="F3764" s="236" t="s">
        <v>1094</v>
      </c>
      <c r="G3764" s="236" t="s">
        <v>1118</v>
      </c>
      <c r="H3764" s="238">
        <v>42278</v>
      </c>
      <c r="I3764" s="235">
        <v>42338</v>
      </c>
      <c r="J3764" s="136">
        <v>40316.67</v>
      </c>
      <c r="K3764" s="89"/>
      <c r="L3764" s="89">
        <v>1</v>
      </c>
    </row>
    <row r="3765" spans="1:12" ht="270.75">
      <c r="A3765" s="89" t="s">
        <v>811</v>
      </c>
      <c r="B3765" s="237">
        <v>112120503040</v>
      </c>
      <c r="C3765" s="89" t="s">
        <v>812</v>
      </c>
      <c r="D3765" s="89"/>
      <c r="E3765" s="236" t="s">
        <v>560</v>
      </c>
      <c r="F3765" s="236" t="s">
        <v>1094</v>
      </c>
      <c r="G3765" s="236" t="s">
        <v>1119</v>
      </c>
      <c r="H3765" s="238">
        <v>42278</v>
      </c>
      <c r="I3765" s="235">
        <v>42338</v>
      </c>
      <c r="J3765" s="136">
        <v>322533.33</v>
      </c>
      <c r="K3765" s="89"/>
      <c r="L3765" s="89">
        <v>1</v>
      </c>
    </row>
    <row r="3766" spans="1:12" ht="99.75">
      <c r="A3766" s="89" t="s">
        <v>1120</v>
      </c>
      <c r="B3766" s="237">
        <v>112120503040</v>
      </c>
      <c r="C3766" s="89" t="s">
        <v>474</v>
      </c>
      <c r="D3766" s="89"/>
      <c r="E3766" s="236" t="s">
        <v>484</v>
      </c>
      <c r="F3766" s="236" t="s">
        <v>1094</v>
      </c>
      <c r="G3766" s="236" t="s">
        <v>1121</v>
      </c>
      <c r="H3766" s="238">
        <v>42278</v>
      </c>
      <c r="I3766" s="235">
        <v>42338</v>
      </c>
      <c r="J3766" s="136">
        <v>221433.33</v>
      </c>
      <c r="K3766" s="89"/>
      <c r="L3766" s="89">
        <v>1</v>
      </c>
    </row>
    <row r="3767" spans="1:12" ht="114">
      <c r="A3767" s="89" t="s">
        <v>497</v>
      </c>
      <c r="B3767" s="237">
        <v>112120503040</v>
      </c>
      <c r="C3767" s="89" t="s">
        <v>496</v>
      </c>
      <c r="D3767" s="89"/>
      <c r="E3767" s="236" t="s">
        <v>494</v>
      </c>
      <c r="F3767" s="236" t="s">
        <v>1094</v>
      </c>
      <c r="G3767" s="236" t="s">
        <v>1122</v>
      </c>
      <c r="H3767" s="238">
        <v>42248</v>
      </c>
      <c r="I3767" s="235">
        <v>42320</v>
      </c>
      <c r="J3767" s="136">
        <v>87219.54</v>
      </c>
      <c r="K3767" s="89"/>
      <c r="L3767" s="89">
        <v>1</v>
      </c>
    </row>
    <row r="3768" spans="1:12" ht="156.75">
      <c r="A3768" s="89" t="s">
        <v>497</v>
      </c>
      <c r="B3768" s="237">
        <v>112120503040</v>
      </c>
      <c r="C3768" s="89" t="s">
        <v>496</v>
      </c>
      <c r="D3768" s="89"/>
      <c r="E3768" s="236" t="s">
        <v>493</v>
      </c>
      <c r="F3768" s="236" t="s">
        <v>1094</v>
      </c>
      <c r="G3768" s="236" t="s">
        <v>1123</v>
      </c>
      <c r="H3768" s="238">
        <v>42248</v>
      </c>
      <c r="I3768" s="235">
        <v>42320</v>
      </c>
      <c r="J3768" s="136">
        <v>87245.7</v>
      </c>
      <c r="K3768" s="89"/>
      <c r="L3768" s="89">
        <v>1</v>
      </c>
    </row>
    <row r="3769" spans="1:12" ht="213.75">
      <c r="A3769" s="89" t="s">
        <v>497</v>
      </c>
      <c r="B3769" s="237">
        <v>112120503040</v>
      </c>
      <c r="C3769" s="89" t="s">
        <v>496</v>
      </c>
      <c r="D3769" s="89"/>
      <c r="E3769" s="236" t="s">
        <v>488</v>
      </c>
      <c r="F3769" s="236" t="s">
        <v>1094</v>
      </c>
      <c r="G3769" s="236" t="s">
        <v>1124</v>
      </c>
      <c r="H3769" s="238">
        <v>42248</v>
      </c>
      <c r="I3769" s="235">
        <v>42320</v>
      </c>
      <c r="J3769" s="136">
        <v>87219.54</v>
      </c>
      <c r="K3769" s="89"/>
      <c r="L3769" s="89">
        <v>1</v>
      </c>
    </row>
    <row r="3770" spans="1:12" ht="71.25">
      <c r="A3770" s="89" t="s">
        <v>475</v>
      </c>
      <c r="B3770" s="237">
        <v>112120503040</v>
      </c>
      <c r="C3770" s="89" t="s">
        <v>476</v>
      </c>
      <c r="D3770" s="89"/>
      <c r="E3770" s="236" t="s">
        <v>481</v>
      </c>
      <c r="F3770" s="236" t="s">
        <v>1094</v>
      </c>
      <c r="G3770" s="236" t="s">
        <v>1125</v>
      </c>
      <c r="H3770" s="238">
        <v>42248</v>
      </c>
      <c r="I3770" s="235">
        <v>42325</v>
      </c>
      <c r="J3770" s="136">
        <v>86998.61</v>
      </c>
      <c r="K3770" s="89"/>
      <c r="L3770" s="89">
        <v>1</v>
      </c>
    </row>
    <row r="3771" spans="1:12" ht="270.75">
      <c r="A3771" s="89" t="s">
        <v>828</v>
      </c>
      <c r="B3771" s="237">
        <v>112120503040</v>
      </c>
      <c r="C3771" s="89" t="s">
        <v>829</v>
      </c>
      <c r="D3771" s="89"/>
      <c r="E3771" s="236" t="s">
        <v>560</v>
      </c>
      <c r="F3771" s="236" t="s">
        <v>1094</v>
      </c>
      <c r="G3771" s="236" t="s">
        <v>1126</v>
      </c>
      <c r="H3771" s="238">
        <v>42278</v>
      </c>
      <c r="I3771" s="235">
        <v>42338</v>
      </c>
      <c r="J3771" s="136">
        <v>507014.3</v>
      </c>
      <c r="K3771" s="89"/>
      <c r="L3771" s="89">
        <v>1</v>
      </c>
    </row>
    <row r="3772" spans="1:12" ht="114">
      <c r="A3772" s="89" t="s">
        <v>1127</v>
      </c>
      <c r="B3772" s="237">
        <v>112120503040</v>
      </c>
      <c r="C3772" s="89" t="s">
        <v>502</v>
      </c>
      <c r="D3772" s="89"/>
      <c r="E3772" s="236" t="s">
        <v>494</v>
      </c>
      <c r="F3772" s="236" t="s">
        <v>1094</v>
      </c>
      <c r="G3772" s="236" t="s">
        <v>1128</v>
      </c>
      <c r="H3772" s="238">
        <v>42278</v>
      </c>
      <c r="I3772" s="235">
        <v>42338</v>
      </c>
      <c r="J3772" s="136">
        <v>37813.300000000003</v>
      </c>
      <c r="K3772" s="89"/>
      <c r="L3772" s="89">
        <v>1</v>
      </c>
    </row>
    <row r="3773" spans="1:12" ht="71.25">
      <c r="A3773" s="89" t="s">
        <v>1127</v>
      </c>
      <c r="B3773" s="237">
        <v>112120503040</v>
      </c>
      <c r="C3773" s="89" t="s">
        <v>502</v>
      </c>
      <c r="D3773" s="89"/>
      <c r="E3773" s="236" t="s">
        <v>589</v>
      </c>
      <c r="F3773" s="236" t="s">
        <v>1094</v>
      </c>
      <c r="G3773" s="236" t="s">
        <v>1129</v>
      </c>
      <c r="H3773" s="238">
        <v>42278</v>
      </c>
      <c r="I3773" s="235">
        <v>42338</v>
      </c>
      <c r="J3773" s="136">
        <v>39356.699999999997</v>
      </c>
      <c r="K3773" s="89"/>
      <c r="L3773" s="89">
        <v>1</v>
      </c>
    </row>
    <row r="3774" spans="1:12" ht="114">
      <c r="A3774" s="89" t="s">
        <v>1127</v>
      </c>
      <c r="B3774" s="237">
        <v>211010200000</v>
      </c>
      <c r="C3774" s="89" t="s">
        <v>502</v>
      </c>
      <c r="D3774" s="89"/>
      <c r="E3774" s="236" t="s">
        <v>494</v>
      </c>
      <c r="F3774" s="236" t="s">
        <v>426</v>
      </c>
      <c r="G3774" s="236" t="s">
        <v>1130</v>
      </c>
      <c r="H3774" s="238">
        <v>42278</v>
      </c>
      <c r="I3774" s="235">
        <v>42338</v>
      </c>
      <c r="J3774" s="136">
        <v>-4201.4799999999996</v>
      </c>
      <c r="K3774" s="89"/>
      <c r="L3774" s="89">
        <v>1</v>
      </c>
    </row>
    <row r="3775" spans="1:12" ht="71.25">
      <c r="A3775" s="89" t="s">
        <v>1127</v>
      </c>
      <c r="B3775" s="237">
        <v>211010200000</v>
      </c>
      <c r="C3775" s="89" t="s">
        <v>502</v>
      </c>
      <c r="D3775" s="89"/>
      <c r="E3775" s="236" t="s">
        <v>589</v>
      </c>
      <c r="F3775" s="236" t="s">
        <v>426</v>
      </c>
      <c r="G3775" s="236" t="s">
        <v>1131</v>
      </c>
      <c r="H3775" s="238">
        <v>42278</v>
      </c>
      <c r="I3775" s="235">
        <v>42338</v>
      </c>
      <c r="J3775" s="136">
        <v>-4372.97</v>
      </c>
      <c r="K3775" s="89"/>
      <c r="L3775" s="89">
        <v>1</v>
      </c>
    </row>
    <row r="3776" spans="1:12" ht="71.25">
      <c r="A3776" s="89" t="s">
        <v>821</v>
      </c>
      <c r="B3776" s="237">
        <v>112120503040</v>
      </c>
      <c r="C3776" s="89" t="s">
        <v>822</v>
      </c>
      <c r="D3776" s="89"/>
      <c r="E3776" s="236" t="s">
        <v>481</v>
      </c>
      <c r="F3776" s="236" t="s">
        <v>1094</v>
      </c>
      <c r="G3776" s="236" t="s">
        <v>1132</v>
      </c>
      <c r="H3776" s="238">
        <v>42248</v>
      </c>
      <c r="I3776" s="235">
        <v>42325</v>
      </c>
      <c r="J3776" s="136">
        <v>131829.98000000001</v>
      </c>
      <c r="K3776" s="89"/>
      <c r="L3776" s="89">
        <v>1</v>
      </c>
    </row>
    <row r="3777" spans="1:12" ht="99.75">
      <c r="A3777" s="89" t="s">
        <v>821</v>
      </c>
      <c r="B3777" s="237">
        <v>112120503040</v>
      </c>
      <c r="C3777" s="89" t="s">
        <v>822</v>
      </c>
      <c r="D3777" s="89"/>
      <c r="E3777" s="236" t="s">
        <v>484</v>
      </c>
      <c r="F3777" s="236" t="s">
        <v>1094</v>
      </c>
      <c r="G3777" s="236" t="s">
        <v>1133</v>
      </c>
      <c r="H3777" s="238">
        <v>42278</v>
      </c>
      <c r="I3777" s="235">
        <v>42338</v>
      </c>
      <c r="J3777" s="136">
        <v>131829.98000000001</v>
      </c>
      <c r="K3777" s="89"/>
      <c r="L3777" s="89">
        <v>1</v>
      </c>
    </row>
    <row r="3778" spans="1:12" ht="85.5">
      <c r="A3778" s="89" t="s">
        <v>821</v>
      </c>
      <c r="B3778" s="237">
        <v>112120503040</v>
      </c>
      <c r="C3778" s="89" t="s">
        <v>822</v>
      </c>
      <c r="D3778" s="89"/>
      <c r="E3778" s="236" t="s">
        <v>477</v>
      </c>
      <c r="F3778" s="236" t="s">
        <v>1094</v>
      </c>
      <c r="G3778" s="236" t="s">
        <v>1134</v>
      </c>
      <c r="H3778" s="238">
        <v>42278</v>
      </c>
      <c r="I3778" s="235">
        <v>42338</v>
      </c>
      <c r="J3778" s="136">
        <v>131839.98000000001</v>
      </c>
      <c r="K3778" s="89"/>
      <c r="L3778" s="89">
        <v>1</v>
      </c>
    </row>
    <row r="3779" spans="1:12" ht="85.5">
      <c r="A3779" s="89" t="s">
        <v>821</v>
      </c>
      <c r="B3779" s="237">
        <v>211010200000</v>
      </c>
      <c r="C3779" s="89" t="s">
        <v>822</v>
      </c>
      <c r="D3779" s="89"/>
      <c r="E3779" s="236" t="s">
        <v>477</v>
      </c>
      <c r="F3779" s="236" t="s">
        <v>426</v>
      </c>
      <c r="G3779" s="236" t="s">
        <v>1135</v>
      </c>
      <c r="H3779" s="238">
        <v>42278</v>
      </c>
      <c r="I3779" s="235">
        <v>42338</v>
      </c>
      <c r="J3779" s="136">
        <v>-10.01</v>
      </c>
      <c r="K3779" s="89"/>
      <c r="L3779" s="89">
        <v>1</v>
      </c>
    </row>
    <row r="3780" spans="1:12" ht="114">
      <c r="A3780" s="89" t="s">
        <v>827</v>
      </c>
      <c r="B3780" s="237">
        <v>112120503040</v>
      </c>
      <c r="C3780" s="89" t="s">
        <v>826</v>
      </c>
      <c r="D3780" s="89"/>
      <c r="E3780" s="236" t="s">
        <v>494</v>
      </c>
      <c r="F3780" s="236" t="s">
        <v>1094</v>
      </c>
      <c r="G3780" s="236" t="s">
        <v>1136</v>
      </c>
      <c r="H3780" s="238">
        <v>42278</v>
      </c>
      <c r="I3780" s="235">
        <v>42338</v>
      </c>
      <c r="J3780" s="136">
        <v>117479.86</v>
      </c>
      <c r="K3780" s="89"/>
      <c r="L3780" s="89">
        <v>1</v>
      </c>
    </row>
    <row r="3781" spans="1:12" ht="156.75">
      <c r="A3781" s="89" t="s">
        <v>487</v>
      </c>
      <c r="B3781" s="237">
        <v>112120503040</v>
      </c>
      <c r="C3781" s="89" t="s">
        <v>486</v>
      </c>
      <c r="D3781" s="89"/>
      <c r="E3781" s="236" t="s">
        <v>493</v>
      </c>
      <c r="F3781" s="236" t="s">
        <v>1094</v>
      </c>
      <c r="G3781" s="236" t="s">
        <v>1137</v>
      </c>
      <c r="H3781" s="238">
        <v>42248</v>
      </c>
      <c r="I3781" s="235">
        <v>42312</v>
      </c>
      <c r="J3781" s="136">
        <v>20375.68</v>
      </c>
      <c r="K3781" s="89"/>
      <c r="L3781" s="89">
        <v>1</v>
      </c>
    </row>
    <row r="3782" spans="1:12" ht="114">
      <c r="A3782" s="89" t="s">
        <v>487</v>
      </c>
      <c r="B3782" s="237">
        <v>112120503040</v>
      </c>
      <c r="C3782" s="89" t="s">
        <v>486</v>
      </c>
      <c r="D3782" s="89"/>
      <c r="E3782" s="236" t="s">
        <v>494</v>
      </c>
      <c r="F3782" s="236" t="s">
        <v>1094</v>
      </c>
      <c r="G3782" s="236" t="s">
        <v>1138</v>
      </c>
      <c r="H3782" s="238">
        <v>42278</v>
      </c>
      <c r="I3782" s="235">
        <v>42338</v>
      </c>
      <c r="J3782" s="136">
        <v>92012.34</v>
      </c>
      <c r="K3782" s="89"/>
      <c r="L3782" s="89">
        <v>1</v>
      </c>
    </row>
    <row r="3783" spans="1:12" ht="156.75">
      <c r="A3783" s="89" t="s">
        <v>487</v>
      </c>
      <c r="B3783" s="237">
        <v>112120503040</v>
      </c>
      <c r="C3783" s="89" t="s">
        <v>486</v>
      </c>
      <c r="D3783" s="89"/>
      <c r="E3783" s="236" t="s">
        <v>493</v>
      </c>
      <c r="F3783" s="236" t="s">
        <v>1094</v>
      </c>
      <c r="G3783" s="236" t="s">
        <v>1139</v>
      </c>
      <c r="H3783" s="238">
        <v>42278</v>
      </c>
      <c r="I3783" s="235">
        <v>42338</v>
      </c>
      <c r="J3783" s="136">
        <v>92039.95</v>
      </c>
      <c r="K3783" s="89"/>
      <c r="L3783" s="89">
        <v>1</v>
      </c>
    </row>
    <row r="3784" spans="1:12" ht="213.75">
      <c r="A3784" s="89" t="s">
        <v>487</v>
      </c>
      <c r="B3784" s="237">
        <v>112120503040</v>
      </c>
      <c r="C3784" s="89" t="s">
        <v>486</v>
      </c>
      <c r="D3784" s="89"/>
      <c r="E3784" s="236" t="s">
        <v>488</v>
      </c>
      <c r="F3784" s="236" t="s">
        <v>1094</v>
      </c>
      <c r="G3784" s="236" t="s">
        <v>1140</v>
      </c>
      <c r="H3784" s="238">
        <v>42278</v>
      </c>
      <c r="I3784" s="235">
        <v>42338</v>
      </c>
      <c r="J3784" s="136">
        <v>92012.34</v>
      </c>
      <c r="K3784" s="89"/>
      <c r="L3784" s="89">
        <v>1</v>
      </c>
    </row>
    <row r="3785" spans="1:12" ht="114">
      <c r="A3785" s="89" t="s">
        <v>520</v>
      </c>
      <c r="B3785" s="237">
        <v>112120503040</v>
      </c>
      <c r="C3785" s="89" t="s">
        <v>518</v>
      </c>
      <c r="D3785" s="89"/>
      <c r="E3785" s="236" t="s">
        <v>494</v>
      </c>
      <c r="F3785" s="236" t="s">
        <v>1094</v>
      </c>
      <c r="G3785" s="236" t="s">
        <v>1141</v>
      </c>
      <c r="H3785" s="238">
        <v>42278</v>
      </c>
      <c r="I3785" s="235">
        <v>42338</v>
      </c>
      <c r="J3785" s="136">
        <v>78976.77</v>
      </c>
      <c r="K3785" s="89"/>
      <c r="L3785" s="89">
        <v>1</v>
      </c>
    </row>
    <row r="3786" spans="1:12" ht="156.75">
      <c r="A3786" s="89" t="s">
        <v>520</v>
      </c>
      <c r="B3786" s="237">
        <v>112120503040</v>
      </c>
      <c r="C3786" s="89" t="s">
        <v>518</v>
      </c>
      <c r="D3786" s="89"/>
      <c r="E3786" s="236" t="s">
        <v>493</v>
      </c>
      <c r="F3786" s="236" t="s">
        <v>1094</v>
      </c>
      <c r="G3786" s="236" t="s">
        <v>1142</v>
      </c>
      <c r="H3786" s="238">
        <v>42278</v>
      </c>
      <c r="I3786" s="235">
        <v>42338</v>
      </c>
      <c r="J3786" s="136">
        <v>78977.070000000007</v>
      </c>
      <c r="K3786" s="89"/>
      <c r="L3786" s="89">
        <v>1</v>
      </c>
    </row>
    <row r="3787" spans="1:12" ht="213.75">
      <c r="A3787" s="89" t="s">
        <v>520</v>
      </c>
      <c r="B3787" s="237">
        <v>112120503040</v>
      </c>
      <c r="C3787" s="89" t="s">
        <v>518</v>
      </c>
      <c r="D3787" s="89"/>
      <c r="E3787" s="236" t="s">
        <v>488</v>
      </c>
      <c r="F3787" s="236" t="s">
        <v>1094</v>
      </c>
      <c r="G3787" s="236" t="s">
        <v>1143</v>
      </c>
      <c r="H3787" s="238">
        <v>42278</v>
      </c>
      <c r="I3787" s="235">
        <v>42338</v>
      </c>
      <c r="J3787" s="136">
        <v>79049.009999999995</v>
      </c>
      <c r="K3787" s="89"/>
      <c r="L3787" s="89">
        <v>1</v>
      </c>
    </row>
    <row r="3788" spans="1:12" ht="114">
      <c r="A3788" s="89" t="s">
        <v>519</v>
      </c>
      <c r="B3788" s="237">
        <v>112120503040</v>
      </c>
      <c r="C3788" s="89" t="s">
        <v>518</v>
      </c>
      <c r="D3788" s="89"/>
      <c r="E3788" s="236" t="s">
        <v>494</v>
      </c>
      <c r="F3788" s="236" t="s">
        <v>1094</v>
      </c>
      <c r="G3788" s="236" t="s">
        <v>1141</v>
      </c>
      <c r="H3788" s="238">
        <v>42278</v>
      </c>
      <c r="I3788" s="235">
        <v>42338</v>
      </c>
      <c r="J3788" s="136">
        <v>111940.62</v>
      </c>
      <c r="K3788" s="89"/>
      <c r="L3788" s="89">
        <v>1</v>
      </c>
    </row>
    <row r="3789" spans="1:12" ht="156.75">
      <c r="A3789" s="89" t="s">
        <v>519</v>
      </c>
      <c r="B3789" s="237">
        <v>112120503040</v>
      </c>
      <c r="C3789" s="89" t="s">
        <v>518</v>
      </c>
      <c r="D3789" s="89"/>
      <c r="E3789" s="236" t="s">
        <v>493</v>
      </c>
      <c r="F3789" s="236" t="s">
        <v>1094</v>
      </c>
      <c r="G3789" s="236" t="s">
        <v>1142</v>
      </c>
      <c r="H3789" s="238">
        <v>42278</v>
      </c>
      <c r="I3789" s="235">
        <v>42338</v>
      </c>
      <c r="J3789" s="136">
        <v>111940.32</v>
      </c>
      <c r="K3789" s="89"/>
      <c r="L3789" s="89">
        <v>1</v>
      </c>
    </row>
    <row r="3790" spans="1:12" ht="213.75">
      <c r="A3790" s="89" t="s">
        <v>519</v>
      </c>
      <c r="B3790" s="237">
        <v>112120503040</v>
      </c>
      <c r="C3790" s="89" t="s">
        <v>518</v>
      </c>
      <c r="D3790" s="89"/>
      <c r="E3790" s="236" t="s">
        <v>488</v>
      </c>
      <c r="F3790" s="236" t="s">
        <v>1094</v>
      </c>
      <c r="G3790" s="236" t="s">
        <v>1143</v>
      </c>
      <c r="H3790" s="238">
        <v>42278</v>
      </c>
      <c r="I3790" s="235">
        <v>42338</v>
      </c>
      <c r="J3790" s="136">
        <v>111925.65</v>
      </c>
      <c r="K3790" s="89"/>
      <c r="L3790" s="89">
        <v>1</v>
      </c>
    </row>
    <row r="3791" spans="1:12" ht="99.75">
      <c r="A3791" s="89" t="s">
        <v>529</v>
      </c>
      <c r="B3791" s="237">
        <v>112120503040</v>
      </c>
      <c r="C3791" s="89" t="s">
        <v>525</v>
      </c>
      <c r="D3791" s="89"/>
      <c r="E3791" s="236" t="s">
        <v>533</v>
      </c>
      <c r="F3791" s="236" t="s">
        <v>1094</v>
      </c>
      <c r="G3791" s="236" t="s">
        <v>1144</v>
      </c>
      <c r="H3791" s="238">
        <v>42278</v>
      </c>
      <c r="I3791" s="235">
        <v>42338</v>
      </c>
      <c r="J3791" s="136">
        <v>267024.12</v>
      </c>
      <c r="K3791" s="89"/>
      <c r="L3791" s="89">
        <v>1</v>
      </c>
    </row>
    <row r="3792" spans="1:12" ht="85.5">
      <c r="A3792" s="89" t="s">
        <v>529</v>
      </c>
      <c r="B3792" s="237">
        <v>112120503040</v>
      </c>
      <c r="C3792" s="89" t="s">
        <v>525</v>
      </c>
      <c r="D3792" s="89"/>
      <c r="E3792" s="236" t="s">
        <v>530</v>
      </c>
      <c r="F3792" s="236" t="s">
        <v>1094</v>
      </c>
      <c r="G3792" s="236" t="s">
        <v>1145</v>
      </c>
      <c r="H3792" s="238">
        <v>42278</v>
      </c>
      <c r="I3792" s="235">
        <v>42338</v>
      </c>
      <c r="J3792" s="136">
        <v>267024.12</v>
      </c>
      <c r="K3792" s="89"/>
      <c r="L3792" s="89">
        <v>1</v>
      </c>
    </row>
    <row r="3793" spans="1:12" ht="99.75">
      <c r="A3793" s="89" t="s">
        <v>538</v>
      </c>
      <c r="B3793" s="237">
        <v>112120503040</v>
      </c>
      <c r="C3793" s="89" t="s">
        <v>535</v>
      </c>
      <c r="D3793" s="89"/>
      <c r="E3793" s="236" t="s">
        <v>484</v>
      </c>
      <c r="F3793" s="236" t="s">
        <v>1094</v>
      </c>
      <c r="G3793" s="236" t="s">
        <v>1146</v>
      </c>
      <c r="H3793" s="238">
        <v>42278</v>
      </c>
      <c r="I3793" s="235">
        <v>42338</v>
      </c>
      <c r="J3793" s="136">
        <v>669166.19999999995</v>
      </c>
      <c r="K3793" s="89"/>
      <c r="L3793" s="89">
        <v>1</v>
      </c>
    </row>
    <row r="3794" spans="1:12" ht="99.75">
      <c r="A3794" s="89" t="s">
        <v>541</v>
      </c>
      <c r="B3794" s="237">
        <v>112120503040</v>
      </c>
      <c r="C3794" s="89" t="s">
        <v>540</v>
      </c>
      <c r="D3794" s="89"/>
      <c r="E3794" s="236" t="s">
        <v>533</v>
      </c>
      <c r="F3794" s="236" t="s">
        <v>1094</v>
      </c>
      <c r="G3794" s="236" t="s">
        <v>1147</v>
      </c>
      <c r="H3794" s="238">
        <v>42278</v>
      </c>
      <c r="I3794" s="235">
        <v>42338</v>
      </c>
      <c r="J3794" s="136">
        <v>68488.899999999994</v>
      </c>
      <c r="K3794" s="89"/>
      <c r="L3794" s="89">
        <v>1</v>
      </c>
    </row>
    <row r="3795" spans="1:12" ht="85.5">
      <c r="A3795" s="89" t="s">
        <v>541</v>
      </c>
      <c r="B3795" s="237">
        <v>112120503040</v>
      </c>
      <c r="C3795" s="89" t="s">
        <v>540</v>
      </c>
      <c r="D3795" s="89"/>
      <c r="E3795" s="236" t="s">
        <v>530</v>
      </c>
      <c r="F3795" s="236" t="s">
        <v>1094</v>
      </c>
      <c r="G3795" s="236" t="s">
        <v>1148</v>
      </c>
      <c r="H3795" s="238">
        <v>42278</v>
      </c>
      <c r="I3795" s="235">
        <v>42338</v>
      </c>
      <c r="J3795" s="136">
        <v>41093.339999999997</v>
      </c>
      <c r="K3795" s="89"/>
      <c r="L3795" s="89">
        <v>1</v>
      </c>
    </row>
    <row r="3796" spans="1:12" ht="71.25">
      <c r="A3796" s="89" t="s">
        <v>541</v>
      </c>
      <c r="B3796" s="237">
        <v>112120503040</v>
      </c>
      <c r="C3796" s="89" t="s">
        <v>540</v>
      </c>
      <c r="D3796" s="89"/>
      <c r="E3796" s="236" t="s">
        <v>542</v>
      </c>
      <c r="F3796" s="236" t="s">
        <v>1094</v>
      </c>
      <c r="G3796" s="236" t="s">
        <v>1149</v>
      </c>
      <c r="H3796" s="238">
        <v>42278</v>
      </c>
      <c r="I3796" s="235">
        <v>42338</v>
      </c>
      <c r="J3796" s="136">
        <v>27395.55</v>
      </c>
      <c r="K3796" s="89"/>
      <c r="L3796" s="89">
        <v>1</v>
      </c>
    </row>
    <row r="3797" spans="1:12" ht="99.75">
      <c r="A3797" s="89" t="s">
        <v>553</v>
      </c>
      <c r="B3797" s="237">
        <v>112120503040</v>
      </c>
      <c r="C3797" s="89" t="s">
        <v>551</v>
      </c>
      <c r="D3797" s="89"/>
      <c r="E3797" s="236" t="s">
        <v>533</v>
      </c>
      <c r="F3797" s="236" t="s">
        <v>1094</v>
      </c>
      <c r="G3797" s="236" t="s">
        <v>1150</v>
      </c>
      <c r="H3797" s="238">
        <v>42278</v>
      </c>
      <c r="I3797" s="235">
        <v>42338</v>
      </c>
      <c r="J3797" s="136">
        <v>56784.81</v>
      </c>
      <c r="K3797" s="89"/>
      <c r="L3797" s="89">
        <v>1</v>
      </c>
    </row>
    <row r="3798" spans="1:12" ht="85.5">
      <c r="A3798" s="89" t="s">
        <v>553</v>
      </c>
      <c r="B3798" s="237">
        <v>112120503040</v>
      </c>
      <c r="C3798" s="89" t="s">
        <v>551</v>
      </c>
      <c r="D3798" s="89"/>
      <c r="E3798" s="236" t="s">
        <v>530</v>
      </c>
      <c r="F3798" s="236" t="s">
        <v>1094</v>
      </c>
      <c r="G3798" s="236" t="s">
        <v>1151</v>
      </c>
      <c r="H3798" s="238">
        <v>42278</v>
      </c>
      <c r="I3798" s="235">
        <v>42338</v>
      </c>
      <c r="J3798" s="136">
        <v>34070.879999999997</v>
      </c>
      <c r="K3798" s="89"/>
      <c r="L3798" s="89">
        <v>1</v>
      </c>
    </row>
    <row r="3799" spans="1:12" ht="71.25">
      <c r="A3799" s="89" t="s">
        <v>553</v>
      </c>
      <c r="B3799" s="237">
        <v>112120503040</v>
      </c>
      <c r="C3799" s="89" t="s">
        <v>551</v>
      </c>
      <c r="D3799" s="89"/>
      <c r="E3799" s="236" t="s">
        <v>542</v>
      </c>
      <c r="F3799" s="236" t="s">
        <v>1094</v>
      </c>
      <c r="G3799" s="236" t="s">
        <v>1152</v>
      </c>
      <c r="H3799" s="238">
        <v>42278</v>
      </c>
      <c r="I3799" s="235">
        <v>42338</v>
      </c>
      <c r="J3799" s="136">
        <v>22713.93</v>
      </c>
      <c r="K3799" s="89"/>
      <c r="L3799" s="89">
        <v>1</v>
      </c>
    </row>
    <row r="3800" spans="1:12" ht="99.75">
      <c r="A3800" s="89" t="s">
        <v>579</v>
      </c>
      <c r="B3800" s="237">
        <v>112120503040</v>
      </c>
      <c r="C3800" s="89" t="s">
        <v>578</v>
      </c>
      <c r="D3800" s="89"/>
      <c r="E3800" s="236" t="s">
        <v>533</v>
      </c>
      <c r="F3800" s="236" t="s">
        <v>1094</v>
      </c>
      <c r="G3800" s="236" t="s">
        <v>1153</v>
      </c>
      <c r="H3800" s="238">
        <v>42278</v>
      </c>
      <c r="I3800" s="235">
        <v>42338</v>
      </c>
      <c r="J3800" s="136">
        <v>63093.3</v>
      </c>
      <c r="K3800" s="89"/>
      <c r="L3800" s="89">
        <v>1</v>
      </c>
    </row>
    <row r="3801" spans="1:12" ht="85.5">
      <c r="A3801" s="89" t="s">
        <v>579</v>
      </c>
      <c r="B3801" s="237">
        <v>112120503040</v>
      </c>
      <c r="C3801" s="89" t="s">
        <v>578</v>
      </c>
      <c r="D3801" s="89"/>
      <c r="E3801" s="236" t="s">
        <v>530</v>
      </c>
      <c r="F3801" s="236" t="s">
        <v>1094</v>
      </c>
      <c r="G3801" s="236" t="s">
        <v>1154</v>
      </c>
      <c r="H3801" s="238">
        <v>42278</v>
      </c>
      <c r="I3801" s="235">
        <v>42338</v>
      </c>
      <c r="J3801" s="136">
        <v>37855.980000000003</v>
      </c>
      <c r="K3801" s="89"/>
      <c r="L3801" s="89">
        <v>1</v>
      </c>
    </row>
    <row r="3802" spans="1:12" ht="71.25">
      <c r="A3802" s="89" t="s">
        <v>579</v>
      </c>
      <c r="B3802" s="237">
        <v>112120503040</v>
      </c>
      <c r="C3802" s="89" t="s">
        <v>578</v>
      </c>
      <c r="D3802" s="89"/>
      <c r="E3802" s="236" t="s">
        <v>542</v>
      </c>
      <c r="F3802" s="236" t="s">
        <v>1094</v>
      </c>
      <c r="G3802" s="236" t="s">
        <v>1155</v>
      </c>
      <c r="H3802" s="238">
        <v>42278</v>
      </c>
      <c r="I3802" s="235">
        <v>42338</v>
      </c>
      <c r="J3802" s="136">
        <v>25237.32</v>
      </c>
      <c r="K3802" s="89"/>
      <c r="L3802" s="89">
        <v>1</v>
      </c>
    </row>
    <row r="3803" spans="1:12" ht="156.75">
      <c r="A3803" s="89" t="s">
        <v>588</v>
      </c>
      <c r="B3803" s="237">
        <v>112120503040</v>
      </c>
      <c r="C3803" s="89" t="s">
        <v>587</v>
      </c>
      <c r="D3803" s="89"/>
      <c r="E3803" s="236" t="s">
        <v>493</v>
      </c>
      <c r="F3803" s="236" t="s">
        <v>1094</v>
      </c>
      <c r="G3803" s="236" t="s">
        <v>1156</v>
      </c>
      <c r="H3803" s="238">
        <v>42278</v>
      </c>
      <c r="I3803" s="235">
        <v>42338</v>
      </c>
      <c r="J3803" s="136">
        <v>45847.17</v>
      </c>
      <c r="K3803" s="89"/>
      <c r="L3803" s="89">
        <v>1</v>
      </c>
    </row>
    <row r="3804" spans="1:12" ht="213.75">
      <c r="A3804" s="89" t="s">
        <v>588</v>
      </c>
      <c r="B3804" s="237">
        <v>112120503040</v>
      </c>
      <c r="C3804" s="89" t="s">
        <v>587</v>
      </c>
      <c r="D3804" s="89"/>
      <c r="E3804" s="236" t="s">
        <v>488</v>
      </c>
      <c r="F3804" s="236" t="s">
        <v>1094</v>
      </c>
      <c r="G3804" s="236" t="s">
        <v>1157</v>
      </c>
      <c r="H3804" s="238">
        <v>42278</v>
      </c>
      <c r="I3804" s="235">
        <v>42338</v>
      </c>
      <c r="J3804" s="136">
        <v>45860.92</v>
      </c>
      <c r="K3804" s="89"/>
      <c r="L3804" s="89">
        <v>1</v>
      </c>
    </row>
    <row r="3805" spans="1:12" ht="71.25">
      <c r="A3805" s="89" t="s">
        <v>588</v>
      </c>
      <c r="B3805" s="237">
        <v>112120503040</v>
      </c>
      <c r="C3805" s="89" t="s">
        <v>587</v>
      </c>
      <c r="D3805" s="89"/>
      <c r="E3805" s="236" t="s">
        <v>589</v>
      </c>
      <c r="F3805" s="236" t="s">
        <v>1094</v>
      </c>
      <c r="G3805" s="236" t="s">
        <v>1158</v>
      </c>
      <c r="H3805" s="238">
        <v>42278</v>
      </c>
      <c r="I3805" s="235">
        <v>42338</v>
      </c>
      <c r="J3805" s="136">
        <v>45847.17</v>
      </c>
      <c r="K3805" s="89"/>
      <c r="L3805" s="89">
        <v>1</v>
      </c>
    </row>
    <row r="3806" spans="1:12" ht="99.75">
      <c r="A3806" s="89" t="s">
        <v>593</v>
      </c>
      <c r="B3806" s="237">
        <v>112120503040</v>
      </c>
      <c r="C3806" s="89" t="s">
        <v>591</v>
      </c>
      <c r="D3806" s="89"/>
      <c r="E3806" s="236" t="s">
        <v>533</v>
      </c>
      <c r="F3806" s="236" t="s">
        <v>1094</v>
      </c>
      <c r="G3806" s="236" t="s">
        <v>1159</v>
      </c>
      <c r="H3806" s="238">
        <v>42278</v>
      </c>
      <c r="I3806" s="235">
        <v>42338</v>
      </c>
      <c r="J3806" s="136">
        <v>87600.9</v>
      </c>
      <c r="K3806" s="89"/>
      <c r="L3806" s="89">
        <v>1</v>
      </c>
    </row>
    <row r="3807" spans="1:12" ht="85.5">
      <c r="A3807" s="89" t="s">
        <v>593</v>
      </c>
      <c r="B3807" s="237">
        <v>112120503040</v>
      </c>
      <c r="C3807" s="89" t="s">
        <v>591</v>
      </c>
      <c r="D3807" s="89"/>
      <c r="E3807" s="236" t="s">
        <v>530</v>
      </c>
      <c r="F3807" s="236" t="s">
        <v>1094</v>
      </c>
      <c r="G3807" s="236" t="s">
        <v>1160</v>
      </c>
      <c r="H3807" s="238">
        <v>42278</v>
      </c>
      <c r="I3807" s="235">
        <v>42338</v>
      </c>
      <c r="J3807" s="136">
        <v>52560.54</v>
      </c>
      <c r="K3807" s="89"/>
      <c r="L3807" s="89">
        <v>1</v>
      </c>
    </row>
    <row r="3808" spans="1:12" ht="71.25">
      <c r="A3808" s="89" t="s">
        <v>593</v>
      </c>
      <c r="B3808" s="237">
        <v>112120503040</v>
      </c>
      <c r="C3808" s="89" t="s">
        <v>591</v>
      </c>
      <c r="D3808" s="89"/>
      <c r="E3808" s="236" t="s">
        <v>542</v>
      </c>
      <c r="F3808" s="236" t="s">
        <v>1094</v>
      </c>
      <c r="G3808" s="236" t="s">
        <v>1161</v>
      </c>
      <c r="H3808" s="238">
        <v>42278</v>
      </c>
      <c r="I3808" s="235">
        <v>42338</v>
      </c>
      <c r="J3808" s="136">
        <v>35040.36</v>
      </c>
      <c r="K3808" s="89"/>
      <c r="L3808" s="89">
        <v>1</v>
      </c>
    </row>
    <row r="3809" spans="1:12" ht="156.75">
      <c r="A3809" s="89" t="s">
        <v>605</v>
      </c>
      <c r="B3809" s="237">
        <v>112120503040</v>
      </c>
      <c r="C3809" s="89" t="s">
        <v>604</v>
      </c>
      <c r="D3809" s="89"/>
      <c r="E3809" s="236" t="s">
        <v>493</v>
      </c>
      <c r="F3809" s="236" t="s">
        <v>1094</v>
      </c>
      <c r="G3809" s="236" t="s">
        <v>1162</v>
      </c>
      <c r="H3809" s="238">
        <v>42278</v>
      </c>
      <c r="I3809" s="235">
        <v>42338</v>
      </c>
      <c r="J3809" s="136">
        <v>45871.16</v>
      </c>
      <c r="K3809" s="89"/>
      <c r="L3809" s="89">
        <v>1</v>
      </c>
    </row>
    <row r="3810" spans="1:12" ht="213.75">
      <c r="A3810" s="89" t="s">
        <v>605</v>
      </c>
      <c r="B3810" s="237">
        <v>112120503040</v>
      </c>
      <c r="C3810" s="89" t="s">
        <v>604</v>
      </c>
      <c r="D3810" s="89"/>
      <c r="E3810" s="236" t="s">
        <v>488</v>
      </c>
      <c r="F3810" s="236" t="s">
        <v>1094</v>
      </c>
      <c r="G3810" s="236" t="s">
        <v>1163</v>
      </c>
      <c r="H3810" s="238">
        <v>42278</v>
      </c>
      <c r="I3810" s="235">
        <v>42338</v>
      </c>
      <c r="J3810" s="136">
        <v>45884.93</v>
      </c>
      <c r="K3810" s="89"/>
      <c r="L3810" s="89">
        <v>1</v>
      </c>
    </row>
    <row r="3811" spans="1:12" ht="71.25">
      <c r="A3811" s="89" t="s">
        <v>605</v>
      </c>
      <c r="B3811" s="237">
        <v>112120503040</v>
      </c>
      <c r="C3811" s="89" t="s">
        <v>604</v>
      </c>
      <c r="D3811" s="89"/>
      <c r="E3811" s="236" t="s">
        <v>589</v>
      </c>
      <c r="F3811" s="236" t="s">
        <v>1094</v>
      </c>
      <c r="G3811" s="236" t="s">
        <v>1164</v>
      </c>
      <c r="H3811" s="238">
        <v>42278</v>
      </c>
      <c r="I3811" s="235">
        <v>42338</v>
      </c>
      <c r="J3811" s="136">
        <v>45871.16</v>
      </c>
      <c r="K3811" s="89"/>
      <c r="L3811" s="89">
        <v>1</v>
      </c>
    </row>
    <row r="3812" spans="1:12" ht="99.75">
      <c r="A3812" s="89" t="s">
        <v>630</v>
      </c>
      <c r="B3812" s="237">
        <v>112120503040</v>
      </c>
      <c r="C3812" s="89" t="s">
        <v>629</v>
      </c>
      <c r="D3812" s="89"/>
      <c r="E3812" s="236" t="s">
        <v>533</v>
      </c>
      <c r="F3812" s="236" t="s">
        <v>1094</v>
      </c>
      <c r="G3812" s="236" t="s">
        <v>1165</v>
      </c>
      <c r="H3812" s="238">
        <v>42278</v>
      </c>
      <c r="I3812" s="235">
        <v>42338</v>
      </c>
      <c r="J3812" s="136">
        <v>69690.45</v>
      </c>
      <c r="K3812" s="89"/>
      <c r="L3812" s="89">
        <v>1</v>
      </c>
    </row>
    <row r="3813" spans="1:12" ht="85.5">
      <c r="A3813" s="89" t="s">
        <v>630</v>
      </c>
      <c r="B3813" s="237">
        <v>112120503040</v>
      </c>
      <c r="C3813" s="89" t="s">
        <v>629</v>
      </c>
      <c r="D3813" s="89"/>
      <c r="E3813" s="236" t="s">
        <v>530</v>
      </c>
      <c r="F3813" s="236" t="s">
        <v>1094</v>
      </c>
      <c r="G3813" s="236" t="s">
        <v>1166</v>
      </c>
      <c r="H3813" s="238">
        <v>42278</v>
      </c>
      <c r="I3813" s="235">
        <v>42338</v>
      </c>
      <c r="J3813" s="136">
        <v>41814.269999999997</v>
      </c>
      <c r="K3813" s="89"/>
      <c r="L3813" s="89">
        <v>1</v>
      </c>
    </row>
    <row r="3814" spans="1:12" ht="71.25">
      <c r="A3814" s="89" t="s">
        <v>630</v>
      </c>
      <c r="B3814" s="237">
        <v>112120503040</v>
      </c>
      <c r="C3814" s="89" t="s">
        <v>629</v>
      </c>
      <c r="D3814" s="89"/>
      <c r="E3814" s="236" t="s">
        <v>542</v>
      </c>
      <c r="F3814" s="236" t="s">
        <v>1094</v>
      </c>
      <c r="G3814" s="236" t="s">
        <v>1167</v>
      </c>
      <c r="H3814" s="238">
        <v>42278</v>
      </c>
      <c r="I3814" s="235">
        <v>42338</v>
      </c>
      <c r="J3814" s="136">
        <v>27876.18</v>
      </c>
      <c r="K3814" s="89"/>
      <c r="L3814" s="89">
        <v>1</v>
      </c>
    </row>
    <row r="3815" spans="1:12" ht="99.75">
      <c r="A3815" s="89" t="s">
        <v>639</v>
      </c>
      <c r="B3815" s="237">
        <v>112120503040</v>
      </c>
      <c r="C3815" s="89" t="s">
        <v>640</v>
      </c>
      <c r="D3815" s="89"/>
      <c r="E3815" s="236" t="s">
        <v>484</v>
      </c>
      <c r="F3815" s="236" t="s">
        <v>1094</v>
      </c>
      <c r="G3815" s="236" t="s">
        <v>1168</v>
      </c>
      <c r="H3815" s="238">
        <v>42278</v>
      </c>
      <c r="I3815" s="235">
        <v>42338</v>
      </c>
      <c r="J3815" s="136">
        <v>15422.74</v>
      </c>
      <c r="K3815" s="89"/>
      <c r="L3815" s="89">
        <v>1</v>
      </c>
    </row>
    <row r="3816" spans="1:12" ht="71.25">
      <c r="A3816" s="89" t="s">
        <v>639</v>
      </c>
      <c r="B3816" s="237">
        <v>112120503040</v>
      </c>
      <c r="C3816" s="89" t="s">
        <v>640</v>
      </c>
      <c r="D3816" s="89"/>
      <c r="E3816" s="236" t="s">
        <v>447</v>
      </c>
      <c r="F3816" s="236" t="s">
        <v>1094</v>
      </c>
      <c r="G3816" s="236" t="s">
        <v>1169</v>
      </c>
      <c r="H3816" s="238">
        <v>42278</v>
      </c>
      <c r="I3816" s="235">
        <v>42338</v>
      </c>
      <c r="J3816" s="136">
        <v>123381.87</v>
      </c>
      <c r="K3816" s="89"/>
      <c r="L3816" s="89">
        <v>1</v>
      </c>
    </row>
    <row r="3817" spans="1:12" ht="270.75">
      <c r="A3817" s="89" t="s">
        <v>639</v>
      </c>
      <c r="B3817" s="237">
        <v>112120503040</v>
      </c>
      <c r="C3817" s="89" t="s">
        <v>640</v>
      </c>
      <c r="D3817" s="89"/>
      <c r="E3817" s="236" t="s">
        <v>560</v>
      </c>
      <c r="F3817" s="236" t="s">
        <v>1094</v>
      </c>
      <c r="G3817" s="236" t="s">
        <v>935</v>
      </c>
      <c r="H3817" s="238">
        <v>42278</v>
      </c>
      <c r="I3817" s="235">
        <v>42338</v>
      </c>
      <c r="J3817" s="136">
        <v>15422.73</v>
      </c>
      <c r="K3817" s="89"/>
      <c r="L3817" s="89">
        <v>1</v>
      </c>
    </row>
    <row r="3818" spans="1:12" ht="99.75">
      <c r="A3818" s="89" t="s">
        <v>644</v>
      </c>
      <c r="B3818" s="237">
        <v>112120503040</v>
      </c>
      <c r="C3818" s="89" t="s">
        <v>645</v>
      </c>
      <c r="D3818" s="89"/>
      <c r="E3818" s="236" t="s">
        <v>484</v>
      </c>
      <c r="F3818" s="236" t="s">
        <v>1094</v>
      </c>
      <c r="G3818" s="236" t="s">
        <v>1170</v>
      </c>
      <c r="H3818" s="238">
        <v>42278</v>
      </c>
      <c r="I3818" s="235">
        <v>42338</v>
      </c>
      <c r="J3818" s="136">
        <v>11777.37</v>
      </c>
      <c r="K3818" s="89"/>
      <c r="L3818" s="89">
        <v>1</v>
      </c>
    </row>
    <row r="3819" spans="1:12" ht="71.25">
      <c r="A3819" s="89" t="s">
        <v>644</v>
      </c>
      <c r="B3819" s="237">
        <v>112120503040</v>
      </c>
      <c r="C3819" s="89" t="s">
        <v>645</v>
      </c>
      <c r="D3819" s="89"/>
      <c r="E3819" s="236" t="s">
        <v>447</v>
      </c>
      <c r="F3819" s="236" t="s">
        <v>1094</v>
      </c>
      <c r="G3819" s="236" t="s">
        <v>1171</v>
      </c>
      <c r="H3819" s="238">
        <v>42278</v>
      </c>
      <c r="I3819" s="235">
        <v>42338</v>
      </c>
      <c r="J3819" s="136">
        <v>94218.94</v>
      </c>
      <c r="K3819" s="89"/>
      <c r="L3819" s="89">
        <v>1</v>
      </c>
    </row>
    <row r="3820" spans="1:12" ht="270.75">
      <c r="A3820" s="89" t="s">
        <v>644</v>
      </c>
      <c r="B3820" s="237">
        <v>112120503040</v>
      </c>
      <c r="C3820" s="89" t="s">
        <v>645</v>
      </c>
      <c r="D3820" s="89"/>
      <c r="E3820" s="236" t="s">
        <v>560</v>
      </c>
      <c r="F3820" s="236" t="s">
        <v>1094</v>
      </c>
      <c r="G3820" s="236" t="s">
        <v>1172</v>
      </c>
      <c r="H3820" s="238">
        <v>42278</v>
      </c>
      <c r="I3820" s="235">
        <v>42338</v>
      </c>
      <c r="J3820" s="136">
        <v>11777.37</v>
      </c>
      <c r="K3820" s="89"/>
      <c r="L3820" s="89">
        <v>1</v>
      </c>
    </row>
    <row r="3821" spans="1:12" ht="99.75">
      <c r="A3821" s="89" t="s">
        <v>651</v>
      </c>
      <c r="B3821" s="237">
        <v>112120503040</v>
      </c>
      <c r="C3821" s="89" t="s">
        <v>650</v>
      </c>
      <c r="D3821" s="89"/>
      <c r="E3821" s="236" t="s">
        <v>533</v>
      </c>
      <c r="F3821" s="236" t="s">
        <v>1094</v>
      </c>
      <c r="G3821" s="236" t="s">
        <v>1173</v>
      </c>
      <c r="H3821" s="238">
        <v>42278</v>
      </c>
      <c r="I3821" s="235">
        <v>42338</v>
      </c>
      <c r="J3821" s="136">
        <v>58849.71</v>
      </c>
      <c r="K3821" s="89"/>
      <c r="L3821" s="89">
        <v>1</v>
      </c>
    </row>
    <row r="3822" spans="1:12" ht="85.5">
      <c r="A3822" s="89" t="s">
        <v>651</v>
      </c>
      <c r="B3822" s="237">
        <v>112120503040</v>
      </c>
      <c r="C3822" s="89" t="s">
        <v>650</v>
      </c>
      <c r="D3822" s="89"/>
      <c r="E3822" s="236" t="s">
        <v>530</v>
      </c>
      <c r="F3822" s="236" t="s">
        <v>1094</v>
      </c>
      <c r="G3822" s="236" t="s">
        <v>1174</v>
      </c>
      <c r="H3822" s="238">
        <v>42278</v>
      </c>
      <c r="I3822" s="235">
        <v>42338</v>
      </c>
      <c r="J3822" s="136">
        <v>35309.83</v>
      </c>
      <c r="K3822" s="89"/>
      <c r="L3822" s="89">
        <v>1</v>
      </c>
    </row>
    <row r="3823" spans="1:12" ht="71.25">
      <c r="A3823" s="89" t="s">
        <v>651</v>
      </c>
      <c r="B3823" s="237">
        <v>112120503040</v>
      </c>
      <c r="C3823" s="89" t="s">
        <v>650</v>
      </c>
      <c r="D3823" s="89"/>
      <c r="E3823" s="236" t="s">
        <v>542</v>
      </c>
      <c r="F3823" s="236" t="s">
        <v>1094</v>
      </c>
      <c r="G3823" s="236" t="s">
        <v>1175</v>
      </c>
      <c r="H3823" s="238">
        <v>42278</v>
      </c>
      <c r="I3823" s="235">
        <v>42338</v>
      </c>
      <c r="J3823" s="136">
        <v>23539.89</v>
      </c>
      <c r="K3823" s="89"/>
      <c r="L3823" s="89">
        <v>1</v>
      </c>
    </row>
    <row r="3824" spans="1:12" ht="156.75">
      <c r="A3824" s="89" t="s">
        <v>660</v>
      </c>
      <c r="B3824" s="237">
        <v>112120503040</v>
      </c>
      <c r="C3824" s="89" t="s">
        <v>659</v>
      </c>
      <c r="D3824" s="89"/>
      <c r="E3824" s="236" t="s">
        <v>493</v>
      </c>
      <c r="F3824" s="236" t="s">
        <v>1094</v>
      </c>
      <c r="G3824" s="236" t="s">
        <v>1176</v>
      </c>
      <c r="H3824" s="238">
        <v>42278</v>
      </c>
      <c r="I3824" s="235">
        <v>42338</v>
      </c>
      <c r="J3824" s="136">
        <v>40460.019999999997</v>
      </c>
      <c r="K3824" s="89"/>
      <c r="L3824" s="89">
        <v>1</v>
      </c>
    </row>
    <row r="3825" spans="1:12" ht="213.75">
      <c r="A3825" s="89" t="s">
        <v>660</v>
      </c>
      <c r="B3825" s="237">
        <v>112120503040</v>
      </c>
      <c r="C3825" s="89" t="s">
        <v>659</v>
      </c>
      <c r="D3825" s="89"/>
      <c r="E3825" s="236" t="s">
        <v>488</v>
      </c>
      <c r="F3825" s="236" t="s">
        <v>1094</v>
      </c>
      <c r="G3825" s="236" t="s">
        <v>1177</v>
      </c>
      <c r="H3825" s="238">
        <v>42278</v>
      </c>
      <c r="I3825" s="235">
        <v>42338</v>
      </c>
      <c r="J3825" s="136">
        <v>40472.160000000003</v>
      </c>
      <c r="K3825" s="89"/>
      <c r="L3825" s="89">
        <v>1</v>
      </c>
    </row>
    <row r="3826" spans="1:12" ht="71.25">
      <c r="A3826" s="89" t="s">
        <v>660</v>
      </c>
      <c r="B3826" s="237">
        <v>112120503040</v>
      </c>
      <c r="C3826" s="89" t="s">
        <v>659</v>
      </c>
      <c r="D3826" s="89"/>
      <c r="E3826" s="236" t="s">
        <v>589</v>
      </c>
      <c r="F3826" s="236" t="s">
        <v>1094</v>
      </c>
      <c r="G3826" s="236" t="s">
        <v>1178</v>
      </c>
      <c r="H3826" s="238">
        <v>42278</v>
      </c>
      <c r="I3826" s="235">
        <v>42338</v>
      </c>
      <c r="J3826" s="136">
        <v>40460.019999999997</v>
      </c>
      <c r="K3826" s="89"/>
      <c r="L3826" s="89">
        <v>1</v>
      </c>
    </row>
    <row r="3827" spans="1:12" ht="99.75">
      <c r="A3827" s="89" t="s">
        <v>545</v>
      </c>
      <c r="B3827" s="237">
        <v>112120503040</v>
      </c>
      <c r="C3827" s="89" t="s">
        <v>544</v>
      </c>
      <c r="D3827" s="89"/>
      <c r="E3827" s="236" t="s">
        <v>484</v>
      </c>
      <c r="F3827" s="236" t="s">
        <v>1094</v>
      </c>
      <c r="G3827" s="236" t="s">
        <v>1179</v>
      </c>
      <c r="H3827" s="238">
        <v>42278</v>
      </c>
      <c r="I3827" s="235">
        <v>42338</v>
      </c>
      <c r="J3827" s="136">
        <v>80623.67</v>
      </c>
      <c r="K3827" s="89"/>
      <c r="L3827" s="89">
        <v>1</v>
      </c>
    </row>
    <row r="3828" spans="1:12" ht="114">
      <c r="A3828" s="89" t="s">
        <v>545</v>
      </c>
      <c r="B3828" s="237">
        <v>112120503040</v>
      </c>
      <c r="C3828" s="89" t="s">
        <v>544</v>
      </c>
      <c r="D3828" s="89"/>
      <c r="E3828" s="236" t="s">
        <v>509</v>
      </c>
      <c r="F3828" s="236" t="s">
        <v>1094</v>
      </c>
      <c r="G3828" s="236" t="s">
        <v>1180</v>
      </c>
      <c r="H3828" s="238">
        <v>42278</v>
      </c>
      <c r="I3828" s="235">
        <v>42338</v>
      </c>
      <c r="J3828" s="136">
        <v>12403.64</v>
      </c>
      <c r="K3828" s="89"/>
      <c r="L3828" s="89">
        <v>1</v>
      </c>
    </row>
    <row r="3829" spans="1:12" ht="114">
      <c r="A3829" s="89" t="s">
        <v>545</v>
      </c>
      <c r="B3829" s="237">
        <v>112120503040</v>
      </c>
      <c r="C3829" s="89" t="s">
        <v>544</v>
      </c>
      <c r="D3829" s="89"/>
      <c r="E3829" s="236" t="s">
        <v>548</v>
      </c>
      <c r="F3829" s="236" t="s">
        <v>1094</v>
      </c>
      <c r="G3829" s="236" t="s">
        <v>1181</v>
      </c>
      <c r="H3829" s="238">
        <v>42278</v>
      </c>
      <c r="I3829" s="235">
        <v>42338</v>
      </c>
      <c r="J3829" s="136">
        <v>31009.1</v>
      </c>
      <c r="K3829" s="89"/>
      <c r="L3829" s="89">
        <v>1</v>
      </c>
    </row>
    <row r="3830" spans="1:12" ht="114">
      <c r="A3830" s="89" t="s">
        <v>545</v>
      </c>
      <c r="B3830" s="237">
        <v>211010200000</v>
      </c>
      <c r="C3830" s="89" t="s">
        <v>544</v>
      </c>
      <c r="D3830" s="89"/>
      <c r="E3830" s="236" t="s">
        <v>509</v>
      </c>
      <c r="F3830" s="236" t="s">
        <v>426</v>
      </c>
      <c r="G3830" s="236" t="s">
        <v>1182</v>
      </c>
      <c r="H3830" s="238">
        <v>42309</v>
      </c>
      <c r="I3830" s="235">
        <v>42338</v>
      </c>
      <c r="J3830" s="136">
        <v>-620.17999999999995</v>
      </c>
      <c r="K3830" s="89"/>
      <c r="L3830" s="89">
        <v>1</v>
      </c>
    </row>
    <row r="3831" spans="1:12" ht="99.75">
      <c r="A3831" s="89" t="s">
        <v>557</v>
      </c>
      <c r="B3831" s="237">
        <v>112120503040</v>
      </c>
      <c r="C3831" s="89" t="s">
        <v>556</v>
      </c>
      <c r="D3831" s="89"/>
      <c r="E3831" s="236" t="s">
        <v>484</v>
      </c>
      <c r="F3831" s="236" t="s">
        <v>1094</v>
      </c>
      <c r="G3831" s="236" t="s">
        <v>1183</v>
      </c>
      <c r="H3831" s="238">
        <v>42278</v>
      </c>
      <c r="I3831" s="235">
        <v>42338</v>
      </c>
      <c r="J3831" s="136">
        <v>51521.35</v>
      </c>
      <c r="K3831" s="89"/>
      <c r="L3831" s="89">
        <v>1</v>
      </c>
    </row>
    <row r="3832" spans="1:12" ht="114">
      <c r="A3832" s="89" t="s">
        <v>557</v>
      </c>
      <c r="B3832" s="237">
        <v>112120503040</v>
      </c>
      <c r="C3832" s="89" t="s">
        <v>556</v>
      </c>
      <c r="D3832" s="89"/>
      <c r="E3832" s="236" t="s">
        <v>508</v>
      </c>
      <c r="F3832" s="236" t="s">
        <v>1094</v>
      </c>
      <c r="G3832" s="236" t="s">
        <v>1184</v>
      </c>
      <c r="H3832" s="238">
        <v>42278</v>
      </c>
      <c r="I3832" s="235">
        <v>42338</v>
      </c>
      <c r="J3832" s="136">
        <v>77282.03</v>
      </c>
      <c r="K3832" s="89"/>
      <c r="L3832" s="89">
        <v>1</v>
      </c>
    </row>
    <row r="3833" spans="1:12" ht="71.25">
      <c r="A3833" s="89" t="s">
        <v>558</v>
      </c>
      <c r="B3833" s="237">
        <v>112120503040</v>
      </c>
      <c r="C3833" s="89" t="s">
        <v>559</v>
      </c>
      <c r="D3833" s="89"/>
      <c r="E3833" s="236" t="s">
        <v>447</v>
      </c>
      <c r="F3833" s="236" t="s">
        <v>1094</v>
      </c>
      <c r="G3833" s="236" t="s">
        <v>1185</v>
      </c>
      <c r="H3833" s="238">
        <v>42278</v>
      </c>
      <c r="I3833" s="235">
        <v>42338</v>
      </c>
      <c r="J3833" s="136">
        <v>50659.02</v>
      </c>
      <c r="K3833" s="89"/>
      <c r="L3833" s="89">
        <v>1</v>
      </c>
    </row>
    <row r="3834" spans="1:12" ht="270.75">
      <c r="A3834" s="89" t="s">
        <v>558</v>
      </c>
      <c r="B3834" s="237">
        <v>112120503040</v>
      </c>
      <c r="C3834" s="89" t="s">
        <v>559</v>
      </c>
      <c r="D3834" s="89"/>
      <c r="E3834" s="236" t="s">
        <v>560</v>
      </c>
      <c r="F3834" s="236" t="s">
        <v>1094</v>
      </c>
      <c r="G3834" s="236" t="s">
        <v>1186</v>
      </c>
      <c r="H3834" s="238">
        <v>42278</v>
      </c>
      <c r="I3834" s="235">
        <v>42338</v>
      </c>
      <c r="J3834" s="136">
        <v>75988.539999999994</v>
      </c>
      <c r="K3834" s="89"/>
      <c r="L3834" s="89">
        <v>1</v>
      </c>
    </row>
    <row r="3835" spans="1:12" ht="99.75">
      <c r="A3835" s="89" t="s">
        <v>564</v>
      </c>
      <c r="B3835" s="237">
        <v>112120503040</v>
      </c>
      <c r="C3835" s="89" t="s">
        <v>563</v>
      </c>
      <c r="D3835" s="89"/>
      <c r="E3835" s="236" t="s">
        <v>484</v>
      </c>
      <c r="F3835" s="236" t="s">
        <v>1094</v>
      </c>
      <c r="G3835" s="236" t="s">
        <v>1187</v>
      </c>
      <c r="H3835" s="238">
        <v>42278</v>
      </c>
      <c r="I3835" s="235">
        <v>42338</v>
      </c>
      <c r="J3835" s="136">
        <v>93347.12</v>
      </c>
      <c r="K3835" s="89"/>
      <c r="L3835" s="89">
        <v>1</v>
      </c>
    </row>
    <row r="3836" spans="1:12" ht="114">
      <c r="A3836" s="89" t="s">
        <v>564</v>
      </c>
      <c r="B3836" s="237">
        <v>112120503040</v>
      </c>
      <c r="C3836" s="89" t="s">
        <v>563</v>
      </c>
      <c r="D3836" s="89"/>
      <c r="E3836" s="236" t="s">
        <v>509</v>
      </c>
      <c r="F3836" s="236" t="s">
        <v>1094</v>
      </c>
      <c r="G3836" s="236" t="s">
        <v>427</v>
      </c>
      <c r="H3836" s="238">
        <v>42278</v>
      </c>
      <c r="I3836" s="235">
        <v>42338</v>
      </c>
      <c r="J3836" s="136">
        <v>14361.13</v>
      </c>
      <c r="K3836" s="89"/>
      <c r="L3836" s="89">
        <v>1</v>
      </c>
    </row>
    <row r="3837" spans="1:12" ht="114">
      <c r="A3837" s="89" t="s">
        <v>564</v>
      </c>
      <c r="B3837" s="237">
        <v>112120503040</v>
      </c>
      <c r="C3837" s="89" t="s">
        <v>563</v>
      </c>
      <c r="D3837" s="89"/>
      <c r="E3837" s="236" t="s">
        <v>548</v>
      </c>
      <c r="F3837" s="236" t="s">
        <v>1094</v>
      </c>
      <c r="G3837" s="236" t="s">
        <v>1188</v>
      </c>
      <c r="H3837" s="238">
        <v>42278</v>
      </c>
      <c r="I3837" s="235">
        <v>42338</v>
      </c>
      <c r="J3837" s="136">
        <v>35902.74</v>
      </c>
      <c r="K3837" s="89"/>
      <c r="L3837" s="89">
        <v>1</v>
      </c>
    </row>
    <row r="3838" spans="1:12" ht="114">
      <c r="A3838" s="89" t="s">
        <v>564</v>
      </c>
      <c r="B3838" s="237">
        <v>211010200000</v>
      </c>
      <c r="C3838" s="89" t="s">
        <v>563</v>
      </c>
      <c r="D3838" s="89"/>
      <c r="E3838" s="236" t="s">
        <v>509</v>
      </c>
      <c r="F3838" s="236" t="s">
        <v>426</v>
      </c>
      <c r="G3838" s="236" t="s">
        <v>1189</v>
      </c>
      <c r="H3838" s="238">
        <v>42278</v>
      </c>
      <c r="I3838" s="235">
        <v>42338</v>
      </c>
      <c r="J3838" s="136">
        <v>-718.06</v>
      </c>
      <c r="K3838" s="89"/>
      <c r="L3838" s="89">
        <v>1</v>
      </c>
    </row>
    <row r="3839" spans="1:12" ht="99.75">
      <c r="A3839" s="89" t="s">
        <v>567</v>
      </c>
      <c r="B3839" s="237">
        <v>112120503040</v>
      </c>
      <c r="C3839" s="89" t="s">
        <v>566</v>
      </c>
      <c r="D3839" s="89"/>
      <c r="E3839" s="236" t="s">
        <v>484</v>
      </c>
      <c r="F3839" s="236" t="s">
        <v>1094</v>
      </c>
      <c r="G3839" s="236" t="s">
        <v>1190</v>
      </c>
      <c r="H3839" s="238">
        <v>42278</v>
      </c>
      <c r="I3839" s="235">
        <v>42338</v>
      </c>
      <c r="J3839" s="136">
        <v>80196.149999999994</v>
      </c>
      <c r="K3839" s="89"/>
      <c r="L3839" s="89">
        <v>1</v>
      </c>
    </row>
    <row r="3840" spans="1:12" ht="114">
      <c r="A3840" s="89" t="s">
        <v>567</v>
      </c>
      <c r="B3840" s="237">
        <v>112120503040</v>
      </c>
      <c r="C3840" s="89" t="s">
        <v>566</v>
      </c>
      <c r="D3840" s="89"/>
      <c r="E3840" s="236" t="s">
        <v>509</v>
      </c>
      <c r="F3840" s="236" t="s">
        <v>1094</v>
      </c>
      <c r="G3840" s="236" t="s">
        <v>1191</v>
      </c>
      <c r="H3840" s="238">
        <v>42278</v>
      </c>
      <c r="I3840" s="235">
        <v>42338</v>
      </c>
      <c r="J3840" s="136">
        <v>12337.87</v>
      </c>
      <c r="K3840" s="89"/>
      <c r="L3840" s="89">
        <v>1</v>
      </c>
    </row>
    <row r="3841" spans="1:12" ht="114">
      <c r="A3841" s="89" t="s">
        <v>567</v>
      </c>
      <c r="B3841" s="237">
        <v>112120503040</v>
      </c>
      <c r="C3841" s="89" t="s">
        <v>566</v>
      </c>
      <c r="D3841" s="89"/>
      <c r="E3841" s="236" t="s">
        <v>548</v>
      </c>
      <c r="F3841" s="236" t="s">
        <v>1094</v>
      </c>
      <c r="G3841" s="236" t="s">
        <v>1192</v>
      </c>
      <c r="H3841" s="238">
        <v>42278</v>
      </c>
      <c r="I3841" s="235">
        <v>42338</v>
      </c>
      <c r="J3841" s="136">
        <v>30844.67</v>
      </c>
      <c r="K3841" s="89"/>
      <c r="L3841" s="89">
        <v>1</v>
      </c>
    </row>
    <row r="3842" spans="1:12" ht="114">
      <c r="A3842" s="89" t="s">
        <v>567</v>
      </c>
      <c r="B3842" s="237">
        <v>211010200000</v>
      </c>
      <c r="C3842" s="89" t="s">
        <v>566</v>
      </c>
      <c r="D3842" s="89"/>
      <c r="E3842" s="236" t="s">
        <v>509</v>
      </c>
      <c r="F3842" s="236" t="s">
        <v>426</v>
      </c>
      <c r="G3842" s="236" t="s">
        <v>1193</v>
      </c>
      <c r="H3842" s="238">
        <v>42278</v>
      </c>
      <c r="I3842" s="235">
        <v>42338</v>
      </c>
      <c r="J3842" s="136">
        <v>-616.89</v>
      </c>
      <c r="K3842" s="89"/>
      <c r="L3842" s="89">
        <v>1</v>
      </c>
    </row>
    <row r="3843" spans="1:12" ht="99.75">
      <c r="A3843" s="89" t="s">
        <v>570</v>
      </c>
      <c r="B3843" s="237">
        <v>112120503040</v>
      </c>
      <c r="C3843" s="89" t="s">
        <v>569</v>
      </c>
      <c r="D3843" s="89"/>
      <c r="E3843" s="236" t="s">
        <v>484</v>
      </c>
      <c r="F3843" s="236" t="s">
        <v>1094</v>
      </c>
      <c r="G3843" s="236" t="s">
        <v>1194</v>
      </c>
      <c r="H3843" s="238">
        <v>42278</v>
      </c>
      <c r="I3843" s="235">
        <v>42338</v>
      </c>
      <c r="J3843" s="136">
        <v>82600.09</v>
      </c>
      <c r="K3843" s="89"/>
      <c r="L3843" s="89">
        <v>1</v>
      </c>
    </row>
    <row r="3844" spans="1:12" ht="114">
      <c r="A3844" s="89" t="s">
        <v>570</v>
      </c>
      <c r="B3844" s="237">
        <v>112120503040</v>
      </c>
      <c r="C3844" s="89" t="s">
        <v>569</v>
      </c>
      <c r="D3844" s="89"/>
      <c r="E3844" s="236" t="s">
        <v>509</v>
      </c>
      <c r="F3844" s="236" t="s">
        <v>1094</v>
      </c>
      <c r="G3844" s="236" t="s">
        <v>1195</v>
      </c>
      <c r="H3844" s="238">
        <v>42278</v>
      </c>
      <c r="I3844" s="235">
        <v>42338</v>
      </c>
      <c r="J3844" s="136">
        <v>12707.71</v>
      </c>
      <c r="K3844" s="89"/>
      <c r="L3844" s="89">
        <v>1</v>
      </c>
    </row>
    <row r="3845" spans="1:12" ht="114">
      <c r="A3845" s="89" t="s">
        <v>570</v>
      </c>
      <c r="B3845" s="237">
        <v>112120503040</v>
      </c>
      <c r="C3845" s="89" t="s">
        <v>569</v>
      </c>
      <c r="D3845" s="89"/>
      <c r="E3845" s="236" t="s">
        <v>548</v>
      </c>
      <c r="F3845" s="236" t="s">
        <v>1094</v>
      </c>
      <c r="G3845" s="236" t="s">
        <v>1196</v>
      </c>
      <c r="H3845" s="238">
        <v>42278</v>
      </c>
      <c r="I3845" s="235">
        <v>42338</v>
      </c>
      <c r="J3845" s="136">
        <v>31769.26</v>
      </c>
      <c r="K3845" s="89"/>
      <c r="L3845" s="89">
        <v>1</v>
      </c>
    </row>
    <row r="3846" spans="1:12" ht="114">
      <c r="A3846" s="89" t="s">
        <v>570</v>
      </c>
      <c r="B3846" s="237">
        <v>211010200000</v>
      </c>
      <c r="C3846" s="89" t="s">
        <v>569</v>
      </c>
      <c r="D3846" s="89"/>
      <c r="E3846" s="236" t="s">
        <v>509</v>
      </c>
      <c r="F3846" s="236" t="s">
        <v>426</v>
      </c>
      <c r="G3846" s="236" t="s">
        <v>1197</v>
      </c>
      <c r="H3846" s="238">
        <v>42278</v>
      </c>
      <c r="I3846" s="235">
        <v>42338</v>
      </c>
      <c r="J3846" s="136">
        <v>-635.39</v>
      </c>
      <c r="K3846" s="89"/>
      <c r="L3846" s="89">
        <v>1</v>
      </c>
    </row>
    <row r="3847" spans="1:12" ht="114">
      <c r="A3847" s="89" t="s">
        <v>572</v>
      </c>
      <c r="B3847" s="237">
        <v>112120503040</v>
      </c>
      <c r="C3847" s="89" t="s">
        <v>573</v>
      </c>
      <c r="D3847" s="89"/>
      <c r="E3847" s="236" t="s">
        <v>508</v>
      </c>
      <c r="F3847" s="236" t="s">
        <v>1094</v>
      </c>
      <c r="G3847" s="236" t="s">
        <v>1198</v>
      </c>
      <c r="H3847" s="238">
        <v>42278</v>
      </c>
      <c r="I3847" s="235">
        <v>42338</v>
      </c>
      <c r="J3847" s="136">
        <v>107231.96</v>
      </c>
      <c r="K3847" s="89"/>
      <c r="L3847" s="89">
        <v>1</v>
      </c>
    </row>
    <row r="3848" spans="1:12" ht="71.25">
      <c r="A3848" s="89" t="s">
        <v>580</v>
      </c>
      <c r="B3848" s="237">
        <v>112120503040</v>
      </c>
      <c r="C3848" s="89" t="s">
        <v>581</v>
      </c>
      <c r="D3848" s="89"/>
      <c r="E3848" s="236" t="s">
        <v>582</v>
      </c>
      <c r="F3848" s="236" t="s">
        <v>1094</v>
      </c>
      <c r="G3848" s="236" t="s">
        <v>1199</v>
      </c>
      <c r="H3848" s="238">
        <v>42278</v>
      </c>
      <c r="I3848" s="235">
        <v>42338</v>
      </c>
      <c r="J3848" s="136">
        <v>99096.67</v>
      </c>
      <c r="K3848" s="89"/>
      <c r="L3848" s="89">
        <v>1</v>
      </c>
    </row>
    <row r="3849" spans="1:12" ht="114">
      <c r="A3849" s="89" t="s">
        <v>580</v>
      </c>
      <c r="B3849" s="237">
        <v>112120503040</v>
      </c>
      <c r="C3849" s="89" t="s">
        <v>581</v>
      </c>
      <c r="D3849" s="89"/>
      <c r="E3849" s="236" t="s">
        <v>508</v>
      </c>
      <c r="F3849" s="236" t="s">
        <v>1094</v>
      </c>
      <c r="G3849" s="236" t="s">
        <v>1200</v>
      </c>
      <c r="H3849" s="238">
        <v>42278</v>
      </c>
      <c r="I3849" s="235">
        <v>42338</v>
      </c>
      <c r="J3849" s="136">
        <v>396386.66</v>
      </c>
      <c r="K3849" s="89"/>
      <c r="L3849" s="89">
        <v>1</v>
      </c>
    </row>
    <row r="3850" spans="1:12" ht="71.25">
      <c r="A3850" s="89" t="s">
        <v>595</v>
      </c>
      <c r="B3850" s="237">
        <v>112120503040</v>
      </c>
      <c r="C3850" s="89" t="s">
        <v>596</v>
      </c>
      <c r="D3850" s="89"/>
      <c r="E3850" s="236" t="s">
        <v>447</v>
      </c>
      <c r="F3850" s="236" t="s">
        <v>1094</v>
      </c>
      <c r="G3850" s="236" t="s">
        <v>1201</v>
      </c>
      <c r="H3850" s="238">
        <v>42278</v>
      </c>
      <c r="I3850" s="235">
        <v>42338</v>
      </c>
      <c r="J3850" s="136">
        <v>248771.84</v>
      </c>
      <c r="K3850" s="89"/>
      <c r="L3850" s="89">
        <v>1</v>
      </c>
    </row>
    <row r="3851" spans="1:12" ht="270.75">
      <c r="A3851" s="89" t="s">
        <v>595</v>
      </c>
      <c r="B3851" s="237">
        <v>112120503040</v>
      </c>
      <c r="C3851" s="89" t="s">
        <v>596</v>
      </c>
      <c r="D3851" s="89"/>
      <c r="E3851" s="236" t="s">
        <v>560</v>
      </c>
      <c r="F3851" s="236" t="s">
        <v>1094</v>
      </c>
      <c r="G3851" s="236" t="s">
        <v>1202</v>
      </c>
      <c r="H3851" s="238">
        <v>42278</v>
      </c>
      <c r="I3851" s="235">
        <v>42338</v>
      </c>
      <c r="J3851" s="136">
        <v>248771.84</v>
      </c>
      <c r="K3851" s="89"/>
      <c r="L3851" s="89">
        <v>1</v>
      </c>
    </row>
    <row r="3852" spans="1:12" ht="99.75">
      <c r="A3852" s="89" t="s">
        <v>602</v>
      </c>
      <c r="B3852" s="237">
        <v>112120503040</v>
      </c>
      <c r="C3852" s="89" t="s">
        <v>601</v>
      </c>
      <c r="D3852" s="89"/>
      <c r="E3852" s="236" t="s">
        <v>484</v>
      </c>
      <c r="F3852" s="236" t="s">
        <v>1094</v>
      </c>
      <c r="G3852" s="236" t="s">
        <v>1203</v>
      </c>
      <c r="H3852" s="238">
        <v>42278</v>
      </c>
      <c r="I3852" s="235">
        <v>42338</v>
      </c>
      <c r="J3852" s="136">
        <v>47631.53</v>
      </c>
      <c r="K3852" s="89"/>
      <c r="L3852" s="89">
        <v>1</v>
      </c>
    </row>
    <row r="3853" spans="1:12" ht="114">
      <c r="A3853" s="89" t="s">
        <v>602</v>
      </c>
      <c r="B3853" s="237">
        <v>112120503040</v>
      </c>
      <c r="C3853" s="89" t="s">
        <v>601</v>
      </c>
      <c r="D3853" s="89"/>
      <c r="E3853" s="236" t="s">
        <v>508</v>
      </c>
      <c r="F3853" s="236" t="s">
        <v>1094</v>
      </c>
      <c r="G3853" s="236" t="s">
        <v>1204</v>
      </c>
      <c r="H3853" s="238">
        <v>42278</v>
      </c>
      <c r="I3853" s="235">
        <v>42338</v>
      </c>
      <c r="J3853" s="136">
        <v>71447.3</v>
      </c>
      <c r="K3853" s="89"/>
      <c r="L3853" s="89">
        <v>1</v>
      </c>
    </row>
    <row r="3854" spans="1:12" ht="114">
      <c r="A3854" s="89" t="s">
        <v>606</v>
      </c>
      <c r="B3854" s="237">
        <v>112120503040</v>
      </c>
      <c r="C3854" s="89" t="s">
        <v>607</v>
      </c>
      <c r="D3854" s="89"/>
      <c r="E3854" s="236" t="s">
        <v>508</v>
      </c>
      <c r="F3854" s="236" t="s">
        <v>1094</v>
      </c>
      <c r="G3854" s="236" t="s">
        <v>1205</v>
      </c>
      <c r="H3854" s="238">
        <v>42278</v>
      </c>
      <c r="I3854" s="235">
        <v>42338</v>
      </c>
      <c r="J3854" s="136">
        <v>125080.33</v>
      </c>
      <c r="K3854" s="89"/>
      <c r="L3854" s="89">
        <v>1</v>
      </c>
    </row>
    <row r="3855" spans="1:12" ht="71.25">
      <c r="A3855" s="89" t="s">
        <v>609</v>
      </c>
      <c r="B3855" s="237">
        <v>112120503040</v>
      </c>
      <c r="C3855" s="89" t="s">
        <v>610</v>
      </c>
      <c r="D3855" s="89"/>
      <c r="E3855" s="236" t="s">
        <v>447</v>
      </c>
      <c r="F3855" s="236" t="s">
        <v>1094</v>
      </c>
      <c r="G3855" s="236" t="s">
        <v>1206</v>
      </c>
      <c r="H3855" s="238">
        <v>42278</v>
      </c>
      <c r="I3855" s="235">
        <v>42338</v>
      </c>
      <c r="J3855" s="136">
        <v>51563.65</v>
      </c>
      <c r="K3855" s="89"/>
      <c r="L3855" s="89">
        <v>1</v>
      </c>
    </row>
    <row r="3856" spans="1:12" ht="270.75">
      <c r="A3856" s="89" t="s">
        <v>609</v>
      </c>
      <c r="B3856" s="237">
        <v>112120503040</v>
      </c>
      <c r="C3856" s="89" t="s">
        <v>610</v>
      </c>
      <c r="D3856" s="89"/>
      <c r="E3856" s="236" t="s">
        <v>560</v>
      </c>
      <c r="F3856" s="236" t="s">
        <v>1094</v>
      </c>
      <c r="G3856" s="236" t="s">
        <v>1207</v>
      </c>
      <c r="H3856" s="238">
        <v>42278</v>
      </c>
      <c r="I3856" s="235">
        <v>42338</v>
      </c>
      <c r="J3856" s="136">
        <v>77345.53</v>
      </c>
      <c r="K3856" s="89"/>
      <c r="L3856" s="89">
        <v>1</v>
      </c>
    </row>
    <row r="3857" spans="1:12" ht="71.25">
      <c r="A3857" s="89" t="s">
        <v>614</v>
      </c>
      <c r="B3857" s="237">
        <v>112120503040</v>
      </c>
      <c r="C3857" s="89" t="s">
        <v>615</v>
      </c>
      <c r="D3857" s="89"/>
      <c r="E3857" s="236" t="s">
        <v>447</v>
      </c>
      <c r="F3857" s="236" t="s">
        <v>1094</v>
      </c>
      <c r="G3857" s="236" t="s">
        <v>1208</v>
      </c>
      <c r="H3857" s="238">
        <v>42278</v>
      </c>
      <c r="I3857" s="235">
        <v>42338</v>
      </c>
      <c r="J3857" s="136">
        <v>50051.12</v>
      </c>
      <c r="K3857" s="89"/>
      <c r="L3857" s="89">
        <v>1</v>
      </c>
    </row>
    <row r="3858" spans="1:12" ht="270.75">
      <c r="A3858" s="89" t="s">
        <v>614</v>
      </c>
      <c r="B3858" s="237">
        <v>112120503040</v>
      </c>
      <c r="C3858" s="89" t="s">
        <v>615</v>
      </c>
      <c r="D3858" s="89"/>
      <c r="E3858" s="236" t="s">
        <v>560</v>
      </c>
      <c r="F3858" s="236" t="s">
        <v>1094</v>
      </c>
      <c r="G3858" s="236" t="s">
        <v>1209</v>
      </c>
      <c r="H3858" s="238">
        <v>42278</v>
      </c>
      <c r="I3858" s="235">
        <v>42338</v>
      </c>
      <c r="J3858" s="136">
        <v>75076.679999999993</v>
      </c>
      <c r="K3858" s="89"/>
      <c r="L3858" s="89">
        <v>1</v>
      </c>
    </row>
    <row r="3859" spans="1:12" ht="71.25">
      <c r="A3859" s="89" t="s">
        <v>445</v>
      </c>
      <c r="B3859" s="237">
        <v>112120503040</v>
      </c>
      <c r="C3859" s="89" t="s">
        <v>446</v>
      </c>
      <c r="D3859" s="89"/>
      <c r="E3859" s="236" t="s">
        <v>447</v>
      </c>
      <c r="F3859" s="236" t="s">
        <v>1094</v>
      </c>
      <c r="G3859" s="236" t="s">
        <v>1210</v>
      </c>
      <c r="H3859" s="238">
        <v>42278</v>
      </c>
      <c r="I3859" s="235">
        <v>42338</v>
      </c>
      <c r="J3859" s="136">
        <v>47794.17</v>
      </c>
      <c r="K3859" s="89"/>
      <c r="L3859" s="89">
        <v>1</v>
      </c>
    </row>
    <row r="3860" spans="1:12" ht="270.75">
      <c r="A3860" s="89" t="s">
        <v>445</v>
      </c>
      <c r="B3860" s="237">
        <v>112120503040</v>
      </c>
      <c r="C3860" s="89" t="s">
        <v>446</v>
      </c>
      <c r="D3860" s="89"/>
      <c r="E3860" s="236" t="s">
        <v>560</v>
      </c>
      <c r="F3860" s="236" t="s">
        <v>1094</v>
      </c>
      <c r="G3860" s="236" t="s">
        <v>1211</v>
      </c>
      <c r="H3860" s="238">
        <v>42278</v>
      </c>
      <c r="I3860" s="235">
        <v>42338</v>
      </c>
      <c r="J3860" s="136">
        <v>71691.25</v>
      </c>
      <c r="K3860" s="89"/>
      <c r="L3860" s="89">
        <v>1</v>
      </c>
    </row>
    <row r="3861" spans="1:12" ht="114">
      <c r="A3861" s="89" t="s">
        <v>618</v>
      </c>
      <c r="B3861" s="237">
        <v>112120503040</v>
      </c>
      <c r="C3861" s="89" t="s">
        <v>619</v>
      </c>
      <c r="D3861" s="89"/>
      <c r="E3861" s="236" t="s">
        <v>508</v>
      </c>
      <c r="F3861" s="236" t="s">
        <v>1094</v>
      </c>
      <c r="G3861" s="236" t="s">
        <v>1212</v>
      </c>
      <c r="H3861" s="238">
        <v>42278</v>
      </c>
      <c r="I3861" s="235">
        <v>42338</v>
      </c>
      <c r="J3861" s="136">
        <v>129990.13</v>
      </c>
      <c r="K3861" s="89"/>
      <c r="L3861" s="89">
        <v>1</v>
      </c>
    </row>
    <row r="3862" spans="1:12" ht="99.75">
      <c r="A3862" s="89" t="s">
        <v>623</v>
      </c>
      <c r="B3862" s="237">
        <v>112120503040</v>
      </c>
      <c r="C3862" s="89" t="s">
        <v>622</v>
      </c>
      <c r="D3862" s="89"/>
      <c r="E3862" s="236" t="s">
        <v>484</v>
      </c>
      <c r="F3862" s="236" t="s">
        <v>1094</v>
      </c>
      <c r="G3862" s="236" t="s">
        <v>1213</v>
      </c>
      <c r="H3862" s="238">
        <v>42278</v>
      </c>
      <c r="I3862" s="235">
        <v>42338</v>
      </c>
      <c r="J3862" s="136">
        <v>82523.08</v>
      </c>
      <c r="K3862" s="89"/>
      <c r="L3862" s="89">
        <v>1</v>
      </c>
    </row>
    <row r="3863" spans="1:12" ht="114">
      <c r="A3863" s="89" t="s">
        <v>623</v>
      </c>
      <c r="B3863" s="237">
        <v>112120503040</v>
      </c>
      <c r="C3863" s="89" t="s">
        <v>622</v>
      </c>
      <c r="D3863" s="89"/>
      <c r="E3863" s="236" t="s">
        <v>509</v>
      </c>
      <c r="F3863" s="236" t="s">
        <v>1094</v>
      </c>
      <c r="G3863" s="236" t="s">
        <v>1214</v>
      </c>
      <c r="H3863" s="238">
        <v>42278</v>
      </c>
      <c r="I3863" s="235">
        <v>42338</v>
      </c>
      <c r="J3863" s="136">
        <v>12695.86</v>
      </c>
      <c r="K3863" s="89"/>
      <c r="L3863" s="89">
        <v>1</v>
      </c>
    </row>
    <row r="3864" spans="1:12" ht="114">
      <c r="A3864" s="89" t="s">
        <v>623</v>
      </c>
      <c r="B3864" s="237">
        <v>112120503040</v>
      </c>
      <c r="C3864" s="89" t="s">
        <v>622</v>
      </c>
      <c r="D3864" s="89"/>
      <c r="E3864" s="236" t="s">
        <v>548</v>
      </c>
      <c r="F3864" s="236" t="s">
        <v>1094</v>
      </c>
      <c r="G3864" s="236" t="s">
        <v>1215</v>
      </c>
      <c r="H3864" s="238">
        <v>42278</v>
      </c>
      <c r="I3864" s="235">
        <v>42338</v>
      </c>
      <c r="J3864" s="136">
        <v>31739.65</v>
      </c>
      <c r="K3864" s="89"/>
      <c r="L3864" s="89">
        <v>1</v>
      </c>
    </row>
    <row r="3865" spans="1:12" ht="114">
      <c r="A3865" s="89" t="s">
        <v>623</v>
      </c>
      <c r="B3865" s="237">
        <v>211010200000</v>
      </c>
      <c r="C3865" s="89" t="s">
        <v>622</v>
      </c>
      <c r="D3865" s="89"/>
      <c r="E3865" s="236" t="s">
        <v>509</v>
      </c>
      <c r="F3865" s="236" t="s">
        <v>426</v>
      </c>
      <c r="G3865" s="236" t="s">
        <v>1216</v>
      </c>
      <c r="H3865" s="238">
        <v>42309</v>
      </c>
      <c r="I3865" s="235">
        <v>42338</v>
      </c>
      <c r="J3865" s="136">
        <v>-634.79</v>
      </c>
      <c r="K3865" s="89"/>
      <c r="L3865" s="89">
        <v>1</v>
      </c>
    </row>
    <row r="3866" spans="1:12" ht="99.75">
      <c r="A3866" s="89" t="s">
        <v>633</v>
      </c>
      <c r="B3866" s="237">
        <v>112120503040</v>
      </c>
      <c r="C3866" s="89" t="s">
        <v>632</v>
      </c>
      <c r="D3866" s="89"/>
      <c r="E3866" s="236" t="s">
        <v>484</v>
      </c>
      <c r="F3866" s="236" t="s">
        <v>1094</v>
      </c>
      <c r="G3866" s="236" t="s">
        <v>1217</v>
      </c>
      <c r="H3866" s="238">
        <v>42278</v>
      </c>
      <c r="I3866" s="235">
        <v>42338</v>
      </c>
      <c r="J3866" s="136">
        <v>57066.12</v>
      </c>
      <c r="K3866" s="89"/>
      <c r="L3866" s="89">
        <v>1</v>
      </c>
    </row>
    <row r="3867" spans="1:12" ht="114">
      <c r="A3867" s="89" t="s">
        <v>633</v>
      </c>
      <c r="B3867" s="237">
        <v>112120503040</v>
      </c>
      <c r="C3867" s="89" t="s">
        <v>632</v>
      </c>
      <c r="D3867" s="89"/>
      <c r="E3867" s="236" t="s">
        <v>508</v>
      </c>
      <c r="F3867" s="236" t="s">
        <v>1094</v>
      </c>
      <c r="G3867" s="236" t="s">
        <v>1218</v>
      </c>
      <c r="H3867" s="238">
        <v>42278</v>
      </c>
      <c r="I3867" s="235">
        <v>42338</v>
      </c>
      <c r="J3867" s="136">
        <v>85599.17</v>
      </c>
      <c r="K3867" s="89"/>
      <c r="L3867" s="89">
        <v>1</v>
      </c>
    </row>
    <row r="3868" spans="1:12" ht="114">
      <c r="A3868" s="89" t="s">
        <v>636</v>
      </c>
      <c r="B3868" s="237">
        <v>112120503040</v>
      </c>
      <c r="C3868" s="89" t="s">
        <v>637</v>
      </c>
      <c r="D3868" s="89"/>
      <c r="E3868" s="236" t="s">
        <v>508</v>
      </c>
      <c r="F3868" s="236" t="s">
        <v>1094</v>
      </c>
      <c r="G3868" s="236" t="s">
        <v>1219</v>
      </c>
      <c r="H3868" s="238">
        <v>42278</v>
      </c>
      <c r="I3868" s="235">
        <v>42338</v>
      </c>
      <c r="J3868" s="136">
        <v>115774.35</v>
      </c>
      <c r="K3868" s="89"/>
      <c r="L3868" s="89">
        <v>1</v>
      </c>
    </row>
    <row r="3869" spans="1:12" ht="99.75">
      <c r="A3869" s="89" t="s">
        <v>656</v>
      </c>
      <c r="B3869" s="237">
        <v>112120503040</v>
      </c>
      <c r="C3869" s="89" t="s">
        <v>654</v>
      </c>
      <c r="D3869" s="89"/>
      <c r="E3869" s="236" t="s">
        <v>533</v>
      </c>
      <c r="F3869" s="236" t="s">
        <v>1094</v>
      </c>
      <c r="G3869" s="236" t="s">
        <v>1220</v>
      </c>
      <c r="H3869" s="238">
        <v>42278</v>
      </c>
      <c r="I3869" s="235">
        <v>42338</v>
      </c>
      <c r="J3869" s="136">
        <v>235700</v>
      </c>
      <c r="K3869" s="89"/>
      <c r="L3869" s="89">
        <v>1</v>
      </c>
    </row>
    <row r="3870" spans="1:12" ht="85.5">
      <c r="A3870" s="89" t="s">
        <v>656</v>
      </c>
      <c r="B3870" s="237">
        <v>112120503040</v>
      </c>
      <c r="C3870" s="89" t="s">
        <v>654</v>
      </c>
      <c r="D3870" s="89"/>
      <c r="E3870" s="236" t="s">
        <v>530</v>
      </c>
      <c r="F3870" s="236" t="s">
        <v>1094</v>
      </c>
      <c r="G3870" s="236" t="s">
        <v>1221</v>
      </c>
      <c r="H3870" s="238">
        <v>42278</v>
      </c>
      <c r="I3870" s="235">
        <v>42338</v>
      </c>
      <c r="J3870" s="136">
        <v>157133.32999999999</v>
      </c>
      <c r="K3870" s="89"/>
      <c r="L3870" s="89">
        <v>1</v>
      </c>
    </row>
    <row r="3871" spans="1:12" ht="99.75">
      <c r="A3871" s="89" t="s">
        <v>673</v>
      </c>
      <c r="B3871" s="237">
        <v>112120503040</v>
      </c>
      <c r="C3871" s="89" t="s">
        <v>672</v>
      </c>
      <c r="D3871" s="89"/>
      <c r="E3871" s="236" t="s">
        <v>533</v>
      </c>
      <c r="F3871" s="236" t="s">
        <v>1094</v>
      </c>
      <c r="G3871" s="236" t="s">
        <v>1222</v>
      </c>
      <c r="H3871" s="238">
        <v>42278</v>
      </c>
      <c r="I3871" s="235">
        <v>42338</v>
      </c>
      <c r="J3871" s="136">
        <v>207900</v>
      </c>
      <c r="K3871" s="89"/>
      <c r="L3871" s="89">
        <v>1</v>
      </c>
    </row>
    <row r="3872" spans="1:12" ht="85.5">
      <c r="A3872" s="89" t="s">
        <v>673</v>
      </c>
      <c r="B3872" s="237">
        <v>112120503040</v>
      </c>
      <c r="C3872" s="89" t="s">
        <v>672</v>
      </c>
      <c r="D3872" s="89"/>
      <c r="E3872" s="236" t="s">
        <v>530</v>
      </c>
      <c r="F3872" s="236" t="s">
        <v>1094</v>
      </c>
      <c r="G3872" s="236" t="s">
        <v>1223</v>
      </c>
      <c r="H3872" s="238">
        <v>42278</v>
      </c>
      <c r="I3872" s="235">
        <v>42338</v>
      </c>
      <c r="J3872" s="136">
        <v>23100</v>
      </c>
      <c r="K3872" s="89"/>
      <c r="L3872" s="89">
        <v>1</v>
      </c>
    </row>
    <row r="3873" spans="1:12" ht="71.25">
      <c r="A3873" s="89" t="s">
        <v>674</v>
      </c>
      <c r="B3873" s="237">
        <v>112120503040</v>
      </c>
      <c r="C3873" s="89" t="s">
        <v>675</v>
      </c>
      <c r="D3873" s="89"/>
      <c r="E3873" s="236" t="s">
        <v>447</v>
      </c>
      <c r="F3873" s="236" t="s">
        <v>1094</v>
      </c>
      <c r="G3873" s="236" t="s">
        <v>1224</v>
      </c>
      <c r="H3873" s="238">
        <v>42278</v>
      </c>
      <c r="I3873" s="235">
        <v>42338</v>
      </c>
      <c r="J3873" s="136">
        <v>70537.5</v>
      </c>
      <c r="K3873" s="89"/>
      <c r="L3873" s="89">
        <v>1</v>
      </c>
    </row>
    <row r="3874" spans="1:12" ht="270.75">
      <c r="A3874" s="89" t="s">
        <v>674</v>
      </c>
      <c r="B3874" s="237">
        <v>112120503040</v>
      </c>
      <c r="C3874" s="89" t="s">
        <v>675</v>
      </c>
      <c r="D3874" s="89"/>
      <c r="E3874" s="236" t="s">
        <v>560</v>
      </c>
      <c r="F3874" s="236" t="s">
        <v>1094</v>
      </c>
      <c r="G3874" s="236" t="s">
        <v>1225</v>
      </c>
      <c r="H3874" s="238">
        <v>42278</v>
      </c>
      <c r="I3874" s="235">
        <v>42338</v>
      </c>
      <c r="J3874" s="136">
        <v>70537.5</v>
      </c>
      <c r="K3874" s="89"/>
      <c r="L3874" s="89">
        <v>1</v>
      </c>
    </row>
    <row r="3875" spans="1:12" ht="99.75">
      <c r="A3875" s="89" t="s">
        <v>514</v>
      </c>
      <c r="B3875" s="237">
        <v>112120503040</v>
      </c>
      <c r="C3875" s="89" t="s">
        <v>513</v>
      </c>
      <c r="D3875" s="89"/>
      <c r="E3875" s="236" t="s">
        <v>484</v>
      </c>
      <c r="F3875" s="236" t="s">
        <v>1094</v>
      </c>
      <c r="G3875" s="236" t="s">
        <v>1226</v>
      </c>
      <c r="H3875" s="238">
        <v>42278</v>
      </c>
      <c r="I3875" s="235">
        <v>42338</v>
      </c>
      <c r="J3875" s="136">
        <v>236452.15</v>
      </c>
      <c r="K3875" s="89"/>
      <c r="L3875" s="89">
        <v>1</v>
      </c>
    </row>
    <row r="3876" spans="1:12" ht="114">
      <c r="A3876" s="89" t="s">
        <v>514</v>
      </c>
      <c r="B3876" s="237">
        <v>112120503040</v>
      </c>
      <c r="C3876" s="89" t="s">
        <v>513</v>
      </c>
      <c r="D3876" s="89"/>
      <c r="E3876" s="236" t="s">
        <v>508</v>
      </c>
      <c r="F3876" s="236" t="s">
        <v>1094</v>
      </c>
      <c r="G3876" s="236" t="s">
        <v>1227</v>
      </c>
      <c r="H3876" s="238">
        <v>42278</v>
      </c>
      <c r="I3876" s="235">
        <v>42338</v>
      </c>
      <c r="J3876" s="136">
        <v>439125.43</v>
      </c>
      <c r="K3876" s="89"/>
      <c r="L3876" s="89">
        <v>1</v>
      </c>
    </row>
    <row r="3877" spans="1:12" ht="156.75">
      <c r="A3877" s="89" t="s">
        <v>808</v>
      </c>
      <c r="B3877" s="237">
        <v>112120503040</v>
      </c>
      <c r="C3877" s="89" t="s">
        <v>807</v>
      </c>
      <c r="D3877" s="89"/>
      <c r="E3877" s="236" t="s">
        <v>493</v>
      </c>
      <c r="F3877" s="236" t="s">
        <v>1094</v>
      </c>
      <c r="G3877" s="236" t="s">
        <v>1228</v>
      </c>
      <c r="H3877" s="238">
        <v>42278</v>
      </c>
      <c r="I3877" s="235">
        <v>42338</v>
      </c>
      <c r="J3877" s="136">
        <v>130764.98</v>
      </c>
      <c r="K3877" s="89"/>
      <c r="L3877" s="89">
        <v>1</v>
      </c>
    </row>
    <row r="3878" spans="1:12" ht="213.75">
      <c r="A3878" s="89" t="s">
        <v>808</v>
      </c>
      <c r="B3878" s="237">
        <v>112120503040</v>
      </c>
      <c r="C3878" s="89" t="s">
        <v>807</v>
      </c>
      <c r="D3878" s="89"/>
      <c r="E3878" s="236" t="s">
        <v>488</v>
      </c>
      <c r="F3878" s="236" t="s">
        <v>1094</v>
      </c>
      <c r="G3878" s="236" t="s">
        <v>1229</v>
      </c>
      <c r="H3878" s="238">
        <v>42278</v>
      </c>
      <c r="I3878" s="235">
        <v>42338</v>
      </c>
      <c r="J3878" s="136">
        <v>130804.22</v>
      </c>
      <c r="K3878" s="89"/>
      <c r="L3878" s="89">
        <v>1</v>
      </c>
    </row>
    <row r="3879" spans="1:12" ht="71.25">
      <c r="A3879" s="89" t="s">
        <v>808</v>
      </c>
      <c r="B3879" s="237">
        <v>112120503040</v>
      </c>
      <c r="C3879" s="89" t="s">
        <v>807</v>
      </c>
      <c r="D3879" s="89"/>
      <c r="E3879" s="236" t="s">
        <v>589</v>
      </c>
      <c r="F3879" s="236" t="s">
        <v>1094</v>
      </c>
      <c r="G3879" s="236" t="s">
        <v>1230</v>
      </c>
      <c r="H3879" s="238">
        <v>42278</v>
      </c>
      <c r="I3879" s="235">
        <v>42338</v>
      </c>
      <c r="J3879" s="136">
        <v>130764.98</v>
      </c>
      <c r="K3879" s="89"/>
      <c r="L3879" s="89">
        <v>1</v>
      </c>
    </row>
    <row r="3880" spans="1:12" ht="128.25">
      <c r="A3880" s="89" t="s">
        <v>1231</v>
      </c>
      <c r="B3880" s="237">
        <v>112120601010</v>
      </c>
      <c r="C3880" s="89" t="s">
        <v>458</v>
      </c>
      <c r="D3880" s="89"/>
      <c r="E3880" s="236" t="s">
        <v>1232</v>
      </c>
      <c r="F3880" s="236" t="s">
        <v>1233</v>
      </c>
      <c r="G3880" s="236" t="s">
        <v>1234</v>
      </c>
      <c r="H3880" s="238">
        <v>42278</v>
      </c>
      <c r="I3880" s="235">
        <v>42313</v>
      </c>
      <c r="J3880" s="136">
        <v>258037.89</v>
      </c>
      <c r="K3880" s="89"/>
      <c r="L3880" s="89">
        <v>1</v>
      </c>
    </row>
    <row r="3881" spans="1:12" ht="142.5">
      <c r="A3881" s="89" t="s">
        <v>1235</v>
      </c>
      <c r="B3881" s="237">
        <v>112120601010</v>
      </c>
      <c r="C3881" s="89" t="s">
        <v>456</v>
      </c>
      <c r="D3881" s="89"/>
      <c r="E3881" s="236" t="s">
        <v>1236</v>
      </c>
      <c r="F3881" s="236" t="s">
        <v>1233</v>
      </c>
      <c r="G3881" s="236" t="s">
        <v>1237</v>
      </c>
      <c r="H3881" s="238">
        <v>42278</v>
      </c>
      <c r="I3881" s="235">
        <v>42318</v>
      </c>
      <c r="J3881" s="136">
        <v>43288.77</v>
      </c>
      <c r="K3881" s="89"/>
      <c r="L3881" s="89">
        <v>1</v>
      </c>
    </row>
    <row r="3882" spans="1:12" ht="142.5">
      <c r="A3882" s="89" t="s">
        <v>1235</v>
      </c>
      <c r="B3882" s="237">
        <v>112120601010</v>
      </c>
      <c r="C3882" s="89" t="s">
        <v>456</v>
      </c>
      <c r="D3882" s="89"/>
      <c r="E3882" s="236" t="s">
        <v>1238</v>
      </c>
      <c r="F3882" s="236" t="s">
        <v>1233</v>
      </c>
      <c r="G3882" s="236" t="s">
        <v>1239</v>
      </c>
      <c r="H3882" s="238">
        <v>42278</v>
      </c>
      <c r="I3882" s="235">
        <v>42318</v>
      </c>
      <c r="J3882" s="136">
        <v>64933.14</v>
      </c>
      <c r="K3882" s="89"/>
      <c r="L3882" s="89">
        <v>1</v>
      </c>
    </row>
    <row r="3883" spans="1:12" ht="114">
      <c r="A3883" s="89" t="s">
        <v>1240</v>
      </c>
      <c r="B3883" s="237">
        <v>112120601010</v>
      </c>
      <c r="C3883" s="89" t="s">
        <v>719</v>
      </c>
      <c r="D3883" s="89"/>
      <c r="E3883" s="236" t="s">
        <v>1241</v>
      </c>
      <c r="F3883" s="236" t="s">
        <v>1233</v>
      </c>
      <c r="G3883" s="236" t="s">
        <v>1242</v>
      </c>
      <c r="H3883" s="238">
        <v>42278</v>
      </c>
      <c r="I3883" s="235">
        <v>42326</v>
      </c>
      <c r="J3883" s="136">
        <v>36422.9</v>
      </c>
      <c r="K3883" s="89"/>
      <c r="L3883" s="89">
        <v>1</v>
      </c>
    </row>
    <row r="3884" spans="1:12" ht="156.75">
      <c r="A3884" s="89" t="s">
        <v>1243</v>
      </c>
      <c r="B3884" s="237">
        <v>112120601010</v>
      </c>
      <c r="C3884" s="89" t="s">
        <v>466</v>
      </c>
      <c r="D3884" s="89"/>
      <c r="E3884" s="236" t="s">
        <v>1244</v>
      </c>
      <c r="F3884" s="236" t="s">
        <v>1233</v>
      </c>
      <c r="G3884" s="236" t="s">
        <v>1245</v>
      </c>
      <c r="H3884" s="238">
        <v>42278</v>
      </c>
      <c r="I3884" s="235">
        <v>42318</v>
      </c>
      <c r="J3884" s="136">
        <v>24830.05</v>
      </c>
      <c r="K3884" s="89"/>
      <c r="L3884" s="89">
        <v>1</v>
      </c>
    </row>
    <row r="3885" spans="1:12" ht="156.75">
      <c r="A3885" s="89" t="s">
        <v>1243</v>
      </c>
      <c r="B3885" s="237">
        <v>112120601010</v>
      </c>
      <c r="C3885" s="89" t="s">
        <v>466</v>
      </c>
      <c r="D3885" s="89"/>
      <c r="E3885" s="236" t="s">
        <v>1244</v>
      </c>
      <c r="F3885" s="236" t="s">
        <v>1233</v>
      </c>
      <c r="G3885" s="236" t="s">
        <v>1246</v>
      </c>
      <c r="H3885" s="238">
        <v>42278</v>
      </c>
      <c r="I3885" s="235">
        <v>42318</v>
      </c>
      <c r="J3885" s="136">
        <v>46966.82</v>
      </c>
      <c r="K3885" s="89"/>
      <c r="L3885" s="89">
        <v>1</v>
      </c>
    </row>
    <row r="3886" spans="1:12" ht="99.75">
      <c r="A3886" s="89" t="s">
        <v>1247</v>
      </c>
      <c r="B3886" s="237">
        <v>112120601010</v>
      </c>
      <c r="C3886" s="89" t="s">
        <v>826</v>
      </c>
      <c r="D3886" s="89"/>
      <c r="E3886" s="236" t="s">
        <v>1248</v>
      </c>
      <c r="F3886" s="236" t="s">
        <v>1233</v>
      </c>
      <c r="G3886" s="236" t="s">
        <v>1249</v>
      </c>
      <c r="H3886" s="238">
        <v>42278</v>
      </c>
      <c r="I3886" s="235">
        <v>42318</v>
      </c>
      <c r="J3886" s="136">
        <v>13528.86</v>
      </c>
      <c r="K3886" s="89"/>
      <c r="L3886" s="89">
        <v>1</v>
      </c>
    </row>
    <row r="3887" spans="1:12" ht="114">
      <c r="A3887" s="89" t="s">
        <v>1250</v>
      </c>
      <c r="B3887" s="237">
        <v>112120601010</v>
      </c>
      <c r="C3887" s="89" t="s">
        <v>581</v>
      </c>
      <c r="D3887" s="89"/>
      <c r="E3887" s="236" t="s">
        <v>1251</v>
      </c>
      <c r="F3887" s="236" t="s">
        <v>1233</v>
      </c>
      <c r="G3887" s="236" t="s">
        <v>1252</v>
      </c>
      <c r="H3887" s="238">
        <v>42278</v>
      </c>
      <c r="I3887" s="235">
        <v>42318</v>
      </c>
      <c r="J3887" s="136">
        <v>22550</v>
      </c>
      <c r="K3887" s="89"/>
      <c r="L3887" s="89">
        <v>1</v>
      </c>
    </row>
    <row r="3888" spans="1:12" ht="128.25">
      <c r="A3888" s="89" t="s">
        <v>1253</v>
      </c>
      <c r="B3888" s="237">
        <v>112120601010</v>
      </c>
      <c r="C3888" s="89" t="s">
        <v>496</v>
      </c>
      <c r="D3888" s="89"/>
      <c r="E3888" s="236" t="s">
        <v>1254</v>
      </c>
      <c r="F3888" s="236" t="s">
        <v>1233</v>
      </c>
      <c r="G3888" s="236" t="s">
        <v>1255</v>
      </c>
      <c r="H3888" s="238">
        <v>42278</v>
      </c>
      <c r="I3888" s="235">
        <v>42318</v>
      </c>
      <c r="J3888" s="136">
        <v>12286.2</v>
      </c>
      <c r="K3888" s="89"/>
      <c r="L3888" s="89">
        <v>1</v>
      </c>
    </row>
    <row r="3889" spans="1:12" ht="128.25">
      <c r="A3889" s="89" t="s">
        <v>1253</v>
      </c>
      <c r="B3889" s="237">
        <v>112120601010</v>
      </c>
      <c r="C3889" s="89" t="s">
        <v>496</v>
      </c>
      <c r="D3889" s="89"/>
      <c r="E3889" s="236" t="s">
        <v>1256</v>
      </c>
      <c r="F3889" s="236" t="s">
        <v>1233</v>
      </c>
      <c r="G3889" s="236" t="s">
        <v>1255</v>
      </c>
      <c r="H3889" s="238">
        <v>42278</v>
      </c>
      <c r="I3889" s="235">
        <v>42318</v>
      </c>
      <c r="J3889" s="136">
        <v>12286.2</v>
      </c>
      <c r="K3889" s="89"/>
      <c r="L3889" s="89">
        <v>1</v>
      </c>
    </row>
    <row r="3890" spans="1:12" ht="114">
      <c r="A3890" s="89" t="s">
        <v>1257</v>
      </c>
      <c r="B3890" s="237">
        <v>112120601010</v>
      </c>
      <c r="C3890" s="89" t="s">
        <v>833</v>
      </c>
      <c r="D3890" s="89"/>
      <c r="E3890" s="236" t="s">
        <v>1258</v>
      </c>
      <c r="F3890" s="236" t="s">
        <v>1233</v>
      </c>
      <c r="G3890" s="236" t="s">
        <v>1259</v>
      </c>
      <c r="H3890" s="238">
        <v>42278</v>
      </c>
      <c r="I3890" s="235">
        <v>42318</v>
      </c>
      <c r="J3890" s="136">
        <v>27000</v>
      </c>
      <c r="K3890" s="89"/>
      <c r="L3890" s="89">
        <v>1</v>
      </c>
    </row>
    <row r="3891" spans="1:12" ht="114">
      <c r="A3891" s="89" t="s">
        <v>1260</v>
      </c>
      <c r="B3891" s="237">
        <v>112120601020</v>
      </c>
      <c r="C3891" s="89" t="s">
        <v>719</v>
      </c>
      <c r="D3891" s="89"/>
      <c r="E3891" s="236" t="s">
        <v>1261</v>
      </c>
      <c r="F3891" s="236" t="s">
        <v>1262</v>
      </c>
      <c r="G3891" s="236" t="s">
        <v>1263</v>
      </c>
      <c r="H3891" s="238">
        <v>42278</v>
      </c>
      <c r="I3891" s="235">
        <v>42324</v>
      </c>
      <c r="J3891" s="136">
        <v>18483.259999999998</v>
      </c>
      <c r="K3891" s="89"/>
      <c r="L3891" s="89">
        <v>1</v>
      </c>
    </row>
    <row r="3892" spans="1:12" ht="156.75">
      <c r="A3892" s="89" t="s">
        <v>1264</v>
      </c>
      <c r="B3892" s="237"/>
      <c r="C3892" s="89" t="s">
        <v>466</v>
      </c>
      <c r="D3892" s="89"/>
      <c r="E3892" s="236" t="s">
        <v>1244</v>
      </c>
      <c r="F3892" s="236" t="s">
        <v>1262</v>
      </c>
      <c r="G3892" s="236" t="s">
        <v>1265</v>
      </c>
      <c r="H3892" s="238">
        <v>42278</v>
      </c>
      <c r="I3892" s="235">
        <v>42318</v>
      </c>
      <c r="J3892" s="136">
        <v>3778.93</v>
      </c>
      <c r="K3892" s="89"/>
      <c r="L3892" s="89">
        <v>1</v>
      </c>
    </row>
    <row r="3893" spans="1:12" ht="114">
      <c r="A3893" s="89" t="s">
        <v>1266</v>
      </c>
      <c r="B3893" s="237">
        <v>112120601020</v>
      </c>
      <c r="C3893" s="89" t="s">
        <v>826</v>
      </c>
      <c r="D3893" s="89"/>
      <c r="E3893" s="236" t="s">
        <v>1248</v>
      </c>
      <c r="F3893" s="236" t="s">
        <v>1262</v>
      </c>
      <c r="G3893" s="236" t="s">
        <v>1267</v>
      </c>
      <c r="H3893" s="238">
        <v>42278</v>
      </c>
      <c r="I3893" s="235">
        <v>42318</v>
      </c>
      <c r="J3893" s="136">
        <v>13520.25</v>
      </c>
      <c r="K3893" s="89"/>
      <c r="L3893" s="89">
        <v>1</v>
      </c>
    </row>
    <row r="3894" spans="1:12" ht="128.25">
      <c r="A3894" s="89" t="s">
        <v>1268</v>
      </c>
      <c r="B3894" s="237">
        <v>112120601030</v>
      </c>
      <c r="C3894" s="89" t="s">
        <v>460</v>
      </c>
      <c r="D3894" s="89"/>
      <c r="E3894" s="236" t="s">
        <v>1269</v>
      </c>
      <c r="F3894" s="236" t="s">
        <v>1270</v>
      </c>
      <c r="G3894" s="236" t="s">
        <v>1271</v>
      </c>
      <c r="H3894" s="238">
        <v>42309</v>
      </c>
      <c r="I3894" s="235">
        <v>42332</v>
      </c>
      <c r="J3894" s="136">
        <v>832.33</v>
      </c>
      <c r="K3894" s="89"/>
      <c r="L3894" s="89">
        <v>1</v>
      </c>
    </row>
    <row r="3895" spans="1:12" ht="156.75">
      <c r="A3895" s="89" t="s">
        <v>1272</v>
      </c>
      <c r="B3895" s="237">
        <v>112120601050</v>
      </c>
      <c r="C3895" s="89" t="s">
        <v>459</v>
      </c>
      <c r="D3895" s="89"/>
      <c r="E3895" s="236" t="s">
        <v>1273</v>
      </c>
      <c r="F3895" s="236" t="s">
        <v>404</v>
      </c>
      <c r="G3895" s="236" t="s">
        <v>1274</v>
      </c>
      <c r="H3895" s="238">
        <v>42278</v>
      </c>
      <c r="I3895" s="235">
        <v>42338</v>
      </c>
      <c r="J3895" s="136">
        <v>5599.86</v>
      </c>
      <c r="K3895" s="89"/>
      <c r="L3895" s="89">
        <v>1</v>
      </c>
    </row>
    <row r="3896" spans="1:12" ht="156.75">
      <c r="A3896" s="89" t="s">
        <v>1272</v>
      </c>
      <c r="B3896" s="237">
        <v>211010200000</v>
      </c>
      <c r="C3896" s="89" t="s">
        <v>459</v>
      </c>
      <c r="D3896" s="89"/>
      <c r="E3896" s="236" t="s">
        <v>1273</v>
      </c>
      <c r="F3896" s="236" t="s">
        <v>426</v>
      </c>
      <c r="G3896" s="236" t="s">
        <v>1275</v>
      </c>
      <c r="H3896" s="238">
        <v>42309</v>
      </c>
      <c r="I3896" s="235">
        <v>42338</v>
      </c>
      <c r="J3896" s="136">
        <v>-4.4800000000000004</v>
      </c>
      <c r="K3896" s="89"/>
      <c r="L3896" s="89">
        <v>1</v>
      </c>
    </row>
    <row r="3897" spans="1:12" ht="156.75">
      <c r="A3897" s="89" t="s">
        <v>1276</v>
      </c>
      <c r="B3897" s="237">
        <v>112120601050</v>
      </c>
      <c r="C3897" s="89" t="s">
        <v>458</v>
      </c>
      <c r="D3897" s="89"/>
      <c r="E3897" s="236" t="s">
        <v>1273</v>
      </c>
      <c r="F3897" s="236" t="s">
        <v>404</v>
      </c>
      <c r="G3897" s="236" t="s">
        <v>1277</v>
      </c>
      <c r="H3897" s="238">
        <v>42278</v>
      </c>
      <c r="I3897" s="235">
        <v>42312</v>
      </c>
      <c r="J3897" s="136">
        <v>451.35</v>
      </c>
      <c r="K3897" s="89"/>
      <c r="L3897" s="89">
        <v>1</v>
      </c>
    </row>
    <row r="3898" spans="1:12" ht="156.75">
      <c r="A3898" s="89" t="s">
        <v>1276</v>
      </c>
      <c r="B3898" s="237">
        <v>211010200000</v>
      </c>
      <c r="C3898" s="89" t="s">
        <v>458</v>
      </c>
      <c r="D3898" s="89"/>
      <c r="E3898" s="236" t="s">
        <v>1273</v>
      </c>
      <c r="F3898" s="236" t="s">
        <v>426</v>
      </c>
      <c r="G3898" s="236" t="s">
        <v>1278</v>
      </c>
      <c r="H3898" s="238">
        <v>42248</v>
      </c>
      <c r="I3898" s="235">
        <v>42312</v>
      </c>
      <c r="J3898" s="136">
        <v>-4.4800000000000004</v>
      </c>
      <c r="K3898" s="89"/>
      <c r="L3898" s="89">
        <v>1</v>
      </c>
    </row>
    <row r="3899" spans="1:12" ht="71.25">
      <c r="A3899" s="89" t="s">
        <v>1279</v>
      </c>
      <c r="B3899" s="237">
        <v>112120601050</v>
      </c>
      <c r="C3899" s="89" t="s">
        <v>460</v>
      </c>
      <c r="D3899" s="89"/>
      <c r="E3899" s="236" t="s">
        <v>1280</v>
      </c>
      <c r="F3899" s="236" t="s">
        <v>404</v>
      </c>
      <c r="G3899" s="236" t="s">
        <v>1199</v>
      </c>
      <c r="H3899" s="238">
        <v>42278</v>
      </c>
      <c r="I3899" s="235">
        <v>42311</v>
      </c>
      <c r="J3899" s="136">
        <v>12320</v>
      </c>
      <c r="K3899" s="89"/>
      <c r="L3899" s="89">
        <v>1</v>
      </c>
    </row>
    <row r="3900" spans="1:12" ht="71.25">
      <c r="A3900" s="89" t="s">
        <v>1279</v>
      </c>
      <c r="B3900" s="237">
        <v>211010200000</v>
      </c>
      <c r="C3900" s="89" t="s">
        <v>460</v>
      </c>
      <c r="D3900" s="89"/>
      <c r="E3900" s="236" t="s">
        <v>1280</v>
      </c>
      <c r="F3900" s="236" t="s">
        <v>426</v>
      </c>
      <c r="G3900" s="236" t="s">
        <v>1281</v>
      </c>
      <c r="H3900" s="238">
        <v>42278</v>
      </c>
      <c r="I3900" s="235">
        <v>42311</v>
      </c>
      <c r="J3900" s="136">
        <v>-4.4800000000000004</v>
      </c>
      <c r="K3900" s="89"/>
      <c r="L3900" s="89">
        <v>1</v>
      </c>
    </row>
    <row r="3901" spans="1:12" ht="114">
      <c r="A3901" s="89" t="s">
        <v>1282</v>
      </c>
      <c r="B3901" s="237">
        <v>112120601050</v>
      </c>
      <c r="C3901" s="89" t="s">
        <v>463</v>
      </c>
      <c r="D3901" s="89"/>
      <c r="E3901" s="236" t="s">
        <v>1283</v>
      </c>
      <c r="F3901" s="236" t="s">
        <v>404</v>
      </c>
      <c r="G3901" s="236" t="s">
        <v>1284</v>
      </c>
      <c r="H3901" s="238">
        <v>42278</v>
      </c>
      <c r="I3901" s="235">
        <v>42311</v>
      </c>
      <c r="J3901" s="136">
        <v>480</v>
      </c>
      <c r="K3901" s="89"/>
      <c r="L3901" s="89">
        <v>1</v>
      </c>
    </row>
    <row r="3902" spans="1:12" ht="99.75">
      <c r="A3902" s="89" t="s">
        <v>1282</v>
      </c>
      <c r="B3902" s="237">
        <v>112120601060</v>
      </c>
      <c r="C3902" s="89" t="s">
        <v>463</v>
      </c>
      <c r="D3902" s="89"/>
      <c r="E3902" s="236" t="s">
        <v>417</v>
      </c>
      <c r="F3902" s="236" t="s">
        <v>431</v>
      </c>
      <c r="G3902" s="236" t="s">
        <v>1285</v>
      </c>
      <c r="H3902" s="238">
        <v>42309</v>
      </c>
      <c r="I3902" s="235">
        <v>42335</v>
      </c>
      <c r="J3902" s="136">
        <v>200</v>
      </c>
      <c r="K3902" s="89"/>
      <c r="L3902" s="89">
        <v>1</v>
      </c>
    </row>
    <row r="3903" spans="1:12" ht="71.25">
      <c r="A3903" s="89" t="s">
        <v>1286</v>
      </c>
      <c r="B3903" s="237">
        <v>112120601060</v>
      </c>
      <c r="C3903" s="89" t="s">
        <v>459</v>
      </c>
      <c r="D3903" s="89"/>
      <c r="E3903" s="236" t="s">
        <v>419</v>
      </c>
      <c r="F3903" s="236" t="s">
        <v>431</v>
      </c>
      <c r="G3903" s="236" t="s">
        <v>1287</v>
      </c>
      <c r="H3903" s="238">
        <v>42278</v>
      </c>
      <c r="I3903" s="235">
        <v>42321</v>
      </c>
      <c r="J3903" s="136">
        <v>308.8</v>
      </c>
      <c r="K3903" s="89"/>
      <c r="L3903" s="89">
        <v>1</v>
      </c>
    </row>
    <row r="3904" spans="1:12" ht="114">
      <c r="A3904" s="89" t="s">
        <v>1288</v>
      </c>
      <c r="B3904" s="237">
        <v>112120601060</v>
      </c>
      <c r="C3904" s="89" t="s">
        <v>458</v>
      </c>
      <c r="D3904" s="89"/>
      <c r="E3904" s="236" t="s">
        <v>430</v>
      </c>
      <c r="F3904" s="236" t="s">
        <v>431</v>
      </c>
      <c r="G3904" s="236" t="s">
        <v>1289</v>
      </c>
      <c r="H3904" s="238">
        <v>42278</v>
      </c>
      <c r="I3904" s="235">
        <v>42317</v>
      </c>
      <c r="J3904" s="136">
        <v>2872</v>
      </c>
      <c r="K3904" s="89"/>
      <c r="L3904" s="89">
        <v>1</v>
      </c>
    </row>
    <row r="3905" spans="1:12" ht="71.25">
      <c r="A3905" s="89" t="s">
        <v>1290</v>
      </c>
      <c r="B3905" s="237">
        <v>112120601060</v>
      </c>
      <c r="C3905" s="89" t="s">
        <v>458</v>
      </c>
      <c r="D3905" s="89"/>
      <c r="E3905" s="236" t="s">
        <v>415</v>
      </c>
      <c r="F3905" s="236" t="s">
        <v>431</v>
      </c>
      <c r="G3905" s="236" t="s">
        <v>1291</v>
      </c>
      <c r="H3905" s="238">
        <v>42278</v>
      </c>
      <c r="I3905" s="235">
        <v>42321</v>
      </c>
      <c r="J3905" s="136">
        <v>18</v>
      </c>
      <c r="K3905" s="89"/>
      <c r="L3905" s="89">
        <v>1</v>
      </c>
    </row>
    <row r="3906" spans="1:12" ht="71.25">
      <c r="A3906" s="89" t="s">
        <v>1292</v>
      </c>
      <c r="B3906" s="237">
        <v>112120601060</v>
      </c>
      <c r="C3906" s="89" t="s">
        <v>454</v>
      </c>
      <c r="D3906" s="89"/>
      <c r="E3906" s="236" t="s">
        <v>420</v>
      </c>
      <c r="F3906" s="236" t="s">
        <v>431</v>
      </c>
      <c r="G3906" s="236" t="s">
        <v>1293</v>
      </c>
      <c r="H3906" s="238">
        <v>42278</v>
      </c>
      <c r="I3906" s="235">
        <v>42321</v>
      </c>
      <c r="J3906" s="136">
        <v>141</v>
      </c>
      <c r="K3906" s="89"/>
      <c r="L3906" s="89">
        <v>1</v>
      </c>
    </row>
    <row r="3907" spans="1:12" ht="71.25">
      <c r="A3907" s="89" t="s">
        <v>1292</v>
      </c>
      <c r="B3907" s="237">
        <v>112120601060</v>
      </c>
      <c r="C3907" s="89" t="s">
        <v>454</v>
      </c>
      <c r="D3907" s="89"/>
      <c r="E3907" s="236" t="s">
        <v>420</v>
      </c>
      <c r="F3907" s="236" t="s">
        <v>431</v>
      </c>
      <c r="G3907" s="236" t="s">
        <v>1294</v>
      </c>
      <c r="H3907" s="238">
        <v>42278</v>
      </c>
      <c r="I3907" s="235">
        <v>42327</v>
      </c>
      <c r="J3907" s="136">
        <v>86.7</v>
      </c>
      <c r="K3907" s="89"/>
      <c r="L3907" s="89">
        <v>1</v>
      </c>
    </row>
    <row r="3908" spans="1:12" ht="71.25">
      <c r="A3908" s="89" t="s">
        <v>1292</v>
      </c>
      <c r="B3908" s="237">
        <v>112120601060</v>
      </c>
      <c r="C3908" s="89" t="s">
        <v>454</v>
      </c>
      <c r="D3908" s="89"/>
      <c r="E3908" s="236" t="s">
        <v>420</v>
      </c>
      <c r="F3908" s="236" t="s">
        <v>431</v>
      </c>
      <c r="G3908" s="236" t="s">
        <v>1295</v>
      </c>
      <c r="H3908" s="238">
        <v>42309</v>
      </c>
      <c r="I3908" s="235">
        <v>42327</v>
      </c>
      <c r="J3908" s="136">
        <v>76.3</v>
      </c>
      <c r="K3908" s="89"/>
      <c r="L3908" s="89">
        <v>1</v>
      </c>
    </row>
    <row r="3909" spans="1:12" ht="71.25">
      <c r="A3909" s="89" t="s">
        <v>1292</v>
      </c>
      <c r="B3909" s="237">
        <v>112120601060</v>
      </c>
      <c r="C3909" s="89" t="s">
        <v>454</v>
      </c>
      <c r="D3909" s="89"/>
      <c r="E3909" s="236" t="s">
        <v>420</v>
      </c>
      <c r="F3909" s="236" t="s">
        <v>431</v>
      </c>
      <c r="G3909" s="236" t="s">
        <v>1296</v>
      </c>
      <c r="H3909" s="238">
        <v>42309</v>
      </c>
      <c r="I3909" s="235">
        <v>42327</v>
      </c>
      <c r="J3909" s="136">
        <v>165</v>
      </c>
      <c r="K3909" s="89"/>
      <c r="L3909" s="89">
        <v>1</v>
      </c>
    </row>
    <row r="3910" spans="1:12" ht="114">
      <c r="A3910" s="89" t="s">
        <v>684</v>
      </c>
      <c r="B3910" s="237">
        <v>112120601060</v>
      </c>
      <c r="C3910" s="89" t="s">
        <v>454</v>
      </c>
      <c r="D3910" s="89"/>
      <c r="E3910" s="236" t="s">
        <v>412</v>
      </c>
      <c r="F3910" s="236" t="s">
        <v>431</v>
      </c>
      <c r="G3910" s="236" t="s">
        <v>1297</v>
      </c>
      <c r="H3910" s="238">
        <v>42278</v>
      </c>
      <c r="I3910" s="235">
        <v>42331</v>
      </c>
      <c r="J3910" s="136">
        <v>168752.63</v>
      </c>
      <c r="K3910" s="89"/>
      <c r="L3910" s="89">
        <v>1</v>
      </c>
    </row>
    <row r="3911" spans="1:12" ht="71.25">
      <c r="A3911" s="89" t="s">
        <v>1298</v>
      </c>
      <c r="B3911" s="237">
        <v>112120601060</v>
      </c>
      <c r="C3911" s="89" t="s">
        <v>456</v>
      </c>
      <c r="D3911" s="89"/>
      <c r="E3911" s="236" t="s">
        <v>1299</v>
      </c>
      <c r="F3911" s="236" t="s">
        <v>431</v>
      </c>
      <c r="G3911" s="236" t="s">
        <v>1300</v>
      </c>
      <c r="H3911" s="238">
        <v>42278</v>
      </c>
      <c r="I3911" s="235">
        <v>42313</v>
      </c>
      <c r="J3911" s="136">
        <v>267</v>
      </c>
      <c r="K3911" s="89"/>
      <c r="L3911" s="89">
        <v>1</v>
      </c>
    </row>
    <row r="3912" spans="1:12" ht="114">
      <c r="A3912" s="89" t="s">
        <v>1298</v>
      </c>
      <c r="B3912" s="237">
        <v>112120601060</v>
      </c>
      <c r="C3912" s="89" t="s">
        <v>456</v>
      </c>
      <c r="D3912" s="89"/>
      <c r="E3912" s="236" t="s">
        <v>430</v>
      </c>
      <c r="F3912" s="236" t="s">
        <v>431</v>
      </c>
      <c r="G3912" s="236" t="s">
        <v>1289</v>
      </c>
      <c r="H3912" s="238">
        <v>42278</v>
      </c>
      <c r="I3912" s="235">
        <v>42317</v>
      </c>
      <c r="J3912" s="136">
        <v>178</v>
      </c>
      <c r="K3912" s="89"/>
      <c r="L3912" s="89">
        <v>1</v>
      </c>
    </row>
    <row r="3913" spans="1:12" ht="142.5">
      <c r="A3913" s="89" t="s">
        <v>1298</v>
      </c>
      <c r="B3913" s="237">
        <v>112120601060</v>
      </c>
      <c r="C3913" s="89" t="s">
        <v>456</v>
      </c>
      <c r="D3913" s="89"/>
      <c r="E3913" s="236" t="s">
        <v>1301</v>
      </c>
      <c r="F3913" s="236" t="s">
        <v>431</v>
      </c>
      <c r="G3913" s="236" t="s">
        <v>1302</v>
      </c>
      <c r="H3913" s="238">
        <v>42278</v>
      </c>
      <c r="I3913" s="235">
        <v>42326</v>
      </c>
      <c r="J3913" s="136">
        <v>2605.46</v>
      </c>
      <c r="K3913" s="89"/>
      <c r="L3913" s="89">
        <v>1</v>
      </c>
    </row>
    <row r="3914" spans="1:12" ht="156.75">
      <c r="A3914" s="89" t="s">
        <v>1298</v>
      </c>
      <c r="B3914" s="237">
        <v>112120601060</v>
      </c>
      <c r="C3914" s="89" t="s">
        <v>456</v>
      </c>
      <c r="D3914" s="89"/>
      <c r="E3914" s="236" t="s">
        <v>1303</v>
      </c>
      <c r="F3914" s="236" t="s">
        <v>431</v>
      </c>
      <c r="G3914" s="236" t="s">
        <v>1304</v>
      </c>
      <c r="H3914" s="238">
        <v>42278</v>
      </c>
      <c r="I3914" s="235">
        <v>42332</v>
      </c>
      <c r="J3914" s="136">
        <v>6600.16</v>
      </c>
      <c r="K3914" s="89"/>
      <c r="L3914" s="89">
        <v>1</v>
      </c>
    </row>
    <row r="3915" spans="1:12" ht="71.25">
      <c r="A3915" s="89" t="s">
        <v>1298</v>
      </c>
      <c r="B3915" s="237">
        <v>112120601060</v>
      </c>
      <c r="C3915" s="89" t="s">
        <v>456</v>
      </c>
      <c r="D3915" s="89"/>
      <c r="E3915" s="236" t="s">
        <v>421</v>
      </c>
      <c r="F3915" s="236" t="s">
        <v>431</v>
      </c>
      <c r="G3915" s="236" t="s">
        <v>1305</v>
      </c>
      <c r="H3915" s="238">
        <v>42278</v>
      </c>
      <c r="I3915" s="235">
        <v>42334</v>
      </c>
      <c r="J3915" s="136">
        <v>123.08</v>
      </c>
      <c r="K3915" s="89"/>
      <c r="L3915" s="89">
        <v>1</v>
      </c>
    </row>
    <row r="3916" spans="1:12" ht="71.25">
      <c r="A3916" s="89" t="s">
        <v>1298</v>
      </c>
      <c r="B3916" s="237">
        <v>112120601060</v>
      </c>
      <c r="C3916" s="89" t="s">
        <v>456</v>
      </c>
      <c r="D3916" s="89"/>
      <c r="E3916" s="236" t="s">
        <v>1306</v>
      </c>
      <c r="F3916" s="236" t="s">
        <v>431</v>
      </c>
      <c r="G3916" s="236" t="s">
        <v>1307</v>
      </c>
      <c r="H3916" s="238">
        <v>42278</v>
      </c>
      <c r="I3916" s="235">
        <v>42334</v>
      </c>
      <c r="J3916" s="136">
        <v>477.06</v>
      </c>
      <c r="K3916" s="89"/>
      <c r="L3916" s="89">
        <v>1</v>
      </c>
    </row>
    <row r="3917" spans="1:12" ht="71.25">
      <c r="A3917" s="89" t="s">
        <v>1298</v>
      </c>
      <c r="B3917" s="237">
        <v>211010200000</v>
      </c>
      <c r="C3917" s="89" t="s">
        <v>456</v>
      </c>
      <c r="D3917" s="89"/>
      <c r="E3917" s="236" t="s">
        <v>1306</v>
      </c>
      <c r="F3917" s="236" t="s">
        <v>426</v>
      </c>
      <c r="G3917" s="236" t="s">
        <v>1308</v>
      </c>
      <c r="H3917" s="238">
        <v>42278</v>
      </c>
      <c r="I3917" s="235">
        <v>42334</v>
      </c>
      <c r="J3917" s="136">
        <v>-4.4800000000000004</v>
      </c>
      <c r="K3917" s="89"/>
      <c r="L3917" s="89">
        <v>1</v>
      </c>
    </row>
    <row r="3918" spans="1:12" ht="71.25">
      <c r="A3918" s="89" t="s">
        <v>1309</v>
      </c>
      <c r="B3918" s="237">
        <v>112120601060</v>
      </c>
      <c r="C3918" s="89" t="s">
        <v>719</v>
      </c>
      <c r="D3918" s="89"/>
      <c r="E3918" s="236" t="s">
        <v>414</v>
      </c>
      <c r="F3918" s="236" t="s">
        <v>431</v>
      </c>
      <c r="G3918" s="236" t="s">
        <v>1310</v>
      </c>
      <c r="H3918" s="238">
        <v>42278</v>
      </c>
      <c r="I3918" s="235">
        <v>42318</v>
      </c>
      <c r="J3918" s="136">
        <v>107.2</v>
      </c>
      <c r="K3918" s="89"/>
      <c r="L3918" s="89">
        <v>1</v>
      </c>
    </row>
    <row r="3919" spans="1:12" ht="71.25">
      <c r="A3919" s="89" t="s">
        <v>1309</v>
      </c>
      <c r="B3919" s="237">
        <v>112120601060</v>
      </c>
      <c r="C3919" s="89" t="s">
        <v>719</v>
      </c>
      <c r="D3919" s="89"/>
      <c r="E3919" s="236" t="s">
        <v>414</v>
      </c>
      <c r="F3919" s="236" t="s">
        <v>431</v>
      </c>
      <c r="G3919" s="236" t="s">
        <v>1311</v>
      </c>
      <c r="H3919" s="238">
        <v>42278</v>
      </c>
      <c r="I3919" s="235">
        <v>42319</v>
      </c>
      <c r="J3919" s="136">
        <v>43.61</v>
      </c>
      <c r="K3919" s="89"/>
      <c r="L3919" s="89">
        <v>1</v>
      </c>
    </row>
    <row r="3920" spans="1:12" ht="71.25">
      <c r="A3920" s="89" t="s">
        <v>1309</v>
      </c>
      <c r="B3920" s="237">
        <v>112120601060</v>
      </c>
      <c r="C3920" s="89" t="s">
        <v>719</v>
      </c>
      <c r="D3920" s="89"/>
      <c r="E3920" s="236" t="s">
        <v>414</v>
      </c>
      <c r="F3920" s="236" t="s">
        <v>431</v>
      </c>
      <c r="G3920" s="236" t="s">
        <v>1312</v>
      </c>
      <c r="H3920" s="238">
        <v>42309</v>
      </c>
      <c r="I3920" s="235">
        <v>42331</v>
      </c>
      <c r="J3920" s="136">
        <v>349.9</v>
      </c>
      <c r="K3920" s="89"/>
      <c r="L3920" s="89">
        <v>1</v>
      </c>
    </row>
    <row r="3921" spans="1:12" ht="71.25">
      <c r="A3921" s="89" t="s">
        <v>1309</v>
      </c>
      <c r="B3921" s="237">
        <v>112120601060</v>
      </c>
      <c r="C3921" s="89" t="s">
        <v>719</v>
      </c>
      <c r="D3921" s="89"/>
      <c r="E3921" s="236" t="s">
        <v>414</v>
      </c>
      <c r="F3921" s="236" t="s">
        <v>431</v>
      </c>
      <c r="G3921" s="236" t="s">
        <v>1313</v>
      </c>
      <c r="H3921" s="238">
        <v>42309</v>
      </c>
      <c r="I3921" s="235">
        <v>42331</v>
      </c>
      <c r="J3921" s="136">
        <v>115.09</v>
      </c>
      <c r="K3921" s="89"/>
      <c r="L3921" s="89">
        <v>1</v>
      </c>
    </row>
    <row r="3922" spans="1:12" ht="71.25">
      <c r="A3922" s="89" t="s">
        <v>1309</v>
      </c>
      <c r="B3922" s="237">
        <v>112120601060</v>
      </c>
      <c r="C3922" s="89" t="s">
        <v>719</v>
      </c>
      <c r="D3922" s="89"/>
      <c r="E3922" s="236" t="s">
        <v>414</v>
      </c>
      <c r="F3922" s="236" t="s">
        <v>431</v>
      </c>
      <c r="G3922" s="236" t="s">
        <v>1314</v>
      </c>
      <c r="H3922" s="238">
        <v>42309</v>
      </c>
      <c r="I3922" s="235">
        <v>42335</v>
      </c>
      <c r="J3922" s="136">
        <v>19.79</v>
      </c>
      <c r="K3922" s="89"/>
      <c r="L3922" s="89">
        <v>1</v>
      </c>
    </row>
    <row r="3923" spans="1:12" ht="71.25">
      <c r="A3923" s="89" t="s">
        <v>1315</v>
      </c>
      <c r="B3923" s="237">
        <v>112120601060</v>
      </c>
      <c r="C3923" s="89" t="s">
        <v>461</v>
      </c>
      <c r="D3923" s="89"/>
      <c r="E3923" s="236" t="s">
        <v>416</v>
      </c>
      <c r="F3923" s="236" t="s">
        <v>431</v>
      </c>
      <c r="G3923" s="236" t="s">
        <v>1316</v>
      </c>
      <c r="H3923" s="238">
        <v>42278</v>
      </c>
      <c r="I3923" s="235">
        <v>42321</v>
      </c>
      <c r="J3923" s="136">
        <v>435.51</v>
      </c>
      <c r="K3923" s="89"/>
      <c r="L3923" s="89">
        <v>1</v>
      </c>
    </row>
    <row r="3924" spans="1:12" ht="228">
      <c r="A3924" s="89" t="s">
        <v>1315</v>
      </c>
      <c r="B3924" s="237">
        <v>112120601060</v>
      </c>
      <c r="C3924" s="89" t="s">
        <v>461</v>
      </c>
      <c r="D3924" s="89"/>
      <c r="E3924" s="236" t="s">
        <v>410</v>
      </c>
      <c r="F3924" s="236" t="s">
        <v>431</v>
      </c>
      <c r="G3924" s="236" t="s">
        <v>1317</v>
      </c>
      <c r="H3924" s="238">
        <v>42278</v>
      </c>
      <c r="I3924" s="235">
        <v>42324</v>
      </c>
      <c r="J3924" s="136">
        <v>0.5</v>
      </c>
      <c r="K3924" s="89"/>
      <c r="L3924" s="89">
        <v>1</v>
      </c>
    </row>
    <row r="3925" spans="1:12" ht="71.25">
      <c r="A3925" s="89" t="s">
        <v>1315</v>
      </c>
      <c r="B3925" s="237">
        <v>112120601060</v>
      </c>
      <c r="C3925" s="89" t="s">
        <v>461</v>
      </c>
      <c r="D3925" s="89"/>
      <c r="E3925" s="236" t="s">
        <v>416</v>
      </c>
      <c r="F3925" s="236" t="s">
        <v>431</v>
      </c>
      <c r="G3925" s="236" t="s">
        <v>1318</v>
      </c>
      <c r="H3925" s="238">
        <v>42309</v>
      </c>
      <c r="I3925" s="235">
        <v>42331</v>
      </c>
      <c r="J3925" s="136">
        <v>191.39</v>
      </c>
      <c r="K3925" s="89"/>
      <c r="L3925" s="89">
        <v>1</v>
      </c>
    </row>
    <row r="3926" spans="1:12" ht="128.25">
      <c r="A3926" s="89" t="s">
        <v>1319</v>
      </c>
      <c r="B3926" s="237">
        <v>112120601060</v>
      </c>
      <c r="C3926" s="89" t="s">
        <v>461</v>
      </c>
      <c r="D3926" s="89"/>
      <c r="E3926" s="236" t="s">
        <v>441</v>
      </c>
      <c r="F3926" s="236" t="s">
        <v>431</v>
      </c>
      <c r="G3926" s="236" t="s">
        <v>1320</v>
      </c>
      <c r="H3926" s="238">
        <v>42248</v>
      </c>
      <c r="I3926" s="235">
        <v>42331</v>
      </c>
      <c r="J3926" s="136">
        <v>720.01</v>
      </c>
      <c r="K3926" s="89"/>
      <c r="L3926" s="89">
        <v>1</v>
      </c>
    </row>
    <row r="3927" spans="1:12" ht="156.75">
      <c r="A3927" s="89" t="s">
        <v>1321</v>
      </c>
      <c r="B3927" s="237">
        <v>112120601060</v>
      </c>
      <c r="C3927" s="89" t="s">
        <v>463</v>
      </c>
      <c r="D3927" s="89"/>
      <c r="E3927" s="236" t="s">
        <v>1303</v>
      </c>
      <c r="F3927" s="236" t="s">
        <v>431</v>
      </c>
      <c r="G3927" s="236" t="s">
        <v>1322</v>
      </c>
      <c r="H3927" s="238">
        <v>42278</v>
      </c>
      <c r="I3927" s="235">
        <v>42317</v>
      </c>
      <c r="J3927" s="136">
        <v>1410</v>
      </c>
      <c r="K3927" s="89"/>
      <c r="L3927" s="89">
        <v>1</v>
      </c>
    </row>
    <row r="3928" spans="1:12" ht="114">
      <c r="A3928" s="89" t="s">
        <v>1321</v>
      </c>
      <c r="B3928" s="237">
        <v>112120601060</v>
      </c>
      <c r="C3928" s="89" t="s">
        <v>463</v>
      </c>
      <c r="D3928" s="89"/>
      <c r="E3928" s="236" t="s">
        <v>430</v>
      </c>
      <c r="F3928" s="236" t="s">
        <v>431</v>
      </c>
      <c r="G3928" s="236" t="s">
        <v>1289</v>
      </c>
      <c r="H3928" s="238">
        <v>42278</v>
      </c>
      <c r="I3928" s="235">
        <v>42317</v>
      </c>
      <c r="J3928" s="136">
        <v>160</v>
      </c>
      <c r="K3928" s="89"/>
      <c r="L3928" s="89">
        <v>1</v>
      </c>
    </row>
    <row r="3929" spans="1:12" ht="99.75">
      <c r="A3929" s="89" t="s">
        <v>1321</v>
      </c>
      <c r="B3929" s="237">
        <v>112120601060</v>
      </c>
      <c r="C3929" s="89" t="s">
        <v>463</v>
      </c>
      <c r="D3929" s="89"/>
      <c r="E3929" s="236" t="s">
        <v>417</v>
      </c>
      <c r="F3929" s="236" t="s">
        <v>431</v>
      </c>
      <c r="G3929" s="236" t="s">
        <v>1323</v>
      </c>
      <c r="H3929" s="238">
        <v>42278</v>
      </c>
      <c r="I3929" s="235">
        <v>42321</v>
      </c>
      <c r="J3929" s="136">
        <v>268.89</v>
      </c>
      <c r="K3929" s="89"/>
      <c r="L3929" s="89">
        <v>1</v>
      </c>
    </row>
    <row r="3930" spans="1:12" ht="71.25">
      <c r="A3930" s="89" t="s">
        <v>1321</v>
      </c>
      <c r="B3930" s="237">
        <v>112120601060</v>
      </c>
      <c r="C3930" s="89" t="s">
        <v>463</v>
      </c>
      <c r="D3930" s="89"/>
      <c r="E3930" s="236" t="s">
        <v>1324</v>
      </c>
      <c r="F3930" s="236" t="s">
        <v>431</v>
      </c>
      <c r="G3930" s="236" t="s">
        <v>1325</v>
      </c>
      <c r="H3930" s="238">
        <v>42278</v>
      </c>
      <c r="I3930" s="235">
        <v>42321</v>
      </c>
      <c r="J3930" s="136">
        <v>99</v>
      </c>
      <c r="K3930" s="89"/>
      <c r="L3930" s="89">
        <v>1</v>
      </c>
    </row>
    <row r="3931" spans="1:12" ht="114">
      <c r="A3931" s="89" t="s">
        <v>1321</v>
      </c>
      <c r="B3931" s="237">
        <v>112120601060</v>
      </c>
      <c r="C3931" s="89" t="s">
        <v>463</v>
      </c>
      <c r="D3931" s="89"/>
      <c r="E3931" s="236" t="s">
        <v>430</v>
      </c>
      <c r="F3931" s="236" t="s">
        <v>431</v>
      </c>
      <c r="G3931" s="236" t="s">
        <v>1326</v>
      </c>
      <c r="H3931" s="238">
        <v>42278</v>
      </c>
      <c r="I3931" s="235">
        <v>42327</v>
      </c>
      <c r="J3931" s="136">
        <v>460.5</v>
      </c>
      <c r="K3931" s="89"/>
      <c r="L3931" s="89">
        <v>1</v>
      </c>
    </row>
    <row r="3932" spans="1:12" ht="142.5">
      <c r="A3932" s="89" t="s">
        <v>1321</v>
      </c>
      <c r="B3932" s="237">
        <v>112120601060</v>
      </c>
      <c r="C3932" s="89" t="s">
        <v>463</v>
      </c>
      <c r="D3932" s="89"/>
      <c r="E3932" s="236" t="s">
        <v>1301</v>
      </c>
      <c r="F3932" s="236" t="s">
        <v>431</v>
      </c>
      <c r="G3932" s="236" t="s">
        <v>1327</v>
      </c>
      <c r="H3932" s="238">
        <v>42278</v>
      </c>
      <c r="I3932" s="235">
        <v>42331</v>
      </c>
      <c r="J3932" s="136">
        <v>1201.5999999999999</v>
      </c>
      <c r="K3932" s="89"/>
      <c r="L3932" s="89">
        <v>1</v>
      </c>
    </row>
    <row r="3933" spans="1:12" ht="128.25">
      <c r="A3933" s="89" t="s">
        <v>1321</v>
      </c>
      <c r="B3933" s="237">
        <v>112120601060</v>
      </c>
      <c r="C3933" s="89" t="s">
        <v>463</v>
      </c>
      <c r="D3933" s="89"/>
      <c r="E3933" s="236" t="s">
        <v>411</v>
      </c>
      <c r="F3933" s="236" t="s">
        <v>431</v>
      </c>
      <c r="G3933" s="236" t="s">
        <v>1328</v>
      </c>
      <c r="H3933" s="238">
        <v>42278</v>
      </c>
      <c r="I3933" s="235">
        <v>42333</v>
      </c>
      <c r="J3933" s="136">
        <v>7.7</v>
      </c>
      <c r="K3933" s="89"/>
      <c r="L3933" s="89">
        <v>1</v>
      </c>
    </row>
    <row r="3934" spans="1:12" ht="99.75">
      <c r="A3934" s="89" t="s">
        <v>1321</v>
      </c>
      <c r="B3934" s="237">
        <v>112120601060</v>
      </c>
      <c r="C3934" s="89" t="s">
        <v>463</v>
      </c>
      <c r="D3934" s="89"/>
      <c r="E3934" s="236" t="s">
        <v>417</v>
      </c>
      <c r="F3934" s="236" t="s">
        <v>431</v>
      </c>
      <c r="G3934" s="236" t="s">
        <v>1285</v>
      </c>
      <c r="H3934" s="238">
        <v>42309</v>
      </c>
      <c r="I3934" s="235">
        <v>42335</v>
      </c>
      <c r="J3934" s="136">
        <v>114.25</v>
      </c>
      <c r="K3934" s="89"/>
      <c r="L3934" s="89">
        <v>1</v>
      </c>
    </row>
    <row r="3935" spans="1:12" ht="114">
      <c r="A3935" s="89" t="s">
        <v>1321</v>
      </c>
      <c r="B3935" s="237">
        <v>462030200000</v>
      </c>
      <c r="C3935" s="89" t="s">
        <v>463</v>
      </c>
      <c r="D3935" s="89"/>
      <c r="E3935" s="236" t="s">
        <v>436</v>
      </c>
      <c r="F3935" s="236" t="s">
        <v>1329</v>
      </c>
      <c r="G3935" s="236" t="s">
        <v>1330</v>
      </c>
      <c r="H3935" s="238">
        <v>42278</v>
      </c>
      <c r="I3935" s="235">
        <v>42338</v>
      </c>
      <c r="J3935" s="136">
        <v>100.8</v>
      </c>
      <c r="K3935" s="89"/>
      <c r="L3935" s="89">
        <v>1</v>
      </c>
    </row>
    <row r="3936" spans="1:12" ht="128.25">
      <c r="A3936" s="89" t="s">
        <v>1331</v>
      </c>
      <c r="B3936" s="237">
        <v>112120601060</v>
      </c>
      <c r="C3936" s="89" t="s">
        <v>465</v>
      </c>
      <c r="D3936" s="89"/>
      <c r="E3936" s="236" t="s">
        <v>1332</v>
      </c>
      <c r="F3936" s="236" t="s">
        <v>431</v>
      </c>
      <c r="G3936" s="236" t="s">
        <v>1333</v>
      </c>
      <c r="H3936" s="238">
        <v>42278</v>
      </c>
      <c r="I3936" s="235">
        <v>42331</v>
      </c>
      <c r="J3936" s="136">
        <v>965.29</v>
      </c>
      <c r="K3936" s="89"/>
      <c r="L3936" s="89">
        <v>1</v>
      </c>
    </row>
    <row r="3937" spans="1:12" ht="114">
      <c r="A3937" s="89" t="s">
        <v>1334</v>
      </c>
      <c r="B3937" s="237">
        <v>112120601060</v>
      </c>
      <c r="C3937" s="89" t="s">
        <v>465</v>
      </c>
      <c r="D3937" s="89"/>
      <c r="E3937" s="236" t="s">
        <v>418</v>
      </c>
      <c r="F3937" s="236" t="s">
        <v>431</v>
      </c>
      <c r="G3937" s="236" t="s">
        <v>1335</v>
      </c>
      <c r="H3937" s="238">
        <v>42278</v>
      </c>
      <c r="I3937" s="235">
        <v>42319</v>
      </c>
      <c r="J3937" s="136">
        <v>518.04999999999995</v>
      </c>
      <c r="K3937" s="89"/>
      <c r="L3937" s="89">
        <v>1</v>
      </c>
    </row>
    <row r="3938" spans="1:12" ht="114">
      <c r="A3938" s="89" t="s">
        <v>1334</v>
      </c>
      <c r="B3938" s="237">
        <v>112120601060</v>
      </c>
      <c r="C3938" s="89" t="s">
        <v>465</v>
      </c>
      <c r="D3938" s="89"/>
      <c r="E3938" s="236" t="s">
        <v>418</v>
      </c>
      <c r="F3938" s="236" t="s">
        <v>431</v>
      </c>
      <c r="G3938" s="236" t="s">
        <v>1336</v>
      </c>
      <c r="H3938" s="238">
        <v>42309</v>
      </c>
      <c r="I3938" s="235">
        <v>42331</v>
      </c>
      <c r="J3938" s="136">
        <v>270.33999999999997</v>
      </c>
      <c r="K3938" s="89"/>
      <c r="L3938" s="89">
        <v>1</v>
      </c>
    </row>
    <row r="3939" spans="1:12" ht="114">
      <c r="A3939" s="89" t="s">
        <v>1337</v>
      </c>
      <c r="B3939" s="237">
        <v>112120601060</v>
      </c>
      <c r="C3939" s="89" t="s">
        <v>466</v>
      </c>
      <c r="D3939" s="89"/>
      <c r="E3939" s="236" t="s">
        <v>430</v>
      </c>
      <c r="F3939" s="236" t="s">
        <v>431</v>
      </c>
      <c r="G3939" s="236" t="s">
        <v>1326</v>
      </c>
      <c r="H3939" s="238">
        <v>42278</v>
      </c>
      <c r="I3939" s="235">
        <v>42327</v>
      </c>
      <c r="J3939" s="136">
        <v>330</v>
      </c>
      <c r="K3939" s="89"/>
      <c r="L3939" s="89">
        <v>1</v>
      </c>
    </row>
    <row r="3940" spans="1:12" ht="114">
      <c r="A3940" s="89" t="s">
        <v>471</v>
      </c>
      <c r="B3940" s="237">
        <v>112120601060</v>
      </c>
      <c r="C3940" s="89" t="s">
        <v>472</v>
      </c>
      <c r="D3940" s="89"/>
      <c r="E3940" s="236" t="s">
        <v>469</v>
      </c>
      <c r="F3940" s="236" t="s">
        <v>431</v>
      </c>
      <c r="G3940" s="236" t="s">
        <v>1338</v>
      </c>
      <c r="H3940" s="238">
        <v>42278</v>
      </c>
      <c r="I3940" s="235">
        <v>42314</v>
      </c>
      <c r="J3940" s="136">
        <v>417.77</v>
      </c>
      <c r="K3940" s="89"/>
      <c r="L3940" s="89">
        <v>1</v>
      </c>
    </row>
    <row r="3941" spans="1:12" ht="114">
      <c r="A3941" s="89" t="s">
        <v>473</v>
      </c>
      <c r="B3941" s="237">
        <v>112120601060</v>
      </c>
      <c r="C3941" s="89" t="s">
        <v>474</v>
      </c>
      <c r="D3941" s="89"/>
      <c r="E3941" s="236" t="s">
        <v>469</v>
      </c>
      <c r="F3941" s="236" t="s">
        <v>431</v>
      </c>
      <c r="G3941" s="236" t="s">
        <v>1338</v>
      </c>
      <c r="H3941" s="238">
        <v>42278</v>
      </c>
      <c r="I3941" s="235">
        <v>42314</v>
      </c>
      <c r="J3941" s="136">
        <v>4804.4399999999996</v>
      </c>
      <c r="K3941" s="89"/>
      <c r="L3941" s="89">
        <v>1</v>
      </c>
    </row>
    <row r="3942" spans="1:12" ht="114">
      <c r="A3942" s="89" t="s">
        <v>473</v>
      </c>
      <c r="B3942" s="237">
        <v>211010200000</v>
      </c>
      <c r="C3942" s="89" t="s">
        <v>474</v>
      </c>
      <c r="D3942" s="89"/>
      <c r="E3942" s="236" t="s">
        <v>469</v>
      </c>
      <c r="F3942" s="236" t="s">
        <v>426</v>
      </c>
      <c r="G3942" s="236" t="s">
        <v>1339</v>
      </c>
      <c r="H3942" s="238">
        <v>42248</v>
      </c>
      <c r="I3942" s="235">
        <v>42314</v>
      </c>
      <c r="J3942" s="136">
        <v>-3215.57</v>
      </c>
      <c r="K3942" s="89"/>
      <c r="L3942" s="89">
        <v>1</v>
      </c>
    </row>
    <row r="3943" spans="1:12" ht="71.25">
      <c r="A3943" s="89" t="s">
        <v>1340</v>
      </c>
      <c r="B3943" s="237">
        <v>112120601060</v>
      </c>
      <c r="C3943" s="89" t="s">
        <v>1341</v>
      </c>
      <c r="D3943" s="89"/>
      <c r="E3943" s="236" t="s">
        <v>413</v>
      </c>
      <c r="F3943" s="236" t="s">
        <v>431</v>
      </c>
      <c r="G3943" s="236" t="s">
        <v>1342</v>
      </c>
      <c r="H3943" s="238">
        <v>42278</v>
      </c>
      <c r="I3943" s="235">
        <v>42321</v>
      </c>
      <c r="J3943" s="136">
        <v>48.8</v>
      </c>
      <c r="K3943" s="89"/>
      <c r="L3943" s="89">
        <v>1</v>
      </c>
    </row>
    <row r="3944" spans="1:12" ht="57">
      <c r="A3944" s="89" t="s">
        <v>1343</v>
      </c>
      <c r="B3944" s="237"/>
      <c r="C3944" s="89" t="s">
        <v>458</v>
      </c>
      <c r="D3944" s="89"/>
      <c r="E3944" s="236" t="s">
        <v>869</v>
      </c>
      <c r="F3944" s="336" t="s">
        <v>1344</v>
      </c>
      <c r="G3944" s="236" t="s">
        <v>870</v>
      </c>
      <c r="H3944" s="238">
        <v>42248</v>
      </c>
      <c r="I3944" s="235">
        <v>42338</v>
      </c>
      <c r="J3944" s="136">
        <v>4476.6099999999997</v>
      </c>
      <c r="K3944" s="89"/>
      <c r="L3944" s="89">
        <v>1</v>
      </c>
    </row>
    <row r="3945" spans="1:12" ht="57">
      <c r="A3945" s="89" t="s">
        <v>1345</v>
      </c>
      <c r="B3945" s="237"/>
      <c r="C3945" s="89" t="s">
        <v>454</v>
      </c>
      <c r="D3945" s="89"/>
      <c r="E3945" s="236" t="s">
        <v>869</v>
      </c>
      <c r="F3945" s="336" t="s">
        <v>1344</v>
      </c>
      <c r="G3945" s="236" t="s">
        <v>870</v>
      </c>
      <c r="H3945" s="238">
        <v>42248</v>
      </c>
      <c r="I3945" s="235">
        <v>42338</v>
      </c>
      <c r="J3945" s="136">
        <v>1043.53</v>
      </c>
      <c r="K3945" s="89"/>
      <c r="L3945" s="89">
        <v>1</v>
      </c>
    </row>
    <row r="3946" spans="1:12" ht="57">
      <c r="A3946" s="89" t="s">
        <v>1346</v>
      </c>
      <c r="B3946" s="237"/>
      <c r="C3946" s="89" t="s">
        <v>456</v>
      </c>
      <c r="D3946" s="89"/>
      <c r="E3946" s="236" t="s">
        <v>869</v>
      </c>
      <c r="F3946" s="336" t="s">
        <v>1344</v>
      </c>
      <c r="G3946" s="236" t="s">
        <v>870</v>
      </c>
      <c r="H3946" s="238">
        <v>42248</v>
      </c>
      <c r="I3946" s="235">
        <v>42338</v>
      </c>
      <c r="J3946" s="136">
        <v>1701.41</v>
      </c>
      <c r="K3946" s="89"/>
      <c r="L3946" s="89">
        <v>1</v>
      </c>
    </row>
    <row r="3947" spans="1:12" ht="57">
      <c r="A3947" s="89" t="s">
        <v>1347</v>
      </c>
      <c r="B3947" s="237"/>
      <c r="C3947" s="89" t="s">
        <v>719</v>
      </c>
      <c r="D3947" s="89"/>
      <c r="E3947" s="236" t="s">
        <v>869</v>
      </c>
      <c r="F3947" s="336" t="s">
        <v>1344</v>
      </c>
      <c r="G3947" s="236" t="s">
        <v>870</v>
      </c>
      <c r="H3947" s="238">
        <v>42248</v>
      </c>
      <c r="I3947" s="235">
        <v>42338</v>
      </c>
      <c r="J3947" s="136">
        <v>1398.94</v>
      </c>
      <c r="K3947" s="89"/>
      <c r="L3947" s="89">
        <v>1</v>
      </c>
    </row>
    <row r="3948" spans="1:12" ht="57">
      <c r="A3948" s="89" t="s">
        <v>1348</v>
      </c>
      <c r="B3948" s="237"/>
      <c r="C3948" s="89" t="s">
        <v>460</v>
      </c>
      <c r="D3948" s="89"/>
      <c r="E3948" s="236" t="s">
        <v>869</v>
      </c>
      <c r="F3948" s="336" t="s">
        <v>1344</v>
      </c>
      <c r="G3948" s="236" t="s">
        <v>870</v>
      </c>
      <c r="H3948" s="238">
        <v>42248</v>
      </c>
      <c r="I3948" s="235">
        <v>42338</v>
      </c>
      <c r="J3948" s="136">
        <v>9452.2999999999993</v>
      </c>
      <c r="K3948" s="89"/>
      <c r="L3948" s="89">
        <v>1</v>
      </c>
    </row>
    <row r="3949" spans="1:12" ht="57">
      <c r="A3949" s="89" t="s">
        <v>1349</v>
      </c>
      <c r="B3949" s="237"/>
      <c r="C3949" s="89" t="s">
        <v>461</v>
      </c>
      <c r="D3949" s="89"/>
      <c r="E3949" s="236" t="s">
        <v>869</v>
      </c>
      <c r="F3949" s="336" t="s">
        <v>1344</v>
      </c>
      <c r="G3949" s="236" t="s">
        <v>870</v>
      </c>
      <c r="H3949" s="238">
        <v>42248</v>
      </c>
      <c r="I3949" s="235">
        <v>42338</v>
      </c>
      <c r="J3949" s="136">
        <v>5937.93</v>
      </c>
      <c r="K3949" s="89"/>
      <c r="L3949" s="89">
        <v>1</v>
      </c>
    </row>
    <row r="3950" spans="1:12" ht="57">
      <c r="A3950" s="89" t="s">
        <v>1350</v>
      </c>
      <c r="B3950" s="237"/>
      <c r="C3950" s="89" t="s">
        <v>463</v>
      </c>
      <c r="D3950" s="89"/>
      <c r="E3950" s="236" t="s">
        <v>869</v>
      </c>
      <c r="F3950" s="336" t="s">
        <v>1344</v>
      </c>
      <c r="G3950" s="236" t="s">
        <v>870</v>
      </c>
      <c r="H3950" s="238">
        <v>42248</v>
      </c>
      <c r="I3950" s="235">
        <v>42338</v>
      </c>
      <c r="J3950" s="136">
        <v>6121.31</v>
      </c>
      <c r="K3950" s="89"/>
      <c r="L3950" s="89">
        <v>1</v>
      </c>
    </row>
    <row r="3951" spans="1:12" ht="57">
      <c r="A3951" s="89" t="s">
        <v>1351</v>
      </c>
      <c r="B3951" s="237"/>
      <c r="C3951" s="89" t="s">
        <v>465</v>
      </c>
      <c r="D3951" s="89"/>
      <c r="E3951" s="236" t="s">
        <v>869</v>
      </c>
      <c r="F3951" s="336" t="s">
        <v>1344</v>
      </c>
      <c r="G3951" s="236" t="s">
        <v>870</v>
      </c>
      <c r="H3951" s="238">
        <v>42248</v>
      </c>
      <c r="I3951" s="235">
        <v>42338</v>
      </c>
      <c r="J3951" s="136">
        <v>5478.55</v>
      </c>
      <c r="K3951" s="89"/>
      <c r="L3951" s="89">
        <v>1</v>
      </c>
    </row>
    <row r="3952" spans="1:12" ht="57">
      <c r="A3952" s="89" t="s">
        <v>1352</v>
      </c>
      <c r="B3952" s="237"/>
      <c r="C3952" s="89" t="s">
        <v>466</v>
      </c>
      <c r="D3952" s="89"/>
      <c r="E3952" s="236" t="s">
        <v>869</v>
      </c>
      <c r="F3952" s="336" t="s">
        <v>1344</v>
      </c>
      <c r="G3952" s="236" t="s">
        <v>870</v>
      </c>
      <c r="H3952" s="238">
        <v>42248</v>
      </c>
      <c r="I3952" s="235">
        <v>42338</v>
      </c>
      <c r="J3952" s="136">
        <v>1681.75</v>
      </c>
      <c r="K3952" s="89"/>
      <c r="L3952" s="89">
        <v>1</v>
      </c>
    </row>
    <row r="3953" spans="1:12" ht="57">
      <c r="A3953" s="89" t="s">
        <v>1353</v>
      </c>
      <c r="B3953" s="237"/>
      <c r="C3953" s="89" t="s">
        <v>794</v>
      </c>
      <c r="D3953" s="89"/>
      <c r="E3953" s="236" t="s">
        <v>869</v>
      </c>
      <c r="F3953" s="336" t="s">
        <v>1344</v>
      </c>
      <c r="G3953" s="236" t="s">
        <v>870</v>
      </c>
      <c r="H3953" s="238">
        <v>42248</v>
      </c>
      <c r="I3953" s="235">
        <v>42338</v>
      </c>
      <c r="J3953" s="136">
        <v>7291.69</v>
      </c>
      <c r="K3953" s="89"/>
      <c r="L3953" s="89">
        <v>1</v>
      </c>
    </row>
    <row r="3954" spans="1:12" ht="57">
      <c r="A3954" s="89" t="s">
        <v>1354</v>
      </c>
      <c r="B3954" s="237"/>
      <c r="C3954" s="89" t="s">
        <v>486</v>
      </c>
      <c r="D3954" s="89"/>
      <c r="E3954" s="236" t="s">
        <v>869</v>
      </c>
      <c r="F3954" s="336" t="s">
        <v>1344</v>
      </c>
      <c r="G3954" s="236" t="s">
        <v>870</v>
      </c>
      <c r="H3954" s="238">
        <v>42248</v>
      </c>
      <c r="I3954" s="235">
        <v>42338</v>
      </c>
      <c r="J3954" s="136">
        <v>1126.71</v>
      </c>
      <c r="K3954" s="89"/>
      <c r="L3954" s="89">
        <v>1</v>
      </c>
    </row>
    <row r="3955" spans="1:12" ht="57">
      <c r="A3955" s="89" t="s">
        <v>1355</v>
      </c>
      <c r="B3955" s="237">
        <v>112120602010</v>
      </c>
      <c r="C3955" s="89" t="s">
        <v>458</v>
      </c>
      <c r="D3955" s="89"/>
      <c r="E3955" s="236" t="s">
        <v>1356</v>
      </c>
      <c r="F3955" s="236" t="s">
        <v>1357</v>
      </c>
      <c r="G3955" s="236" t="s">
        <v>1358</v>
      </c>
      <c r="H3955" s="238">
        <v>42217</v>
      </c>
      <c r="I3955" s="235">
        <v>42314</v>
      </c>
      <c r="J3955" s="136">
        <v>993.17</v>
      </c>
      <c r="K3955" s="89"/>
      <c r="L3955" s="89">
        <v>1</v>
      </c>
    </row>
    <row r="3956" spans="1:12" ht="57">
      <c r="A3956" s="89" t="s">
        <v>1355</v>
      </c>
      <c r="B3956" s="237">
        <v>112120602010</v>
      </c>
      <c r="C3956" s="89" t="s">
        <v>458</v>
      </c>
      <c r="D3956" s="89"/>
      <c r="E3956" s="236" t="s">
        <v>1356</v>
      </c>
      <c r="F3956" s="236" t="s">
        <v>1357</v>
      </c>
      <c r="G3956" s="236" t="s">
        <v>1359</v>
      </c>
      <c r="H3956" s="238">
        <v>42248</v>
      </c>
      <c r="I3956" s="235">
        <v>42314</v>
      </c>
      <c r="J3956" s="136">
        <v>993.17</v>
      </c>
      <c r="K3956" s="89"/>
      <c r="L3956" s="89">
        <v>1</v>
      </c>
    </row>
    <row r="3957" spans="1:12" ht="85.5">
      <c r="A3957" s="89" t="s">
        <v>705</v>
      </c>
      <c r="B3957" s="237">
        <v>112120602010</v>
      </c>
      <c r="C3957" s="89" t="s">
        <v>456</v>
      </c>
      <c r="D3957" s="89"/>
      <c r="E3957" s="236" t="s">
        <v>706</v>
      </c>
      <c r="F3957" s="236" t="s">
        <v>1357</v>
      </c>
      <c r="G3957" s="236" t="s">
        <v>1360</v>
      </c>
      <c r="H3957" s="238">
        <v>42278</v>
      </c>
      <c r="I3957" s="235">
        <v>42338</v>
      </c>
      <c r="J3957" s="136">
        <v>1122.57</v>
      </c>
      <c r="K3957" s="89"/>
      <c r="L3957" s="89">
        <v>1</v>
      </c>
    </row>
    <row r="3958" spans="1:12" ht="71.25">
      <c r="A3958" s="89" t="s">
        <v>707</v>
      </c>
      <c r="B3958" s="237">
        <v>112120602010</v>
      </c>
      <c r="C3958" s="89" t="s">
        <v>456</v>
      </c>
      <c r="D3958" s="89"/>
      <c r="E3958" s="236" t="s">
        <v>708</v>
      </c>
      <c r="F3958" s="236" t="s">
        <v>1357</v>
      </c>
      <c r="G3958" s="236" t="s">
        <v>1361</v>
      </c>
      <c r="H3958" s="238">
        <v>42278</v>
      </c>
      <c r="I3958" s="235">
        <v>42338</v>
      </c>
      <c r="J3958" s="136">
        <v>700</v>
      </c>
      <c r="K3958" s="89"/>
      <c r="L3958" s="89">
        <v>1</v>
      </c>
    </row>
    <row r="3959" spans="1:12" ht="85.5">
      <c r="A3959" s="89" t="s">
        <v>748</v>
      </c>
      <c r="B3959" s="237">
        <v>112120602010</v>
      </c>
      <c r="C3959" s="89" t="s">
        <v>460</v>
      </c>
      <c r="D3959" s="89"/>
      <c r="E3959" s="236" t="s">
        <v>706</v>
      </c>
      <c r="F3959" s="236" t="s">
        <v>1357</v>
      </c>
      <c r="G3959" s="236" t="s">
        <v>1362</v>
      </c>
      <c r="H3959" s="238">
        <v>42278</v>
      </c>
      <c r="I3959" s="235">
        <v>42326</v>
      </c>
      <c r="J3959" s="136">
        <v>324.5</v>
      </c>
      <c r="K3959" s="89"/>
      <c r="L3959" s="89">
        <v>1</v>
      </c>
    </row>
    <row r="3960" spans="1:12" ht="85.5">
      <c r="A3960" s="89" t="s">
        <v>748</v>
      </c>
      <c r="B3960" s="237">
        <v>112120602010</v>
      </c>
      <c r="C3960" s="89" t="s">
        <v>460</v>
      </c>
      <c r="D3960" s="89"/>
      <c r="E3960" s="236" t="s">
        <v>706</v>
      </c>
      <c r="F3960" s="236" t="s">
        <v>1357</v>
      </c>
      <c r="G3960" s="236" t="s">
        <v>1363</v>
      </c>
      <c r="H3960" s="238">
        <v>42278</v>
      </c>
      <c r="I3960" s="235">
        <v>42338</v>
      </c>
      <c r="J3960" s="136">
        <v>753.47</v>
      </c>
      <c r="K3960" s="89"/>
      <c r="L3960" s="89">
        <v>1</v>
      </c>
    </row>
    <row r="3961" spans="1:12" ht="85.5">
      <c r="A3961" s="89" t="s">
        <v>738</v>
      </c>
      <c r="B3961" s="237">
        <v>112120602020</v>
      </c>
      <c r="C3961" s="89" t="s">
        <v>459</v>
      </c>
      <c r="D3961" s="89"/>
      <c r="E3961" s="236" t="s">
        <v>739</v>
      </c>
      <c r="F3961" s="236" t="s">
        <v>404</v>
      </c>
      <c r="G3961" s="236" t="s">
        <v>1364</v>
      </c>
      <c r="H3961" s="238">
        <v>42248</v>
      </c>
      <c r="I3961" s="235">
        <v>42321</v>
      </c>
      <c r="J3961" s="136">
        <v>336.45</v>
      </c>
      <c r="K3961" s="89"/>
      <c r="L3961" s="89">
        <v>1</v>
      </c>
    </row>
    <row r="3962" spans="1:12" ht="128.25">
      <c r="A3962" s="89" t="s">
        <v>1365</v>
      </c>
      <c r="B3962" s="237">
        <v>112120602020</v>
      </c>
      <c r="C3962" s="89" t="s">
        <v>459</v>
      </c>
      <c r="D3962" s="89"/>
      <c r="E3962" s="236" t="s">
        <v>1366</v>
      </c>
      <c r="F3962" s="236" t="s">
        <v>404</v>
      </c>
      <c r="G3962" s="236" t="s">
        <v>1367</v>
      </c>
      <c r="H3962" s="238">
        <v>42248</v>
      </c>
      <c r="I3962" s="235">
        <v>42327</v>
      </c>
      <c r="J3962" s="136">
        <v>8285.61</v>
      </c>
      <c r="K3962" s="89"/>
      <c r="L3962" s="89">
        <v>1</v>
      </c>
    </row>
    <row r="3963" spans="1:12" ht="99.75">
      <c r="A3963" s="89" t="s">
        <v>1368</v>
      </c>
      <c r="B3963" s="237">
        <v>112120602020</v>
      </c>
      <c r="C3963" s="89" t="s">
        <v>719</v>
      </c>
      <c r="D3963" s="89"/>
      <c r="E3963" s="236" t="s">
        <v>1369</v>
      </c>
      <c r="F3963" s="236" t="s">
        <v>404</v>
      </c>
      <c r="G3963" s="236" t="s">
        <v>1370</v>
      </c>
      <c r="H3963" s="238">
        <v>42248</v>
      </c>
      <c r="I3963" s="235">
        <v>42311</v>
      </c>
      <c r="J3963" s="136">
        <v>5800</v>
      </c>
      <c r="K3963" s="89"/>
      <c r="L3963" s="89">
        <v>1</v>
      </c>
    </row>
    <row r="3964" spans="1:12" ht="99.75">
      <c r="A3964" s="89" t="s">
        <v>1368</v>
      </c>
      <c r="B3964" s="237">
        <v>211010200000</v>
      </c>
      <c r="C3964" s="89" t="s">
        <v>719</v>
      </c>
      <c r="D3964" s="89"/>
      <c r="E3964" s="236" t="s">
        <v>1369</v>
      </c>
      <c r="F3964" s="236" t="s">
        <v>426</v>
      </c>
      <c r="G3964" s="236" t="s">
        <v>1371</v>
      </c>
      <c r="H3964" s="238">
        <v>42248</v>
      </c>
      <c r="I3964" s="235">
        <v>42311</v>
      </c>
      <c r="J3964" s="136">
        <v>-580</v>
      </c>
      <c r="K3964" s="89"/>
      <c r="L3964" s="89">
        <v>1</v>
      </c>
    </row>
    <row r="3965" spans="1:12" ht="71.25">
      <c r="A3965" s="89" t="s">
        <v>1372</v>
      </c>
      <c r="B3965" s="237">
        <v>112120602020</v>
      </c>
      <c r="C3965" s="89" t="s">
        <v>460</v>
      </c>
      <c r="D3965" s="89"/>
      <c r="E3965" s="236" t="s">
        <v>1373</v>
      </c>
      <c r="F3965" s="236" t="s">
        <v>404</v>
      </c>
      <c r="G3965" s="236" t="s">
        <v>1374</v>
      </c>
      <c r="H3965" s="238">
        <v>42248</v>
      </c>
      <c r="I3965" s="235">
        <v>42311</v>
      </c>
      <c r="J3965" s="136">
        <v>1398.13</v>
      </c>
      <c r="K3965" s="89"/>
      <c r="L3965" s="89">
        <v>1</v>
      </c>
    </row>
    <row r="3966" spans="1:12" ht="71.25">
      <c r="A3966" s="89" t="s">
        <v>1375</v>
      </c>
      <c r="B3966" s="237">
        <v>112120602020</v>
      </c>
      <c r="C3966" s="89" t="s">
        <v>461</v>
      </c>
      <c r="D3966" s="89"/>
      <c r="E3966" s="236" t="s">
        <v>1373</v>
      </c>
      <c r="F3966" s="236" t="s">
        <v>404</v>
      </c>
      <c r="G3966" s="236" t="s">
        <v>1376</v>
      </c>
      <c r="H3966" s="238">
        <v>42248</v>
      </c>
      <c r="I3966" s="235">
        <v>42311</v>
      </c>
      <c r="J3966" s="136">
        <v>7100.14</v>
      </c>
      <c r="K3966" s="89"/>
      <c r="L3966" s="89">
        <v>1</v>
      </c>
    </row>
    <row r="3967" spans="1:12" ht="114">
      <c r="A3967" s="89" t="s">
        <v>771</v>
      </c>
      <c r="B3967" s="237">
        <v>112120602020</v>
      </c>
      <c r="C3967" s="89" t="s">
        <v>465</v>
      </c>
      <c r="D3967" s="89"/>
      <c r="E3967" s="236" t="s">
        <v>772</v>
      </c>
      <c r="F3967" s="236" t="s">
        <v>404</v>
      </c>
      <c r="G3967" s="236" t="s">
        <v>1377</v>
      </c>
      <c r="H3967" s="238">
        <v>42248</v>
      </c>
      <c r="I3967" s="235">
        <v>42317</v>
      </c>
      <c r="J3967" s="136">
        <v>8075</v>
      </c>
      <c r="K3967" s="89"/>
      <c r="L3967" s="89">
        <v>1</v>
      </c>
    </row>
    <row r="3968" spans="1:12" ht="85.5">
      <c r="A3968" s="89" t="s">
        <v>732</v>
      </c>
      <c r="B3968" s="237">
        <v>112120602030</v>
      </c>
      <c r="C3968" s="89" t="s">
        <v>459</v>
      </c>
      <c r="D3968" s="89"/>
      <c r="E3968" s="236" t="s">
        <v>733</v>
      </c>
      <c r="F3968" s="236" t="s">
        <v>1378</v>
      </c>
      <c r="G3968" s="236" t="s">
        <v>1379</v>
      </c>
      <c r="H3968" s="238">
        <v>42248</v>
      </c>
      <c r="I3968" s="235">
        <v>42324</v>
      </c>
      <c r="J3968" s="136">
        <v>26885.07</v>
      </c>
      <c r="K3968" s="89"/>
      <c r="L3968" s="89">
        <v>1</v>
      </c>
    </row>
    <row r="3969" spans="1:12" ht="57">
      <c r="A3969" s="89" t="s">
        <v>711</v>
      </c>
      <c r="B3969" s="237">
        <v>112120602030</v>
      </c>
      <c r="C3969" s="89" t="s">
        <v>458</v>
      </c>
      <c r="D3969" s="89"/>
      <c r="E3969" s="236" t="s">
        <v>686</v>
      </c>
      <c r="F3969" s="236" t="s">
        <v>1378</v>
      </c>
      <c r="G3969" s="236" t="s">
        <v>1380</v>
      </c>
      <c r="H3969" s="238">
        <v>42248</v>
      </c>
      <c r="I3969" s="235">
        <v>42311</v>
      </c>
      <c r="J3969" s="136">
        <v>26639</v>
      </c>
      <c r="K3969" s="89"/>
      <c r="L3969" s="89">
        <v>1</v>
      </c>
    </row>
    <row r="3970" spans="1:12" ht="57">
      <c r="A3970" s="89" t="s">
        <v>685</v>
      </c>
      <c r="B3970" s="237">
        <v>112120602030</v>
      </c>
      <c r="C3970" s="89" t="s">
        <v>454</v>
      </c>
      <c r="D3970" s="89"/>
      <c r="E3970" s="236" t="s">
        <v>686</v>
      </c>
      <c r="F3970" s="236" t="s">
        <v>1378</v>
      </c>
      <c r="G3970" s="236" t="s">
        <v>1381</v>
      </c>
      <c r="H3970" s="238">
        <v>42217</v>
      </c>
      <c r="I3970" s="235">
        <v>42313</v>
      </c>
      <c r="J3970" s="136">
        <v>6510.65</v>
      </c>
      <c r="K3970" s="89"/>
      <c r="L3970" s="89">
        <v>1</v>
      </c>
    </row>
    <row r="3971" spans="1:12" ht="57">
      <c r="A3971" s="89" t="s">
        <v>685</v>
      </c>
      <c r="B3971" s="237">
        <v>112120602030</v>
      </c>
      <c r="C3971" s="89" t="s">
        <v>454</v>
      </c>
      <c r="D3971" s="89"/>
      <c r="E3971" s="236" t="s">
        <v>686</v>
      </c>
      <c r="F3971" s="236" t="s">
        <v>1378</v>
      </c>
      <c r="G3971" s="236" t="s">
        <v>1382</v>
      </c>
      <c r="H3971" s="238">
        <v>42248</v>
      </c>
      <c r="I3971" s="235">
        <v>42313</v>
      </c>
      <c r="J3971" s="136">
        <v>17380</v>
      </c>
      <c r="K3971" s="89"/>
      <c r="L3971" s="89">
        <v>1</v>
      </c>
    </row>
    <row r="3972" spans="1:12" ht="57">
      <c r="A3972" s="89" t="s">
        <v>696</v>
      </c>
      <c r="B3972" s="237">
        <v>112120602030</v>
      </c>
      <c r="C3972" s="89" t="s">
        <v>456</v>
      </c>
      <c r="D3972" s="89"/>
      <c r="E3972" s="236" t="s">
        <v>686</v>
      </c>
      <c r="F3972" s="236" t="s">
        <v>1378</v>
      </c>
      <c r="G3972" s="236" t="s">
        <v>1383</v>
      </c>
      <c r="H3972" s="238">
        <v>42248</v>
      </c>
      <c r="I3972" s="235">
        <v>42311</v>
      </c>
      <c r="J3972" s="136">
        <v>14755.06</v>
      </c>
      <c r="K3972" s="89"/>
      <c r="L3972" s="89">
        <v>1</v>
      </c>
    </row>
    <row r="3973" spans="1:12" ht="71.25">
      <c r="A3973" s="89" t="s">
        <v>724</v>
      </c>
      <c r="B3973" s="237">
        <v>112120602030</v>
      </c>
      <c r="C3973" s="89" t="s">
        <v>719</v>
      </c>
      <c r="D3973" s="89"/>
      <c r="E3973" s="236" t="s">
        <v>725</v>
      </c>
      <c r="F3973" s="236" t="s">
        <v>1378</v>
      </c>
      <c r="G3973" s="236" t="s">
        <v>1384</v>
      </c>
      <c r="H3973" s="238">
        <v>42248</v>
      </c>
      <c r="I3973" s="235">
        <v>42314</v>
      </c>
      <c r="J3973" s="136">
        <v>11939.93</v>
      </c>
      <c r="K3973" s="89"/>
      <c r="L3973" s="89">
        <v>1</v>
      </c>
    </row>
    <row r="3974" spans="1:12" ht="85.5">
      <c r="A3974" s="89" t="s">
        <v>743</v>
      </c>
      <c r="B3974" s="237">
        <v>112120602030</v>
      </c>
      <c r="C3974" s="89" t="s">
        <v>460</v>
      </c>
      <c r="D3974" s="89"/>
      <c r="E3974" s="236" t="s">
        <v>733</v>
      </c>
      <c r="F3974" s="236" t="s">
        <v>1378</v>
      </c>
      <c r="G3974" s="236" t="s">
        <v>1385</v>
      </c>
      <c r="H3974" s="238">
        <v>42248</v>
      </c>
      <c r="I3974" s="235">
        <v>42317</v>
      </c>
      <c r="J3974" s="136">
        <v>22026.48</v>
      </c>
      <c r="K3974" s="89"/>
      <c r="L3974" s="89">
        <v>1</v>
      </c>
    </row>
    <row r="3975" spans="1:12" ht="85.5">
      <c r="A3975" s="89" t="s">
        <v>752</v>
      </c>
      <c r="B3975" s="237">
        <v>112120602030</v>
      </c>
      <c r="C3975" s="89" t="s">
        <v>461</v>
      </c>
      <c r="D3975" s="89"/>
      <c r="E3975" s="236" t="s">
        <v>733</v>
      </c>
      <c r="F3975" s="236" t="s">
        <v>1378</v>
      </c>
      <c r="G3975" s="236" t="s">
        <v>1386</v>
      </c>
      <c r="H3975" s="238">
        <v>42248</v>
      </c>
      <c r="I3975" s="235">
        <v>42317</v>
      </c>
      <c r="J3975" s="136">
        <v>18126.62</v>
      </c>
      <c r="K3975" s="89"/>
      <c r="L3975" s="89">
        <v>1</v>
      </c>
    </row>
    <row r="3976" spans="1:12" ht="57">
      <c r="A3976" s="89" t="s">
        <v>757</v>
      </c>
      <c r="B3976" s="237">
        <v>112120602030</v>
      </c>
      <c r="C3976" s="89" t="s">
        <v>463</v>
      </c>
      <c r="D3976" s="89"/>
      <c r="E3976" s="236" t="s">
        <v>686</v>
      </c>
      <c r="F3976" s="236" t="s">
        <v>1378</v>
      </c>
      <c r="G3976" s="236" t="s">
        <v>1387</v>
      </c>
      <c r="H3976" s="238">
        <v>42248</v>
      </c>
      <c r="I3976" s="235">
        <v>42311</v>
      </c>
      <c r="J3976" s="136">
        <v>16240.81</v>
      </c>
      <c r="K3976" s="89"/>
      <c r="L3976" s="89">
        <v>1</v>
      </c>
    </row>
    <row r="3977" spans="1:12" ht="57">
      <c r="A3977" s="89" t="s">
        <v>773</v>
      </c>
      <c r="B3977" s="237">
        <v>112120602030</v>
      </c>
      <c r="C3977" s="89" t="s">
        <v>466</v>
      </c>
      <c r="D3977" s="89"/>
      <c r="E3977" s="236" t="s">
        <v>686</v>
      </c>
      <c r="F3977" s="236" t="s">
        <v>1378</v>
      </c>
      <c r="G3977" s="236" t="s">
        <v>1388</v>
      </c>
      <c r="H3977" s="238">
        <v>42248</v>
      </c>
      <c r="I3977" s="235">
        <v>42311</v>
      </c>
      <c r="J3977" s="136">
        <v>14226.64</v>
      </c>
      <c r="K3977" s="89"/>
      <c r="L3977" s="89">
        <v>1</v>
      </c>
    </row>
    <row r="3978" spans="1:12" ht="99.75">
      <c r="A3978" s="89" t="s">
        <v>1389</v>
      </c>
      <c r="B3978" s="237">
        <v>112120605010</v>
      </c>
      <c r="C3978" s="89" t="s">
        <v>459</v>
      </c>
      <c r="D3978" s="89"/>
      <c r="E3978" s="236" t="s">
        <v>1390</v>
      </c>
      <c r="F3978" s="236" t="s">
        <v>1391</v>
      </c>
      <c r="G3978" s="236" t="s">
        <v>1392</v>
      </c>
      <c r="H3978" s="238">
        <v>42278</v>
      </c>
      <c r="I3978" s="235">
        <v>42338</v>
      </c>
      <c r="J3978" s="136">
        <v>3142</v>
      </c>
      <c r="K3978" s="89"/>
      <c r="L3978" s="89">
        <v>1</v>
      </c>
    </row>
    <row r="3979" spans="1:12" ht="57">
      <c r="A3979" s="89" t="s">
        <v>1393</v>
      </c>
      <c r="B3979" s="237"/>
      <c r="C3979" s="89" t="s">
        <v>456</v>
      </c>
      <c r="D3979" s="89"/>
      <c r="E3979" s="236" t="s">
        <v>421</v>
      </c>
      <c r="F3979" s="336" t="s">
        <v>432</v>
      </c>
      <c r="G3979" s="236" t="s">
        <v>1305</v>
      </c>
      <c r="H3979" s="238">
        <v>42278</v>
      </c>
      <c r="I3979" s="235">
        <v>42334</v>
      </c>
      <c r="J3979" s="136">
        <v>9.8000000000000007</v>
      </c>
      <c r="K3979" s="89"/>
      <c r="L3979" s="89">
        <v>1</v>
      </c>
    </row>
    <row r="3980" spans="1:12" ht="114">
      <c r="A3980" s="89" t="s">
        <v>1394</v>
      </c>
      <c r="B3980" s="237"/>
      <c r="C3980" s="89" t="s">
        <v>463</v>
      </c>
      <c r="D3980" s="89"/>
      <c r="E3980" s="236" t="s">
        <v>1283</v>
      </c>
      <c r="F3980" s="336" t="s">
        <v>432</v>
      </c>
      <c r="G3980" s="236" t="s">
        <v>1284</v>
      </c>
      <c r="H3980" s="238">
        <v>42278</v>
      </c>
      <c r="I3980" s="235">
        <v>42311</v>
      </c>
      <c r="J3980" s="136">
        <v>138</v>
      </c>
      <c r="K3980" s="89"/>
      <c r="L3980" s="89">
        <v>1</v>
      </c>
    </row>
    <row r="3981" spans="1:12" ht="57">
      <c r="A3981" s="89" t="s">
        <v>1395</v>
      </c>
      <c r="B3981" s="237"/>
      <c r="C3981" s="89" t="s">
        <v>719</v>
      </c>
      <c r="D3981" s="89"/>
      <c r="E3981" s="236" t="s">
        <v>414</v>
      </c>
      <c r="F3981" s="336" t="s">
        <v>433</v>
      </c>
      <c r="G3981" s="236" t="s">
        <v>1311</v>
      </c>
      <c r="H3981" s="238">
        <v>42278</v>
      </c>
      <c r="I3981" s="235">
        <v>42319</v>
      </c>
      <c r="J3981" s="136">
        <v>10.8</v>
      </c>
      <c r="K3981" s="89"/>
      <c r="L3981" s="89">
        <v>1</v>
      </c>
    </row>
    <row r="3982" spans="1:12" ht="42.75">
      <c r="A3982" s="89" t="s">
        <v>1396</v>
      </c>
      <c r="B3982" s="237"/>
      <c r="C3982" s="89" t="s">
        <v>459</v>
      </c>
      <c r="D3982" s="89"/>
      <c r="E3982" s="236" t="s">
        <v>1397</v>
      </c>
      <c r="F3982" s="236" t="s">
        <v>1398</v>
      </c>
      <c r="G3982" s="236" t="s">
        <v>1399</v>
      </c>
      <c r="H3982" s="238">
        <v>42248</v>
      </c>
      <c r="I3982" s="235">
        <v>42327</v>
      </c>
      <c r="J3982" s="136">
        <v>4.8899999999999997</v>
      </c>
      <c r="K3982" s="89"/>
      <c r="L3982" s="89">
        <v>1</v>
      </c>
    </row>
    <row r="3983" spans="1:12" ht="42.75">
      <c r="A3983" s="89" t="s">
        <v>1400</v>
      </c>
      <c r="B3983" s="237"/>
      <c r="C3983" s="89" t="s">
        <v>458</v>
      </c>
      <c r="D3983" s="89"/>
      <c r="E3983" s="236" t="s">
        <v>1397</v>
      </c>
      <c r="F3983" s="236" t="s">
        <v>1398</v>
      </c>
      <c r="G3983" s="236" t="s">
        <v>1399</v>
      </c>
      <c r="H3983" s="238">
        <v>42248</v>
      </c>
      <c r="I3983" s="235">
        <v>42327</v>
      </c>
      <c r="J3983" s="136">
        <v>4.04</v>
      </c>
      <c r="K3983" s="89"/>
      <c r="L3983" s="89">
        <v>1</v>
      </c>
    </row>
    <row r="3984" spans="1:12" ht="42.75">
      <c r="A3984" s="89" t="s">
        <v>1401</v>
      </c>
      <c r="B3984" s="237"/>
      <c r="C3984" s="89" t="s">
        <v>454</v>
      </c>
      <c r="D3984" s="89"/>
      <c r="E3984" s="236" t="s">
        <v>1397</v>
      </c>
      <c r="F3984" s="236" t="s">
        <v>1398</v>
      </c>
      <c r="G3984" s="236" t="s">
        <v>1399</v>
      </c>
      <c r="H3984" s="238">
        <v>42248</v>
      </c>
      <c r="I3984" s="235">
        <v>42327</v>
      </c>
      <c r="J3984" s="136">
        <v>0.71</v>
      </c>
      <c r="K3984" s="89"/>
      <c r="L3984" s="89">
        <v>1</v>
      </c>
    </row>
    <row r="3985" spans="1:12" ht="42.75">
      <c r="A3985" s="89" t="s">
        <v>1402</v>
      </c>
      <c r="B3985" s="237"/>
      <c r="C3985" s="89" t="s">
        <v>456</v>
      </c>
      <c r="D3985" s="89"/>
      <c r="E3985" s="236" t="s">
        <v>1397</v>
      </c>
      <c r="F3985" s="236" t="s">
        <v>1398</v>
      </c>
      <c r="G3985" s="236" t="s">
        <v>1399</v>
      </c>
      <c r="H3985" s="238">
        <v>42248</v>
      </c>
      <c r="I3985" s="235">
        <v>42327</v>
      </c>
      <c r="J3985" s="136">
        <v>4.62</v>
      </c>
      <c r="K3985" s="89"/>
      <c r="L3985" s="89">
        <v>1</v>
      </c>
    </row>
    <row r="3986" spans="1:12" ht="42.75">
      <c r="A3986" s="89" t="s">
        <v>1403</v>
      </c>
      <c r="B3986" s="237"/>
      <c r="C3986" s="89" t="s">
        <v>719</v>
      </c>
      <c r="D3986" s="89"/>
      <c r="E3986" s="236" t="s">
        <v>1397</v>
      </c>
      <c r="F3986" s="236" t="s">
        <v>1398</v>
      </c>
      <c r="G3986" s="236" t="s">
        <v>1399</v>
      </c>
      <c r="H3986" s="238">
        <v>42248</v>
      </c>
      <c r="I3986" s="235">
        <v>42327</v>
      </c>
      <c r="J3986" s="136">
        <v>4.03</v>
      </c>
      <c r="K3986" s="89"/>
      <c r="L3986" s="89">
        <v>1</v>
      </c>
    </row>
    <row r="3987" spans="1:12" ht="42.75">
      <c r="A3987" s="89" t="s">
        <v>1404</v>
      </c>
      <c r="B3987" s="237"/>
      <c r="C3987" s="89" t="s">
        <v>460</v>
      </c>
      <c r="D3987" s="89"/>
      <c r="E3987" s="236" t="s">
        <v>1397</v>
      </c>
      <c r="F3987" s="236" t="s">
        <v>1398</v>
      </c>
      <c r="G3987" s="236" t="s">
        <v>1399</v>
      </c>
      <c r="H3987" s="238">
        <v>42248</v>
      </c>
      <c r="I3987" s="235">
        <v>42327</v>
      </c>
      <c r="J3987" s="136">
        <v>5.9</v>
      </c>
      <c r="K3987" s="89"/>
      <c r="L3987" s="89">
        <v>1</v>
      </c>
    </row>
    <row r="3988" spans="1:12" ht="42.75">
      <c r="A3988" s="89" t="s">
        <v>1405</v>
      </c>
      <c r="B3988" s="237"/>
      <c r="C3988" s="89" t="s">
        <v>461</v>
      </c>
      <c r="D3988" s="89"/>
      <c r="E3988" s="236" t="s">
        <v>1397</v>
      </c>
      <c r="F3988" s="236" t="s">
        <v>1398</v>
      </c>
      <c r="G3988" s="236" t="s">
        <v>1399</v>
      </c>
      <c r="H3988" s="238">
        <v>42248</v>
      </c>
      <c r="I3988" s="235">
        <v>42327</v>
      </c>
      <c r="J3988" s="136">
        <v>1.99</v>
      </c>
      <c r="K3988" s="89"/>
      <c r="L3988" s="89">
        <v>1</v>
      </c>
    </row>
    <row r="3989" spans="1:12" ht="42.75">
      <c r="A3989" s="89" t="s">
        <v>1406</v>
      </c>
      <c r="B3989" s="237"/>
      <c r="C3989" s="89" t="s">
        <v>463</v>
      </c>
      <c r="D3989" s="89"/>
      <c r="E3989" s="236" t="s">
        <v>1397</v>
      </c>
      <c r="F3989" s="236" t="s">
        <v>1398</v>
      </c>
      <c r="G3989" s="236" t="s">
        <v>1399</v>
      </c>
      <c r="H3989" s="238">
        <v>42248</v>
      </c>
      <c r="I3989" s="235">
        <v>42327</v>
      </c>
      <c r="J3989" s="136">
        <v>11.5</v>
      </c>
      <c r="K3989" s="89"/>
      <c r="L3989" s="89">
        <v>1</v>
      </c>
    </row>
    <row r="3990" spans="1:12" ht="42.75">
      <c r="A3990" s="89" t="s">
        <v>1407</v>
      </c>
      <c r="B3990" s="237"/>
      <c r="C3990" s="89" t="s">
        <v>449</v>
      </c>
      <c r="D3990" s="89"/>
      <c r="E3990" s="236" t="s">
        <v>1397</v>
      </c>
      <c r="F3990" s="236" t="s">
        <v>1398</v>
      </c>
      <c r="G3990" s="236" t="s">
        <v>1399</v>
      </c>
      <c r="H3990" s="238">
        <v>42248</v>
      </c>
      <c r="I3990" s="235">
        <v>42327</v>
      </c>
      <c r="J3990" s="136">
        <v>0.74</v>
      </c>
      <c r="K3990" s="89"/>
      <c r="L3990" s="89">
        <v>1</v>
      </c>
    </row>
    <row r="3991" spans="1:12" ht="42.75">
      <c r="A3991" s="89" t="s">
        <v>1408</v>
      </c>
      <c r="B3991" s="237"/>
      <c r="C3991" s="89" t="s">
        <v>466</v>
      </c>
      <c r="D3991" s="89"/>
      <c r="E3991" s="236" t="s">
        <v>1397</v>
      </c>
      <c r="F3991" s="236" t="s">
        <v>1398</v>
      </c>
      <c r="G3991" s="236" t="s">
        <v>1399</v>
      </c>
      <c r="H3991" s="238">
        <v>42248</v>
      </c>
      <c r="I3991" s="235">
        <v>42327</v>
      </c>
      <c r="J3991" s="136">
        <v>1.63</v>
      </c>
      <c r="K3991" s="89"/>
      <c r="L3991" s="89">
        <v>1</v>
      </c>
    </row>
    <row r="3992" spans="1:12" ht="71.25">
      <c r="A3992" s="89" t="s">
        <v>1409</v>
      </c>
      <c r="B3992" s="237"/>
      <c r="C3992" s="89" t="s">
        <v>449</v>
      </c>
      <c r="D3992" s="89"/>
      <c r="E3992" s="236" t="s">
        <v>1410</v>
      </c>
      <c r="F3992" s="236" t="s">
        <v>1411</v>
      </c>
      <c r="G3992" s="236" t="s">
        <v>1412</v>
      </c>
      <c r="H3992" s="238">
        <v>42278</v>
      </c>
      <c r="I3992" s="235">
        <v>42311</v>
      </c>
      <c r="J3992" s="136">
        <v>914</v>
      </c>
      <c r="K3992" s="89"/>
      <c r="L3992" s="89">
        <v>1</v>
      </c>
    </row>
    <row r="3993" spans="1:12" ht="71.25">
      <c r="A3993" s="89" t="s">
        <v>1413</v>
      </c>
      <c r="B3993" s="237"/>
      <c r="C3993" s="89" t="s">
        <v>459</v>
      </c>
      <c r="D3993" s="89"/>
      <c r="E3993" s="236" t="s">
        <v>1410</v>
      </c>
      <c r="F3993" s="236" t="s">
        <v>1411</v>
      </c>
      <c r="G3993" s="236" t="s">
        <v>1412</v>
      </c>
      <c r="H3993" s="238">
        <v>42278</v>
      </c>
      <c r="I3993" s="235">
        <v>42311</v>
      </c>
      <c r="J3993" s="136">
        <v>3988.44</v>
      </c>
      <c r="K3993" s="89"/>
      <c r="L3993" s="89">
        <v>1</v>
      </c>
    </row>
    <row r="3994" spans="1:12" ht="71.25">
      <c r="A3994" s="89" t="s">
        <v>1414</v>
      </c>
      <c r="B3994" s="237"/>
      <c r="C3994" s="89" t="s">
        <v>458</v>
      </c>
      <c r="D3994" s="89"/>
      <c r="E3994" s="236" t="s">
        <v>1410</v>
      </c>
      <c r="F3994" s="236" t="s">
        <v>1411</v>
      </c>
      <c r="G3994" s="236" t="s">
        <v>1412</v>
      </c>
      <c r="H3994" s="238">
        <v>42278</v>
      </c>
      <c r="I3994" s="235">
        <v>42311</v>
      </c>
      <c r="J3994" s="136">
        <v>989.8</v>
      </c>
      <c r="K3994" s="89"/>
      <c r="L3994" s="89">
        <v>1</v>
      </c>
    </row>
    <row r="3995" spans="1:12" ht="71.25">
      <c r="A3995" s="89" t="s">
        <v>1415</v>
      </c>
      <c r="B3995" s="237"/>
      <c r="C3995" s="89" t="s">
        <v>458</v>
      </c>
      <c r="D3995" s="89"/>
      <c r="E3995" s="236" t="s">
        <v>1410</v>
      </c>
      <c r="F3995" s="236" t="s">
        <v>1411</v>
      </c>
      <c r="G3995" s="236" t="s">
        <v>1412</v>
      </c>
      <c r="H3995" s="238">
        <v>42278</v>
      </c>
      <c r="I3995" s="235">
        <v>42311</v>
      </c>
      <c r="J3995" s="136">
        <v>904</v>
      </c>
      <c r="K3995" s="89"/>
      <c r="L3995" s="89">
        <v>1</v>
      </c>
    </row>
    <row r="3996" spans="1:12" ht="71.25">
      <c r="A3996" s="89" t="s">
        <v>1416</v>
      </c>
      <c r="B3996" s="237"/>
      <c r="C3996" s="89" t="s">
        <v>458</v>
      </c>
      <c r="D3996" s="89"/>
      <c r="E3996" s="236" t="s">
        <v>1410</v>
      </c>
      <c r="F3996" s="236" t="s">
        <v>1411</v>
      </c>
      <c r="G3996" s="236" t="s">
        <v>1412</v>
      </c>
      <c r="H3996" s="238">
        <v>42278</v>
      </c>
      <c r="I3996" s="235">
        <v>42311</v>
      </c>
      <c r="J3996" s="136">
        <v>904</v>
      </c>
      <c r="K3996" s="89"/>
      <c r="L3996" s="89">
        <v>1</v>
      </c>
    </row>
    <row r="3997" spans="1:12" ht="71.25">
      <c r="A3997" s="89" t="s">
        <v>1417</v>
      </c>
      <c r="B3997" s="237"/>
      <c r="C3997" s="89" t="s">
        <v>719</v>
      </c>
      <c r="D3997" s="89"/>
      <c r="E3997" s="236" t="s">
        <v>1410</v>
      </c>
      <c r="F3997" s="236" t="s">
        <v>1411</v>
      </c>
      <c r="G3997" s="236" t="s">
        <v>1412</v>
      </c>
      <c r="H3997" s="238">
        <v>42278</v>
      </c>
      <c r="I3997" s="235">
        <v>42311</v>
      </c>
      <c r="J3997" s="136">
        <v>892.1</v>
      </c>
      <c r="K3997" s="89"/>
      <c r="L3997" s="89">
        <v>1</v>
      </c>
    </row>
    <row r="3998" spans="1:12" ht="71.25">
      <c r="A3998" s="89" t="s">
        <v>1418</v>
      </c>
      <c r="B3998" s="237"/>
      <c r="C3998" s="89" t="s">
        <v>460</v>
      </c>
      <c r="D3998" s="89"/>
      <c r="E3998" s="236" t="s">
        <v>1410</v>
      </c>
      <c r="F3998" s="236" t="s">
        <v>1411</v>
      </c>
      <c r="G3998" s="236" t="s">
        <v>1412</v>
      </c>
      <c r="H3998" s="238">
        <v>42278</v>
      </c>
      <c r="I3998" s="235">
        <v>42311</v>
      </c>
      <c r="J3998" s="136">
        <v>3013.69</v>
      </c>
      <c r="K3998" s="89"/>
      <c r="L3998" s="89">
        <v>1</v>
      </c>
    </row>
    <row r="3999" spans="1:12" ht="71.25">
      <c r="A3999" s="89" t="s">
        <v>1419</v>
      </c>
      <c r="B3999" s="237"/>
      <c r="C3999" s="89" t="s">
        <v>461</v>
      </c>
      <c r="D3999" s="89"/>
      <c r="E3999" s="236" t="s">
        <v>1410</v>
      </c>
      <c r="F3999" s="236" t="s">
        <v>1411</v>
      </c>
      <c r="G3999" s="236" t="s">
        <v>1412</v>
      </c>
      <c r="H3999" s="238">
        <v>42278</v>
      </c>
      <c r="I3999" s="235">
        <v>42311</v>
      </c>
      <c r="J3999" s="136">
        <v>1750.45</v>
      </c>
      <c r="K3999" s="89"/>
      <c r="L3999" s="89">
        <v>1</v>
      </c>
    </row>
    <row r="4000" spans="1:12" ht="71.25">
      <c r="A4000" s="89" t="s">
        <v>1420</v>
      </c>
      <c r="B4000" s="237"/>
      <c r="C4000" s="89" t="s">
        <v>465</v>
      </c>
      <c r="D4000" s="89"/>
      <c r="E4000" s="236" t="s">
        <v>1410</v>
      </c>
      <c r="F4000" s="236" t="s">
        <v>1411</v>
      </c>
      <c r="G4000" s="236" t="s">
        <v>1412</v>
      </c>
      <c r="H4000" s="238">
        <v>42278</v>
      </c>
      <c r="I4000" s="235">
        <v>42311</v>
      </c>
      <c r="J4000" s="136">
        <v>882</v>
      </c>
      <c r="K4000" s="89"/>
      <c r="L4000" s="89">
        <v>1</v>
      </c>
    </row>
    <row r="4001" spans="1:12" ht="114">
      <c r="A4001" s="89" t="s">
        <v>1421</v>
      </c>
      <c r="B4001" s="237"/>
      <c r="C4001" s="89" t="s">
        <v>466</v>
      </c>
      <c r="D4001" s="89"/>
      <c r="E4001" s="236" t="s">
        <v>1410</v>
      </c>
      <c r="F4001" s="236" t="s">
        <v>1411</v>
      </c>
      <c r="G4001" s="236" t="s">
        <v>1422</v>
      </c>
      <c r="H4001" s="238">
        <v>42278</v>
      </c>
      <c r="I4001" s="235">
        <v>42317</v>
      </c>
      <c r="J4001" s="136">
        <v>904</v>
      </c>
      <c r="K4001" s="89"/>
      <c r="L4001" s="89">
        <v>1</v>
      </c>
    </row>
    <row r="4002" spans="1:12" ht="71.25">
      <c r="A4002" s="89" t="s">
        <v>1423</v>
      </c>
      <c r="B4002" s="237">
        <v>211040100000</v>
      </c>
      <c r="C4002" s="89" t="s">
        <v>449</v>
      </c>
      <c r="D4002" s="89"/>
      <c r="E4002" s="236" t="s">
        <v>1410</v>
      </c>
      <c r="F4002" s="236" t="s">
        <v>1424</v>
      </c>
      <c r="G4002" s="236" t="s">
        <v>1412</v>
      </c>
      <c r="H4002" s="238">
        <v>42278</v>
      </c>
      <c r="I4002" s="235">
        <v>42311</v>
      </c>
      <c r="J4002" s="136">
        <v>968</v>
      </c>
      <c r="K4002" s="89"/>
      <c r="L4002" s="89">
        <v>1</v>
      </c>
    </row>
    <row r="4003" spans="1:12" ht="71.25">
      <c r="A4003" s="89" t="s">
        <v>1425</v>
      </c>
      <c r="B4003" s="237">
        <v>211040100000</v>
      </c>
      <c r="C4003" s="89" t="s">
        <v>449</v>
      </c>
      <c r="D4003" s="89"/>
      <c r="E4003" s="236" t="s">
        <v>1410</v>
      </c>
      <c r="F4003" s="236" t="s">
        <v>1424</v>
      </c>
      <c r="G4003" s="236" t="s">
        <v>1412</v>
      </c>
      <c r="H4003" s="238">
        <v>42278</v>
      </c>
      <c r="I4003" s="235">
        <v>42311</v>
      </c>
      <c r="J4003" s="136">
        <v>1810</v>
      </c>
      <c r="K4003" s="89"/>
      <c r="L4003" s="89">
        <v>1</v>
      </c>
    </row>
    <row r="4004" spans="1:12" ht="114">
      <c r="A4004" s="89" t="s">
        <v>1426</v>
      </c>
      <c r="B4004" s="237"/>
      <c r="C4004" s="89" t="s">
        <v>466</v>
      </c>
      <c r="D4004" s="89"/>
      <c r="E4004" s="236" t="s">
        <v>1410</v>
      </c>
      <c r="F4004" s="236" t="s">
        <v>1411</v>
      </c>
      <c r="G4004" s="236" t="s">
        <v>1422</v>
      </c>
      <c r="H4004" s="238">
        <v>42278</v>
      </c>
      <c r="I4004" s="235">
        <v>42317</v>
      </c>
      <c r="J4004" s="136">
        <v>1019.5</v>
      </c>
      <c r="K4004" s="89"/>
      <c r="L4004" s="89">
        <v>1</v>
      </c>
    </row>
    <row r="4005" spans="1:12" ht="71.25">
      <c r="A4005" s="89" t="s">
        <v>1427</v>
      </c>
      <c r="B4005" s="237">
        <v>211040100000</v>
      </c>
      <c r="C4005" s="89" t="s">
        <v>449</v>
      </c>
      <c r="D4005" s="89"/>
      <c r="E4005" s="236" t="s">
        <v>1410</v>
      </c>
      <c r="F4005" s="236" t="s">
        <v>1424</v>
      </c>
      <c r="G4005" s="236" t="s">
        <v>1412</v>
      </c>
      <c r="H4005" s="238">
        <v>42278</v>
      </c>
      <c r="I4005" s="235">
        <v>42311</v>
      </c>
      <c r="J4005" s="136">
        <v>750</v>
      </c>
      <c r="K4005" s="89"/>
      <c r="L4005" s="89">
        <v>1</v>
      </c>
    </row>
    <row r="4006" spans="1:12" ht="85.5">
      <c r="A4006" s="89" t="s">
        <v>462</v>
      </c>
      <c r="B4006" s="237">
        <v>112120610020</v>
      </c>
      <c r="C4006" s="89" t="s">
        <v>463</v>
      </c>
      <c r="D4006" s="89"/>
      <c r="E4006" s="236" t="s">
        <v>464</v>
      </c>
      <c r="F4006" s="236" t="s">
        <v>1428</v>
      </c>
      <c r="G4006" s="236" t="s">
        <v>1429</v>
      </c>
      <c r="H4006" s="238">
        <v>42278</v>
      </c>
      <c r="I4006" s="235">
        <v>42326</v>
      </c>
      <c r="J4006" s="136">
        <v>15850</v>
      </c>
      <c r="K4006" s="89"/>
      <c r="L4006" s="89">
        <v>1</v>
      </c>
    </row>
    <row r="4007" spans="1:12" ht="85.5">
      <c r="A4007" s="89" t="s">
        <v>462</v>
      </c>
      <c r="B4007" s="237">
        <v>211010200000</v>
      </c>
      <c r="C4007" s="89" t="s">
        <v>463</v>
      </c>
      <c r="D4007" s="89"/>
      <c r="E4007" s="236" t="s">
        <v>464</v>
      </c>
      <c r="F4007" s="236" t="s">
        <v>426</v>
      </c>
      <c r="G4007" s="236" t="s">
        <v>1430</v>
      </c>
      <c r="H4007" s="238">
        <v>42278</v>
      </c>
      <c r="I4007" s="235">
        <v>42326</v>
      </c>
      <c r="J4007" s="136">
        <v>-4.4800000000000004</v>
      </c>
      <c r="K4007" s="89"/>
      <c r="L4007" s="89">
        <v>1</v>
      </c>
    </row>
    <row r="4008" spans="1:12" ht="114">
      <c r="A4008" s="89" t="s">
        <v>470</v>
      </c>
      <c r="B4008" s="237">
        <v>112120610020</v>
      </c>
      <c r="C4008" s="89" t="s">
        <v>468</v>
      </c>
      <c r="D4008" s="89"/>
      <c r="E4008" s="236" t="s">
        <v>469</v>
      </c>
      <c r="F4008" s="236" t="s">
        <v>1428</v>
      </c>
      <c r="G4008" s="236" t="s">
        <v>1431</v>
      </c>
      <c r="H4008" s="238">
        <v>42278</v>
      </c>
      <c r="I4008" s="235">
        <v>42338</v>
      </c>
      <c r="J4008" s="136">
        <v>5279.36</v>
      </c>
      <c r="K4008" s="89"/>
      <c r="L4008" s="89">
        <v>1</v>
      </c>
    </row>
    <row r="4009" spans="1:12" ht="114">
      <c r="A4009" s="89" t="s">
        <v>467</v>
      </c>
      <c r="B4009" s="237">
        <v>112120610020</v>
      </c>
      <c r="C4009" s="89" t="s">
        <v>468</v>
      </c>
      <c r="D4009" s="89"/>
      <c r="E4009" s="236" t="s">
        <v>469</v>
      </c>
      <c r="F4009" s="236" t="s">
        <v>1428</v>
      </c>
      <c r="G4009" s="236" t="s">
        <v>1432</v>
      </c>
      <c r="H4009" s="238">
        <v>42278</v>
      </c>
      <c r="I4009" s="235">
        <v>42338</v>
      </c>
      <c r="J4009" s="136">
        <v>7929.44</v>
      </c>
      <c r="K4009" s="89"/>
      <c r="L4009" s="89">
        <v>1</v>
      </c>
    </row>
    <row r="4010" spans="1:12" ht="128.25">
      <c r="A4010" s="89" t="s">
        <v>1433</v>
      </c>
      <c r="B4010" s="237">
        <v>112120610020</v>
      </c>
      <c r="C4010" s="89" t="s">
        <v>449</v>
      </c>
      <c r="D4010" s="89"/>
      <c r="E4010" s="236" t="s">
        <v>1434</v>
      </c>
      <c r="F4010" s="236" t="s">
        <v>1428</v>
      </c>
      <c r="G4010" s="236" t="s">
        <v>1435</v>
      </c>
      <c r="H4010" s="238">
        <v>42278</v>
      </c>
      <c r="I4010" s="235">
        <v>42331</v>
      </c>
      <c r="J4010" s="136">
        <v>228980</v>
      </c>
      <c r="K4010" s="89"/>
      <c r="L4010" s="89">
        <v>1</v>
      </c>
    </row>
    <row r="4011" spans="1:12" ht="99.75">
      <c r="A4011" s="89" t="s">
        <v>736</v>
      </c>
      <c r="B4011" s="237">
        <v>112120611010</v>
      </c>
      <c r="C4011" s="89" t="s">
        <v>459</v>
      </c>
      <c r="D4011" s="89"/>
      <c r="E4011" s="236" t="s">
        <v>483</v>
      </c>
      <c r="F4011" s="236" t="s">
        <v>1436</v>
      </c>
      <c r="G4011" s="236" t="s">
        <v>1437</v>
      </c>
      <c r="H4011" s="238">
        <v>42248</v>
      </c>
      <c r="I4011" s="235">
        <v>42317</v>
      </c>
      <c r="J4011" s="136">
        <v>146160</v>
      </c>
      <c r="K4011" s="89"/>
      <c r="L4011" s="89">
        <v>1</v>
      </c>
    </row>
    <row r="4012" spans="1:12" ht="85.5">
      <c r="A4012" s="89" t="s">
        <v>717</v>
      </c>
      <c r="B4012" s="237">
        <v>112120611010</v>
      </c>
      <c r="C4012" s="89" t="s">
        <v>458</v>
      </c>
      <c r="D4012" s="89"/>
      <c r="E4012" s="236" t="s">
        <v>523</v>
      </c>
      <c r="F4012" s="236" t="s">
        <v>1436</v>
      </c>
      <c r="G4012" s="236" t="s">
        <v>1438</v>
      </c>
      <c r="H4012" s="238">
        <v>42248</v>
      </c>
      <c r="I4012" s="235">
        <v>42311</v>
      </c>
      <c r="J4012" s="136">
        <v>95398.8</v>
      </c>
      <c r="K4012" s="89"/>
      <c r="L4012" s="89">
        <v>1</v>
      </c>
    </row>
    <row r="4013" spans="1:12" ht="99.75">
      <c r="A4013" s="89" t="s">
        <v>687</v>
      </c>
      <c r="B4013" s="237">
        <v>112120611010</v>
      </c>
      <c r="C4013" s="89" t="s">
        <v>454</v>
      </c>
      <c r="D4013" s="89"/>
      <c r="E4013" s="236" t="s">
        <v>688</v>
      </c>
      <c r="F4013" s="236" t="s">
        <v>1436</v>
      </c>
      <c r="G4013" s="236" t="s">
        <v>1439</v>
      </c>
      <c r="H4013" s="238">
        <v>42248</v>
      </c>
      <c r="I4013" s="235">
        <v>42317</v>
      </c>
      <c r="J4013" s="136">
        <v>45668.88</v>
      </c>
      <c r="K4013" s="89"/>
      <c r="L4013" s="89">
        <v>1</v>
      </c>
    </row>
    <row r="4014" spans="1:12" ht="85.5">
      <c r="A4014" s="89" t="s">
        <v>704</v>
      </c>
      <c r="B4014" s="237">
        <v>112120611010</v>
      </c>
      <c r="C4014" s="89" t="s">
        <v>456</v>
      </c>
      <c r="D4014" s="89"/>
      <c r="E4014" s="236" t="s">
        <v>523</v>
      </c>
      <c r="F4014" s="236" t="s">
        <v>1436</v>
      </c>
      <c r="G4014" s="236" t="s">
        <v>1440</v>
      </c>
      <c r="H4014" s="238">
        <v>42248</v>
      </c>
      <c r="I4014" s="235">
        <v>42311</v>
      </c>
      <c r="J4014" s="136">
        <v>47332.65</v>
      </c>
      <c r="K4014" s="89"/>
      <c r="L4014" s="89">
        <v>1</v>
      </c>
    </row>
    <row r="4015" spans="1:12" ht="99.75">
      <c r="A4015" s="89" t="s">
        <v>728</v>
      </c>
      <c r="B4015" s="237">
        <v>112120611010</v>
      </c>
      <c r="C4015" s="89" t="s">
        <v>719</v>
      </c>
      <c r="D4015" s="89"/>
      <c r="E4015" s="236" t="s">
        <v>483</v>
      </c>
      <c r="F4015" s="236" t="s">
        <v>1436</v>
      </c>
      <c r="G4015" s="236" t="s">
        <v>1441</v>
      </c>
      <c r="H4015" s="238">
        <v>42248</v>
      </c>
      <c r="I4015" s="235">
        <v>42317</v>
      </c>
      <c r="J4015" s="136">
        <v>18738.75</v>
      </c>
      <c r="K4015" s="89"/>
      <c r="L4015" s="89">
        <v>1</v>
      </c>
    </row>
    <row r="4016" spans="1:12" ht="85.5">
      <c r="A4016" s="89" t="s">
        <v>747</v>
      </c>
      <c r="B4016" s="237">
        <v>112120611010</v>
      </c>
      <c r="C4016" s="89" t="s">
        <v>460</v>
      </c>
      <c r="D4016" s="89"/>
      <c r="E4016" s="236" t="s">
        <v>523</v>
      </c>
      <c r="F4016" s="236" t="s">
        <v>1436</v>
      </c>
      <c r="G4016" s="236" t="s">
        <v>1442</v>
      </c>
      <c r="H4016" s="238">
        <v>42248</v>
      </c>
      <c r="I4016" s="235">
        <v>42311</v>
      </c>
      <c r="J4016" s="136">
        <v>86152.5</v>
      </c>
      <c r="K4016" s="89"/>
      <c r="L4016" s="89">
        <v>1</v>
      </c>
    </row>
    <row r="4017" spans="1:12" ht="85.5">
      <c r="A4017" s="89" t="s">
        <v>756</v>
      </c>
      <c r="B4017" s="237">
        <v>112120611010</v>
      </c>
      <c r="C4017" s="89" t="s">
        <v>461</v>
      </c>
      <c r="D4017" s="89"/>
      <c r="E4017" s="236" t="s">
        <v>523</v>
      </c>
      <c r="F4017" s="236" t="s">
        <v>1436</v>
      </c>
      <c r="G4017" s="236" t="s">
        <v>1443</v>
      </c>
      <c r="H4017" s="238">
        <v>42248</v>
      </c>
      <c r="I4017" s="235">
        <v>42311</v>
      </c>
      <c r="J4017" s="136">
        <v>80398</v>
      </c>
      <c r="K4017" s="89"/>
      <c r="L4017" s="89">
        <v>1</v>
      </c>
    </row>
    <row r="4018" spans="1:12" ht="99.75">
      <c r="A4018" s="89" t="s">
        <v>764</v>
      </c>
      <c r="B4018" s="237">
        <v>112120611010</v>
      </c>
      <c r="C4018" s="89" t="s">
        <v>463</v>
      </c>
      <c r="D4018" s="89"/>
      <c r="E4018" s="236" t="s">
        <v>483</v>
      </c>
      <c r="F4018" s="236" t="s">
        <v>1436</v>
      </c>
      <c r="G4018" s="236" t="s">
        <v>1444</v>
      </c>
      <c r="H4018" s="238">
        <v>42248</v>
      </c>
      <c r="I4018" s="235">
        <v>42317</v>
      </c>
      <c r="J4018" s="136">
        <v>85535.45</v>
      </c>
      <c r="K4018" s="89"/>
      <c r="L4018" s="89">
        <v>1</v>
      </c>
    </row>
    <row r="4019" spans="1:12" ht="114">
      <c r="A4019" s="89" t="s">
        <v>768</v>
      </c>
      <c r="B4019" s="237">
        <v>112120611010</v>
      </c>
      <c r="C4019" s="89" t="s">
        <v>465</v>
      </c>
      <c r="D4019" s="89"/>
      <c r="E4019" s="236" t="s">
        <v>490</v>
      </c>
      <c r="F4019" s="236" t="s">
        <v>1436</v>
      </c>
      <c r="G4019" s="236" t="s">
        <v>1445</v>
      </c>
      <c r="H4019" s="238">
        <v>42248</v>
      </c>
      <c r="I4019" s="235">
        <v>42317</v>
      </c>
      <c r="J4019" s="136">
        <v>37661.1</v>
      </c>
      <c r="K4019" s="89"/>
      <c r="L4019" s="89">
        <v>1</v>
      </c>
    </row>
    <row r="4020" spans="1:12" ht="142.5">
      <c r="A4020" s="89" t="s">
        <v>780</v>
      </c>
      <c r="B4020" s="237">
        <v>112120611010</v>
      </c>
      <c r="C4020" s="89" t="s">
        <v>466</v>
      </c>
      <c r="D4020" s="89"/>
      <c r="E4020" s="236" t="s">
        <v>781</v>
      </c>
      <c r="F4020" s="236" t="s">
        <v>1436</v>
      </c>
      <c r="G4020" s="236" t="s">
        <v>1446</v>
      </c>
      <c r="H4020" s="238">
        <v>42248</v>
      </c>
      <c r="I4020" s="235">
        <v>42326</v>
      </c>
      <c r="J4020" s="136">
        <v>34885</v>
      </c>
      <c r="K4020" s="89"/>
      <c r="L4020" s="89">
        <v>1</v>
      </c>
    </row>
    <row r="4021" spans="1:12" ht="99.75">
      <c r="A4021" s="89" t="s">
        <v>787</v>
      </c>
      <c r="B4021" s="237">
        <v>112120611010</v>
      </c>
      <c r="C4021" s="89" t="s">
        <v>783</v>
      </c>
      <c r="D4021" s="89"/>
      <c r="E4021" s="236" t="s">
        <v>483</v>
      </c>
      <c r="F4021" s="236" t="s">
        <v>1436</v>
      </c>
      <c r="G4021" s="236" t="s">
        <v>1447</v>
      </c>
      <c r="H4021" s="238">
        <v>42248</v>
      </c>
      <c r="I4021" s="235">
        <v>42317</v>
      </c>
      <c r="J4021" s="136">
        <v>47649.599999999999</v>
      </c>
      <c r="K4021" s="89"/>
      <c r="L4021" s="89">
        <v>1</v>
      </c>
    </row>
    <row r="4022" spans="1:12" ht="99.75">
      <c r="A4022" s="89" t="s">
        <v>797</v>
      </c>
      <c r="B4022" s="237">
        <v>112120611010</v>
      </c>
      <c r="C4022" s="89" t="s">
        <v>794</v>
      </c>
      <c r="D4022" s="89"/>
      <c r="E4022" s="236" t="s">
        <v>483</v>
      </c>
      <c r="F4022" s="236" t="s">
        <v>1436</v>
      </c>
      <c r="G4022" s="236" t="s">
        <v>1448</v>
      </c>
      <c r="H4022" s="238">
        <v>42248</v>
      </c>
      <c r="I4022" s="235">
        <v>42317</v>
      </c>
      <c r="J4022" s="136">
        <v>49535.06</v>
      </c>
      <c r="K4022" s="89"/>
      <c r="L4022" s="89">
        <v>1</v>
      </c>
    </row>
    <row r="4023" spans="1:12" ht="99.75">
      <c r="A4023" s="89" t="s">
        <v>792</v>
      </c>
      <c r="B4023" s="237">
        <v>112120611010</v>
      </c>
      <c r="C4023" s="89" t="s">
        <v>789</v>
      </c>
      <c r="D4023" s="89"/>
      <c r="E4023" s="236" t="s">
        <v>483</v>
      </c>
      <c r="F4023" s="236" t="s">
        <v>1436</v>
      </c>
      <c r="G4023" s="236" t="s">
        <v>1449</v>
      </c>
      <c r="H4023" s="238">
        <v>42248</v>
      </c>
      <c r="I4023" s="235">
        <v>42317</v>
      </c>
      <c r="J4023" s="136">
        <v>45099.4</v>
      </c>
      <c r="K4023" s="89"/>
      <c r="L4023" s="89">
        <v>1</v>
      </c>
    </row>
    <row r="4024" spans="1:12" ht="99.75">
      <c r="A4024" s="89" t="s">
        <v>802</v>
      </c>
      <c r="B4024" s="237">
        <v>112120611010</v>
      </c>
      <c r="C4024" s="89" t="s">
        <v>799</v>
      </c>
      <c r="D4024" s="89"/>
      <c r="E4024" s="236" t="s">
        <v>483</v>
      </c>
      <c r="F4024" s="236" t="s">
        <v>1436</v>
      </c>
      <c r="G4024" s="236" t="s">
        <v>1450</v>
      </c>
      <c r="H4024" s="238">
        <v>42248</v>
      </c>
      <c r="I4024" s="235">
        <v>42317</v>
      </c>
      <c r="J4024" s="136">
        <v>54656.9</v>
      </c>
      <c r="K4024" s="89"/>
      <c r="L4024" s="89">
        <v>1</v>
      </c>
    </row>
    <row r="4025" spans="1:12" ht="99.75">
      <c r="A4025" s="89" t="s">
        <v>511</v>
      </c>
      <c r="B4025" s="237">
        <v>112120611010</v>
      </c>
      <c r="C4025" s="89" t="s">
        <v>506</v>
      </c>
      <c r="D4025" s="89"/>
      <c r="E4025" s="236" t="s">
        <v>483</v>
      </c>
      <c r="F4025" s="236" t="s">
        <v>1436</v>
      </c>
      <c r="G4025" s="236" t="s">
        <v>1451</v>
      </c>
      <c r="H4025" s="238">
        <v>42248</v>
      </c>
      <c r="I4025" s="235">
        <v>42317</v>
      </c>
      <c r="J4025" s="136">
        <v>54076.800000000003</v>
      </c>
      <c r="K4025" s="89"/>
      <c r="L4025" s="89">
        <v>1</v>
      </c>
    </row>
    <row r="4026" spans="1:12" ht="99.75">
      <c r="A4026" s="89" t="s">
        <v>820</v>
      </c>
      <c r="B4026" s="237">
        <v>112120611010</v>
      </c>
      <c r="C4026" s="89" t="s">
        <v>472</v>
      </c>
      <c r="D4026" s="89"/>
      <c r="E4026" s="236" t="s">
        <v>483</v>
      </c>
      <c r="F4026" s="236" t="s">
        <v>1436</v>
      </c>
      <c r="G4026" s="236" t="s">
        <v>1452</v>
      </c>
      <c r="H4026" s="238">
        <v>42248</v>
      </c>
      <c r="I4026" s="235">
        <v>42317</v>
      </c>
      <c r="J4026" s="136">
        <v>46088.08</v>
      </c>
      <c r="K4026" s="89"/>
      <c r="L4026" s="89">
        <v>1</v>
      </c>
    </row>
    <row r="4027" spans="1:12" ht="99.75">
      <c r="A4027" s="89" t="s">
        <v>815</v>
      </c>
      <c r="B4027" s="237">
        <v>112120611010</v>
      </c>
      <c r="C4027" s="89" t="s">
        <v>812</v>
      </c>
      <c r="D4027" s="89"/>
      <c r="E4027" s="236" t="s">
        <v>483</v>
      </c>
      <c r="F4027" s="236" t="s">
        <v>1436</v>
      </c>
      <c r="G4027" s="236" t="s">
        <v>1453</v>
      </c>
      <c r="H4027" s="238">
        <v>42248</v>
      </c>
      <c r="I4027" s="235">
        <v>42317</v>
      </c>
      <c r="J4027" s="136">
        <v>62493.279999999999</v>
      </c>
      <c r="K4027" s="89"/>
      <c r="L4027" s="89">
        <v>1</v>
      </c>
    </row>
    <row r="4028" spans="1:12" ht="128.25">
      <c r="A4028" s="89" t="s">
        <v>498</v>
      </c>
      <c r="B4028" s="237">
        <v>112120611010</v>
      </c>
      <c r="C4028" s="89" t="s">
        <v>496</v>
      </c>
      <c r="D4028" s="89"/>
      <c r="E4028" s="236" t="s">
        <v>499</v>
      </c>
      <c r="F4028" s="236" t="s">
        <v>1436</v>
      </c>
      <c r="G4028" s="236" t="s">
        <v>1454</v>
      </c>
      <c r="H4028" s="238">
        <v>42248</v>
      </c>
      <c r="I4028" s="235">
        <v>42324</v>
      </c>
      <c r="J4028" s="136">
        <v>35498.379999999997</v>
      </c>
      <c r="K4028" s="89"/>
      <c r="L4028" s="89">
        <v>1</v>
      </c>
    </row>
    <row r="4029" spans="1:12" ht="99.75">
      <c r="A4029" s="89" t="s">
        <v>840</v>
      </c>
      <c r="B4029" s="237">
        <v>112120611010</v>
      </c>
      <c r="C4029" s="89" t="s">
        <v>837</v>
      </c>
      <c r="D4029" s="89"/>
      <c r="E4029" s="236" t="s">
        <v>483</v>
      </c>
      <c r="F4029" s="236" t="s">
        <v>1436</v>
      </c>
      <c r="G4029" s="236" t="s">
        <v>1455</v>
      </c>
      <c r="H4029" s="238">
        <v>42248</v>
      </c>
      <c r="I4029" s="235">
        <v>42317</v>
      </c>
      <c r="J4029" s="136">
        <v>31766.400000000001</v>
      </c>
      <c r="K4029" s="89"/>
      <c r="L4029" s="89">
        <v>1</v>
      </c>
    </row>
    <row r="4030" spans="1:12" ht="99.75">
      <c r="A4030" s="89" t="s">
        <v>482</v>
      </c>
      <c r="B4030" s="237">
        <v>112120611010</v>
      </c>
      <c r="C4030" s="89" t="s">
        <v>476</v>
      </c>
      <c r="D4030" s="89"/>
      <c r="E4030" s="236" t="s">
        <v>483</v>
      </c>
      <c r="F4030" s="236" t="s">
        <v>1436</v>
      </c>
      <c r="G4030" s="236" t="s">
        <v>1456</v>
      </c>
      <c r="H4030" s="238">
        <v>42248</v>
      </c>
      <c r="I4030" s="235">
        <v>42317</v>
      </c>
      <c r="J4030" s="136">
        <v>46088.08</v>
      </c>
      <c r="K4030" s="89"/>
      <c r="L4030" s="89">
        <v>1</v>
      </c>
    </row>
    <row r="4031" spans="1:12" ht="99.75">
      <c r="A4031" s="89" t="s">
        <v>832</v>
      </c>
      <c r="B4031" s="237">
        <v>112120611010</v>
      </c>
      <c r="C4031" s="89" t="s">
        <v>829</v>
      </c>
      <c r="D4031" s="89"/>
      <c r="E4031" s="236" t="s">
        <v>483</v>
      </c>
      <c r="F4031" s="236" t="s">
        <v>1436</v>
      </c>
      <c r="G4031" s="236" t="s">
        <v>1457</v>
      </c>
      <c r="H4031" s="238">
        <v>42248</v>
      </c>
      <c r="I4031" s="235">
        <v>42317</v>
      </c>
      <c r="J4031" s="136">
        <v>54076.800000000003</v>
      </c>
      <c r="K4031" s="89"/>
      <c r="L4031" s="89">
        <v>1</v>
      </c>
    </row>
    <row r="4032" spans="1:12" ht="99.75">
      <c r="A4032" s="89" t="s">
        <v>504</v>
      </c>
      <c r="B4032" s="237">
        <v>112120611010</v>
      </c>
      <c r="C4032" s="89" t="s">
        <v>502</v>
      </c>
      <c r="D4032" s="89"/>
      <c r="E4032" s="236" t="s">
        <v>483</v>
      </c>
      <c r="F4032" s="236" t="s">
        <v>1436</v>
      </c>
      <c r="G4032" s="236" t="s">
        <v>1458</v>
      </c>
      <c r="H4032" s="238">
        <v>42248</v>
      </c>
      <c r="I4032" s="235">
        <v>42317</v>
      </c>
      <c r="J4032" s="136">
        <v>40470.300000000003</v>
      </c>
      <c r="K4032" s="89"/>
      <c r="L4032" s="89">
        <v>1</v>
      </c>
    </row>
    <row r="4033" spans="1:12" ht="114">
      <c r="A4033" s="89" t="s">
        <v>489</v>
      </c>
      <c r="B4033" s="237">
        <v>112120611010</v>
      </c>
      <c r="C4033" s="89" t="s">
        <v>486</v>
      </c>
      <c r="D4033" s="89"/>
      <c r="E4033" s="236" t="s">
        <v>490</v>
      </c>
      <c r="F4033" s="236" t="s">
        <v>1436</v>
      </c>
      <c r="G4033" s="236" t="s">
        <v>1459</v>
      </c>
      <c r="H4033" s="238">
        <v>42248</v>
      </c>
      <c r="I4033" s="235">
        <v>42317</v>
      </c>
      <c r="J4033" s="136">
        <v>30846.15</v>
      </c>
      <c r="K4033" s="89"/>
      <c r="L4033" s="89">
        <v>1</v>
      </c>
    </row>
    <row r="4034" spans="1:12" ht="99.75">
      <c r="A4034" s="89" t="s">
        <v>836</v>
      </c>
      <c r="B4034" s="237">
        <v>112120611010</v>
      </c>
      <c r="C4034" s="89" t="s">
        <v>833</v>
      </c>
      <c r="D4034" s="89"/>
      <c r="E4034" s="236" t="s">
        <v>483</v>
      </c>
      <c r="F4034" s="236" t="s">
        <v>1436</v>
      </c>
      <c r="G4034" s="236" t="s">
        <v>1460</v>
      </c>
      <c r="H4034" s="238">
        <v>42248</v>
      </c>
      <c r="I4034" s="235">
        <v>42317</v>
      </c>
      <c r="J4034" s="136">
        <v>37204.800000000003</v>
      </c>
      <c r="K4034" s="89"/>
      <c r="L4034" s="89">
        <v>1</v>
      </c>
    </row>
    <row r="4035" spans="1:12" ht="85.5">
      <c r="A4035" s="89" t="s">
        <v>522</v>
      </c>
      <c r="B4035" s="237">
        <v>112120611010</v>
      </c>
      <c r="C4035" s="89" t="s">
        <v>518</v>
      </c>
      <c r="D4035" s="89"/>
      <c r="E4035" s="236" t="s">
        <v>523</v>
      </c>
      <c r="F4035" s="236" t="s">
        <v>1436</v>
      </c>
      <c r="G4035" s="236" t="s">
        <v>1461</v>
      </c>
      <c r="H4035" s="238">
        <v>42248</v>
      </c>
      <c r="I4035" s="235">
        <v>42311</v>
      </c>
      <c r="J4035" s="136">
        <v>37672.800000000003</v>
      </c>
      <c r="K4035" s="89"/>
      <c r="L4035" s="89">
        <v>1</v>
      </c>
    </row>
    <row r="4036" spans="1:12" ht="99.75">
      <c r="A4036" s="89" t="s">
        <v>516</v>
      </c>
      <c r="B4036" s="237">
        <v>112120611010</v>
      </c>
      <c r="C4036" s="89" t="s">
        <v>513</v>
      </c>
      <c r="D4036" s="89"/>
      <c r="E4036" s="236" t="s">
        <v>483</v>
      </c>
      <c r="F4036" s="236" t="s">
        <v>1436</v>
      </c>
      <c r="G4036" s="236" t="s">
        <v>1462</v>
      </c>
      <c r="H4036" s="238">
        <v>42248</v>
      </c>
      <c r="I4036" s="235">
        <v>42317</v>
      </c>
      <c r="J4036" s="136">
        <v>38428.18</v>
      </c>
      <c r="K4036" s="89"/>
      <c r="L4036" s="89">
        <v>1</v>
      </c>
    </row>
    <row r="4037" spans="1:12" ht="99.75">
      <c r="A4037" s="89" t="s">
        <v>531</v>
      </c>
      <c r="B4037" s="237">
        <v>112120611010</v>
      </c>
      <c r="C4037" s="89" t="s">
        <v>525</v>
      </c>
      <c r="D4037" s="89"/>
      <c r="E4037" s="236" t="s">
        <v>532</v>
      </c>
      <c r="F4037" s="236" t="s">
        <v>1436</v>
      </c>
      <c r="G4037" s="236" t="s">
        <v>1463</v>
      </c>
      <c r="H4037" s="238">
        <v>42248</v>
      </c>
      <c r="I4037" s="235">
        <v>42321</v>
      </c>
      <c r="J4037" s="136">
        <v>24216.6</v>
      </c>
      <c r="K4037" s="89"/>
      <c r="L4037" s="89">
        <v>1</v>
      </c>
    </row>
    <row r="4038" spans="1:12" ht="99.75">
      <c r="A4038" s="89" t="s">
        <v>537</v>
      </c>
      <c r="B4038" s="237">
        <v>112120611010</v>
      </c>
      <c r="C4038" s="89" t="s">
        <v>535</v>
      </c>
      <c r="D4038" s="89"/>
      <c r="E4038" s="236" t="s">
        <v>483</v>
      </c>
      <c r="F4038" s="236" t="s">
        <v>1436</v>
      </c>
      <c r="G4038" s="236" t="s">
        <v>1464</v>
      </c>
      <c r="H4038" s="238">
        <v>42248</v>
      </c>
      <c r="I4038" s="235">
        <v>42317</v>
      </c>
      <c r="J4038" s="136">
        <v>47649.599999999999</v>
      </c>
      <c r="K4038" s="89"/>
      <c r="L4038" s="89">
        <v>1</v>
      </c>
    </row>
    <row r="4039" spans="1:12" ht="99.75">
      <c r="A4039" s="89" t="s">
        <v>554</v>
      </c>
      <c r="B4039" s="237">
        <v>112120611010</v>
      </c>
      <c r="C4039" s="89" t="s">
        <v>551</v>
      </c>
      <c r="D4039" s="89"/>
      <c r="E4039" s="236" t="s">
        <v>483</v>
      </c>
      <c r="F4039" s="236" t="s">
        <v>1436</v>
      </c>
      <c r="G4039" s="236" t="s">
        <v>1465</v>
      </c>
      <c r="H4039" s="238">
        <v>42248</v>
      </c>
      <c r="I4039" s="235">
        <v>42317</v>
      </c>
      <c r="J4039" s="136">
        <v>16405.2</v>
      </c>
      <c r="K4039" s="89"/>
      <c r="L4039" s="89">
        <v>1</v>
      </c>
    </row>
    <row r="4040" spans="1:12" ht="99.75">
      <c r="A4040" s="89" t="s">
        <v>594</v>
      </c>
      <c r="B4040" s="237">
        <v>112120611010</v>
      </c>
      <c r="C4040" s="89" t="s">
        <v>591</v>
      </c>
      <c r="D4040" s="89"/>
      <c r="E4040" s="236" t="s">
        <v>483</v>
      </c>
      <c r="F4040" s="236" t="s">
        <v>1436</v>
      </c>
      <c r="G4040" s="236" t="s">
        <v>1466</v>
      </c>
      <c r="H4040" s="238">
        <v>42248</v>
      </c>
      <c r="I4040" s="235">
        <v>42317</v>
      </c>
      <c r="J4040" s="136">
        <v>15883.2</v>
      </c>
      <c r="K4040" s="89"/>
      <c r="L4040" s="89">
        <v>1</v>
      </c>
    </row>
    <row r="4041" spans="1:12" ht="99.75">
      <c r="A4041" s="89" t="s">
        <v>643</v>
      </c>
      <c r="B4041" s="237">
        <v>112120611010</v>
      </c>
      <c r="C4041" s="89" t="s">
        <v>640</v>
      </c>
      <c r="D4041" s="89"/>
      <c r="E4041" s="236" t="s">
        <v>483</v>
      </c>
      <c r="F4041" s="236" t="s">
        <v>1436</v>
      </c>
      <c r="G4041" s="236" t="s">
        <v>1467</v>
      </c>
      <c r="H4041" s="238">
        <v>42248</v>
      </c>
      <c r="I4041" s="235">
        <v>42317</v>
      </c>
      <c r="J4041" s="136">
        <v>15883.2</v>
      </c>
      <c r="K4041" s="89"/>
      <c r="L4041" s="89">
        <v>1</v>
      </c>
    </row>
    <row r="4042" spans="1:12" ht="99.75">
      <c r="A4042" s="89" t="s">
        <v>648</v>
      </c>
      <c r="B4042" s="237">
        <v>112120611010</v>
      </c>
      <c r="C4042" s="89" t="s">
        <v>645</v>
      </c>
      <c r="D4042" s="89"/>
      <c r="E4042" s="236" t="s">
        <v>483</v>
      </c>
      <c r="F4042" s="236" t="s">
        <v>1436</v>
      </c>
      <c r="G4042" s="236" t="s">
        <v>1468</v>
      </c>
      <c r="H4042" s="238">
        <v>42248</v>
      </c>
      <c r="I4042" s="235">
        <v>42317</v>
      </c>
      <c r="J4042" s="136">
        <v>16238.4</v>
      </c>
      <c r="K4042" s="89"/>
      <c r="L4042" s="89">
        <v>1</v>
      </c>
    </row>
    <row r="4043" spans="1:12" ht="99.75">
      <c r="A4043" s="89" t="s">
        <v>549</v>
      </c>
      <c r="B4043" s="237">
        <v>112120611010</v>
      </c>
      <c r="C4043" s="89" t="s">
        <v>544</v>
      </c>
      <c r="D4043" s="89"/>
      <c r="E4043" s="236" t="s">
        <v>483</v>
      </c>
      <c r="F4043" s="236" t="s">
        <v>1436</v>
      </c>
      <c r="G4043" s="236" t="s">
        <v>1469</v>
      </c>
      <c r="H4043" s="238">
        <v>42248</v>
      </c>
      <c r="I4043" s="235">
        <v>42317</v>
      </c>
      <c r="J4043" s="136">
        <v>16053.6</v>
      </c>
      <c r="K4043" s="89"/>
      <c r="L4043" s="89">
        <v>1</v>
      </c>
    </row>
    <row r="4044" spans="1:12" ht="99.75">
      <c r="A4044" s="89" t="s">
        <v>571</v>
      </c>
      <c r="B4044" s="237">
        <v>112120611010</v>
      </c>
      <c r="C4044" s="89" t="s">
        <v>569</v>
      </c>
      <c r="D4044" s="89"/>
      <c r="E4044" s="236" t="s">
        <v>483</v>
      </c>
      <c r="F4044" s="236" t="s">
        <v>1436</v>
      </c>
      <c r="G4044" s="236" t="s">
        <v>1470</v>
      </c>
      <c r="H4044" s="238">
        <v>42248</v>
      </c>
      <c r="I4044" s="235">
        <v>42317</v>
      </c>
      <c r="J4044" s="136">
        <v>16405.2</v>
      </c>
      <c r="K4044" s="89"/>
      <c r="L4044" s="89">
        <v>1</v>
      </c>
    </row>
    <row r="4045" spans="1:12" ht="99.75">
      <c r="A4045" s="89" t="s">
        <v>576</v>
      </c>
      <c r="B4045" s="237">
        <v>112120611010</v>
      </c>
      <c r="C4045" s="89" t="s">
        <v>573</v>
      </c>
      <c r="D4045" s="89"/>
      <c r="E4045" s="236" t="s">
        <v>483</v>
      </c>
      <c r="F4045" s="236" t="s">
        <v>1436</v>
      </c>
      <c r="G4045" s="236" t="s">
        <v>1471</v>
      </c>
      <c r="H4045" s="238">
        <v>42248</v>
      </c>
      <c r="I4045" s="235">
        <v>42317</v>
      </c>
      <c r="J4045" s="136">
        <v>16053.8</v>
      </c>
      <c r="K4045" s="89"/>
      <c r="L4045" s="89">
        <v>1</v>
      </c>
    </row>
    <row r="4046" spans="1:12" ht="99.75">
      <c r="A4046" s="89" t="s">
        <v>585</v>
      </c>
      <c r="B4046" s="237">
        <v>112120611010</v>
      </c>
      <c r="C4046" s="89" t="s">
        <v>581</v>
      </c>
      <c r="D4046" s="89"/>
      <c r="E4046" s="236" t="s">
        <v>483</v>
      </c>
      <c r="F4046" s="236" t="s">
        <v>1436</v>
      </c>
      <c r="G4046" s="236" t="s">
        <v>1472</v>
      </c>
      <c r="H4046" s="238">
        <v>42248</v>
      </c>
      <c r="I4046" s="235">
        <v>42317</v>
      </c>
      <c r="J4046" s="136">
        <v>32810.400000000001</v>
      </c>
      <c r="K4046" s="89"/>
      <c r="L4046" s="89">
        <v>1</v>
      </c>
    </row>
    <row r="4047" spans="1:12" ht="99.75">
      <c r="A4047" s="89" t="s">
        <v>599</v>
      </c>
      <c r="B4047" s="237">
        <v>112120611010</v>
      </c>
      <c r="C4047" s="89" t="s">
        <v>596</v>
      </c>
      <c r="D4047" s="89"/>
      <c r="E4047" s="236" t="s">
        <v>483</v>
      </c>
      <c r="F4047" s="236" t="s">
        <v>1436</v>
      </c>
      <c r="G4047" s="236" t="s">
        <v>1473</v>
      </c>
      <c r="H4047" s="238">
        <v>42248</v>
      </c>
      <c r="I4047" s="235">
        <v>42317</v>
      </c>
      <c r="J4047" s="136">
        <v>32107.200000000001</v>
      </c>
      <c r="K4047" s="89"/>
      <c r="L4047" s="89">
        <v>1</v>
      </c>
    </row>
    <row r="4048" spans="1:12" ht="99.75">
      <c r="A4048" s="89" t="s">
        <v>613</v>
      </c>
      <c r="B4048" s="237">
        <v>112120611010</v>
      </c>
      <c r="C4048" s="89" t="s">
        <v>610</v>
      </c>
      <c r="D4048" s="89"/>
      <c r="E4048" s="236" t="s">
        <v>483</v>
      </c>
      <c r="F4048" s="236" t="s">
        <v>1436</v>
      </c>
      <c r="G4048" s="236" t="s">
        <v>1474</v>
      </c>
      <c r="H4048" s="238">
        <v>42248</v>
      </c>
      <c r="I4048" s="235">
        <v>42317</v>
      </c>
      <c r="J4048" s="136">
        <v>16053.61</v>
      </c>
      <c r="K4048" s="89"/>
      <c r="L4048" s="89">
        <v>1</v>
      </c>
    </row>
    <row r="4049" spans="1:12" ht="99.75">
      <c r="A4049" s="89" t="s">
        <v>625</v>
      </c>
      <c r="B4049" s="237">
        <v>112120611010</v>
      </c>
      <c r="C4049" s="89" t="s">
        <v>622</v>
      </c>
      <c r="D4049" s="89"/>
      <c r="E4049" s="236" t="s">
        <v>483</v>
      </c>
      <c r="F4049" s="236" t="s">
        <v>1436</v>
      </c>
      <c r="G4049" s="236" t="s">
        <v>1475</v>
      </c>
      <c r="H4049" s="238">
        <v>42248</v>
      </c>
      <c r="I4049" s="235">
        <v>42317</v>
      </c>
      <c r="J4049" s="136">
        <v>15883.2</v>
      </c>
      <c r="K4049" s="89"/>
      <c r="L4049" s="89">
        <v>1</v>
      </c>
    </row>
    <row r="4050" spans="1:12" ht="99.75">
      <c r="A4050" s="89" t="s">
        <v>626</v>
      </c>
      <c r="B4050" s="237">
        <v>112120611010</v>
      </c>
      <c r="C4050" s="89" t="s">
        <v>627</v>
      </c>
      <c r="D4050" s="89"/>
      <c r="E4050" s="236" t="s">
        <v>483</v>
      </c>
      <c r="F4050" s="236" t="s">
        <v>1436</v>
      </c>
      <c r="G4050" s="236" t="s">
        <v>1476</v>
      </c>
      <c r="H4050" s="238">
        <v>42248</v>
      </c>
      <c r="I4050" s="235">
        <v>42317</v>
      </c>
      <c r="J4050" s="136">
        <v>32107.200000000001</v>
      </c>
      <c r="K4050" s="89"/>
      <c r="L4050" s="89">
        <v>1</v>
      </c>
    </row>
    <row r="4051" spans="1:12" ht="99.75">
      <c r="A4051" s="89" t="s">
        <v>635</v>
      </c>
      <c r="B4051" s="237">
        <v>112120611010</v>
      </c>
      <c r="C4051" s="89" t="s">
        <v>632</v>
      </c>
      <c r="D4051" s="89"/>
      <c r="E4051" s="236" t="s">
        <v>483</v>
      </c>
      <c r="F4051" s="236" t="s">
        <v>1436</v>
      </c>
      <c r="G4051" s="236" t="s">
        <v>1477</v>
      </c>
      <c r="H4051" s="238">
        <v>42248</v>
      </c>
      <c r="I4051" s="235">
        <v>42317</v>
      </c>
      <c r="J4051" s="136">
        <v>15883.2</v>
      </c>
      <c r="K4051" s="89"/>
      <c r="L4051" s="89">
        <v>1</v>
      </c>
    </row>
    <row r="4052" spans="1:12" ht="99.75">
      <c r="A4052" s="89" t="s">
        <v>657</v>
      </c>
      <c r="B4052" s="237">
        <v>112120611010</v>
      </c>
      <c r="C4052" s="89" t="s">
        <v>654</v>
      </c>
      <c r="D4052" s="89"/>
      <c r="E4052" s="236" t="s">
        <v>483</v>
      </c>
      <c r="F4052" s="236" t="s">
        <v>1436</v>
      </c>
      <c r="G4052" s="236" t="s">
        <v>1478</v>
      </c>
      <c r="H4052" s="238">
        <v>42248</v>
      </c>
      <c r="I4052" s="235">
        <v>42317</v>
      </c>
      <c r="J4052" s="136">
        <v>15883.2</v>
      </c>
      <c r="K4052" s="89"/>
      <c r="L4052" s="89">
        <v>1</v>
      </c>
    </row>
    <row r="4053" spans="1:12" ht="99.75">
      <c r="A4053" s="89" t="s">
        <v>810</v>
      </c>
      <c r="B4053" s="237">
        <v>112120611010</v>
      </c>
      <c r="C4053" s="89" t="s">
        <v>807</v>
      </c>
      <c r="D4053" s="89"/>
      <c r="E4053" s="236" t="s">
        <v>483</v>
      </c>
      <c r="F4053" s="236" t="s">
        <v>1436</v>
      </c>
      <c r="G4053" s="236" t="s">
        <v>1479</v>
      </c>
      <c r="H4053" s="238">
        <v>42248</v>
      </c>
      <c r="I4053" s="235">
        <v>42317</v>
      </c>
      <c r="J4053" s="136">
        <v>60504</v>
      </c>
      <c r="K4053" s="89"/>
      <c r="L4053" s="89">
        <v>1</v>
      </c>
    </row>
    <row r="4054" spans="1:12" ht="99.75">
      <c r="A4054" s="89" t="s">
        <v>805</v>
      </c>
      <c r="B4054" s="237">
        <v>112120611010</v>
      </c>
      <c r="C4054" s="89" t="s">
        <v>804</v>
      </c>
      <c r="D4054" s="89"/>
      <c r="E4054" s="236" t="s">
        <v>483</v>
      </c>
      <c r="F4054" s="236" t="s">
        <v>1436</v>
      </c>
      <c r="G4054" s="236" t="s">
        <v>1480</v>
      </c>
      <c r="H4054" s="238">
        <v>42248</v>
      </c>
      <c r="I4054" s="235">
        <v>42317</v>
      </c>
      <c r="J4054" s="136">
        <v>44620.800000000003</v>
      </c>
      <c r="K4054" s="89"/>
      <c r="L4054" s="89">
        <v>1</v>
      </c>
    </row>
    <row r="4055" spans="1:12" ht="128.25">
      <c r="A4055" s="89" t="s">
        <v>737</v>
      </c>
      <c r="B4055" s="237">
        <v>112120611020</v>
      </c>
      <c r="C4055" s="89" t="s">
        <v>459</v>
      </c>
      <c r="D4055" s="89"/>
      <c r="E4055" s="236" t="s">
        <v>455</v>
      </c>
      <c r="F4055" s="236" t="s">
        <v>434</v>
      </c>
      <c r="G4055" s="236" t="s">
        <v>1481</v>
      </c>
      <c r="H4055" s="238">
        <v>42248</v>
      </c>
      <c r="I4055" s="235">
        <v>42311</v>
      </c>
      <c r="J4055" s="136">
        <v>708.1</v>
      </c>
      <c r="K4055" s="89"/>
      <c r="L4055" s="89">
        <v>1</v>
      </c>
    </row>
    <row r="4056" spans="1:12" ht="99.75">
      <c r="A4056" s="89" t="s">
        <v>734</v>
      </c>
      <c r="B4056" s="237">
        <v>112120611020</v>
      </c>
      <c r="C4056" s="89" t="s">
        <v>459</v>
      </c>
      <c r="D4056" s="89"/>
      <c r="E4056" s="236" t="s">
        <v>408</v>
      </c>
      <c r="F4056" s="236" t="s">
        <v>434</v>
      </c>
      <c r="G4056" s="236" t="s">
        <v>1482</v>
      </c>
      <c r="H4056" s="238">
        <v>42248</v>
      </c>
      <c r="I4056" s="235">
        <v>42314</v>
      </c>
      <c r="J4056" s="136">
        <v>16879.900000000001</v>
      </c>
      <c r="K4056" s="89"/>
      <c r="L4056" s="89">
        <v>1</v>
      </c>
    </row>
    <row r="4057" spans="1:12" ht="99.75">
      <c r="A4057" s="89" t="s">
        <v>734</v>
      </c>
      <c r="B4057" s="237">
        <v>112120611020</v>
      </c>
      <c r="C4057" s="89" t="s">
        <v>459</v>
      </c>
      <c r="D4057" s="89"/>
      <c r="E4057" s="236" t="s">
        <v>407</v>
      </c>
      <c r="F4057" s="236" t="s">
        <v>434</v>
      </c>
      <c r="G4057" s="236" t="s">
        <v>1483</v>
      </c>
      <c r="H4057" s="238">
        <v>42248</v>
      </c>
      <c r="I4057" s="235">
        <v>42314</v>
      </c>
      <c r="J4057" s="136">
        <v>11105.2</v>
      </c>
      <c r="K4057" s="89"/>
      <c r="L4057" s="89">
        <v>1</v>
      </c>
    </row>
    <row r="4058" spans="1:12" ht="114">
      <c r="A4058" s="89" t="s">
        <v>734</v>
      </c>
      <c r="B4058" s="237">
        <v>112120611020</v>
      </c>
      <c r="C4058" s="89" t="s">
        <v>459</v>
      </c>
      <c r="D4058" s="89"/>
      <c r="E4058" s="236" t="s">
        <v>409</v>
      </c>
      <c r="F4058" s="236" t="s">
        <v>434</v>
      </c>
      <c r="G4058" s="236" t="s">
        <v>1484</v>
      </c>
      <c r="H4058" s="238">
        <v>42248</v>
      </c>
      <c r="I4058" s="235">
        <v>42320</v>
      </c>
      <c r="J4058" s="136">
        <v>16435.7</v>
      </c>
      <c r="K4058" s="89"/>
      <c r="L4058" s="89">
        <v>1</v>
      </c>
    </row>
    <row r="4059" spans="1:12" ht="128.25">
      <c r="A4059" s="89" t="s">
        <v>457</v>
      </c>
      <c r="B4059" s="237">
        <v>112120611020</v>
      </c>
      <c r="C4059" s="89" t="s">
        <v>458</v>
      </c>
      <c r="D4059" s="89"/>
      <c r="E4059" s="236" t="s">
        <v>455</v>
      </c>
      <c r="F4059" s="236" t="s">
        <v>434</v>
      </c>
      <c r="G4059" s="236" t="s">
        <v>1485</v>
      </c>
      <c r="H4059" s="238">
        <v>42278</v>
      </c>
      <c r="I4059" s="235">
        <v>42338</v>
      </c>
      <c r="J4059" s="136">
        <v>800</v>
      </c>
      <c r="K4059" s="89"/>
      <c r="L4059" s="89">
        <v>1</v>
      </c>
    </row>
    <row r="4060" spans="1:12" ht="99.75">
      <c r="A4060" s="89" t="s">
        <v>713</v>
      </c>
      <c r="B4060" s="237">
        <v>112120611020</v>
      </c>
      <c r="C4060" s="89" t="s">
        <v>458</v>
      </c>
      <c r="D4060" s="89"/>
      <c r="E4060" s="236" t="s">
        <v>408</v>
      </c>
      <c r="F4060" s="236" t="s">
        <v>434</v>
      </c>
      <c r="G4060" s="236" t="s">
        <v>1486</v>
      </c>
      <c r="H4060" s="238">
        <v>42248</v>
      </c>
      <c r="I4060" s="235">
        <v>42314</v>
      </c>
      <c r="J4060" s="136">
        <v>18826.91</v>
      </c>
      <c r="K4060" s="89"/>
      <c r="L4060" s="89">
        <v>1</v>
      </c>
    </row>
    <row r="4061" spans="1:12" ht="99.75">
      <c r="A4061" s="89" t="s">
        <v>713</v>
      </c>
      <c r="B4061" s="237">
        <v>112120611020</v>
      </c>
      <c r="C4061" s="89" t="s">
        <v>458</v>
      </c>
      <c r="D4061" s="89"/>
      <c r="E4061" s="236" t="s">
        <v>407</v>
      </c>
      <c r="F4061" s="236" t="s">
        <v>434</v>
      </c>
      <c r="G4061" s="236" t="s">
        <v>1487</v>
      </c>
      <c r="H4061" s="238">
        <v>42248</v>
      </c>
      <c r="I4061" s="235">
        <v>42314</v>
      </c>
      <c r="J4061" s="136">
        <v>12386.12</v>
      </c>
      <c r="K4061" s="89"/>
      <c r="L4061" s="89">
        <v>1</v>
      </c>
    </row>
    <row r="4062" spans="1:12" ht="114">
      <c r="A4062" s="89" t="s">
        <v>713</v>
      </c>
      <c r="B4062" s="237">
        <v>112120611020</v>
      </c>
      <c r="C4062" s="89" t="s">
        <v>458</v>
      </c>
      <c r="D4062" s="89"/>
      <c r="E4062" s="236" t="s">
        <v>409</v>
      </c>
      <c r="F4062" s="236" t="s">
        <v>434</v>
      </c>
      <c r="G4062" s="236" t="s">
        <v>1488</v>
      </c>
      <c r="H4062" s="238">
        <v>42248</v>
      </c>
      <c r="I4062" s="235">
        <v>42320</v>
      </c>
      <c r="J4062" s="136">
        <v>18331.46</v>
      </c>
      <c r="K4062" s="89"/>
      <c r="L4062" s="89">
        <v>1</v>
      </c>
    </row>
    <row r="4063" spans="1:12" ht="128.25">
      <c r="A4063" s="89" t="s">
        <v>453</v>
      </c>
      <c r="B4063" s="237">
        <v>112120611020</v>
      </c>
      <c r="C4063" s="89" t="s">
        <v>454</v>
      </c>
      <c r="D4063" s="89"/>
      <c r="E4063" s="236" t="s">
        <v>455</v>
      </c>
      <c r="F4063" s="236" t="s">
        <v>434</v>
      </c>
      <c r="G4063" s="236" t="s">
        <v>1489</v>
      </c>
      <c r="H4063" s="238">
        <v>42248</v>
      </c>
      <c r="I4063" s="235">
        <v>42311</v>
      </c>
      <c r="J4063" s="136">
        <v>800</v>
      </c>
      <c r="K4063" s="89"/>
      <c r="L4063" s="89">
        <v>1</v>
      </c>
    </row>
    <row r="4064" spans="1:12" ht="128.25">
      <c r="A4064" s="89" t="s">
        <v>453</v>
      </c>
      <c r="B4064" s="237">
        <v>112120611020</v>
      </c>
      <c r="C4064" s="89" t="s">
        <v>454</v>
      </c>
      <c r="D4064" s="89"/>
      <c r="E4064" s="236" t="s">
        <v>455</v>
      </c>
      <c r="F4064" s="236" t="s">
        <v>434</v>
      </c>
      <c r="G4064" s="236" t="s">
        <v>1490</v>
      </c>
      <c r="H4064" s="238">
        <v>42095</v>
      </c>
      <c r="I4064" s="235">
        <v>42324</v>
      </c>
      <c r="J4064" s="136">
        <v>800</v>
      </c>
      <c r="K4064" s="89"/>
      <c r="L4064" s="89">
        <v>1</v>
      </c>
    </row>
    <row r="4065" spans="1:12" ht="128.25">
      <c r="A4065" s="89" t="s">
        <v>453</v>
      </c>
      <c r="B4065" s="237">
        <v>112120611020</v>
      </c>
      <c r="C4065" s="89" t="s">
        <v>454</v>
      </c>
      <c r="D4065" s="89"/>
      <c r="E4065" s="236" t="s">
        <v>455</v>
      </c>
      <c r="F4065" s="236" t="s">
        <v>434</v>
      </c>
      <c r="G4065" s="236" t="s">
        <v>1491</v>
      </c>
      <c r="H4065" s="238">
        <v>42278</v>
      </c>
      <c r="I4065" s="235">
        <v>42338</v>
      </c>
      <c r="J4065" s="136">
        <v>800</v>
      </c>
      <c r="K4065" s="89"/>
      <c r="L4065" s="89">
        <v>1</v>
      </c>
    </row>
    <row r="4066" spans="1:12" ht="99.75">
      <c r="A4066" s="89" t="s">
        <v>692</v>
      </c>
      <c r="B4066" s="237">
        <v>112120611020</v>
      </c>
      <c r="C4066" s="89" t="s">
        <v>454</v>
      </c>
      <c r="D4066" s="89"/>
      <c r="E4066" s="236" t="s">
        <v>408</v>
      </c>
      <c r="F4066" s="236" t="s">
        <v>434</v>
      </c>
      <c r="G4066" s="236" t="s">
        <v>1492</v>
      </c>
      <c r="H4066" s="238">
        <v>42248</v>
      </c>
      <c r="I4066" s="235">
        <v>42314</v>
      </c>
      <c r="J4066" s="136">
        <v>7264.36</v>
      </c>
      <c r="K4066" s="89"/>
      <c r="L4066" s="89">
        <v>1</v>
      </c>
    </row>
    <row r="4067" spans="1:12" ht="99.75">
      <c r="A4067" s="89" t="s">
        <v>692</v>
      </c>
      <c r="B4067" s="237">
        <v>112120611020</v>
      </c>
      <c r="C4067" s="89" t="s">
        <v>454</v>
      </c>
      <c r="D4067" s="89"/>
      <c r="E4067" s="236" t="s">
        <v>407</v>
      </c>
      <c r="F4067" s="236" t="s">
        <v>434</v>
      </c>
      <c r="G4067" s="236" t="s">
        <v>1493</v>
      </c>
      <c r="H4067" s="238">
        <v>42248</v>
      </c>
      <c r="I4067" s="235">
        <v>42314</v>
      </c>
      <c r="J4067" s="136">
        <v>4779.18</v>
      </c>
      <c r="K4067" s="89"/>
      <c r="L4067" s="89">
        <v>1</v>
      </c>
    </row>
    <row r="4068" spans="1:12" ht="114">
      <c r="A4068" s="89" t="s">
        <v>692</v>
      </c>
      <c r="B4068" s="237">
        <v>112120611020</v>
      </c>
      <c r="C4068" s="89" t="s">
        <v>454</v>
      </c>
      <c r="D4068" s="89"/>
      <c r="E4068" s="236" t="s">
        <v>409</v>
      </c>
      <c r="F4068" s="236" t="s">
        <v>434</v>
      </c>
      <c r="G4068" s="236" t="s">
        <v>1494</v>
      </c>
      <c r="H4068" s="238">
        <v>42248</v>
      </c>
      <c r="I4068" s="235">
        <v>42320</v>
      </c>
      <c r="J4068" s="136">
        <v>7073.19</v>
      </c>
      <c r="K4068" s="89"/>
      <c r="L4068" s="89">
        <v>1</v>
      </c>
    </row>
    <row r="4069" spans="1:12" ht="99.75">
      <c r="A4069" s="89" t="s">
        <v>698</v>
      </c>
      <c r="B4069" s="237">
        <v>112120611020</v>
      </c>
      <c r="C4069" s="89" t="s">
        <v>456</v>
      </c>
      <c r="D4069" s="89"/>
      <c r="E4069" s="236" t="s">
        <v>408</v>
      </c>
      <c r="F4069" s="236" t="s">
        <v>434</v>
      </c>
      <c r="G4069" s="236" t="s">
        <v>1495</v>
      </c>
      <c r="H4069" s="238">
        <v>42248</v>
      </c>
      <c r="I4069" s="235">
        <v>42314</v>
      </c>
      <c r="J4069" s="136">
        <v>7291.36</v>
      </c>
      <c r="K4069" s="89"/>
      <c r="L4069" s="89">
        <v>1</v>
      </c>
    </row>
    <row r="4070" spans="1:12" ht="99.75">
      <c r="A4070" s="89" t="s">
        <v>698</v>
      </c>
      <c r="B4070" s="237">
        <v>112120611020</v>
      </c>
      <c r="C4070" s="89" t="s">
        <v>456</v>
      </c>
      <c r="D4070" s="89"/>
      <c r="E4070" s="236" t="s">
        <v>408</v>
      </c>
      <c r="F4070" s="236" t="s">
        <v>434</v>
      </c>
      <c r="G4070" s="236" t="s">
        <v>1496</v>
      </c>
      <c r="H4070" s="238">
        <v>42248</v>
      </c>
      <c r="I4070" s="235">
        <v>42320</v>
      </c>
      <c r="J4070" s="136">
        <v>2723.73</v>
      </c>
      <c r="K4070" s="89"/>
      <c r="L4070" s="89">
        <v>1</v>
      </c>
    </row>
    <row r="4071" spans="1:12" ht="99.75">
      <c r="A4071" s="89" t="s">
        <v>698</v>
      </c>
      <c r="B4071" s="237">
        <v>112120611020</v>
      </c>
      <c r="C4071" s="89" t="s">
        <v>456</v>
      </c>
      <c r="D4071" s="89"/>
      <c r="E4071" s="236" t="s">
        <v>407</v>
      </c>
      <c r="F4071" s="236" t="s">
        <v>434</v>
      </c>
      <c r="G4071" s="236" t="s">
        <v>1497</v>
      </c>
      <c r="H4071" s="238">
        <v>42248</v>
      </c>
      <c r="I4071" s="235">
        <v>42320</v>
      </c>
      <c r="J4071" s="136">
        <v>4796.95</v>
      </c>
      <c r="K4071" s="89"/>
      <c r="L4071" s="89">
        <v>1</v>
      </c>
    </row>
    <row r="4072" spans="1:12" ht="114">
      <c r="A4072" s="89" t="s">
        <v>698</v>
      </c>
      <c r="B4072" s="237">
        <v>112120611020</v>
      </c>
      <c r="C4072" s="89" t="s">
        <v>456</v>
      </c>
      <c r="D4072" s="89"/>
      <c r="E4072" s="236" t="s">
        <v>409</v>
      </c>
      <c r="F4072" s="236" t="s">
        <v>434</v>
      </c>
      <c r="G4072" s="236" t="s">
        <v>1498</v>
      </c>
      <c r="H4072" s="238">
        <v>42248</v>
      </c>
      <c r="I4072" s="235">
        <v>42320</v>
      </c>
      <c r="J4072" s="136">
        <v>7099.48</v>
      </c>
      <c r="K4072" s="89"/>
      <c r="L4072" s="89">
        <v>1</v>
      </c>
    </row>
    <row r="4073" spans="1:12" ht="99.75">
      <c r="A4073" s="89" t="s">
        <v>723</v>
      </c>
      <c r="B4073" s="237">
        <v>112120611020</v>
      </c>
      <c r="C4073" s="89" t="s">
        <v>719</v>
      </c>
      <c r="D4073" s="89"/>
      <c r="E4073" s="236" t="s">
        <v>408</v>
      </c>
      <c r="F4073" s="236" t="s">
        <v>434</v>
      </c>
      <c r="G4073" s="236" t="s">
        <v>1499</v>
      </c>
      <c r="H4073" s="238">
        <v>42248</v>
      </c>
      <c r="I4073" s="235">
        <v>42314</v>
      </c>
      <c r="J4073" s="136">
        <v>3410.06</v>
      </c>
      <c r="K4073" s="89"/>
      <c r="L4073" s="89">
        <v>1</v>
      </c>
    </row>
    <row r="4074" spans="1:12" ht="99.75">
      <c r="A4074" s="89" t="s">
        <v>723</v>
      </c>
      <c r="B4074" s="237">
        <v>112120611020</v>
      </c>
      <c r="C4074" s="89" t="s">
        <v>719</v>
      </c>
      <c r="D4074" s="89"/>
      <c r="E4074" s="236" t="s">
        <v>407</v>
      </c>
      <c r="F4074" s="236" t="s">
        <v>434</v>
      </c>
      <c r="G4074" s="236" t="s">
        <v>1500</v>
      </c>
      <c r="H4074" s="238">
        <v>42248</v>
      </c>
      <c r="I4074" s="235">
        <v>42314</v>
      </c>
      <c r="J4074" s="136">
        <v>2243.46</v>
      </c>
      <c r="K4074" s="89"/>
      <c r="L4074" s="89">
        <v>1</v>
      </c>
    </row>
    <row r="4075" spans="1:12" ht="114">
      <c r="A4075" s="89" t="s">
        <v>723</v>
      </c>
      <c r="B4075" s="237">
        <v>112120611020</v>
      </c>
      <c r="C4075" s="89" t="s">
        <v>719</v>
      </c>
      <c r="D4075" s="89"/>
      <c r="E4075" s="236" t="s">
        <v>409</v>
      </c>
      <c r="F4075" s="236" t="s">
        <v>434</v>
      </c>
      <c r="G4075" s="236" t="s">
        <v>423</v>
      </c>
      <c r="H4075" s="238">
        <v>42248</v>
      </c>
      <c r="I4075" s="235">
        <v>42320</v>
      </c>
      <c r="J4075" s="136">
        <v>3320.32</v>
      </c>
      <c r="K4075" s="89"/>
      <c r="L4075" s="89">
        <v>1</v>
      </c>
    </row>
    <row r="4076" spans="1:12" ht="99.75">
      <c r="A4076" s="89" t="s">
        <v>744</v>
      </c>
      <c r="B4076" s="237">
        <v>112120611020</v>
      </c>
      <c r="C4076" s="89" t="s">
        <v>460</v>
      </c>
      <c r="D4076" s="89"/>
      <c r="E4076" s="236" t="s">
        <v>408</v>
      </c>
      <c r="F4076" s="236" t="s">
        <v>434</v>
      </c>
      <c r="G4076" s="236" t="s">
        <v>1501</v>
      </c>
      <c r="H4076" s="238">
        <v>42248</v>
      </c>
      <c r="I4076" s="235">
        <v>42314</v>
      </c>
      <c r="J4076" s="136">
        <v>24014.49</v>
      </c>
      <c r="K4076" s="89"/>
      <c r="L4076" s="89">
        <v>1</v>
      </c>
    </row>
    <row r="4077" spans="1:12" ht="99.75">
      <c r="A4077" s="89" t="s">
        <v>744</v>
      </c>
      <c r="B4077" s="237">
        <v>112120611020</v>
      </c>
      <c r="C4077" s="89" t="s">
        <v>460</v>
      </c>
      <c r="D4077" s="89"/>
      <c r="E4077" s="236" t="s">
        <v>407</v>
      </c>
      <c r="F4077" s="236" t="s">
        <v>434</v>
      </c>
      <c r="G4077" s="236" t="s">
        <v>1502</v>
      </c>
      <c r="H4077" s="238">
        <v>42248</v>
      </c>
      <c r="I4077" s="235">
        <v>42314</v>
      </c>
      <c r="J4077" s="136">
        <v>15799.01</v>
      </c>
      <c r="K4077" s="89"/>
      <c r="L4077" s="89">
        <v>1</v>
      </c>
    </row>
    <row r="4078" spans="1:12" ht="114">
      <c r="A4078" s="89" t="s">
        <v>744</v>
      </c>
      <c r="B4078" s="237">
        <v>112120611020</v>
      </c>
      <c r="C4078" s="89" t="s">
        <v>460</v>
      </c>
      <c r="D4078" s="89"/>
      <c r="E4078" s="236" t="s">
        <v>409</v>
      </c>
      <c r="F4078" s="236" t="s">
        <v>434</v>
      </c>
      <c r="G4078" s="236" t="s">
        <v>1503</v>
      </c>
      <c r="H4078" s="238">
        <v>42248</v>
      </c>
      <c r="I4078" s="235">
        <v>42320</v>
      </c>
      <c r="J4078" s="136">
        <v>23382.53</v>
      </c>
      <c r="K4078" s="89"/>
      <c r="L4078" s="89">
        <v>1</v>
      </c>
    </row>
    <row r="4079" spans="1:12" ht="99.75">
      <c r="A4079" s="89" t="s">
        <v>753</v>
      </c>
      <c r="B4079" s="237">
        <v>112120611020</v>
      </c>
      <c r="C4079" s="89" t="s">
        <v>461</v>
      </c>
      <c r="D4079" s="89"/>
      <c r="E4079" s="236" t="s">
        <v>408</v>
      </c>
      <c r="F4079" s="236" t="s">
        <v>434</v>
      </c>
      <c r="G4079" s="236" t="s">
        <v>1504</v>
      </c>
      <c r="H4079" s="238">
        <v>42248</v>
      </c>
      <c r="I4079" s="235">
        <v>42314</v>
      </c>
      <c r="J4079" s="136">
        <v>14929.5</v>
      </c>
      <c r="K4079" s="89"/>
      <c r="L4079" s="89">
        <v>1</v>
      </c>
    </row>
    <row r="4080" spans="1:12" ht="99.75">
      <c r="A4080" s="89" t="s">
        <v>753</v>
      </c>
      <c r="B4080" s="237">
        <v>112120611020</v>
      </c>
      <c r="C4080" s="89" t="s">
        <v>461</v>
      </c>
      <c r="D4080" s="89"/>
      <c r="E4080" s="236" t="s">
        <v>407</v>
      </c>
      <c r="F4080" s="236" t="s">
        <v>434</v>
      </c>
      <c r="G4080" s="236" t="s">
        <v>1505</v>
      </c>
      <c r="H4080" s="238">
        <v>42248</v>
      </c>
      <c r="I4080" s="235">
        <v>42314</v>
      </c>
      <c r="J4080" s="136">
        <v>9822.0400000000009</v>
      </c>
      <c r="K4080" s="89"/>
      <c r="L4080" s="89">
        <v>1</v>
      </c>
    </row>
    <row r="4081" spans="1:12" ht="114">
      <c r="A4081" s="89" t="s">
        <v>753</v>
      </c>
      <c r="B4081" s="237">
        <v>112120611020</v>
      </c>
      <c r="C4081" s="89" t="s">
        <v>461</v>
      </c>
      <c r="D4081" s="89"/>
      <c r="E4081" s="236" t="s">
        <v>409</v>
      </c>
      <c r="F4081" s="236" t="s">
        <v>434</v>
      </c>
      <c r="G4081" s="236" t="s">
        <v>1506</v>
      </c>
      <c r="H4081" s="238">
        <v>42248</v>
      </c>
      <c r="I4081" s="235">
        <v>42320</v>
      </c>
      <c r="J4081" s="136">
        <v>14536.61</v>
      </c>
      <c r="K4081" s="89"/>
      <c r="L4081" s="89">
        <v>1</v>
      </c>
    </row>
    <row r="4082" spans="1:12" ht="99.75">
      <c r="A4082" s="89" t="s">
        <v>753</v>
      </c>
      <c r="B4082" s="237">
        <v>112120611020</v>
      </c>
      <c r="C4082" s="89" t="s">
        <v>461</v>
      </c>
      <c r="D4082" s="89"/>
      <c r="E4082" s="236" t="s">
        <v>408</v>
      </c>
      <c r="F4082" s="236" t="s">
        <v>434</v>
      </c>
      <c r="G4082" s="236" t="s">
        <v>1507</v>
      </c>
      <c r="H4082" s="238">
        <v>42278</v>
      </c>
      <c r="I4082" s="235">
        <v>42332</v>
      </c>
      <c r="J4082" s="136">
        <v>14929.5</v>
      </c>
      <c r="K4082" s="89"/>
      <c r="L4082" s="89">
        <v>1</v>
      </c>
    </row>
    <row r="4083" spans="1:12" ht="99.75">
      <c r="A4083" s="89" t="s">
        <v>761</v>
      </c>
      <c r="B4083" s="237">
        <v>112120611020</v>
      </c>
      <c r="C4083" s="89" t="s">
        <v>463</v>
      </c>
      <c r="D4083" s="89"/>
      <c r="E4083" s="236" t="s">
        <v>408</v>
      </c>
      <c r="F4083" s="236" t="s">
        <v>434</v>
      </c>
      <c r="G4083" s="236" t="s">
        <v>1508</v>
      </c>
      <c r="H4083" s="238">
        <v>42248</v>
      </c>
      <c r="I4083" s="235">
        <v>42314</v>
      </c>
      <c r="J4083" s="136">
        <v>14701.89</v>
      </c>
      <c r="K4083" s="89"/>
      <c r="L4083" s="89">
        <v>1</v>
      </c>
    </row>
    <row r="4084" spans="1:12" ht="99.75">
      <c r="A4084" s="89" t="s">
        <v>761</v>
      </c>
      <c r="B4084" s="237">
        <v>112120611020</v>
      </c>
      <c r="C4084" s="89" t="s">
        <v>463</v>
      </c>
      <c r="D4084" s="89"/>
      <c r="E4084" s="236" t="s">
        <v>407</v>
      </c>
      <c r="F4084" s="236" t="s">
        <v>434</v>
      </c>
      <c r="G4084" s="236" t="s">
        <v>1509</v>
      </c>
      <c r="H4084" s="238">
        <v>42248</v>
      </c>
      <c r="I4084" s="235">
        <v>42314</v>
      </c>
      <c r="J4084" s="136">
        <v>9672.2999999999993</v>
      </c>
      <c r="K4084" s="89"/>
      <c r="L4084" s="89">
        <v>1</v>
      </c>
    </row>
    <row r="4085" spans="1:12" ht="114">
      <c r="A4085" s="89" t="s">
        <v>761</v>
      </c>
      <c r="B4085" s="237">
        <v>112120611020</v>
      </c>
      <c r="C4085" s="89" t="s">
        <v>463</v>
      </c>
      <c r="D4085" s="89"/>
      <c r="E4085" s="236" t="s">
        <v>409</v>
      </c>
      <c r="F4085" s="236" t="s">
        <v>434</v>
      </c>
      <c r="G4085" s="236" t="s">
        <v>1510</v>
      </c>
      <c r="H4085" s="238">
        <v>42248</v>
      </c>
      <c r="I4085" s="235">
        <v>42320</v>
      </c>
      <c r="J4085" s="136">
        <v>14315</v>
      </c>
      <c r="K4085" s="89"/>
      <c r="L4085" s="89">
        <v>1</v>
      </c>
    </row>
    <row r="4086" spans="1:12" ht="99.75">
      <c r="A4086" s="89" t="s">
        <v>769</v>
      </c>
      <c r="B4086" s="237">
        <v>112120611020</v>
      </c>
      <c r="C4086" s="89" t="s">
        <v>465</v>
      </c>
      <c r="D4086" s="89"/>
      <c r="E4086" s="236" t="s">
        <v>408</v>
      </c>
      <c r="F4086" s="236" t="s">
        <v>434</v>
      </c>
      <c r="G4086" s="236" t="s">
        <v>1511</v>
      </c>
      <c r="H4086" s="238">
        <v>42248</v>
      </c>
      <c r="I4086" s="235">
        <v>42314</v>
      </c>
      <c r="J4086" s="136">
        <v>9041.52</v>
      </c>
      <c r="K4086" s="89"/>
      <c r="L4086" s="89">
        <v>1</v>
      </c>
    </row>
    <row r="4087" spans="1:12" ht="99.75">
      <c r="A4087" s="89" t="s">
        <v>769</v>
      </c>
      <c r="B4087" s="237">
        <v>112120611020</v>
      </c>
      <c r="C4087" s="89" t="s">
        <v>465</v>
      </c>
      <c r="D4087" s="89"/>
      <c r="E4087" s="236" t="s">
        <v>407</v>
      </c>
      <c r="F4087" s="236" t="s">
        <v>434</v>
      </c>
      <c r="G4087" s="236" t="s">
        <v>1512</v>
      </c>
      <c r="H4087" s="238">
        <v>42248</v>
      </c>
      <c r="I4087" s="235">
        <v>42314</v>
      </c>
      <c r="J4087" s="136">
        <v>5948.37</v>
      </c>
      <c r="K4087" s="89"/>
      <c r="L4087" s="89">
        <v>1</v>
      </c>
    </row>
    <row r="4088" spans="1:12" ht="114">
      <c r="A4088" s="89" t="s">
        <v>769</v>
      </c>
      <c r="B4088" s="237">
        <v>112120611020</v>
      </c>
      <c r="C4088" s="89" t="s">
        <v>465</v>
      </c>
      <c r="D4088" s="89"/>
      <c r="E4088" s="236" t="s">
        <v>409</v>
      </c>
      <c r="F4088" s="236" t="s">
        <v>434</v>
      </c>
      <c r="G4088" s="236" t="s">
        <v>1513</v>
      </c>
      <c r="H4088" s="238">
        <v>42248</v>
      </c>
      <c r="I4088" s="235">
        <v>42320</v>
      </c>
      <c r="J4088" s="136">
        <v>8803.59</v>
      </c>
      <c r="K4088" s="89"/>
      <c r="L4088" s="89">
        <v>1</v>
      </c>
    </row>
    <row r="4089" spans="1:12" ht="99.75">
      <c r="A4089" s="89" t="s">
        <v>777</v>
      </c>
      <c r="B4089" s="237">
        <v>112120611020</v>
      </c>
      <c r="C4089" s="89" t="s">
        <v>466</v>
      </c>
      <c r="D4089" s="89"/>
      <c r="E4089" s="236" t="s">
        <v>408</v>
      </c>
      <c r="F4089" s="236" t="s">
        <v>434</v>
      </c>
      <c r="G4089" s="236" t="s">
        <v>1514</v>
      </c>
      <c r="H4089" s="238">
        <v>42248</v>
      </c>
      <c r="I4089" s="235">
        <v>42314</v>
      </c>
      <c r="J4089" s="136">
        <v>4285.32</v>
      </c>
      <c r="K4089" s="89"/>
      <c r="L4089" s="89">
        <v>1</v>
      </c>
    </row>
    <row r="4090" spans="1:12" ht="114">
      <c r="A4090" s="89" t="s">
        <v>777</v>
      </c>
      <c r="B4090" s="237">
        <v>112120611020</v>
      </c>
      <c r="C4090" s="89" t="s">
        <v>466</v>
      </c>
      <c r="D4090" s="89"/>
      <c r="E4090" s="236" t="s">
        <v>409</v>
      </c>
      <c r="F4090" s="236" t="s">
        <v>434</v>
      </c>
      <c r="G4090" s="236" t="s">
        <v>437</v>
      </c>
      <c r="H4090" s="238">
        <v>42248</v>
      </c>
      <c r="I4090" s="235">
        <v>42320</v>
      </c>
      <c r="J4090" s="136">
        <v>4172.55</v>
      </c>
      <c r="K4090" s="89"/>
      <c r="L4090" s="89">
        <v>1</v>
      </c>
    </row>
    <row r="4091" spans="1:12" ht="99.75">
      <c r="A4091" s="89" t="s">
        <v>777</v>
      </c>
      <c r="B4091" s="237">
        <v>112120611020</v>
      </c>
      <c r="C4091" s="89" t="s">
        <v>466</v>
      </c>
      <c r="D4091" s="89"/>
      <c r="E4091" s="236" t="s">
        <v>407</v>
      </c>
      <c r="F4091" s="236" t="s">
        <v>434</v>
      </c>
      <c r="G4091" s="236" t="s">
        <v>1515</v>
      </c>
      <c r="H4091" s="238">
        <v>42248</v>
      </c>
      <c r="I4091" s="235">
        <v>42327</v>
      </c>
      <c r="J4091" s="136">
        <v>2819.29</v>
      </c>
      <c r="K4091" s="89"/>
      <c r="L4091" s="89">
        <v>1</v>
      </c>
    </row>
    <row r="4092" spans="1:12" ht="99.75">
      <c r="A4092" s="89" t="s">
        <v>786</v>
      </c>
      <c r="B4092" s="237">
        <v>112120611020</v>
      </c>
      <c r="C4092" s="89" t="s">
        <v>783</v>
      </c>
      <c r="D4092" s="89"/>
      <c r="E4092" s="236" t="s">
        <v>408</v>
      </c>
      <c r="F4092" s="236" t="s">
        <v>434</v>
      </c>
      <c r="G4092" s="236" t="s">
        <v>1516</v>
      </c>
      <c r="H4092" s="238">
        <v>42248</v>
      </c>
      <c r="I4092" s="235">
        <v>42320</v>
      </c>
      <c r="J4092" s="136">
        <v>12525.09</v>
      </c>
      <c r="K4092" s="89"/>
      <c r="L4092" s="89">
        <v>1</v>
      </c>
    </row>
    <row r="4093" spans="1:12" ht="99.75">
      <c r="A4093" s="89" t="s">
        <v>786</v>
      </c>
      <c r="B4093" s="237">
        <v>112120611020</v>
      </c>
      <c r="C4093" s="89" t="s">
        <v>783</v>
      </c>
      <c r="D4093" s="89"/>
      <c r="E4093" s="236" t="s">
        <v>407</v>
      </c>
      <c r="F4093" s="236" t="s">
        <v>434</v>
      </c>
      <c r="G4093" s="236" t="s">
        <v>1517</v>
      </c>
      <c r="H4093" s="238">
        <v>42248</v>
      </c>
      <c r="I4093" s="235">
        <v>42320</v>
      </c>
      <c r="J4093" s="136">
        <v>8240.19</v>
      </c>
      <c r="K4093" s="89"/>
      <c r="L4093" s="89">
        <v>1</v>
      </c>
    </row>
    <row r="4094" spans="1:12" ht="114">
      <c r="A4094" s="89" t="s">
        <v>786</v>
      </c>
      <c r="B4094" s="237">
        <v>112120611020</v>
      </c>
      <c r="C4094" s="89" t="s">
        <v>783</v>
      </c>
      <c r="D4094" s="89"/>
      <c r="E4094" s="236" t="s">
        <v>409</v>
      </c>
      <c r="F4094" s="236" t="s">
        <v>434</v>
      </c>
      <c r="G4094" s="236" t="s">
        <v>1518</v>
      </c>
      <c r="H4094" s="238">
        <v>42248</v>
      </c>
      <c r="I4094" s="235">
        <v>42320</v>
      </c>
      <c r="J4094" s="136">
        <v>12195.48</v>
      </c>
      <c r="K4094" s="89"/>
      <c r="L4094" s="89">
        <v>1</v>
      </c>
    </row>
    <row r="4095" spans="1:12" ht="99.75">
      <c r="A4095" s="89" t="s">
        <v>795</v>
      </c>
      <c r="B4095" s="237">
        <v>112120611020</v>
      </c>
      <c r="C4095" s="89" t="s">
        <v>794</v>
      </c>
      <c r="D4095" s="89"/>
      <c r="E4095" s="236" t="s">
        <v>408</v>
      </c>
      <c r="F4095" s="236" t="s">
        <v>434</v>
      </c>
      <c r="G4095" s="236" t="s">
        <v>1519</v>
      </c>
      <c r="H4095" s="238">
        <v>42248</v>
      </c>
      <c r="I4095" s="235">
        <v>42320</v>
      </c>
      <c r="J4095" s="136">
        <v>8882.5499999999993</v>
      </c>
      <c r="K4095" s="89"/>
      <c r="L4095" s="89">
        <v>1</v>
      </c>
    </row>
    <row r="4096" spans="1:12" ht="99.75">
      <c r="A4096" s="89" t="s">
        <v>795</v>
      </c>
      <c r="B4096" s="237">
        <v>112120611020</v>
      </c>
      <c r="C4096" s="89" t="s">
        <v>794</v>
      </c>
      <c r="D4096" s="89"/>
      <c r="E4096" s="236" t="s">
        <v>407</v>
      </c>
      <c r="F4096" s="236" t="s">
        <v>434</v>
      </c>
      <c r="G4096" s="236" t="s">
        <v>1520</v>
      </c>
      <c r="H4096" s="238">
        <v>42248</v>
      </c>
      <c r="I4096" s="235">
        <v>42320</v>
      </c>
      <c r="J4096" s="136">
        <v>5843.79</v>
      </c>
      <c r="K4096" s="89"/>
      <c r="L4096" s="89">
        <v>1</v>
      </c>
    </row>
    <row r="4097" spans="1:12" ht="114">
      <c r="A4097" s="89" t="s">
        <v>795</v>
      </c>
      <c r="B4097" s="237">
        <v>112120611020</v>
      </c>
      <c r="C4097" s="89" t="s">
        <v>794</v>
      </c>
      <c r="D4097" s="89"/>
      <c r="E4097" s="236" t="s">
        <v>409</v>
      </c>
      <c r="F4097" s="236" t="s">
        <v>434</v>
      </c>
      <c r="G4097" s="236" t="s">
        <v>1521</v>
      </c>
      <c r="H4097" s="238">
        <v>42248</v>
      </c>
      <c r="I4097" s="235">
        <v>42320</v>
      </c>
      <c r="J4097" s="136">
        <v>8648.7999999999993</v>
      </c>
      <c r="K4097" s="89"/>
      <c r="L4097" s="89">
        <v>1</v>
      </c>
    </row>
    <row r="4098" spans="1:12" ht="99.75">
      <c r="A4098" s="89" t="s">
        <v>791</v>
      </c>
      <c r="B4098" s="237">
        <v>112120611020</v>
      </c>
      <c r="C4098" s="89" t="s">
        <v>789</v>
      </c>
      <c r="D4098" s="89"/>
      <c r="E4098" s="236" t="s">
        <v>408</v>
      </c>
      <c r="F4098" s="236" t="s">
        <v>434</v>
      </c>
      <c r="G4098" s="236" t="s">
        <v>1522</v>
      </c>
      <c r="H4098" s="238">
        <v>42248</v>
      </c>
      <c r="I4098" s="235">
        <v>42314</v>
      </c>
      <c r="J4098" s="136">
        <v>12095.58</v>
      </c>
      <c r="K4098" s="89"/>
      <c r="L4098" s="89">
        <v>1</v>
      </c>
    </row>
    <row r="4099" spans="1:12" ht="99.75">
      <c r="A4099" s="89" t="s">
        <v>791</v>
      </c>
      <c r="B4099" s="237">
        <v>112120611020</v>
      </c>
      <c r="C4099" s="89" t="s">
        <v>789</v>
      </c>
      <c r="D4099" s="89"/>
      <c r="E4099" s="236" t="s">
        <v>407</v>
      </c>
      <c r="F4099" s="236" t="s">
        <v>434</v>
      </c>
      <c r="G4099" s="236" t="s">
        <v>1523</v>
      </c>
      <c r="H4099" s="238">
        <v>42248</v>
      </c>
      <c r="I4099" s="235">
        <v>42314</v>
      </c>
      <c r="J4099" s="136">
        <v>7957.62</v>
      </c>
      <c r="K4099" s="89"/>
      <c r="L4099" s="89">
        <v>1</v>
      </c>
    </row>
    <row r="4100" spans="1:12" ht="114">
      <c r="A4100" s="89" t="s">
        <v>791</v>
      </c>
      <c r="B4100" s="237">
        <v>112120611020</v>
      </c>
      <c r="C4100" s="89" t="s">
        <v>789</v>
      </c>
      <c r="D4100" s="89"/>
      <c r="E4100" s="236" t="s">
        <v>409</v>
      </c>
      <c r="F4100" s="236" t="s">
        <v>434</v>
      </c>
      <c r="G4100" s="236" t="s">
        <v>1524</v>
      </c>
      <c r="H4100" s="238">
        <v>42248</v>
      </c>
      <c r="I4100" s="235">
        <v>42320</v>
      </c>
      <c r="J4100" s="136">
        <v>11777.28</v>
      </c>
      <c r="K4100" s="89"/>
      <c r="L4100" s="89">
        <v>1</v>
      </c>
    </row>
    <row r="4101" spans="1:12" ht="99.75">
      <c r="A4101" s="89" t="s">
        <v>801</v>
      </c>
      <c r="B4101" s="237">
        <v>112120611020</v>
      </c>
      <c r="C4101" s="89" t="s">
        <v>799</v>
      </c>
      <c r="D4101" s="89"/>
      <c r="E4101" s="236" t="s">
        <v>408</v>
      </c>
      <c r="F4101" s="236" t="s">
        <v>434</v>
      </c>
      <c r="G4101" s="236" t="s">
        <v>1525</v>
      </c>
      <c r="H4101" s="238">
        <v>42248</v>
      </c>
      <c r="I4101" s="235">
        <v>42314</v>
      </c>
      <c r="J4101" s="136">
        <v>11565.85</v>
      </c>
      <c r="K4101" s="89"/>
      <c r="L4101" s="89">
        <v>1</v>
      </c>
    </row>
    <row r="4102" spans="1:12" ht="99.75">
      <c r="A4102" s="89" t="s">
        <v>801</v>
      </c>
      <c r="B4102" s="237">
        <v>112120611020</v>
      </c>
      <c r="C4102" s="89" t="s">
        <v>799</v>
      </c>
      <c r="D4102" s="89"/>
      <c r="E4102" s="236" t="s">
        <v>407</v>
      </c>
      <c r="F4102" s="236" t="s">
        <v>434</v>
      </c>
      <c r="G4102" s="236" t="s">
        <v>1526</v>
      </c>
      <c r="H4102" s="238">
        <v>42248</v>
      </c>
      <c r="I4102" s="235">
        <v>42314</v>
      </c>
      <c r="J4102" s="136">
        <v>7609.12</v>
      </c>
      <c r="K4102" s="89"/>
      <c r="L4102" s="89">
        <v>1</v>
      </c>
    </row>
    <row r="4103" spans="1:12" ht="114">
      <c r="A4103" s="89" t="s">
        <v>801</v>
      </c>
      <c r="B4103" s="237">
        <v>112120611020</v>
      </c>
      <c r="C4103" s="89" t="s">
        <v>799</v>
      </c>
      <c r="D4103" s="89"/>
      <c r="E4103" s="236" t="s">
        <v>409</v>
      </c>
      <c r="F4103" s="236" t="s">
        <v>434</v>
      </c>
      <c r="G4103" s="236" t="s">
        <v>1527</v>
      </c>
      <c r="H4103" s="238">
        <v>42248</v>
      </c>
      <c r="I4103" s="235">
        <v>42320</v>
      </c>
      <c r="J4103" s="136">
        <v>11261.49</v>
      </c>
      <c r="K4103" s="89"/>
      <c r="L4103" s="89">
        <v>1</v>
      </c>
    </row>
    <row r="4104" spans="1:12" ht="99.75">
      <c r="A4104" s="89" t="s">
        <v>510</v>
      </c>
      <c r="B4104" s="237">
        <v>112120611020</v>
      </c>
      <c r="C4104" s="89" t="s">
        <v>506</v>
      </c>
      <c r="D4104" s="89"/>
      <c r="E4104" s="236" t="s">
        <v>408</v>
      </c>
      <c r="F4104" s="236" t="s">
        <v>434</v>
      </c>
      <c r="G4104" s="236" t="s">
        <v>1528</v>
      </c>
      <c r="H4104" s="238">
        <v>42248</v>
      </c>
      <c r="I4104" s="235">
        <v>42320</v>
      </c>
      <c r="J4104" s="136">
        <v>13915.03</v>
      </c>
      <c r="K4104" s="89"/>
      <c r="L4104" s="89">
        <v>1</v>
      </c>
    </row>
    <row r="4105" spans="1:12" ht="99.75">
      <c r="A4105" s="89" t="s">
        <v>510</v>
      </c>
      <c r="B4105" s="237">
        <v>112120611020</v>
      </c>
      <c r="C4105" s="89" t="s">
        <v>506</v>
      </c>
      <c r="D4105" s="89"/>
      <c r="E4105" s="236" t="s">
        <v>407</v>
      </c>
      <c r="F4105" s="236" t="s">
        <v>434</v>
      </c>
      <c r="G4105" s="236" t="s">
        <v>1529</v>
      </c>
      <c r="H4105" s="238">
        <v>42248</v>
      </c>
      <c r="I4105" s="235">
        <v>42320</v>
      </c>
      <c r="J4105" s="136">
        <v>9154.6299999999992</v>
      </c>
      <c r="K4105" s="89"/>
      <c r="L4105" s="89">
        <v>1</v>
      </c>
    </row>
    <row r="4106" spans="1:12" ht="114">
      <c r="A4106" s="89" t="s">
        <v>510</v>
      </c>
      <c r="B4106" s="237">
        <v>112120611020</v>
      </c>
      <c r="C4106" s="89" t="s">
        <v>506</v>
      </c>
      <c r="D4106" s="89"/>
      <c r="E4106" s="236" t="s">
        <v>409</v>
      </c>
      <c r="F4106" s="236" t="s">
        <v>434</v>
      </c>
      <c r="G4106" s="236" t="s">
        <v>1530</v>
      </c>
      <c r="H4106" s="238">
        <v>42248</v>
      </c>
      <c r="I4106" s="235">
        <v>42320</v>
      </c>
      <c r="J4106" s="136">
        <v>13548.85</v>
      </c>
      <c r="K4106" s="89"/>
      <c r="L4106" s="89">
        <v>1</v>
      </c>
    </row>
    <row r="4107" spans="1:12" ht="99.75">
      <c r="A4107" s="89" t="s">
        <v>818</v>
      </c>
      <c r="B4107" s="237">
        <v>112120611020</v>
      </c>
      <c r="C4107" s="89" t="s">
        <v>472</v>
      </c>
      <c r="D4107" s="89"/>
      <c r="E4107" s="236" t="s">
        <v>819</v>
      </c>
      <c r="F4107" s="236" t="s">
        <v>434</v>
      </c>
      <c r="G4107" s="236" t="s">
        <v>1531</v>
      </c>
      <c r="H4107" s="238">
        <v>42248</v>
      </c>
      <c r="I4107" s="235">
        <v>42324</v>
      </c>
      <c r="J4107" s="136">
        <v>16166.82</v>
      </c>
      <c r="K4107" s="89"/>
      <c r="L4107" s="89">
        <v>1</v>
      </c>
    </row>
    <row r="4108" spans="1:12" ht="99.75">
      <c r="A4108" s="89" t="s">
        <v>814</v>
      </c>
      <c r="B4108" s="237">
        <v>112120611020</v>
      </c>
      <c r="C4108" s="89" t="s">
        <v>812</v>
      </c>
      <c r="D4108" s="89"/>
      <c r="E4108" s="236" t="s">
        <v>408</v>
      </c>
      <c r="F4108" s="236" t="s">
        <v>434</v>
      </c>
      <c r="G4108" s="236" t="s">
        <v>1532</v>
      </c>
      <c r="H4108" s="238">
        <v>42248</v>
      </c>
      <c r="I4108" s="235">
        <v>42331</v>
      </c>
      <c r="J4108" s="136">
        <v>6196.29</v>
      </c>
      <c r="K4108" s="89"/>
      <c r="L4108" s="89">
        <v>1</v>
      </c>
    </row>
    <row r="4109" spans="1:12" ht="99.75">
      <c r="A4109" s="89" t="s">
        <v>814</v>
      </c>
      <c r="B4109" s="237">
        <v>112120611020</v>
      </c>
      <c r="C4109" s="89" t="s">
        <v>812</v>
      </c>
      <c r="D4109" s="89"/>
      <c r="E4109" s="236" t="s">
        <v>407</v>
      </c>
      <c r="F4109" s="236" t="s">
        <v>434</v>
      </c>
      <c r="G4109" s="236" t="s">
        <v>1533</v>
      </c>
      <c r="H4109" s="238">
        <v>42248</v>
      </c>
      <c r="I4109" s="235">
        <v>42332</v>
      </c>
      <c r="J4109" s="136">
        <v>4076.51</v>
      </c>
      <c r="K4109" s="89"/>
      <c r="L4109" s="89">
        <v>1</v>
      </c>
    </row>
    <row r="4110" spans="1:12" ht="114">
      <c r="A4110" s="89" t="s">
        <v>814</v>
      </c>
      <c r="B4110" s="237">
        <v>112120611020</v>
      </c>
      <c r="C4110" s="89" t="s">
        <v>812</v>
      </c>
      <c r="D4110" s="89"/>
      <c r="E4110" s="236" t="s">
        <v>409</v>
      </c>
      <c r="F4110" s="236" t="s">
        <v>434</v>
      </c>
      <c r="G4110" s="236" t="s">
        <v>1534</v>
      </c>
      <c r="H4110" s="238">
        <v>42248</v>
      </c>
      <c r="I4110" s="235">
        <v>42332</v>
      </c>
      <c r="J4110" s="136">
        <v>6033.23</v>
      </c>
      <c r="K4110" s="89"/>
      <c r="L4110" s="89">
        <v>1</v>
      </c>
    </row>
    <row r="4111" spans="1:12" ht="85.5">
      <c r="A4111" s="89" t="s">
        <v>500</v>
      </c>
      <c r="B4111" s="237">
        <v>112120611020</v>
      </c>
      <c r="C4111" s="89" t="s">
        <v>496</v>
      </c>
      <c r="D4111" s="89"/>
      <c r="E4111" s="236" t="s">
        <v>492</v>
      </c>
      <c r="F4111" s="236" t="s">
        <v>434</v>
      </c>
      <c r="G4111" s="236" t="s">
        <v>1535</v>
      </c>
      <c r="H4111" s="238">
        <v>42248</v>
      </c>
      <c r="I4111" s="235">
        <v>42317</v>
      </c>
      <c r="J4111" s="136">
        <v>12165.26</v>
      </c>
      <c r="K4111" s="89"/>
      <c r="L4111" s="89">
        <v>1</v>
      </c>
    </row>
    <row r="4112" spans="1:12" ht="99.75">
      <c r="A4112" s="89" t="s">
        <v>839</v>
      </c>
      <c r="B4112" s="237">
        <v>112120611020</v>
      </c>
      <c r="C4112" s="89" t="s">
        <v>837</v>
      </c>
      <c r="D4112" s="89"/>
      <c r="E4112" s="236" t="s">
        <v>408</v>
      </c>
      <c r="F4112" s="236" t="s">
        <v>434</v>
      </c>
      <c r="G4112" s="236" t="s">
        <v>1536</v>
      </c>
      <c r="H4112" s="238">
        <v>42248</v>
      </c>
      <c r="I4112" s="235">
        <v>42314</v>
      </c>
      <c r="J4112" s="136">
        <v>5097.8</v>
      </c>
      <c r="K4112" s="89"/>
      <c r="L4112" s="89">
        <v>1</v>
      </c>
    </row>
    <row r="4113" spans="1:12" ht="99.75">
      <c r="A4113" s="89" t="s">
        <v>839</v>
      </c>
      <c r="B4113" s="237">
        <v>112120611020</v>
      </c>
      <c r="C4113" s="89" t="s">
        <v>837</v>
      </c>
      <c r="D4113" s="89"/>
      <c r="E4113" s="236" t="s">
        <v>407</v>
      </c>
      <c r="F4113" s="236" t="s">
        <v>434</v>
      </c>
      <c r="G4113" s="236" t="s">
        <v>1537</v>
      </c>
      <c r="H4113" s="238">
        <v>42248</v>
      </c>
      <c r="I4113" s="235">
        <v>42314</v>
      </c>
      <c r="J4113" s="136">
        <v>3353.82</v>
      </c>
      <c r="K4113" s="89"/>
      <c r="L4113" s="89">
        <v>1</v>
      </c>
    </row>
    <row r="4114" spans="1:12" ht="114">
      <c r="A4114" s="89" t="s">
        <v>839</v>
      </c>
      <c r="B4114" s="237">
        <v>112120611020</v>
      </c>
      <c r="C4114" s="89" t="s">
        <v>837</v>
      </c>
      <c r="D4114" s="89"/>
      <c r="E4114" s="236" t="s">
        <v>409</v>
      </c>
      <c r="F4114" s="236" t="s">
        <v>434</v>
      </c>
      <c r="G4114" s="236" t="s">
        <v>1538</v>
      </c>
      <c r="H4114" s="238">
        <v>42248</v>
      </c>
      <c r="I4114" s="235">
        <v>42320</v>
      </c>
      <c r="J4114" s="136">
        <v>4963.6499999999996</v>
      </c>
      <c r="K4114" s="89"/>
      <c r="L4114" s="89">
        <v>1</v>
      </c>
    </row>
    <row r="4115" spans="1:12" ht="114">
      <c r="A4115" s="89" t="s">
        <v>480</v>
      </c>
      <c r="B4115" s="237">
        <v>112120611020</v>
      </c>
      <c r="C4115" s="89" t="s">
        <v>476</v>
      </c>
      <c r="D4115" s="89"/>
      <c r="E4115" s="236" t="s">
        <v>409</v>
      </c>
      <c r="F4115" s="236" t="s">
        <v>434</v>
      </c>
      <c r="G4115" s="236" t="s">
        <v>1539</v>
      </c>
      <c r="H4115" s="238">
        <v>42248</v>
      </c>
      <c r="I4115" s="235">
        <v>42331</v>
      </c>
      <c r="J4115" s="136">
        <v>5966.43</v>
      </c>
      <c r="K4115" s="89"/>
      <c r="L4115" s="89">
        <v>1</v>
      </c>
    </row>
    <row r="4116" spans="1:12" ht="99.75">
      <c r="A4116" s="89" t="s">
        <v>480</v>
      </c>
      <c r="B4116" s="237">
        <v>112120611020</v>
      </c>
      <c r="C4116" s="89" t="s">
        <v>476</v>
      </c>
      <c r="D4116" s="89"/>
      <c r="E4116" s="236" t="s">
        <v>408</v>
      </c>
      <c r="F4116" s="236" t="s">
        <v>434</v>
      </c>
      <c r="G4116" s="236" t="s">
        <v>1540</v>
      </c>
      <c r="H4116" s="238">
        <v>42248</v>
      </c>
      <c r="I4116" s="235">
        <v>42332</v>
      </c>
      <c r="J4116" s="136">
        <v>6127.69</v>
      </c>
      <c r="K4116" s="89"/>
      <c r="L4116" s="89">
        <v>1</v>
      </c>
    </row>
    <row r="4117" spans="1:12" ht="99.75">
      <c r="A4117" s="89" t="s">
        <v>480</v>
      </c>
      <c r="B4117" s="237">
        <v>112120611020</v>
      </c>
      <c r="C4117" s="89" t="s">
        <v>476</v>
      </c>
      <c r="D4117" s="89"/>
      <c r="E4117" s="236" t="s">
        <v>407</v>
      </c>
      <c r="F4117" s="236" t="s">
        <v>434</v>
      </c>
      <c r="G4117" s="236" t="s">
        <v>1541</v>
      </c>
      <c r="H4117" s="238">
        <v>42248</v>
      </c>
      <c r="I4117" s="235">
        <v>42332</v>
      </c>
      <c r="J4117" s="136">
        <v>4031.37</v>
      </c>
      <c r="K4117" s="89"/>
      <c r="L4117" s="89">
        <v>1</v>
      </c>
    </row>
    <row r="4118" spans="1:12" ht="99.75">
      <c r="A4118" s="89" t="s">
        <v>831</v>
      </c>
      <c r="B4118" s="237">
        <v>112120611020</v>
      </c>
      <c r="C4118" s="89" t="s">
        <v>829</v>
      </c>
      <c r="D4118" s="89"/>
      <c r="E4118" s="236" t="s">
        <v>408</v>
      </c>
      <c r="F4118" s="236" t="s">
        <v>434</v>
      </c>
      <c r="G4118" s="236" t="s">
        <v>1542</v>
      </c>
      <c r="H4118" s="238">
        <v>42248</v>
      </c>
      <c r="I4118" s="235">
        <v>42320</v>
      </c>
      <c r="J4118" s="136">
        <v>6655.27</v>
      </c>
      <c r="K4118" s="89"/>
      <c r="L4118" s="89">
        <v>1</v>
      </c>
    </row>
    <row r="4119" spans="1:12" ht="99.75">
      <c r="A4119" s="89" t="s">
        <v>831</v>
      </c>
      <c r="B4119" s="237">
        <v>112120611020</v>
      </c>
      <c r="C4119" s="89" t="s">
        <v>829</v>
      </c>
      <c r="D4119" s="89"/>
      <c r="E4119" s="236" t="s">
        <v>407</v>
      </c>
      <c r="F4119" s="236" t="s">
        <v>434</v>
      </c>
      <c r="G4119" s="236" t="s">
        <v>1543</v>
      </c>
      <c r="H4119" s="238">
        <v>42248</v>
      </c>
      <c r="I4119" s="235">
        <v>42320</v>
      </c>
      <c r="J4119" s="136">
        <v>4378.47</v>
      </c>
      <c r="K4119" s="89"/>
      <c r="L4119" s="89">
        <v>1</v>
      </c>
    </row>
    <row r="4120" spans="1:12" ht="114">
      <c r="A4120" s="89" t="s">
        <v>831</v>
      </c>
      <c r="B4120" s="237">
        <v>112120611020</v>
      </c>
      <c r="C4120" s="89" t="s">
        <v>829</v>
      </c>
      <c r="D4120" s="89"/>
      <c r="E4120" s="236" t="s">
        <v>409</v>
      </c>
      <c r="F4120" s="236" t="s">
        <v>434</v>
      </c>
      <c r="G4120" s="236" t="s">
        <v>1544</v>
      </c>
      <c r="H4120" s="238">
        <v>42248</v>
      </c>
      <c r="I4120" s="235">
        <v>42320</v>
      </c>
      <c r="J4120" s="136">
        <v>6480.13</v>
      </c>
      <c r="K4120" s="89"/>
      <c r="L4120" s="89">
        <v>1</v>
      </c>
    </row>
    <row r="4121" spans="1:12" ht="99.75">
      <c r="A4121" s="89" t="s">
        <v>503</v>
      </c>
      <c r="B4121" s="237">
        <v>112120611020</v>
      </c>
      <c r="C4121" s="89" t="s">
        <v>502</v>
      </c>
      <c r="D4121" s="89"/>
      <c r="E4121" s="236" t="s">
        <v>408</v>
      </c>
      <c r="F4121" s="236" t="s">
        <v>434</v>
      </c>
      <c r="G4121" s="236" t="s">
        <v>1545</v>
      </c>
      <c r="H4121" s="238">
        <v>42248</v>
      </c>
      <c r="I4121" s="235">
        <v>42320</v>
      </c>
      <c r="J4121" s="136">
        <v>4715.55</v>
      </c>
      <c r="K4121" s="89"/>
      <c r="L4121" s="89">
        <v>1</v>
      </c>
    </row>
    <row r="4122" spans="1:12" ht="99.75">
      <c r="A4122" s="89" t="s">
        <v>503</v>
      </c>
      <c r="B4122" s="237">
        <v>112120611020</v>
      </c>
      <c r="C4122" s="89" t="s">
        <v>502</v>
      </c>
      <c r="D4122" s="89"/>
      <c r="E4122" s="236" t="s">
        <v>407</v>
      </c>
      <c r="F4122" s="236" t="s">
        <v>434</v>
      </c>
      <c r="G4122" s="236" t="s">
        <v>1546</v>
      </c>
      <c r="H4122" s="238">
        <v>42248</v>
      </c>
      <c r="I4122" s="235">
        <v>42320</v>
      </c>
      <c r="J4122" s="136">
        <v>3102.33</v>
      </c>
      <c r="K4122" s="89"/>
      <c r="L4122" s="89">
        <v>1</v>
      </c>
    </row>
    <row r="4123" spans="1:12" ht="114">
      <c r="A4123" s="89" t="s">
        <v>503</v>
      </c>
      <c r="B4123" s="237">
        <v>112120611020</v>
      </c>
      <c r="C4123" s="89" t="s">
        <v>502</v>
      </c>
      <c r="D4123" s="89"/>
      <c r="E4123" s="236" t="s">
        <v>409</v>
      </c>
      <c r="F4123" s="236" t="s">
        <v>434</v>
      </c>
      <c r="G4123" s="236" t="s">
        <v>1547</v>
      </c>
      <c r="H4123" s="238">
        <v>42248</v>
      </c>
      <c r="I4123" s="235">
        <v>42320</v>
      </c>
      <c r="J4123" s="136">
        <v>4591.45</v>
      </c>
      <c r="K4123" s="89"/>
      <c r="L4123" s="89">
        <v>1</v>
      </c>
    </row>
    <row r="4124" spans="1:12" ht="85.5">
      <c r="A4124" s="89" t="s">
        <v>491</v>
      </c>
      <c r="B4124" s="237">
        <v>112120611020</v>
      </c>
      <c r="C4124" s="89" t="s">
        <v>486</v>
      </c>
      <c r="D4124" s="89"/>
      <c r="E4124" s="236" t="s">
        <v>492</v>
      </c>
      <c r="F4124" s="236" t="s">
        <v>434</v>
      </c>
      <c r="G4124" s="236" t="s">
        <v>1548</v>
      </c>
      <c r="H4124" s="238">
        <v>42248</v>
      </c>
      <c r="I4124" s="235">
        <v>42317</v>
      </c>
      <c r="J4124" s="136">
        <v>13722.62</v>
      </c>
      <c r="K4124" s="89"/>
      <c r="L4124" s="89">
        <v>1</v>
      </c>
    </row>
    <row r="4125" spans="1:12" ht="99.75">
      <c r="A4125" s="89" t="s">
        <v>835</v>
      </c>
      <c r="B4125" s="237">
        <v>112120611020</v>
      </c>
      <c r="C4125" s="89" t="s">
        <v>833</v>
      </c>
      <c r="D4125" s="89"/>
      <c r="E4125" s="236" t="s">
        <v>408</v>
      </c>
      <c r="F4125" s="236" t="s">
        <v>434</v>
      </c>
      <c r="G4125" s="236" t="s">
        <v>1549</v>
      </c>
      <c r="H4125" s="238">
        <v>42248</v>
      </c>
      <c r="I4125" s="235">
        <v>42314</v>
      </c>
      <c r="J4125" s="136">
        <v>5256.14</v>
      </c>
      <c r="K4125" s="89"/>
      <c r="L4125" s="89">
        <v>1</v>
      </c>
    </row>
    <row r="4126" spans="1:12" ht="99.75">
      <c r="A4126" s="89" t="s">
        <v>835</v>
      </c>
      <c r="B4126" s="237">
        <v>112120611020</v>
      </c>
      <c r="C4126" s="89" t="s">
        <v>833</v>
      </c>
      <c r="D4126" s="89"/>
      <c r="E4126" s="236" t="s">
        <v>407</v>
      </c>
      <c r="F4126" s="236" t="s">
        <v>434</v>
      </c>
      <c r="G4126" s="236" t="s">
        <v>1550</v>
      </c>
      <c r="H4126" s="238">
        <v>42248</v>
      </c>
      <c r="I4126" s="235">
        <v>42314</v>
      </c>
      <c r="J4126" s="136">
        <v>3457.99</v>
      </c>
      <c r="K4126" s="89"/>
      <c r="L4126" s="89">
        <v>1</v>
      </c>
    </row>
    <row r="4127" spans="1:12" ht="114">
      <c r="A4127" s="89" t="s">
        <v>835</v>
      </c>
      <c r="B4127" s="237">
        <v>112120611020</v>
      </c>
      <c r="C4127" s="89" t="s">
        <v>833</v>
      </c>
      <c r="D4127" s="89"/>
      <c r="E4127" s="236" t="s">
        <v>409</v>
      </c>
      <c r="F4127" s="236" t="s">
        <v>434</v>
      </c>
      <c r="G4127" s="236" t="s">
        <v>1551</v>
      </c>
      <c r="H4127" s="238">
        <v>42248</v>
      </c>
      <c r="I4127" s="235">
        <v>42320</v>
      </c>
      <c r="J4127" s="136">
        <v>5117.83</v>
      </c>
      <c r="K4127" s="89"/>
      <c r="L4127" s="89">
        <v>1</v>
      </c>
    </row>
    <row r="4128" spans="1:12" ht="99.75">
      <c r="A4128" s="89" t="s">
        <v>521</v>
      </c>
      <c r="B4128" s="237">
        <v>112120611020</v>
      </c>
      <c r="C4128" s="89" t="s">
        <v>518</v>
      </c>
      <c r="D4128" s="89"/>
      <c r="E4128" s="236" t="s">
        <v>408</v>
      </c>
      <c r="F4128" s="236" t="s">
        <v>434</v>
      </c>
      <c r="G4128" s="236" t="s">
        <v>1552</v>
      </c>
      <c r="H4128" s="238">
        <v>42248</v>
      </c>
      <c r="I4128" s="235">
        <v>42320</v>
      </c>
      <c r="J4128" s="136">
        <v>2020.04</v>
      </c>
      <c r="K4128" s="89"/>
      <c r="L4128" s="89">
        <v>1</v>
      </c>
    </row>
    <row r="4129" spans="1:12" ht="99.75">
      <c r="A4129" s="89" t="s">
        <v>521</v>
      </c>
      <c r="B4129" s="237">
        <v>112120611020</v>
      </c>
      <c r="C4129" s="89" t="s">
        <v>518</v>
      </c>
      <c r="D4129" s="89"/>
      <c r="E4129" s="236" t="s">
        <v>407</v>
      </c>
      <c r="F4129" s="236" t="s">
        <v>434</v>
      </c>
      <c r="G4129" s="236" t="s">
        <v>1553</v>
      </c>
      <c r="H4129" s="238">
        <v>42248</v>
      </c>
      <c r="I4129" s="235">
        <v>42320</v>
      </c>
      <c r="J4129" s="136">
        <v>4811.71</v>
      </c>
      <c r="K4129" s="89"/>
      <c r="L4129" s="89">
        <v>1</v>
      </c>
    </row>
    <row r="4130" spans="1:12" ht="114">
      <c r="A4130" s="89" t="s">
        <v>521</v>
      </c>
      <c r="B4130" s="237">
        <v>112120611020</v>
      </c>
      <c r="C4130" s="89" t="s">
        <v>518</v>
      </c>
      <c r="D4130" s="89"/>
      <c r="E4130" s="236" t="s">
        <v>409</v>
      </c>
      <c r="F4130" s="236" t="s">
        <v>434</v>
      </c>
      <c r="G4130" s="236" t="s">
        <v>1554</v>
      </c>
      <c r="H4130" s="238">
        <v>42248</v>
      </c>
      <c r="I4130" s="235">
        <v>42320</v>
      </c>
      <c r="J4130" s="136">
        <v>7121.33</v>
      </c>
      <c r="K4130" s="89"/>
      <c r="L4130" s="89">
        <v>1</v>
      </c>
    </row>
    <row r="4131" spans="1:12" ht="99.75">
      <c r="A4131" s="89" t="s">
        <v>515</v>
      </c>
      <c r="B4131" s="237">
        <v>112120611020</v>
      </c>
      <c r="C4131" s="89" t="s">
        <v>513</v>
      </c>
      <c r="D4131" s="89"/>
      <c r="E4131" s="236" t="s">
        <v>408</v>
      </c>
      <c r="F4131" s="236" t="s">
        <v>434</v>
      </c>
      <c r="G4131" s="236" t="s">
        <v>1555</v>
      </c>
      <c r="H4131" s="238">
        <v>42248</v>
      </c>
      <c r="I4131" s="235">
        <v>42314</v>
      </c>
      <c r="J4131" s="136">
        <v>6388.7</v>
      </c>
      <c r="K4131" s="89"/>
      <c r="L4131" s="89">
        <v>1</v>
      </c>
    </row>
    <row r="4132" spans="1:12" ht="99.75">
      <c r="A4132" s="89" t="s">
        <v>515</v>
      </c>
      <c r="B4132" s="237">
        <v>112120611020</v>
      </c>
      <c r="C4132" s="89" t="s">
        <v>513</v>
      </c>
      <c r="D4132" s="89"/>
      <c r="E4132" s="236" t="s">
        <v>407</v>
      </c>
      <c r="F4132" s="236" t="s">
        <v>434</v>
      </c>
      <c r="G4132" s="236" t="s">
        <v>1556</v>
      </c>
      <c r="H4132" s="238">
        <v>42248</v>
      </c>
      <c r="I4132" s="235">
        <v>42314</v>
      </c>
      <c r="J4132" s="136">
        <v>4203.09</v>
      </c>
      <c r="K4132" s="89"/>
      <c r="L4132" s="89">
        <v>1</v>
      </c>
    </row>
    <row r="4133" spans="1:12" ht="114">
      <c r="A4133" s="89" t="s">
        <v>515</v>
      </c>
      <c r="B4133" s="237">
        <v>112120611020</v>
      </c>
      <c r="C4133" s="89" t="s">
        <v>513</v>
      </c>
      <c r="D4133" s="89"/>
      <c r="E4133" s="236" t="s">
        <v>409</v>
      </c>
      <c r="F4133" s="236" t="s">
        <v>434</v>
      </c>
      <c r="G4133" s="236" t="s">
        <v>1557</v>
      </c>
      <c r="H4133" s="238">
        <v>42248</v>
      </c>
      <c r="I4133" s="235">
        <v>42320</v>
      </c>
      <c r="J4133" s="136">
        <v>6220.57</v>
      </c>
      <c r="K4133" s="89"/>
      <c r="L4133" s="89">
        <v>1</v>
      </c>
    </row>
    <row r="4134" spans="1:12" ht="114">
      <c r="A4134" s="89" t="s">
        <v>527</v>
      </c>
      <c r="B4134" s="237">
        <v>112120611020</v>
      </c>
      <c r="C4134" s="89" t="s">
        <v>525</v>
      </c>
      <c r="D4134" s="89"/>
      <c r="E4134" s="236" t="s">
        <v>528</v>
      </c>
      <c r="F4134" s="236" t="s">
        <v>434</v>
      </c>
      <c r="G4134" s="236" t="s">
        <v>1558</v>
      </c>
      <c r="H4134" s="238">
        <v>42248</v>
      </c>
      <c r="I4134" s="235">
        <v>42317</v>
      </c>
      <c r="J4134" s="136">
        <v>4398.51</v>
      </c>
      <c r="K4134" s="89"/>
      <c r="L4134" s="89">
        <v>1</v>
      </c>
    </row>
    <row r="4135" spans="1:12" ht="99.75">
      <c r="A4135" s="89" t="s">
        <v>526</v>
      </c>
      <c r="B4135" s="237">
        <v>112120611020</v>
      </c>
      <c r="C4135" s="89" t="s">
        <v>525</v>
      </c>
      <c r="D4135" s="89"/>
      <c r="E4135" s="236" t="s">
        <v>408</v>
      </c>
      <c r="F4135" s="236" t="s">
        <v>434</v>
      </c>
      <c r="G4135" s="236" t="s">
        <v>1559</v>
      </c>
      <c r="H4135" s="238">
        <v>42248</v>
      </c>
      <c r="I4135" s="235">
        <v>42320</v>
      </c>
      <c r="J4135" s="136">
        <v>2949.31</v>
      </c>
      <c r="K4135" s="89"/>
      <c r="L4135" s="89">
        <v>1</v>
      </c>
    </row>
    <row r="4136" spans="1:12" ht="99.75">
      <c r="A4136" s="89" t="s">
        <v>526</v>
      </c>
      <c r="B4136" s="237">
        <v>112120611020</v>
      </c>
      <c r="C4136" s="89" t="s">
        <v>525</v>
      </c>
      <c r="D4136" s="89"/>
      <c r="E4136" s="236" t="s">
        <v>407</v>
      </c>
      <c r="F4136" s="236" t="s">
        <v>434</v>
      </c>
      <c r="G4136" s="236" t="s">
        <v>1560</v>
      </c>
      <c r="H4136" s="238">
        <v>42248</v>
      </c>
      <c r="I4136" s="235">
        <v>42320</v>
      </c>
      <c r="J4136" s="136">
        <v>1940.34</v>
      </c>
      <c r="K4136" s="89"/>
      <c r="L4136" s="89">
        <v>1</v>
      </c>
    </row>
    <row r="4137" spans="1:12" ht="114">
      <c r="A4137" s="89" t="s">
        <v>526</v>
      </c>
      <c r="B4137" s="237">
        <v>112120611020</v>
      </c>
      <c r="C4137" s="89" t="s">
        <v>525</v>
      </c>
      <c r="D4137" s="89"/>
      <c r="E4137" s="236" t="s">
        <v>409</v>
      </c>
      <c r="F4137" s="236" t="s">
        <v>434</v>
      </c>
      <c r="G4137" s="236" t="s">
        <v>1561</v>
      </c>
      <c r="H4137" s="238">
        <v>42248</v>
      </c>
      <c r="I4137" s="235">
        <v>42320</v>
      </c>
      <c r="J4137" s="136">
        <v>2871.7</v>
      </c>
      <c r="K4137" s="89"/>
      <c r="L4137" s="89">
        <v>1</v>
      </c>
    </row>
    <row r="4138" spans="1:12" ht="99.75">
      <c r="A4138" s="89" t="s">
        <v>536</v>
      </c>
      <c r="B4138" s="237">
        <v>112120611020</v>
      </c>
      <c r="C4138" s="89" t="s">
        <v>535</v>
      </c>
      <c r="D4138" s="89"/>
      <c r="E4138" s="236" t="s">
        <v>407</v>
      </c>
      <c r="F4138" s="236" t="s">
        <v>434</v>
      </c>
      <c r="G4138" s="236" t="s">
        <v>1562</v>
      </c>
      <c r="H4138" s="238">
        <v>42248</v>
      </c>
      <c r="I4138" s="235">
        <v>42327</v>
      </c>
      <c r="J4138" s="136">
        <v>5122.84</v>
      </c>
      <c r="K4138" s="89"/>
      <c r="L4138" s="89">
        <v>1</v>
      </c>
    </row>
    <row r="4139" spans="1:12" ht="99.75">
      <c r="A4139" s="89" t="s">
        <v>552</v>
      </c>
      <c r="B4139" s="237">
        <v>112120611020</v>
      </c>
      <c r="C4139" s="89" t="s">
        <v>551</v>
      </c>
      <c r="D4139" s="89"/>
      <c r="E4139" s="236" t="s">
        <v>408</v>
      </c>
      <c r="F4139" s="236" t="s">
        <v>434</v>
      </c>
      <c r="G4139" s="236" t="s">
        <v>1563</v>
      </c>
      <c r="H4139" s="238">
        <v>42248</v>
      </c>
      <c r="I4139" s="235">
        <v>42314</v>
      </c>
      <c r="J4139" s="136">
        <v>3664.26</v>
      </c>
      <c r="K4139" s="89"/>
      <c r="L4139" s="89">
        <v>1</v>
      </c>
    </row>
    <row r="4140" spans="1:12" ht="99.75">
      <c r="A4140" s="89" t="s">
        <v>552</v>
      </c>
      <c r="B4140" s="237">
        <v>112120611020</v>
      </c>
      <c r="C4140" s="89" t="s">
        <v>551</v>
      </c>
      <c r="D4140" s="89"/>
      <c r="E4140" s="236" t="s">
        <v>407</v>
      </c>
      <c r="F4140" s="236" t="s">
        <v>434</v>
      </c>
      <c r="G4140" s="236" t="s">
        <v>1564</v>
      </c>
      <c r="H4140" s="238">
        <v>42248</v>
      </c>
      <c r="I4140" s="235">
        <v>42314</v>
      </c>
      <c r="J4140" s="136">
        <v>2410.6999999999998</v>
      </c>
      <c r="K4140" s="89"/>
      <c r="L4140" s="89">
        <v>1</v>
      </c>
    </row>
    <row r="4141" spans="1:12" ht="114">
      <c r="A4141" s="89" t="s">
        <v>552</v>
      </c>
      <c r="B4141" s="237">
        <v>112120611020</v>
      </c>
      <c r="C4141" s="89" t="s">
        <v>551</v>
      </c>
      <c r="D4141" s="89"/>
      <c r="E4141" s="236" t="s">
        <v>409</v>
      </c>
      <c r="F4141" s="236" t="s">
        <v>434</v>
      </c>
      <c r="G4141" s="236" t="s">
        <v>1565</v>
      </c>
      <c r="H4141" s="238">
        <v>42248</v>
      </c>
      <c r="I4141" s="235">
        <v>42320</v>
      </c>
      <c r="J4141" s="136">
        <v>3567.83</v>
      </c>
      <c r="K4141" s="89"/>
      <c r="L4141" s="89">
        <v>1</v>
      </c>
    </row>
    <row r="4142" spans="1:12" ht="99.75">
      <c r="A4142" s="89" t="s">
        <v>592</v>
      </c>
      <c r="B4142" s="237">
        <v>112120611020</v>
      </c>
      <c r="C4142" s="89" t="s">
        <v>591</v>
      </c>
      <c r="D4142" s="89"/>
      <c r="E4142" s="236" t="s">
        <v>408</v>
      </c>
      <c r="F4142" s="236" t="s">
        <v>434</v>
      </c>
      <c r="G4142" s="236" t="s">
        <v>1566</v>
      </c>
      <c r="H4142" s="238">
        <v>42248</v>
      </c>
      <c r="I4142" s="235">
        <v>42320</v>
      </c>
      <c r="J4142" s="136">
        <v>2679.49</v>
      </c>
      <c r="K4142" s="89"/>
      <c r="L4142" s="89">
        <v>1</v>
      </c>
    </row>
    <row r="4143" spans="1:12" ht="99.75">
      <c r="A4143" s="89" t="s">
        <v>592</v>
      </c>
      <c r="B4143" s="237">
        <v>112120611020</v>
      </c>
      <c r="C4143" s="89" t="s">
        <v>591</v>
      </c>
      <c r="D4143" s="89"/>
      <c r="E4143" s="236" t="s">
        <v>407</v>
      </c>
      <c r="F4143" s="236" t="s">
        <v>434</v>
      </c>
      <c r="G4143" s="236" t="s">
        <v>1567</v>
      </c>
      <c r="H4143" s="238">
        <v>42248</v>
      </c>
      <c r="I4143" s="235">
        <v>42320</v>
      </c>
      <c r="J4143" s="136">
        <v>1762.82</v>
      </c>
      <c r="K4143" s="89"/>
      <c r="L4143" s="89">
        <v>1</v>
      </c>
    </row>
    <row r="4144" spans="1:12" ht="114">
      <c r="A4144" s="89" t="s">
        <v>592</v>
      </c>
      <c r="B4144" s="237">
        <v>112120611020</v>
      </c>
      <c r="C4144" s="89" t="s">
        <v>591</v>
      </c>
      <c r="D4144" s="89"/>
      <c r="E4144" s="236" t="s">
        <v>409</v>
      </c>
      <c r="F4144" s="236" t="s">
        <v>434</v>
      </c>
      <c r="G4144" s="236" t="s">
        <v>1568</v>
      </c>
      <c r="H4144" s="238">
        <v>42248</v>
      </c>
      <c r="I4144" s="235">
        <v>42320</v>
      </c>
      <c r="J4144" s="136">
        <v>2608.9699999999998</v>
      </c>
      <c r="K4144" s="89"/>
      <c r="L4144" s="89">
        <v>1</v>
      </c>
    </row>
    <row r="4145" spans="1:12" ht="99.75">
      <c r="A4145" s="89" t="s">
        <v>642</v>
      </c>
      <c r="B4145" s="237">
        <v>112120611020</v>
      </c>
      <c r="C4145" s="89" t="s">
        <v>640</v>
      </c>
      <c r="D4145" s="89"/>
      <c r="E4145" s="236" t="s">
        <v>408</v>
      </c>
      <c r="F4145" s="236" t="s">
        <v>434</v>
      </c>
      <c r="G4145" s="236" t="s">
        <v>1569</v>
      </c>
      <c r="H4145" s="238">
        <v>42248</v>
      </c>
      <c r="I4145" s="235">
        <v>42314</v>
      </c>
      <c r="J4145" s="136">
        <v>2682.97</v>
      </c>
      <c r="K4145" s="89"/>
      <c r="L4145" s="89">
        <v>1</v>
      </c>
    </row>
    <row r="4146" spans="1:12" ht="99.75">
      <c r="A4146" s="89" t="s">
        <v>642</v>
      </c>
      <c r="B4146" s="237">
        <v>112120611020</v>
      </c>
      <c r="C4146" s="89" t="s">
        <v>640</v>
      </c>
      <c r="D4146" s="89"/>
      <c r="E4146" s="236" t="s">
        <v>407</v>
      </c>
      <c r="F4146" s="236" t="s">
        <v>434</v>
      </c>
      <c r="G4146" s="236" t="s">
        <v>1570</v>
      </c>
      <c r="H4146" s="238">
        <v>42248</v>
      </c>
      <c r="I4146" s="235">
        <v>42314</v>
      </c>
      <c r="J4146" s="136">
        <v>1765.11</v>
      </c>
      <c r="K4146" s="89"/>
      <c r="L4146" s="89">
        <v>1</v>
      </c>
    </row>
    <row r="4147" spans="1:12" ht="114">
      <c r="A4147" s="89" t="s">
        <v>642</v>
      </c>
      <c r="B4147" s="237">
        <v>112120611020</v>
      </c>
      <c r="C4147" s="89" t="s">
        <v>640</v>
      </c>
      <c r="D4147" s="89"/>
      <c r="E4147" s="236" t="s">
        <v>409</v>
      </c>
      <c r="F4147" s="236" t="s">
        <v>434</v>
      </c>
      <c r="G4147" s="236" t="s">
        <v>1571</v>
      </c>
      <c r="H4147" s="238">
        <v>42248</v>
      </c>
      <c r="I4147" s="235">
        <v>42320</v>
      </c>
      <c r="J4147" s="136">
        <v>2612.37</v>
      </c>
      <c r="K4147" s="89"/>
      <c r="L4147" s="89">
        <v>1</v>
      </c>
    </row>
    <row r="4148" spans="1:12" ht="99.75">
      <c r="A4148" s="89" t="s">
        <v>647</v>
      </c>
      <c r="B4148" s="237">
        <v>112120611020</v>
      </c>
      <c r="C4148" s="89" t="s">
        <v>645</v>
      </c>
      <c r="D4148" s="89"/>
      <c r="E4148" s="236" t="s">
        <v>408</v>
      </c>
      <c r="F4148" s="236" t="s">
        <v>434</v>
      </c>
      <c r="G4148" s="236" t="s">
        <v>1572</v>
      </c>
      <c r="H4148" s="238">
        <v>42248</v>
      </c>
      <c r="I4148" s="235">
        <v>42314</v>
      </c>
      <c r="J4148" s="136">
        <v>2055.85</v>
      </c>
      <c r="K4148" s="89"/>
      <c r="L4148" s="89">
        <v>1</v>
      </c>
    </row>
    <row r="4149" spans="1:12" ht="99.75">
      <c r="A4149" s="89" t="s">
        <v>647</v>
      </c>
      <c r="B4149" s="237">
        <v>112120611020</v>
      </c>
      <c r="C4149" s="89" t="s">
        <v>645</v>
      </c>
      <c r="D4149" s="89"/>
      <c r="E4149" s="236" t="s">
        <v>407</v>
      </c>
      <c r="F4149" s="236" t="s">
        <v>434</v>
      </c>
      <c r="G4149" s="236" t="s">
        <v>1573</v>
      </c>
      <c r="H4149" s="238">
        <v>42248</v>
      </c>
      <c r="I4149" s="235">
        <v>42314</v>
      </c>
      <c r="J4149" s="136">
        <v>1352.53</v>
      </c>
      <c r="K4149" s="89"/>
      <c r="L4149" s="89">
        <v>1</v>
      </c>
    </row>
    <row r="4150" spans="1:12" ht="114">
      <c r="A4150" s="89" t="s">
        <v>647</v>
      </c>
      <c r="B4150" s="237">
        <v>112120611020</v>
      </c>
      <c r="C4150" s="89" t="s">
        <v>645</v>
      </c>
      <c r="D4150" s="89"/>
      <c r="E4150" s="236" t="s">
        <v>409</v>
      </c>
      <c r="F4150" s="236" t="s">
        <v>434</v>
      </c>
      <c r="G4150" s="236" t="s">
        <v>1574</v>
      </c>
      <c r="H4150" s="238">
        <v>42248</v>
      </c>
      <c r="I4150" s="235">
        <v>42320</v>
      </c>
      <c r="J4150" s="136">
        <v>2001.75</v>
      </c>
      <c r="K4150" s="89"/>
      <c r="L4150" s="89">
        <v>1</v>
      </c>
    </row>
    <row r="4151" spans="1:12" ht="99.75">
      <c r="A4151" s="89" t="s">
        <v>547</v>
      </c>
      <c r="B4151" s="237">
        <v>112120611020</v>
      </c>
      <c r="C4151" s="89" t="s">
        <v>544</v>
      </c>
      <c r="D4151" s="89"/>
      <c r="E4151" s="236" t="s">
        <v>407</v>
      </c>
      <c r="F4151" s="236" t="s">
        <v>434</v>
      </c>
      <c r="G4151" s="236" t="s">
        <v>1575</v>
      </c>
      <c r="H4151" s="238">
        <v>42248</v>
      </c>
      <c r="I4151" s="235">
        <v>42314</v>
      </c>
      <c r="J4151" s="136">
        <v>1426.15</v>
      </c>
      <c r="K4151" s="89"/>
      <c r="L4151" s="89">
        <v>1</v>
      </c>
    </row>
    <row r="4152" spans="1:12" ht="99.75">
      <c r="A4152" s="89" t="s">
        <v>547</v>
      </c>
      <c r="B4152" s="237">
        <v>112120611020</v>
      </c>
      <c r="C4152" s="89" t="s">
        <v>544</v>
      </c>
      <c r="D4152" s="89"/>
      <c r="E4152" s="236" t="s">
        <v>408</v>
      </c>
      <c r="F4152" s="236" t="s">
        <v>434</v>
      </c>
      <c r="G4152" s="236" t="s">
        <v>1576</v>
      </c>
      <c r="H4152" s="238">
        <v>42248</v>
      </c>
      <c r="I4152" s="235">
        <v>42320</v>
      </c>
      <c r="J4152" s="136">
        <v>2167.75</v>
      </c>
      <c r="K4152" s="89"/>
      <c r="L4152" s="89">
        <v>1</v>
      </c>
    </row>
    <row r="4153" spans="1:12" ht="114">
      <c r="A4153" s="89" t="s">
        <v>547</v>
      </c>
      <c r="B4153" s="237">
        <v>112120611020</v>
      </c>
      <c r="C4153" s="89" t="s">
        <v>544</v>
      </c>
      <c r="D4153" s="89"/>
      <c r="E4153" s="236" t="s">
        <v>409</v>
      </c>
      <c r="F4153" s="236" t="s">
        <v>434</v>
      </c>
      <c r="G4153" s="236" t="s">
        <v>1577</v>
      </c>
      <c r="H4153" s="238">
        <v>42248</v>
      </c>
      <c r="I4153" s="235">
        <v>42320</v>
      </c>
      <c r="J4153" s="136">
        <v>2110.71</v>
      </c>
      <c r="K4153" s="89"/>
      <c r="L4153" s="89">
        <v>1</v>
      </c>
    </row>
    <row r="4154" spans="1:12" ht="99.75">
      <c r="A4154" s="89" t="s">
        <v>575</v>
      </c>
      <c r="B4154" s="237">
        <v>112120611020</v>
      </c>
      <c r="C4154" s="89" t="s">
        <v>573</v>
      </c>
      <c r="D4154" s="89"/>
      <c r="E4154" s="236" t="s">
        <v>408</v>
      </c>
      <c r="F4154" s="236" t="s">
        <v>434</v>
      </c>
      <c r="G4154" s="236" t="s">
        <v>1578</v>
      </c>
      <c r="H4154" s="238">
        <v>42248</v>
      </c>
      <c r="I4154" s="235">
        <v>42320</v>
      </c>
      <c r="J4154" s="136">
        <v>4070.01</v>
      </c>
      <c r="K4154" s="89"/>
      <c r="L4154" s="89">
        <v>1</v>
      </c>
    </row>
    <row r="4155" spans="1:12" ht="99.75">
      <c r="A4155" s="89" t="s">
        <v>575</v>
      </c>
      <c r="B4155" s="237">
        <v>112120611020</v>
      </c>
      <c r="C4155" s="89" t="s">
        <v>573</v>
      </c>
      <c r="D4155" s="89"/>
      <c r="E4155" s="236" t="s">
        <v>407</v>
      </c>
      <c r="F4155" s="236" t="s">
        <v>434</v>
      </c>
      <c r="G4155" s="236" t="s">
        <v>1579</v>
      </c>
      <c r="H4155" s="238">
        <v>42248</v>
      </c>
      <c r="I4155" s="235">
        <v>42320</v>
      </c>
      <c r="J4155" s="136">
        <v>2677.64</v>
      </c>
      <c r="K4155" s="89"/>
      <c r="L4155" s="89">
        <v>1</v>
      </c>
    </row>
    <row r="4156" spans="1:12" ht="114">
      <c r="A4156" s="89" t="s">
        <v>575</v>
      </c>
      <c r="B4156" s="237">
        <v>112120611020</v>
      </c>
      <c r="C4156" s="89" t="s">
        <v>573</v>
      </c>
      <c r="D4156" s="89"/>
      <c r="E4156" s="236" t="s">
        <v>409</v>
      </c>
      <c r="F4156" s="236" t="s">
        <v>434</v>
      </c>
      <c r="G4156" s="236" t="s">
        <v>1580</v>
      </c>
      <c r="H4156" s="238">
        <v>42248</v>
      </c>
      <c r="I4156" s="235">
        <v>42320</v>
      </c>
      <c r="J4156" s="136">
        <v>3962.91</v>
      </c>
      <c r="K4156" s="89"/>
      <c r="L4156" s="89">
        <v>1</v>
      </c>
    </row>
    <row r="4157" spans="1:12" ht="99.75">
      <c r="A4157" s="89" t="s">
        <v>584</v>
      </c>
      <c r="B4157" s="237">
        <v>112120611020</v>
      </c>
      <c r="C4157" s="89" t="s">
        <v>581</v>
      </c>
      <c r="D4157" s="89"/>
      <c r="E4157" s="236" t="s">
        <v>408</v>
      </c>
      <c r="F4157" s="236" t="s">
        <v>434</v>
      </c>
      <c r="G4157" s="236" t="s">
        <v>1581</v>
      </c>
      <c r="H4157" s="238">
        <v>42248</v>
      </c>
      <c r="I4157" s="235">
        <v>42314</v>
      </c>
      <c r="J4157" s="136">
        <v>4351.8500000000004</v>
      </c>
      <c r="K4157" s="89"/>
      <c r="L4157" s="89">
        <v>1</v>
      </c>
    </row>
    <row r="4158" spans="1:12" ht="99.75">
      <c r="A4158" s="89" t="s">
        <v>584</v>
      </c>
      <c r="B4158" s="237">
        <v>112120611020</v>
      </c>
      <c r="C4158" s="89" t="s">
        <v>581</v>
      </c>
      <c r="D4158" s="89"/>
      <c r="E4158" s="236" t="s">
        <v>407</v>
      </c>
      <c r="F4158" s="236" t="s">
        <v>434</v>
      </c>
      <c r="G4158" s="236" t="s">
        <v>1582</v>
      </c>
      <c r="H4158" s="238">
        <v>42248</v>
      </c>
      <c r="I4158" s="235">
        <v>42314</v>
      </c>
      <c r="J4158" s="136">
        <v>2863.06</v>
      </c>
      <c r="K4158" s="89"/>
      <c r="L4158" s="89">
        <v>1</v>
      </c>
    </row>
    <row r="4159" spans="1:12" ht="114">
      <c r="A4159" s="89" t="s">
        <v>584</v>
      </c>
      <c r="B4159" s="237">
        <v>112120611020</v>
      </c>
      <c r="C4159" s="89" t="s">
        <v>581</v>
      </c>
      <c r="D4159" s="89"/>
      <c r="E4159" s="236" t="s">
        <v>409</v>
      </c>
      <c r="F4159" s="236" t="s">
        <v>434</v>
      </c>
      <c r="G4159" s="236" t="s">
        <v>1583</v>
      </c>
      <c r="H4159" s="238">
        <v>42248</v>
      </c>
      <c r="I4159" s="235">
        <v>42320</v>
      </c>
      <c r="J4159" s="136">
        <v>4237.33</v>
      </c>
      <c r="K4159" s="89"/>
      <c r="L4159" s="89">
        <v>1</v>
      </c>
    </row>
    <row r="4160" spans="1:12" ht="99.75">
      <c r="A4160" s="89" t="s">
        <v>598</v>
      </c>
      <c r="B4160" s="237">
        <v>112120611020</v>
      </c>
      <c r="C4160" s="89" t="s">
        <v>596</v>
      </c>
      <c r="D4160" s="89"/>
      <c r="E4160" s="236" t="s">
        <v>408</v>
      </c>
      <c r="F4160" s="236" t="s">
        <v>434</v>
      </c>
      <c r="G4160" s="236" t="s">
        <v>1584</v>
      </c>
      <c r="H4160" s="238">
        <v>42248</v>
      </c>
      <c r="I4160" s="235">
        <v>42320</v>
      </c>
      <c r="J4160" s="136">
        <v>4810.0200000000004</v>
      </c>
      <c r="K4160" s="89"/>
      <c r="L4160" s="89">
        <v>1</v>
      </c>
    </row>
    <row r="4161" spans="1:12" ht="99.75">
      <c r="A4161" s="89" t="s">
        <v>598</v>
      </c>
      <c r="B4161" s="237">
        <v>112120611020</v>
      </c>
      <c r="C4161" s="89" t="s">
        <v>596</v>
      </c>
      <c r="D4161" s="89"/>
      <c r="E4161" s="236" t="s">
        <v>407</v>
      </c>
      <c r="F4161" s="236" t="s">
        <v>434</v>
      </c>
      <c r="G4161" s="236" t="s">
        <v>1585</v>
      </c>
      <c r="H4161" s="238">
        <v>42248</v>
      </c>
      <c r="I4161" s="235">
        <v>42320</v>
      </c>
      <c r="J4161" s="136">
        <v>3164.49</v>
      </c>
      <c r="K4161" s="89"/>
      <c r="L4161" s="89">
        <v>1</v>
      </c>
    </row>
    <row r="4162" spans="1:12" ht="114">
      <c r="A4162" s="89" t="s">
        <v>598</v>
      </c>
      <c r="B4162" s="237">
        <v>112120611020</v>
      </c>
      <c r="C4162" s="89" t="s">
        <v>596</v>
      </c>
      <c r="D4162" s="89"/>
      <c r="E4162" s="236" t="s">
        <v>409</v>
      </c>
      <c r="F4162" s="236" t="s">
        <v>434</v>
      </c>
      <c r="G4162" s="236" t="s">
        <v>1586</v>
      </c>
      <c r="H4162" s="238">
        <v>42248</v>
      </c>
      <c r="I4162" s="235">
        <v>42320</v>
      </c>
      <c r="J4162" s="136">
        <v>4683.4399999999996</v>
      </c>
      <c r="K4162" s="89"/>
      <c r="L4162" s="89">
        <v>1</v>
      </c>
    </row>
    <row r="4163" spans="1:12" ht="99.75">
      <c r="A4163" s="89" t="s">
        <v>612</v>
      </c>
      <c r="B4163" s="237">
        <v>112120611020</v>
      </c>
      <c r="C4163" s="89" t="s">
        <v>610</v>
      </c>
      <c r="D4163" s="89"/>
      <c r="E4163" s="236" t="s">
        <v>408</v>
      </c>
      <c r="F4163" s="236" t="s">
        <v>434</v>
      </c>
      <c r="G4163" s="236" t="s">
        <v>1587</v>
      </c>
      <c r="H4163" s="238">
        <v>42248</v>
      </c>
      <c r="I4163" s="235">
        <v>42314</v>
      </c>
      <c r="J4163" s="136">
        <v>4761.6899999999996</v>
      </c>
      <c r="K4163" s="89"/>
      <c r="L4163" s="89">
        <v>1</v>
      </c>
    </row>
    <row r="4164" spans="1:12" ht="99.75">
      <c r="A4164" s="89" t="s">
        <v>612</v>
      </c>
      <c r="B4164" s="237">
        <v>112120611020</v>
      </c>
      <c r="C4164" s="89" t="s">
        <v>610</v>
      </c>
      <c r="D4164" s="89"/>
      <c r="E4164" s="236" t="s">
        <v>407</v>
      </c>
      <c r="F4164" s="236" t="s">
        <v>434</v>
      </c>
      <c r="G4164" s="236" t="s">
        <v>1588</v>
      </c>
      <c r="H4164" s="238">
        <v>42248</v>
      </c>
      <c r="I4164" s="235">
        <v>42314</v>
      </c>
      <c r="J4164" s="136">
        <v>3132.69</v>
      </c>
      <c r="K4164" s="89"/>
      <c r="L4164" s="89">
        <v>1</v>
      </c>
    </row>
    <row r="4165" spans="1:12" ht="114">
      <c r="A4165" s="89" t="s">
        <v>612</v>
      </c>
      <c r="B4165" s="237">
        <v>112120611020</v>
      </c>
      <c r="C4165" s="89" t="s">
        <v>610</v>
      </c>
      <c r="D4165" s="89"/>
      <c r="E4165" s="236" t="s">
        <v>409</v>
      </c>
      <c r="F4165" s="236" t="s">
        <v>434</v>
      </c>
      <c r="G4165" s="236" t="s">
        <v>1589</v>
      </c>
      <c r="H4165" s="238">
        <v>42248</v>
      </c>
      <c r="I4165" s="235">
        <v>42320</v>
      </c>
      <c r="J4165" s="136">
        <v>4636.38</v>
      </c>
      <c r="K4165" s="89"/>
      <c r="L4165" s="89">
        <v>1</v>
      </c>
    </row>
    <row r="4166" spans="1:12" ht="99.75">
      <c r="A4166" s="89" t="s">
        <v>634</v>
      </c>
      <c r="B4166" s="237">
        <v>112120611020</v>
      </c>
      <c r="C4166" s="89" t="s">
        <v>632</v>
      </c>
      <c r="D4166" s="89"/>
      <c r="E4166" s="236" t="s">
        <v>408</v>
      </c>
      <c r="F4166" s="236" t="s">
        <v>434</v>
      </c>
      <c r="G4166" s="236" t="s">
        <v>1590</v>
      </c>
      <c r="H4166" s="238">
        <v>42248</v>
      </c>
      <c r="I4166" s="235">
        <v>42314</v>
      </c>
      <c r="J4166" s="136">
        <v>2371.1</v>
      </c>
      <c r="K4166" s="89"/>
      <c r="L4166" s="89">
        <v>1</v>
      </c>
    </row>
    <row r="4167" spans="1:12" ht="99.75">
      <c r="A4167" s="89" t="s">
        <v>634</v>
      </c>
      <c r="B4167" s="237">
        <v>112120611020</v>
      </c>
      <c r="C4167" s="89" t="s">
        <v>632</v>
      </c>
      <c r="D4167" s="89"/>
      <c r="E4167" s="236" t="s">
        <v>407</v>
      </c>
      <c r="F4167" s="236" t="s">
        <v>434</v>
      </c>
      <c r="G4167" s="236" t="s">
        <v>1591</v>
      </c>
      <c r="H4167" s="238">
        <v>42248</v>
      </c>
      <c r="I4167" s="235">
        <v>42314</v>
      </c>
      <c r="J4167" s="136">
        <v>1559.93</v>
      </c>
      <c r="K4167" s="89"/>
      <c r="L4167" s="89">
        <v>1</v>
      </c>
    </row>
    <row r="4168" spans="1:12" ht="114">
      <c r="A4168" s="89" t="s">
        <v>634</v>
      </c>
      <c r="B4168" s="237">
        <v>112120611020</v>
      </c>
      <c r="C4168" s="89" t="s">
        <v>632</v>
      </c>
      <c r="D4168" s="89"/>
      <c r="E4168" s="236" t="s">
        <v>409</v>
      </c>
      <c r="F4168" s="236" t="s">
        <v>434</v>
      </c>
      <c r="G4168" s="236" t="s">
        <v>1592</v>
      </c>
      <c r="H4168" s="238">
        <v>42248</v>
      </c>
      <c r="I4168" s="235">
        <v>42320</v>
      </c>
      <c r="J4168" s="136">
        <v>2308.6999999999998</v>
      </c>
      <c r="K4168" s="89"/>
      <c r="L4168" s="89">
        <v>1</v>
      </c>
    </row>
    <row r="4169" spans="1:12" ht="99.75">
      <c r="A4169" s="89" t="s">
        <v>655</v>
      </c>
      <c r="B4169" s="237">
        <v>112120611020</v>
      </c>
      <c r="C4169" s="89" t="s">
        <v>654</v>
      </c>
      <c r="D4169" s="89"/>
      <c r="E4169" s="236" t="s">
        <v>408</v>
      </c>
      <c r="F4169" s="236" t="s">
        <v>434</v>
      </c>
      <c r="G4169" s="236" t="s">
        <v>1593</v>
      </c>
      <c r="H4169" s="238">
        <v>42248</v>
      </c>
      <c r="I4169" s="235">
        <v>42314</v>
      </c>
      <c r="J4169" s="136">
        <v>3385.31</v>
      </c>
      <c r="K4169" s="89"/>
      <c r="L4169" s="89">
        <v>1</v>
      </c>
    </row>
    <row r="4170" spans="1:12" ht="99.75">
      <c r="A4170" s="89" t="s">
        <v>655</v>
      </c>
      <c r="B4170" s="237">
        <v>112120611020</v>
      </c>
      <c r="C4170" s="89" t="s">
        <v>654</v>
      </c>
      <c r="D4170" s="89"/>
      <c r="E4170" s="236" t="s">
        <v>407</v>
      </c>
      <c r="F4170" s="236" t="s">
        <v>434</v>
      </c>
      <c r="G4170" s="236" t="s">
        <v>1594</v>
      </c>
      <c r="H4170" s="238">
        <v>42248</v>
      </c>
      <c r="I4170" s="235">
        <v>42320</v>
      </c>
      <c r="J4170" s="136">
        <v>2227.17</v>
      </c>
      <c r="K4170" s="89"/>
      <c r="L4170" s="89">
        <v>1</v>
      </c>
    </row>
    <row r="4171" spans="1:12" ht="114">
      <c r="A4171" s="89" t="s">
        <v>655</v>
      </c>
      <c r="B4171" s="237">
        <v>112120611020</v>
      </c>
      <c r="C4171" s="89" t="s">
        <v>654</v>
      </c>
      <c r="D4171" s="89"/>
      <c r="E4171" s="236" t="s">
        <v>409</v>
      </c>
      <c r="F4171" s="236" t="s">
        <v>434</v>
      </c>
      <c r="G4171" s="236" t="s">
        <v>1595</v>
      </c>
      <c r="H4171" s="238">
        <v>42248</v>
      </c>
      <c r="I4171" s="235">
        <v>42320</v>
      </c>
      <c r="J4171" s="136">
        <v>3296.22</v>
      </c>
      <c r="K4171" s="89"/>
      <c r="L4171" s="89">
        <v>1</v>
      </c>
    </row>
    <row r="4172" spans="1:12" ht="99.75">
      <c r="A4172" s="89" t="s">
        <v>809</v>
      </c>
      <c r="B4172" s="237">
        <v>112120611020</v>
      </c>
      <c r="C4172" s="89" t="s">
        <v>807</v>
      </c>
      <c r="D4172" s="89"/>
      <c r="E4172" s="236" t="s">
        <v>408</v>
      </c>
      <c r="F4172" s="236" t="s">
        <v>434</v>
      </c>
      <c r="G4172" s="236" t="s">
        <v>1596</v>
      </c>
      <c r="H4172" s="238">
        <v>42248</v>
      </c>
      <c r="I4172" s="235">
        <v>42335</v>
      </c>
      <c r="J4172" s="136">
        <v>6060.35</v>
      </c>
      <c r="K4172" s="89"/>
      <c r="L4172" s="89">
        <v>1</v>
      </c>
    </row>
    <row r="4173" spans="1:12" ht="99.75">
      <c r="A4173" s="89" t="s">
        <v>809</v>
      </c>
      <c r="B4173" s="237">
        <v>112120611020</v>
      </c>
      <c r="C4173" s="89" t="s">
        <v>807</v>
      </c>
      <c r="D4173" s="89"/>
      <c r="E4173" s="236" t="s">
        <v>407</v>
      </c>
      <c r="F4173" s="236" t="s">
        <v>434</v>
      </c>
      <c r="G4173" s="236" t="s">
        <v>1597</v>
      </c>
      <c r="H4173" s="238">
        <v>42248</v>
      </c>
      <c r="I4173" s="235">
        <v>42335</v>
      </c>
      <c r="J4173" s="136">
        <v>3987.07</v>
      </c>
      <c r="K4173" s="89"/>
      <c r="L4173" s="89">
        <v>1</v>
      </c>
    </row>
    <row r="4174" spans="1:12" ht="114">
      <c r="A4174" s="89" t="s">
        <v>1598</v>
      </c>
      <c r="B4174" s="237">
        <v>112120611030</v>
      </c>
      <c r="C4174" s="89" t="s">
        <v>459</v>
      </c>
      <c r="D4174" s="89"/>
      <c r="E4174" s="236" t="s">
        <v>1599</v>
      </c>
      <c r="F4174" s="236" t="s">
        <v>1600</v>
      </c>
      <c r="G4174" s="236" t="s">
        <v>1601</v>
      </c>
      <c r="H4174" s="238">
        <v>42248</v>
      </c>
      <c r="I4174" s="235">
        <v>42320</v>
      </c>
      <c r="J4174" s="136">
        <v>66.38</v>
      </c>
      <c r="K4174" s="89"/>
      <c r="L4174" s="89">
        <v>1</v>
      </c>
    </row>
    <row r="4175" spans="1:12" ht="114">
      <c r="A4175" s="89" t="s">
        <v>1602</v>
      </c>
      <c r="B4175" s="237">
        <v>112120611030</v>
      </c>
      <c r="C4175" s="89" t="s">
        <v>465</v>
      </c>
      <c r="D4175" s="89"/>
      <c r="E4175" s="236" t="s">
        <v>1599</v>
      </c>
      <c r="F4175" s="236" t="s">
        <v>1600</v>
      </c>
      <c r="G4175" s="236" t="s">
        <v>1601</v>
      </c>
      <c r="H4175" s="238">
        <v>42248</v>
      </c>
      <c r="I4175" s="235">
        <v>42320</v>
      </c>
      <c r="J4175" s="136">
        <v>235.1</v>
      </c>
      <c r="K4175" s="89"/>
      <c r="L4175" s="89">
        <v>1</v>
      </c>
    </row>
    <row r="4176" spans="1:12" ht="114">
      <c r="A4176" s="89" t="s">
        <v>1603</v>
      </c>
      <c r="B4176" s="237">
        <v>112120611030</v>
      </c>
      <c r="C4176" s="89" t="s">
        <v>466</v>
      </c>
      <c r="D4176" s="89"/>
      <c r="E4176" s="236" t="s">
        <v>1599</v>
      </c>
      <c r="F4176" s="236" t="s">
        <v>1600</v>
      </c>
      <c r="G4176" s="236" t="s">
        <v>1601</v>
      </c>
      <c r="H4176" s="238">
        <v>42248</v>
      </c>
      <c r="I4176" s="235">
        <v>42320</v>
      </c>
      <c r="J4176" s="136">
        <v>73</v>
      </c>
      <c r="K4176" s="89"/>
      <c r="L4176" s="89">
        <v>1</v>
      </c>
    </row>
    <row r="4177" spans="1:12" ht="114">
      <c r="A4177" s="89" t="s">
        <v>1604</v>
      </c>
      <c r="B4177" s="237">
        <v>112120611030</v>
      </c>
      <c r="C4177" s="89" t="s">
        <v>812</v>
      </c>
      <c r="D4177" s="89"/>
      <c r="E4177" s="236" t="s">
        <v>1599</v>
      </c>
      <c r="F4177" s="236" t="s">
        <v>1600</v>
      </c>
      <c r="G4177" s="236" t="s">
        <v>1601</v>
      </c>
      <c r="H4177" s="238">
        <v>42248</v>
      </c>
      <c r="I4177" s="235">
        <v>42320</v>
      </c>
      <c r="J4177" s="136">
        <v>57.17</v>
      </c>
      <c r="K4177" s="89"/>
      <c r="L4177" s="89">
        <v>1</v>
      </c>
    </row>
    <row r="4178" spans="1:12" ht="114">
      <c r="A4178" s="89" t="s">
        <v>1605</v>
      </c>
      <c r="B4178" s="237">
        <v>112120611030</v>
      </c>
      <c r="C4178" s="89" t="s">
        <v>474</v>
      </c>
      <c r="D4178" s="89"/>
      <c r="E4178" s="236" t="s">
        <v>1599</v>
      </c>
      <c r="F4178" s="236" t="s">
        <v>1600</v>
      </c>
      <c r="G4178" s="236" t="s">
        <v>1601</v>
      </c>
      <c r="H4178" s="238">
        <v>42248</v>
      </c>
      <c r="I4178" s="235">
        <v>42320</v>
      </c>
      <c r="J4178" s="136">
        <v>57.17</v>
      </c>
      <c r="K4178" s="89"/>
      <c r="L4178" s="89">
        <v>1</v>
      </c>
    </row>
    <row r="4179" spans="1:12" ht="114">
      <c r="A4179" s="89" t="s">
        <v>1606</v>
      </c>
      <c r="B4179" s="237">
        <v>112120611030</v>
      </c>
      <c r="C4179" s="89" t="s">
        <v>837</v>
      </c>
      <c r="D4179" s="89"/>
      <c r="E4179" s="236" t="s">
        <v>1599</v>
      </c>
      <c r="F4179" s="236" t="s">
        <v>1600</v>
      </c>
      <c r="G4179" s="236" t="s">
        <v>1601</v>
      </c>
      <c r="H4179" s="238">
        <v>42248</v>
      </c>
      <c r="I4179" s="235">
        <v>42320</v>
      </c>
      <c r="J4179" s="136">
        <v>57.17</v>
      </c>
      <c r="K4179" s="89"/>
      <c r="L4179" s="89">
        <v>1</v>
      </c>
    </row>
    <row r="4180" spans="1:12" ht="114">
      <c r="A4180" s="89" t="s">
        <v>1607</v>
      </c>
      <c r="B4180" s="237">
        <v>112120611030</v>
      </c>
      <c r="C4180" s="89" t="s">
        <v>476</v>
      </c>
      <c r="D4180" s="89"/>
      <c r="E4180" s="236" t="s">
        <v>1599</v>
      </c>
      <c r="F4180" s="236" t="s">
        <v>1600</v>
      </c>
      <c r="G4180" s="236" t="s">
        <v>1601</v>
      </c>
      <c r="H4180" s="238">
        <v>42248</v>
      </c>
      <c r="I4180" s="235">
        <v>42320</v>
      </c>
      <c r="J4180" s="136">
        <v>9.1999999999999993</v>
      </c>
      <c r="K4180" s="89"/>
      <c r="L4180" s="89">
        <v>1</v>
      </c>
    </row>
    <row r="4181" spans="1:12" ht="114">
      <c r="A4181" s="89" t="s">
        <v>1608</v>
      </c>
      <c r="B4181" s="237">
        <v>112120611030</v>
      </c>
      <c r="C4181" s="89" t="s">
        <v>822</v>
      </c>
      <c r="D4181" s="89"/>
      <c r="E4181" s="236" t="s">
        <v>1599</v>
      </c>
      <c r="F4181" s="236" t="s">
        <v>1600</v>
      </c>
      <c r="G4181" s="236" t="s">
        <v>1601</v>
      </c>
      <c r="H4181" s="238">
        <v>42248</v>
      </c>
      <c r="I4181" s="235">
        <v>42320</v>
      </c>
      <c r="J4181" s="136">
        <v>57.17</v>
      </c>
      <c r="K4181" s="89"/>
      <c r="L4181" s="89">
        <v>1</v>
      </c>
    </row>
    <row r="4182" spans="1:12" ht="114">
      <c r="A4182" s="89" t="s">
        <v>1609</v>
      </c>
      <c r="B4182" s="237">
        <v>112120611030</v>
      </c>
      <c r="C4182" s="89" t="s">
        <v>833</v>
      </c>
      <c r="D4182" s="89"/>
      <c r="E4182" s="236" t="s">
        <v>1599</v>
      </c>
      <c r="F4182" s="236" t="s">
        <v>1600</v>
      </c>
      <c r="G4182" s="236" t="s">
        <v>1601</v>
      </c>
      <c r="H4182" s="238">
        <v>42248</v>
      </c>
      <c r="I4182" s="235">
        <v>42320</v>
      </c>
      <c r="J4182" s="136">
        <v>57.17</v>
      </c>
      <c r="K4182" s="89"/>
      <c r="L4182" s="89">
        <v>1</v>
      </c>
    </row>
    <row r="4183" spans="1:12" ht="114">
      <c r="A4183" s="89" t="s">
        <v>1610</v>
      </c>
      <c r="B4183" s="237">
        <v>112120611030</v>
      </c>
      <c r="C4183" s="89" t="s">
        <v>446</v>
      </c>
      <c r="D4183" s="89"/>
      <c r="E4183" s="236" t="s">
        <v>1599</v>
      </c>
      <c r="F4183" s="236" t="s">
        <v>1600</v>
      </c>
      <c r="G4183" s="236" t="s">
        <v>1601</v>
      </c>
      <c r="H4183" s="238">
        <v>42248</v>
      </c>
      <c r="I4183" s="235">
        <v>42320</v>
      </c>
      <c r="J4183" s="136">
        <v>33.92</v>
      </c>
      <c r="K4183" s="89"/>
      <c r="L4183" s="89">
        <v>1</v>
      </c>
    </row>
    <row r="4184" spans="1:12" ht="114">
      <c r="A4184" s="89" t="s">
        <v>1611</v>
      </c>
      <c r="B4184" s="237">
        <v>112120611030</v>
      </c>
      <c r="C4184" s="89" t="s">
        <v>931</v>
      </c>
      <c r="D4184" s="89"/>
      <c r="E4184" s="236" t="s">
        <v>1599</v>
      </c>
      <c r="F4184" s="236" t="s">
        <v>1600</v>
      </c>
      <c r="G4184" s="236" t="s">
        <v>1601</v>
      </c>
      <c r="H4184" s="238">
        <v>42248</v>
      </c>
      <c r="I4184" s="235">
        <v>42320</v>
      </c>
      <c r="J4184" s="136">
        <v>161.69999999999999</v>
      </c>
      <c r="K4184" s="89"/>
      <c r="L4184" s="89">
        <v>1</v>
      </c>
    </row>
    <row r="4185" spans="1:12" ht="85.5">
      <c r="A4185" s="89" t="s">
        <v>1612</v>
      </c>
      <c r="B4185" s="237">
        <v>112120611050</v>
      </c>
      <c r="C4185" s="89" t="s">
        <v>459</v>
      </c>
      <c r="D4185" s="89"/>
      <c r="E4185" s="236" t="s">
        <v>1613</v>
      </c>
      <c r="F4185" s="236" t="s">
        <v>1614</v>
      </c>
      <c r="G4185" s="236" t="s">
        <v>1615</v>
      </c>
      <c r="H4185" s="238">
        <v>42248</v>
      </c>
      <c r="I4185" s="235">
        <v>42311</v>
      </c>
      <c r="J4185" s="136">
        <v>3875.54</v>
      </c>
      <c r="K4185" s="89"/>
      <c r="L4185" s="89">
        <v>1</v>
      </c>
    </row>
    <row r="4186" spans="1:12" ht="85.5">
      <c r="A4186" s="89" t="s">
        <v>1616</v>
      </c>
      <c r="B4186" s="237">
        <v>112120611050</v>
      </c>
      <c r="C4186" s="89" t="s">
        <v>458</v>
      </c>
      <c r="D4186" s="89"/>
      <c r="E4186" s="236" t="s">
        <v>1613</v>
      </c>
      <c r="F4186" s="236" t="s">
        <v>1614</v>
      </c>
      <c r="G4186" s="236" t="s">
        <v>1617</v>
      </c>
      <c r="H4186" s="238">
        <v>42248</v>
      </c>
      <c r="I4186" s="235">
        <v>42311</v>
      </c>
      <c r="J4186" s="136">
        <v>3875.54</v>
      </c>
      <c r="K4186" s="89"/>
      <c r="L4186" s="89">
        <v>1</v>
      </c>
    </row>
    <row r="4187" spans="1:12" ht="85.5">
      <c r="A4187" s="89" t="s">
        <v>1618</v>
      </c>
      <c r="B4187" s="237">
        <v>112120611050</v>
      </c>
      <c r="C4187" s="89" t="s">
        <v>460</v>
      </c>
      <c r="D4187" s="89"/>
      <c r="E4187" s="236" t="s">
        <v>1613</v>
      </c>
      <c r="F4187" s="236" t="s">
        <v>1614</v>
      </c>
      <c r="G4187" s="236" t="s">
        <v>1619</v>
      </c>
      <c r="H4187" s="238">
        <v>42248</v>
      </c>
      <c r="I4187" s="235">
        <v>42311</v>
      </c>
      <c r="J4187" s="136">
        <v>3875.54</v>
      </c>
      <c r="K4187" s="89"/>
      <c r="L4187" s="89">
        <v>1</v>
      </c>
    </row>
    <row r="4188" spans="1:12" ht="85.5">
      <c r="A4188" s="89" t="s">
        <v>1620</v>
      </c>
      <c r="B4188" s="237">
        <v>112120611050</v>
      </c>
      <c r="C4188" s="89" t="s">
        <v>461</v>
      </c>
      <c r="D4188" s="89"/>
      <c r="E4188" s="236" t="s">
        <v>1613</v>
      </c>
      <c r="F4188" s="236" t="s">
        <v>1614</v>
      </c>
      <c r="G4188" s="236" t="s">
        <v>1621</v>
      </c>
      <c r="H4188" s="238">
        <v>42248</v>
      </c>
      <c r="I4188" s="235">
        <v>42311</v>
      </c>
      <c r="J4188" s="136">
        <v>3875.54</v>
      </c>
      <c r="K4188" s="89"/>
      <c r="L4188" s="89">
        <v>1</v>
      </c>
    </row>
    <row r="4189" spans="1:12" ht="85.5">
      <c r="A4189" s="89" t="s">
        <v>1622</v>
      </c>
      <c r="B4189" s="237">
        <v>112120611050</v>
      </c>
      <c r="C4189" s="89" t="s">
        <v>463</v>
      </c>
      <c r="D4189" s="89"/>
      <c r="E4189" s="236" t="s">
        <v>1613</v>
      </c>
      <c r="F4189" s="236" t="s">
        <v>1614</v>
      </c>
      <c r="G4189" s="236" t="s">
        <v>1623</v>
      </c>
      <c r="H4189" s="238">
        <v>42248</v>
      </c>
      <c r="I4189" s="235">
        <v>42311</v>
      </c>
      <c r="J4189" s="136">
        <v>3875.54</v>
      </c>
      <c r="K4189" s="89"/>
      <c r="L4189" s="89">
        <v>1</v>
      </c>
    </row>
    <row r="4190" spans="1:12" ht="85.5">
      <c r="A4190" s="89" t="s">
        <v>1624</v>
      </c>
      <c r="B4190" s="237">
        <v>112120611050</v>
      </c>
      <c r="C4190" s="89" t="s">
        <v>449</v>
      </c>
      <c r="D4190" s="89"/>
      <c r="E4190" s="236" t="s">
        <v>1613</v>
      </c>
      <c r="F4190" s="236" t="s">
        <v>1614</v>
      </c>
      <c r="G4190" s="236" t="s">
        <v>1625</v>
      </c>
      <c r="H4190" s="238">
        <v>42248</v>
      </c>
      <c r="I4190" s="235">
        <v>42311</v>
      </c>
      <c r="J4190" s="136">
        <v>3875.54</v>
      </c>
      <c r="K4190" s="89"/>
      <c r="L4190" s="89">
        <v>1</v>
      </c>
    </row>
    <row r="4191" spans="1:12" ht="114">
      <c r="A4191" s="89" t="s">
        <v>1626</v>
      </c>
      <c r="B4191" s="237">
        <v>112120612010</v>
      </c>
      <c r="C4191" s="89" t="s">
        <v>454</v>
      </c>
      <c r="D4191" s="89"/>
      <c r="E4191" s="236" t="s">
        <v>1627</v>
      </c>
      <c r="F4191" s="236" t="s">
        <v>435</v>
      </c>
      <c r="G4191" s="236" t="s">
        <v>1628</v>
      </c>
      <c r="H4191" s="238">
        <v>42278</v>
      </c>
      <c r="I4191" s="235">
        <v>42331</v>
      </c>
      <c r="J4191" s="136">
        <v>450</v>
      </c>
      <c r="K4191" s="89"/>
      <c r="L4191" s="89">
        <v>1</v>
      </c>
    </row>
    <row r="4192" spans="1:12" ht="85.5">
      <c r="A4192" s="89" t="s">
        <v>1629</v>
      </c>
      <c r="B4192" s="237">
        <v>112120612010</v>
      </c>
      <c r="C4192" s="89" t="s">
        <v>456</v>
      </c>
      <c r="D4192" s="89"/>
      <c r="E4192" s="236" t="s">
        <v>1630</v>
      </c>
      <c r="F4192" s="236" t="s">
        <v>435</v>
      </c>
      <c r="G4192" s="236" t="s">
        <v>1631</v>
      </c>
      <c r="H4192" s="238">
        <v>42278</v>
      </c>
      <c r="I4192" s="235">
        <v>42313</v>
      </c>
      <c r="J4192" s="136">
        <v>196.2</v>
      </c>
      <c r="K4192" s="89"/>
      <c r="L4192" s="89">
        <v>1</v>
      </c>
    </row>
    <row r="4193" spans="1:12" ht="42.75">
      <c r="A4193" s="89" t="s">
        <v>1632</v>
      </c>
      <c r="B4193" s="237"/>
      <c r="C4193" s="89" t="s">
        <v>449</v>
      </c>
      <c r="D4193" s="89"/>
      <c r="E4193" s="236" t="s">
        <v>1633</v>
      </c>
      <c r="F4193" s="236" t="s">
        <v>1634</v>
      </c>
      <c r="G4193" s="236" t="s">
        <v>1635</v>
      </c>
      <c r="H4193" s="238">
        <v>42309</v>
      </c>
      <c r="I4193" s="235">
        <v>42338</v>
      </c>
      <c r="J4193" s="136">
        <v>44.79</v>
      </c>
      <c r="K4193" s="89"/>
      <c r="L4193" s="89">
        <v>1</v>
      </c>
    </row>
    <row r="4194" spans="1:12" ht="42.75">
      <c r="A4194" s="89" t="s">
        <v>1636</v>
      </c>
      <c r="B4194" s="237"/>
      <c r="C4194" s="89" t="s">
        <v>459</v>
      </c>
      <c r="D4194" s="89"/>
      <c r="E4194" s="236" t="s">
        <v>1633</v>
      </c>
      <c r="F4194" s="236" t="s">
        <v>1634</v>
      </c>
      <c r="G4194" s="236" t="s">
        <v>1635</v>
      </c>
      <c r="H4194" s="238">
        <v>42309</v>
      </c>
      <c r="I4194" s="235">
        <v>42338</v>
      </c>
      <c r="J4194" s="136">
        <v>49.51</v>
      </c>
      <c r="K4194" s="89"/>
      <c r="L4194" s="89">
        <v>1</v>
      </c>
    </row>
    <row r="4195" spans="1:12" ht="42.75">
      <c r="A4195" s="89" t="s">
        <v>1637</v>
      </c>
      <c r="B4195" s="237">
        <v>112120612090</v>
      </c>
      <c r="C4195" s="89" t="s">
        <v>458</v>
      </c>
      <c r="D4195" s="89"/>
      <c r="E4195" s="236" t="s">
        <v>1638</v>
      </c>
      <c r="F4195" s="236" t="s">
        <v>1634</v>
      </c>
      <c r="G4195" s="236" t="s">
        <v>1639</v>
      </c>
      <c r="H4195" s="238">
        <v>42278</v>
      </c>
      <c r="I4195" s="235">
        <v>42328</v>
      </c>
      <c r="J4195" s="136">
        <v>2163.86</v>
      </c>
      <c r="K4195" s="89"/>
      <c r="L4195" s="89">
        <v>1</v>
      </c>
    </row>
    <row r="4196" spans="1:12" ht="42.75">
      <c r="A4196" s="89" t="s">
        <v>1640</v>
      </c>
      <c r="B4196" s="237">
        <v>112120612090</v>
      </c>
      <c r="C4196" s="89" t="s">
        <v>458</v>
      </c>
      <c r="D4196" s="89"/>
      <c r="E4196" s="236" t="s">
        <v>1641</v>
      </c>
      <c r="F4196" s="236" t="s">
        <v>1634</v>
      </c>
      <c r="G4196" s="236" t="s">
        <v>1642</v>
      </c>
      <c r="H4196" s="238">
        <v>42125</v>
      </c>
      <c r="I4196" s="235">
        <v>42331</v>
      </c>
      <c r="J4196" s="136">
        <v>99.4</v>
      </c>
      <c r="K4196" s="89"/>
      <c r="L4196" s="89">
        <v>1</v>
      </c>
    </row>
    <row r="4197" spans="1:12" ht="128.25">
      <c r="A4197" s="89" t="s">
        <v>1640</v>
      </c>
      <c r="B4197" s="237">
        <v>112120612090</v>
      </c>
      <c r="C4197" s="89" t="s">
        <v>458</v>
      </c>
      <c r="D4197" s="89"/>
      <c r="E4197" s="236" t="s">
        <v>1641</v>
      </c>
      <c r="F4197" s="236" t="s">
        <v>1634</v>
      </c>
      <c r="G4197" s="236" t="s">
        <v>1643</v>
      </c>
      <c r="H4197" s="238">
        <v>42248</v>
      </c>
      <c r="I4197" s="235">
        <v>42331</v>
      </c>
      <c r="J4197" s="136">
        <v>278.24</v>
      </c>
      <c r="K4197" s="89"/>
      <c r="L4197" s="89">
        <v>1</v>
      </c>
    </row>
    <row r="4198" spans="1:12" ht="42.75">
      <c r="A4198" s="89" t="s">
        <v>1640</v>
      </c>
      <c r="B4198" s="237">
        <v>112120612090</v>
      </c>
      <c r="C4198" s="89" t="s">
        <v>458</v>
      </c>
      <c r="D4198" s="89"/>
      <c r="E4198" s="236" t="s">
        <v>1641</v>
      </c>
      <c r="F4198" s="236" t="s">
        <v>1634</v>
      </c>
      <c r="G4198" s="236" t="s">
        <v>1644</v>
      </c>
      <c r="H4198" s="238">
        <v>42278</v>
      </c>
      <c r="I4198" s="235">
        <v>42331</v>
      </c>
      <c r="J4198" s="136">
        <v>295.07</v>
      </c>
      <c r="K4198" s="89"/>
      <c r="L4198" s="89">
        <v>1</v>
      </c>
    </row>
    <row r="4199" spans="1:12" ht="42.75">
      <c r="A4199" s="89" t="s">
        <v>1645</v>
      </c>
      <c r="B4199" s="237">
        <v>112120612090</v>
      </c>
      <c r="C4199" s="89" t="s">
        <v>454</v>
      </c>
      <c r="D4199" s="89"/>
      <c r="E4199" s="236" t="s">
        <v>1641</v>
      </c>
      <c r="F4199" s="236" t="s">
        <v>1634</v>
      </c>
      <c r="G4199" s="236" t="s">
        <v>1646</v>
      </c>
      <c r="H4199" s="238">
        <v>42309</v>
      </c>
      <c r="I4199" s="235">
        <v>42324</v>
      </c>
      <c r="J4199" s="136">
        <v>15.94</v>
      </c>
      <c r="K4199" s="89"/>
      <c r="L4199" s="89">
        <v>1</v>
      </c>
    </row>
    <row r="4200" spans="1:12" ht="42.75">
      <c r="A4200" s="89" t="s">
        <v>1645</v>
      </c>
      <c r="B4200" s="237">
        <v>112120612090</v>
      </c>
      <c r="C4200" s="89" t="s">
        <v>454</v>
      </c>
      <c r="D4200" s="89"/>
      <c r="E4200" s="236" t="s">
        <v>1641</v>
      </c>
      <c r="F4200" s="236" t="s">
        <v>1634</v>
      </c>
      <c r="G4200" s="236" t="s">
        <v>1647</v>
      </c>
      <c r="H4200" s="238">
        <v>42125</v>
      </c>
      <c r="I4200" s="235">
        <v>42331</v>
      </c>
      <c r="J4200" s="136">
        <v>40.46</v>
      </c>
      <c r="K4200" s="89"/>
      <c r="L4200" s="89">
        <v>1</v>
      </c>
    </row>
    <row r="4201" spans="1:12" ht="42.75">
      <c r="A4201" s="89" t="s">
        <v>1645</v>
      </c>
      <c r="B4201" s="237">
        <v>112120612090</v>
      </c>
      <c r="C4201" s="89" t="s">
        <v>454</v>
      </c>
      <c r="D4201" s="89"/>
      <c r="E4201" s="236" t="s">
        <v>1641</v>
      </c>
      <c r="F4201" s="236" t="s">
        <v>1634</v>
      </c>
      <c r="G4201" s="236" t="s">
        <v>1648</v>
      </c>
      <c r="H4201" s="238">
        <v>42248</v>
      </c>
      <c r="I4201" s="235">
        <v>42331</v>
      </c>
      <c r="J4201" s="136">
        <v>4.75</v>
      </c>
      <c r="K4201" s="89"/>
      <c r="L4201" s="89">
        <v>1</v>
      </c>
    </row>
    <row r="4202" spans="1:12" ht="42.75">
      <c r="A4202" s="89" t="s">
        <v>1645</v>
      </c>
      <c r="B4202" s="237">
        <v>112120612090</v>
      </c>
      <c r="C4202" s="89" t="s">
        <v>454</v>
      </c>
      <c r="D4202" s="89"/>
      <c r="E4202" s="236" t="s">
        <v>1641</v>
      </c>
      <c r="F4202" s="236" t="s">
        <v>1634</v>
      </c>
      <c r="G4202" s="236" t="s">
        <v>1649</v>
      </c>
      <c r="H4202" s="238">
        <v>42278</v>
      </c>
      <c r="I4202" s="235">
        <v>42331</v>
      </c>
      <c r="J4202" s="136">
        <v>417.71</v>
      </c>
      <c r="K4202" s="89"/>
      <c r="L4202" s="89">
        <v>1</v>
      </c>
    </row>
    <row r="4203" spans="1:12" ht="42.75">
      <c r="A4203" s="89" t="s">
        <v>1650</v>
      </c>
      <c r="B4203" s="237">
        <v>112120612090</v>
      </c>
      <c r="C4203" s="89" t="s">
        <v>456</v>
      </c>
      <c r="D4203" s="89"/>
      <c r="E4203" s="236" t="s">
        <v>1641</v>
      </c>
      <c r="F4203" s="236" t="s">
        <v>1634</v>
      </c>
      <c r="G4203" s="236" t="s">
        <v>1651</v>
      </c>
      <c r="H4203" s="238">
        <v>42217</v>
      </c>
      <c r="I4203" s="235">
        <v>42331</v>
      </c>
      <c r="J4203" s="136">
        <v>8.77</v>
      </c>
      <c r="K4203" s="89"/>
      <c r="L4203" s="89">
        <v>1</v>
      </c>
    </row>
    <row r="4204" spans="1:12" ht="42.75">
      <c r="A4204" s="89" t="s">
        <v>1650</v>
      </c>
      <c r="B4204" s="237">
        <v>112120612090</v>
      </c>
      <c r="C4204" s="89" t="s">
        <v>456</v>
      </c>
      <c r="D4204" s="89"/>
      <c r="E4204" s="236" t="s">
        <v>1641</v>
      </c>
      <c r="F4204" s="236" t="s">
        <v>1634</v>
      </c>
      <c r="G4204" s="236" t="s">
        <v>1652</v>
      </c>
      <c r="H4204" s="238">
        <v>42278</v>
      </c>
      <c r="I4204" s="235">
        <v>42331</v>
      </c>
      <c r="J4204" s="136">
        <v>13.89</v>
      </c>
      <c r="K4204" s="89"/>
      <c r="L4204" s="89">
        <v>1</v>
      </c>
    </row>
    <row r="4205" spans="1:12" ht="42.75">
      <c r="A4205" s="89" t="s">
        <v>1653</v>
      </c>
      <c r="B4205" s="237"/>
      <c r="C4205" s="89" t="s">
        <v>456</v>
      </c>
      <c r="D4205" s="89"/>
      <c r="E4205" s="236" t="s">
        <v>1633</v>
      </c>
      <c r="F4205" s="236" t="s">
        <v>1634</v>
      </c>
      <c r="G4205" s="236" t="s">
        <v>1635</v>
      </c>
      <c r="H4205" s="238">
        <v>42309</v>
      </c>
      <c r="I4205" s="235">
        <v>42338</v>
      </c>
      <c r="J4205" s="136">
        <v>47.01</v>
      </c>
      <c r="K4205" s="89"/>
      <c r="L4205" s="89">
        <v>1</v>
      </c>
    </row>
    <row r="4206" spans="1:12" ht="42.75">
      <c r="A4206" s="89" t="s">
        <v>1654</v>
      </c>
      <c r="B4206" s="237">
        <v>112120612090</v>
      </c>
      <c r="C4206" s="89" t="s">
        <v>719</v>
      </c>
      <c r="D4206" s="89"/>
      <c r="E4206" s="236" t="s">
        <v>1641</v>
      </c>
      <c r="F4206" s="236" t="s">
        <v>1634</v>
      </c>
      <c r="G4206" s="236" t="s">
        <v>1655</v>
      </c>
      <c r="H4206" s="238">
        <v>42095</v>
      </c>
      <c r="I4206" s="235">
        <v>42331</v>
      </c>
      <c r="J4206" s="136">
        <v>34.72</v>
      </c>
      <c r="K4206" s="89"/>
      <c r="L4206" s="89">
        <v>1</v>
      </c>
    </row>
    <row r="4207" spans="1:12" ht="42.75">
      <c r="A4207" s="89" t="s">
        <v>1654</v>
      </c>
      <c r="B4207" s="237">
        <v>112120612090</v>
      </c>
      <c r="C4207" s="89" t="s">
        <v>719</v>
      </c>
      <c r="D4207" s="89"/>
      <c r="E4207" s="236" t="s">
        <v>1641</v>
      </c>
      <c r="F4207" s="236" t="s">
        <v>1634</v>
      </c>
      <c r="G4207" s="236" t="s">
        <v>1656</v>
      </c>
      <c r="H4207" s="238">
        <v>42125</v>
      </c>
      <c r="I4207" s="235">
        <v>42331</v>
      </c>
      <c r="J4207" s="136">
        <v>58.35</v>
      </c>
      <c r="K4207" s="89"/>
      <c r="L4207" s="89">
        <v>1</v>
      </c>
    </row>
    <row r="4208" spans="1:12" ht="42.75">
      <c r="A4208" s="89" t="s">
        <v>1657</v>
      </c>
      <c r="B4208" s="237">
        <v>112120612090</v>
      </c>
      <c r="C4208" s="89" t="s">
        <v>460</v>
      </c>
      <c r="D4208" s="89"/>
      <c r="E4208" s="236" t="s">
        <v>1638</v>
      </c>
      <c r="F4208" s="236" t="s">
        <v>1634</v>
      </c>
      <c r="G4208" s="236" t="s">
        <v>1639</v>
      </c>
      <c r="H4208" s="238">
        <v>42278</v>
      </c>
      <c r="I4208" s="235">
        <v>42328</v>
      </c>
      <c r="J4208" s="136">
        <v>3390.27</v>
      </c>
      <c r="K4208" s="89"/>
      <c r="L4208" s="89">
        <v>1</v>
      </c>
    </row>
    <row r="4209" spans="1:12" ht="42.75">
      <c r="A4209" s="89" t="s">
        <v>1658</v>
      </c>
      <c r="B4209" s="237">
        <v>112120612090</v>
      </c>
      <c r="C4209" s="89" t="s">
        <v>460</v>
      </c>
      <c r="D4209" s="89"/>
      <c r="E4209" s="236" t="s">
        <v>1641</v>
      </c>
      <c r="F4209" s="236" t="s">
        <v>1634</v>
      </c>
      <c r="G4209" s="236" t="s">
        <v>1659</v>
      </c>
      <c r="H4209" s="238">
        <v>42125</v>
      </c>
      <c r="I4209" s="235">
        <v>42331</v>
      </c>
      <c r="J4209" s="136">
        <v>85.35</v>
      </c>
      <c r="K4209" s="89"/>
      <c r="L4209" s="89">
        <v>1</v>
      </c>
    </row>
    <row r="4210" spans="1:12" ht="42.75">
      <c r="A4210" s="89" t="s">
        <v>1658</v>
      </c>
      <c r="B4210" s="237">
        <v>112120612090</v>
      </c>
      <c r="C4210" s="89" t="s">
        <v>460</v>
      </c>
      <c r="D4210" s="89"/>
      <c r="E4210" s="236" t="s">
        <v>1641</v>
      </c>
      <c r="F4210" s="236" t="s">
        <v>1634</v>
      </c>
      <c r="G4210" s="236" t="s">
        <v>1660</v>
      </c>
      <c r="H4210" s="238">
        <v>42248</v>
      </c>
      <c r="I4210" s="235">
        <v>42331</v>
      </c>
      <c r="J4210" s="136">
        <v>95.28</v>
      </c>
      <c r="K4210" s="89"/>
      <c r="L4210" s="89">
        <v>1</v>
      </c>
    </row>
    <row r="4211" spans="1:12" ht="42.75">
      <c r="A4211" s="89" t="s">
        <v>1658</v>
      </c>
      <c r="B4211" s="237">
        <v>112120612090</v>
      </c>
      <c r="C4211" s="89" t="s">
        <v>460</v>
      </c>
      <c r="D4211" s="89"/>
      <c r="E4211" s="236" t="s">
        <v>1641</v>
      </c>
      <c r="F4211" s="236" t="s">
        <v>1634</v>
      </c>
      <c r="G4211" s="236" t="s">
        <v>1661</v>
      </c>
      <c r="H4211" s="238">
        <v>42278</v>
      </c>
      <c r="I4211" s="235">
        <v>42331</v>
      </c>
      <c r="J4211" s="136">
        <v>41.5</v>
      </c>
      <c r="K4211" s="89"/>
      <c r="L4211" s="89">
        <v>1</v>
      </c>
    </row>
    <row r="4212" spans="1:12" ht="57">
      <c r="A4212" s="89" t="s">
        <v>1658</v>
      </c>
      <c r="B4212" s="237">
        <v>112120612090</v>
      </c>
      <c r="C4212" s="89" t="s">
        <v>460</v>
      </c>
      <c r="D4212" s="89"/>
      <c r="E4212" s="236" t="s">
        <v>1662</v>
      </c>
      <c r="F4212" s="236" t="s">
        <v>1634</v>
      </c>
      <c r="G4212" s="236" t="s">
        <v>1663</v>
      </c>
      <c r="H4212" s="238">
        <v>42309</v>
      </c>
      <c r="I4212" s="235">
        <v>42333</v>
      </c>
      <c r="J4212" s="136">
        <v>14.34</v>
      </c>
      <c r="K4212" s="89"/>
      <c r="L4212" s="89">
        <v>1</v>
      </c>
    </row>
    <row r="4213" spans="1:12" ht="42.75">
      <c r="A4213" s="89" t="s">
        <v>1664</v>
      </c>
      <c r="B4213" s="237"/>
      <c r="C4213" s="89" t="s">
        <v>460</v>
      </c>
      <c r="D4213" s="89"/>
      <c r="E4213" s="236" t="s">
        <v>1633</v>
      </c>
      <c r="F4213" s="236" t="s">
        <v>1634</v>
      </c>
      <c r="G4213" s="236" t="s">
        <v>1635</v>
      </c>
      <c r="H4213" s="238">
        <v>42309</v>
      </c>
      <c r="I4213" s="235">
        <v>42338</v>
      </c>
      <c r="J4213" s="136">
        <v>45.65</v>
      </c>
      <c r="K4213" s="89"/>
      <c r="L4213" s="89">
        <v>1</v>
      </c>
    </row>
    <row r="4214" spans="1:12" ht="42.75">
      <c r="A4214" s="89" t="s">
        <v>1665</v>
      </c>
      <c r="B4214" s="237">
        <v>112120612090</v>
      </c>
      <c r="C4214" s="89" t="s">
        <v>461</v>
      </c>
      <c r="D4214" s="89"/>
      <c r="E4214" s="236" t="s">
        <v>1641</v>
      </c>
      <c r="F4214" s="236" t="s">
        <v>1634</v>
      </c>
      <c r="G4214" s="236" t="s">
        <v>1666</v>
      </c>
      <c r="H4214" s="238">
        <v>42248</v>
      </c>
      <c r="I4214" s="235">
        <v>42331</v>
      </c>
      <c r="J4214" s="136">
        <v>6.91</v>
      </c>
      <c r="K4214" s="89"/>
      <c r="L4214" s="89">
        <v>1</v>
      </c>
    </row>
    <row r="4215" spans="1:12" ht="42.75">
      <c r="A4215" s="89" t="s">
        <v>1667</v>
      </c>
      <c r="B4215" s="237"/>
      <c r="C4215" s="89" t="s">
        <v>461</v>
      </c>
      <c r="D4215" s="89"/>
      <c r="E4215" s="236" t="s">
        <v>1633</v>
      </c>
      <c r="F4215" s="236" t="s">
        <v>1634</v>
      </c>
      <c r="G4215" s="236" t="s">
        <v>1635</v>
      </c>
      <c r="H4215" s="238">
        <v>42309</v>
      </c>
      <c r="I4215" s="235">
        <v>42338</v>
      </c>
      <c r="J4215" s="136">
        <v>44.82</v>
      </c>
      <c r="K4215" s="89"/>
      <c r="L4215" s="89">
        <v>1</v>
      </c>
    </row>
    <row r="4216" spans="1:12" ht="42.75">
      <c r="A4216" s="89" t="s">
        <v>1668</v>
      </c>
      <c r="B4216" s="237"/>
      <c r="C4216" s="89" t="s">
        <v>465</v>
      </c>
      <c r="D4216" s="89"/>
      <c r="E4216" s="236" t="s">
        <v>1633</v>
      </c>
      <c r="F4216" s="236" t="s">
        <v>1634</v>
      </c>
      <c r="G4216" s="236" t="s">
        <v>1635</v>
      </c>
      <c r="H4216" s="238">
        <v>42309</v>
      </c>
      <c r="I4216" s="235">
        <v>42338</v>
      </c>
      <c r="J4216" s="136">
        <v>47.32</v>
      </c>
      <c r="K4216" s="89"/>
      <c r="L4216" s="89">
        <v>1</v>
      </c>
    </row>
    <row r="4217" spans="1:12" ht="57">
      <c r="A4217" s="89" t="s">
        <v>1669</v>
      </c>
      <c r="B4217" s="237">
        <v>112120612090</v>
      </c>
      <c r="C4217" s="89" t="s">
        <v>465</v>
      </c>
      <c r="D4217" s="89"/>
      <c r="E4217" s="236" t="s">
        <v>1662</v>
      </c>
      <c r="F4217" s="236" t="s">
        <v>1634</v>
      </c>
      <c r="G4217" s="236" t="s">
        <v>1670</v>
      </c>
      <c r="H4217" s="238">
        <v>42248</v>
      </c>
      <c r="I4217" s="235">
        <v>42324</v>
      </c>
      <c r="J4217" s="136">
        <v>3617.71</v>
      </c>
      <c r="K4217" s="89"/>
      <c r="L4217" s="89">
        <v>1</v>
      </c>
    </row>
    <row r="4218" spans="1:12" ht="57">
      <c r="A4218" s="89" t="s">
        <v>1669</v>
      </c>
      <c r="B4218" s="237">
        <v>112120612090</v>
      </c>
      <c r="C4218" s="89" t="s">
        <v>465</v>
      </c>
      <c r="D4218" s="89"/>
      <c r="E4218" s="236" t="s">
        <v>1662</v>
      </c>
      <c r="F4218" s="236" t="s">
        <v>1634</v>
      </c>
      <c r="G4218" s="236" t="s">
        <v>1671</v>
      </c>
      <c r="H4218" s="238">
        <v>42125</v>
      </c>
      <c r="I4218" s="235">
        <v>42325</v>
      </c>
      <c r="J4218" s="136">
        <v>3135.66</v>
      </c>
      <c r="K4218" s="89"/>
      <c r="L4218" s="89">
        <v>1</v>
      </c>
    </row>
    <row r="4219" spans="1:12" ht="42.75">
      <c r="A4219" s="89" t="s">
        <v>1672</v>
      </c>
      <c r="B4219" s="237">
        <v>112120612090</v>
      </c>
      <c r="C4219" s="89" t="s">
        <v>465</v>
      </c>
      <c r="D4219" s="89"/>
      <c r="E4219" s="236" t="s">
        <v>1641</v>
      </c>
      <c r="F4219" s="236" t="s">
        <v>1634</v>
      </c>
      <c r="G4219" s="236" t="s">
        <v>1673</v>
      </c>
      <c r="H4219" s="238">
        <v>42278</v>
      </c>
      <c r="I4219" s="235">
        <v>42314</v>
      </c>
      <c r="J4219" s="136">
        <v>6.43</v>
      </c>
      <c r="K4219" s="89"/>
      <c r="L4219" s="89">
        <v>1</v>
      </c>
    </row>
    <row r="4220" spans="1:12" ht="42.75">
      <c r="A4220" s="89" t="s">
        <v>1672</v>
      </c>
      <c r="B4220" s="237">
        <v>112120612090</v>
      </c>
      <c r="C4220" s="89" t="s">
        <v>465</v>
      </c>
      <c r="D4220" s="89"/>
      <c r="E4220" s="236" t="s">
        <v>1641</v>
      </c>
      <c r="F4220" s="236" t="s">
        <v>1634</v>
      </c>
      <c r="G4220" s="236" t="s">
        <v>1674</v>
      </c>
      <c r="H4220" s="238">
        <v>42278</v>
      </c>
      <c r="I4220" s="235">
        <v>42314</v>
      </c>
      <c r="J4220" s="136">
        <v>25.78</v>
      </c>
      <c r="K4220" s="89"/>
      <c r="L4220" s="89">
        <v>1</v>
      </c>
    </row>
    <row r="4221" spans="1:12" ht="42.75">
      <c r="A4221" s="89" t="s">
        <v>1672</v>
      </c>
      <c r="B4221" s="237">
        <v>112120612090</v>
      </c>
      <c r="C4221" s="89" t="s">
        <v>465</v>
      </c>
      <c r="D4221" s="89"/>
      <c r="E4221" s="236" t="s">
        <v>1641</v>
      </c>
      <c r="F4221" s="236" t="s">
        <v>1634</v>
      </c>
      <c r="G4221" s="236" t="s">
        <v>1675</v>
      </c>
      <c r="H4221" s="238">
        <v>42095</v>
      </c>
      <c r="I4221" s="235">
        <v>42331</v>
      </c>
      <c r="J4221" s="136">
        <v>21.28</v>
      </c>
      <c r="K4221" s="89"/>
      <c r="L4221" s="89">
        <v>1</v>
      </c>
    </row>
    <row r="4222" spans="1:12" ht="57">
      <c r="A4222" s="89" t="s">
        <v>1676</v>
      </c>
      <c r="B4222" s="237"/>
      <c r="C4222" s="89" t="s">
        <v>449</v>
      </c>
      <c r="D4222" s="89"/>
      <c r="E4222" s="236" t="s">
        <v>1662</v>
      </c>
      <c r="F4222" s="236" t="s">
        <v>1634</v>
      </c>
      <c r="G4222" s="236" t="s">
        <v>1677</v>
      </c>
      <c r="H4222" s="238">
        <v>42064</v>
      </c>
      <c r="I4222" s="235">
        <v>42325</v>
      </c>
      <c r="J4222" s="136">
        <v>4748.28</v>
      </c>
      <c r="K4222" s="89"/>
      <c r="L4222" s="89">
        <v>1</v>
      </c>
    </row>
    <row r="4223" spans="1:12" ht="42.75">
      <c r="A4223" s="89" t="s">
        <v>1678</v>
      </c>
      <c r="B4223" s="237"/>
      <c r="C4223" s="89" t="s">
        <v>449</v>
      </c>
      <c r="D4223" s="89"/>
      <c r="E4223" s="236" t="s">
        <v>1633</v>
      </c>
      <c r="F4223" s="236" t="s">
        <v>1634</v>
      </c>
      <c r="G4223" s="236" t="s">
        <v>1635</v>
      </c>
      <c r="H4223" s="238">
        <v>42309</v>
      </c>
      <c r="I4223" s="235">
        <v>42338</v>
      </c>
      <c r="J4223" s="136">
        <v>54.1</v>
      </c>
      <c r="K4223" s="89"/>
      <c r="L4223" s="89">
        <v>1</v>
      </c>
    </row>
    <row r="4224" spans="1:12" ht="42.75">
      <c r="A4224" s="89" t="s">
        <v>1679</v>
      </c>
      <c r="B4224" s="237">
        <v>112120612090</v>
      </c>
      <c r="C4224" s="89" t="s">
        <v>468</v>
      </c>
      <c r="D4224" s="89"/>
      <c r="E4224" s="236" t="s">
        <v>1641</v>
      </c>
      <c r="F4224" s="236" t="s">
        <v>1634</v>
      </c>
      <c r="G4224" s="236" t="s">
        <v>1680</v>
      </c>
      <c r="H4224" s="238">
        <v>42248</v>
      </c>
      <c r="I4224" s="235">
        <v>42331</v>
      </c>
      <c r="J4224" s="136">
        <v>23.39</v>
      </c>
      <c r="K4224" s="89"/>
      <c r="L4224" s="89">
        <v>1</v>
      </c>
    </row>
    <row r="4225" spans="1:12" ht="42.75">
      <c r="A4225" s="89" t="s">
        <v>1681</v>
      </c>
      <c r="B4225" s="237"/>
      <c r="C4225" s="89" t="s">
        <v>449</v>
      </c>
      <c r="D4225" s="89"/>
      <c r="E4225" s="236" t="s">
        <v>1633</v>
      </c>
      <c r="F4225" s="236" t="s">
        <v>1634</v>
      </c>
      <c r="G4225" s="236" t="s">
        <v>1635</v>
      </c>
      <c r="H4225" s="238">
        <v>42309</v>
      </c>
      <c r="I4225" s="235">
        <v>42338</v>
      </c>
      <c r="J4225" s="136">
        <v>55.77</v>
      </c>
      <c r="K4225" s="89"/>
      <c r="L4225" s="89">
        <v>1</v>
      </c>
    </row>
    <row r="4226" spans="1:12" ht="42.75">
      <c r="A4226" s="89" t="s">
        <v>1682</v>
      </c>
      <c r="B4226" s="237"/>
      <c r="C4226" s="89" t="s">
        <v>449</v>
      </c>
      <c r="D4226" s="89"/>
      <c r="E4226" s="236" t="s">
        <v>1633</v>
      </c>
      <c r="F4226" s="236" t="s">
        <v>1634</v>
      </c>
      <c r="G4226" s="236" t="s">
        <v>1635</v>
      </c>
      <c r="H4226" s="238">
        <v>42309</v>
      </c>
      <c r="I4226" s="235">
        <v>42338</v>
      </c>
      <c r="J4226" s="136">
        <v>75.59</v>
      </c>
      <c r="K4226" s="89"/>
      <c r="L4226" s="89">
        <v>1</v>
      </c>
    </row>
    <row r="4227" spans="1:12" ht="42.75">
      <c r="A4227" s="89" t="s">
        <v>1683</v>
      </c>
      <c r="B4227" s="237"/>
      <c r="C4227" s="89" t="s">
        <v>449</v>
      </c>
      <c r="D4227" s="89"/>
      <c r="E4227" s="236" t="s">
        <v>1633</v>
      </c>
      <c r="F4227" s="236" t="s">
        <v>1634</v>
      </c>
      <c r="G4227" s="236" t="s">
        <v>1635</v>
      </c>
      <c r="H4227" s="238">
        <v>42309</v>
      </c>
      <c r="I4227" s="235">
        <v>42338</v>
      </c>
      <c r="J4227" s="136">
        <v>48.71</v>
      </c>
      <c r="K4227" s="89"/>
      <c r="L4227" s="89">
        <v>1</v>
      </c>
    </row>
    <row r="4228" spans="1:12" ht="57">
      <c r="A4228" s="89" t="s">
        <v>1684</v>
      </c>
      <c r="B4228" s="237"/>
      <c r="C4228" s="89" t="s">
        <v>449</v>
      </c>
      <c r="D4228" s="89"/>
      <c r="E4228" s="236" t="s">
        <v>1662</v>
      </c>
      <c r="F4228" s="236" t="s">
        <v>1634</v>
      </c>
      <c r="G4228" s="236" t="s">
        <v>1685</v>
      </c>
      <c r="H4228" s="238">
        <v>42095</v>
      </c>
      <c r="I4228" s="235">
        <v>42325</v>
      </c>
      <c r="J4228" s="136">
        <v>4237.6400000000003</v>
      </c>
      <c r="K4228" s="89"/>
      <c r="L4228" s="89">
        <v>1</v>
      </c>
    </row>
    <row r="4229" spans="1:12" ht="42.75">
      <c r="A4229" s="89" t="s">
        <v>1686</v>
      </c>
      <c r="B4229" s="237"/>
      <c r="C4229" s="89" t="s">
        <v>449</v>
      </c>
      <c r="D4229" s="89"/>
      <c r="E4229" s="236" t="s">
        <v>1633</v>
      </c>
      <c r="F4229" s="236" t="s">
        <v>1634</v>
      </c>
      <c r="G4229" s="236" t="s">
        <v>1635</v>
      </c>
      <c r="H4229" s="238">
        <v>42309</v>
      </c>
      <c r="I4229" s="235">
        <v>42338</v>
      </c>
      <c r="J4229" s="136">
        <v>252.85</v>
      </c>
      <c r="K4229" s="89"/>
      <c r="L4229" s="89">
        <v>1</v>
      </c>
    </row>
    <row r="4230" spans="1:12" ht="42.75">
      <c r="A4230" s="89" t="s">
        <v>1687</v>
      </c>
      <c r="B4230" s="237"/>
      <c r="C4230" s="89" t="s">
        <v>449</v>
      </c>
      <c r="D4230" s="89"/>
      <c r="E4230" s="236" t="s">
        <v>1633</v>
      </c>
      <c r="F4230" s="236" t="s">
        <v>1634</v>
      </c>
      <c r="G4230" s="236" t="s">
        <v>1635</v>
      </c>
      <c r="H4230" s="238">
        <v>42309</v>
      </c>
      <c r="I4230" s="235">
        <v>42338</v>
      </c>
      <c r="J4230" s="136">
        <v>55.21</v>
      </c>
      <c r="K4230" s="89"/>
      <c r="L4230" s="89">
        <v>1</v>
      </c>
    </row>
    <row r="4231" spans="1:12" ht="42.75">
      <c r="A4231" s="89" t="s">
        <v>1688</v>
      </c>
      <c r="B4231" s="237"/>
      <c r="C4231" s="89" t="s">
        <v>449</v>
      </c>
      <c r="D4231" s="89"/>
      <c r="E4231" s="236" t="s">
        <v>1633</v>
      </c>
      <c r="F4231" s="236" t="s">
        <v>1634</v>
      </c>
      <c r="G4231" s="236" t="s">
        <v>1635</v>
      </c>
      <c r="H4231" s="238">
        <v>42309</v>
      </c>
      <c r="I4231" s="235">
        <v>42338</v>
      </c>
      <c r="J4231" s="136">
        <v>51.92</v>
      </c>
      <c r="K4231" s="89"/>
      <c r="L4231" s="89">
        <v>1</v>
      </c>
    </row>
    <row r="4232" spans="1:12" ht="57">
      <c r="A4232" s="89" t="s">
        <v>1689</v>
      </c>
      <c r="B4232" s="237">
        <v>112120612110</v>
      </c>
      <c r="C4232" s="89" t="s">
        <v>463</v>
      </c>
      <c r="D4232" s="89"/>
      <c r="E4232" s="236" t="s">
        <v>1690</v>
      </c>
      <c r="F4232" s="236" t="s">
        <v>1691</v>
      </c>
      <c r="G4232" s="236" t="s">
        <v>1692</v>
      </c>
      <c r="H4232" s="238">
        <v>42278</v>
      </c>
      <c r="I4232" s="235">
        <v>42327</v>
      </c>
      <c r="J4232" s="136">
        <v>76.48</v>
      </c>
      <c r="K4232" s="89"/>
      <c r="L4232" s="89">
        <v>1</v>
      </c>
    </row>
    <row r="4233" spans="1:12" ht="57">
      <c r="A4233" s="89" t="s">
        <v>1693</v>
      </c>
      <c r="B4233" s="237">
        <v>112120612110</v>
      </c>
      <c r="C4233" s="89" t="s">
        <v>465</v>
      </c>
      <c r="D4233" s="89"/>
      <c r="E4233" s="236" t="s">
        <v>1690</v>
      </c>
      <c r="F4233" s="236" t="s">
        <v>1691</v>
      </c>
      <c r="G4233" s="236" t="s">
        <v>1692</v>
      </c>
      <c r="H4233" s="238">
        <v>42278</v>
      </c>
      <c r="I4233" s="235">
        <v>42327</v>
      </c>
      <c r="J4233" s="136">
        <v>257.76</v>
      </c>
      <c r="K4233" s="89"/>
      <c r="L4233" s="89">
        <v>1</v>
      </c>
    </row>
    <row r="4234" spans="1:12" ht="156.75">
      <c r="A4234" s="89" t="s">
        <v>1694</v>
      </c>
      <c r="B4234" s="237">
        <v>112120612120</v>
      </c>
      <c r="C4234" s="89" t="s">
        <v>458</v>
      </c>
      <c r="D4234" s="89"/>
      <c r="E4234" s="236" t="s">
        <v>1695</v>
      </c>
      <c r="F4234" s="236" t="s">
        <v>1696</v>
      </c>
      <c r="G4234" s="236" t="s">
        <v>1697</v>
      </c>
      <c r="H4234" s="238">
        <v>42278</v>
      </c>
      <c r="I4234" s="235">
        <v>42324</v>
      </c>
      <c r="J4234" s="136">
        <v>66122.98</v>
      </c>
      <c r="K4234" s="89"/>
      <c r="L4234" s="89">
        <v>1</v>
      </c>
    </row>
    <row r="4235" spans="1:12" ht="99.75">
      <c r="A4235" s="89" t="s">
        <v>1698</v>
      </c>
      <c r="B4235" s="237">
        <v>112120612120</v>
      </c>
      <c r="C4235" s="89" t="s">
        <v>456</v>
      </c>
      <c r="D4235" s="89"/>
      <c r="E4235" s="236" t="s">
        <v>1699</v>
      </c>
      <c r="F4235" s="236" t="s">
        <v>1696</v>
      </c>
      <c r="G4235" s="236" t="s">
        <v>1700</v>
      </c>
      <c r="H4235" s="238">
        <v>42278</v>
      </c>
      <c r="I4235" s="235">
        <v>42331</v>
      </c>
      <c r="J4235" s="136">
        <v>33561.449999999997</v>
      </c>
      <c r="K4235" s="89"/>
      <c r="L4235" s="89">
        <v>1</v>
      </c>
    </row>
    <row r="4236" spans="1:12" ht="128.25">
      <c r="A4236" s="89" t="s">
        <v>1701</v>
      </c>
      <c r="B4236" s="237">
        <v>112120612120</v>
      </c>
      <c r="C4236" s="89" t="s">
        <v>719</v>
      </c>
      <c r="D4236" s="89"/>
      <c r="E4236" s="236" t="s">
        <v>1261</v>
      </c>
      <c r="F4236" s="236" t="s">
        <v>1696</v>
      </c>
      <c r="G4236" s="236" t="s">
        <v>1702</v>
      </c>
      <c r="H4236" s="238">
        <v>42278</v>
      </c>
      <c r="I4236" s="235">
        <v>42328</v>
      </c>
      <c r="J4236" s="136">
        <v>12456.1</v>
      </c>
      <c r="K4236" s="89"/>
      <c r="L4236" s="89">
        <v>1</v>
      </c>
    </row>
    <row r="4237" spans="1:12" ht="156.75">
      <c r="A4237" s="89" t="s">
        <v>1703</v>
      </c>
      <c r="B4237" s="237">
        <v>112120612120</v>
      </c>
      <c r="C4237" s="89" t="s">
        <v>460</v>
      </c>
      <c r="D4237" s="89"/>
      <c r="E4237" s="236" t="s">
        <v>1695</v>
      </c>
      <c r="F4237" s="236" t="s">
        <v>1696</v>
      </c>
      <c r="G4237" s="236" t="s">
        <v>1704</v>
      </c>
      <c r="H4237" s="238">
        <v>42278</v>
      </c>
      <c r="I4237" s="235">
        <v>42318</v>
      </c>
      <c r="J4237" s="136">
        <v>73833.8</v>
      </c>
      <c r="K4237" s="89"/>
      <c r="L4237" s="89">
        <v>1</v>
      </c>
    </row>
    <row r="4238" spans="1:12" ht="156.75">
      <c r="A4238" s="89" t="s">
        <v>1705</v>
      </c>
      <c r="B4238" s="237">
        <v>112120612120</v>
      </c>
      <c r="C4238" s="89" t="s">
        <v>461</v>
      </c>
      <c r="D4238" s="89"/>
      <c r="E4238" s="236" t="s">
        <v>1695</v>
      </c>
      <c r="F4238" s="236" t="s">
        <v>1696</v>
      </c>
      <c r="G4238" s="236" t="s">
        <v>1706</v>
      </c>
      <c r="H4238" s="238">
        <v>42278</v>
      </c>
      <c r="I4238" s="235">
        <v>42338</v>
      </c>
      <c r="J4238" s="136">
        <v>77612.179999999993</v>
      </c>
      <c r="K4238" s="89"/>
      <c r="L4238" s="89">
        <v>1</v>
      </c>
    </row>
    <row r="4239" spans="1:12" ht="57">
      <c r="A4239" s="89" t="s">
        <v>1707</v>
      </c>
      <c r="B4239" s="237">
        <v>112120612120</v>
      </c>
      <c r="C4239" s="89" t="s">
        <v>463</v>
      </c>
      <c r="D4239" s="89"/>
      <c r="E4239" s="236" t="s">
        <v>1708</v>
      </c>
      <c r="F4239" s="236" t="s">
        <v>1696</v>
      </c>
      <c r="G4239" s="236" t="s">
        <v>1709</v>
      </c>
      <c r="H4239" s="238">
        <v>42278</v>
      </c>
      <c r="I4239" s="235">
        <v>42335</v>
      </c>
      <c r="J4239" s="136">
        <v>65895.81</v>
      </c>
      <c r="K4239" s="89"/>
      <c r="L4239" s="89">
        <v>1</v>
      </c>
    </row>
    <row r="4240" spans="1:12" ht="99.75">
      <c r="A4240" s="89" t="s">
        <v>1710</v>
      </c>
      <c r="B4240" s="237">
        <v>112120612120</v>
      </c>
      <c r="C4240" s="89" t="s">
        <v>463</v>
      </c>
      <c r="D4240" s="89"/>
      <c r="E4240" s="236" t="s">
        <v>1699</v>
      </c>
      <c r="F4240" s="236" t="s">
        <v>1696</v>
      </c>
      <c r="G4240" s="236" t="s">
        <v>1711</v>
      </c>
      <c r="H4240" s="238">
        <v>42278</v>
      </c>
      <c r="I4240" s="235">
        <v>42327</v>
      </c>
      <c r="J4240" s="136">
        <v>67674.58</v>
      </c>
      <c r="K4240" s="89"/>
      <c r="L4240" s="89">
        <v>1</v>
      </c>
    </row>
    <row r="4241" spans="1:12" ht="99.75">
      <c r="A4241" s="89" t="s">
        <v>1712</v>
      </c>
      <c r="B4241" s="237">
        <v>112120612120</v>
      </c>
      <c r="C4241" s="89" t="s">
        <v>466</v>
      </c>
      <c r="D4241" s="89"/>
      <c r="E4241" s="236" t="s">
        <v>1699</v>
      </c>
      <c r="F4241" s="236" t="s">
        <v>1696</v>
      </c>
      <c r="G4241" s="236" t="s">
        <v>1713</v>
      </c>
      <c r="H4241" s="238">
        <v>42278</v>
      </c>
      <c r="I4241" s="235">
        <v>42334</v>
      </c>
      <c r="J4241" s="136">
        <v>22402.71</v>
      </c>
      <c r="K4241" s="89"/>
      <c r="L4241" s="89">
        <v>1</v>
      </c>
    </row>
    <row r="4242" spans="1:12" ht="99.75">
      <c r="A4242" s="89" t="s">
        <v>1714</v>
      </c>
      <c r="B4242" s="237">
        <v>112120612120</v>
      </c>
      <c r="C4242" s="89" t="s">
        <v>551</v>
      </c>
      <c r="D4242" s="89"/>
      <c r="E4242" s="236" t="s">
        <v>1715</v>
      </c>
      <c r="F4242" s="236" t="s">
        <v>1696</v>
      </c>
      <c r="G4242" s="236" t="s">
        <v>1716</v>
      </c>
      <c r="H4242" s="238">
        <v>42278</v>
      </c>
      <c r="I4242" s="235">
        <v>42334</v>
      </c>
      <c r="J4242" s="136">
        <v>9445.44</v>
      </c>
      <c r="K4242" s="89"/>
      <c r="L4242" s="89">
        <v>1</v>
      </c>
    </row>
    <row r="4243" spans="1:12" ht="99.75">
      <c r="A4243" s="89" t="s">
        <v>1717</v>
      </c>
      <c r="B4243" s="237">
        <v>112120612120</v>
      </c>
      <c r="C4243" s="89" t="s">
        <v>604</v>
      </c>
      <c r="D4243" s="89"/>
      <c r="E4243" s="236" t="s">
        <v>1715</v>
      </c>
      <c r="F4243" s="236" t="s">
        <v>1696</v>
      </c>
      <c r="G4243" s="236" t="s">
        <v>1718</v>
      </c>
      <c r="H4243" s="238">
        <v>42278</v>
      </c>
      <c r="I4243" s="235">
        <v>42311</v>
      </c>
      <c r="J4243" s="136">
        <v>11704.71</v>
      </c>
      <c r="K4243" s="89"/>
      <c r="L4243" s="89">
        <v>1</v>
      </c>
    </row>
    <row r="4244" spans="1:12" ht="99.75">
      <c r="A4244" s="89" t="s">
        <v>1719</v>
      </c>
      <c r="B4244" s="237">
        <v>112120612120</v>
      </c>
      <c r="C4244" s="89" t="s">
        <v>645</v>
      </c>
      <c r="D4244" s="89"/>
      <c r="E4244" s="236" t="s">
        <v>1715</v>
      </c>
      <c r="F4244" s="236" t="s">
        <v>1696</v>
      </c>
      <c r="G4244" s="236" t="s">
        <v>1720</v>
      </c>
      <c r="H4244" s="238">
        <v>42278</v>
      </c>
      <c r="I4244" s="235">
        <v>42338</v>
      </c>
      <c r="J4244" s="136">
        <v>1713.13</v>
      </c>
      <c r="K4244" s="89"/>
      <c r="L4244" s="89">
        <v>1</v>
      </c>
    </row>
    <row r="4245" spans="1:12" ht="99.75">
      <c r="A4245" s="89" t="s">
        <v>1721</v>
      </c>
      <c r="B4245" s="237">
        <v>112120612120</v>
      </c>
      <c r="C4245" s="89" t="s">
        <v>659</v>
      </c>
      <c r="D4245" s="89"/>
      <c r="E4245" s="236" t="s">
        <v>1715</v>
      </c>
      <c r="F4245" s="236" t="s">
        <v>1696</v>
      </c>
      <c r="G4245" s="236" t="s">
        <v>1722</v>
      </c>
      <c r="H4245" s="238">
        <v>42278</v>
      </c>
      <c r="I4245" s="235">
        <v>42332</v>
      </c>
      <c r="J4245" s="136">
        <v>2481.4</v>
      </c>
      <c r="K4245" s="89"/>
      <c r="L4245" s="89">
        <v>1</v>
      </c>
    </row>
    <row r="4246" spans="1:12" ht="99.75">
      <c r="A4246" s="89" t="s">
        <v>1723</v>
      </c>
      <c r="B4246" s="237">
        <v>112120612120</v>
      </c>
      <c r="C4246" s="89" t="s">
        <v>544</v>
      </c>
      <c r="D4246" s="89"/>
      <c r="E4246" s="236" t="s">
        <v>1715</v>
      </c>
      <c r="F4246" s="236" t="s">
        <v>1696</v>
      </c>
      <c r="G4246" s="236" t="s">
        <v>1724</v>
      </c>
      <c r="H4246" s="238">
        <v>42278</v>
      </c>
      <c r="I4246" s="235">
        <v>42331</v>
      </c>
      <c r="J4246" s="136">
        <v>6035.77</v>
      </c>
      <c r="K4246" s="89"/>
      <c r="L4246" s="89">
        <v>1</v>
      </c>
    </row>
    <row r="4247" spans="1:12" ht="142.5">
      <c r="A4247" s="89" t="s">
        <v>1725</v>
      </c>
      <c r="B4247" s="237">
        <v>112120612120</v>
      </c>
      <c r="C4247" s="89" t="s">
        <v>556</v>
      </c>
      <c r="D4247" s="89"/>
      <c r="E4247" s="236" t="s">
        <v>1726</v>
      </c>
      <c r="F4247" s="236" t="s">
        <v>1696</v>
      </c>
      <c r="G4247" s="236" t="s">
        <v>1727</v>
      </c>
      <c r="H4247" s="238">
        <v>42278</v>
      </c>
      <c r="I4247" s="235">
        <v>42331</v>
      </c>
      <c r="J4247" s="136">
        <v>7217.18</v>
      </c>
      <c r="K4247" s="89"/>
      <c r="L4247" s="89">
        <v>1</v>
      </c>
    </row>
    <row r="4248" spans="1:12" ht="99.75">
      <c r="A4248" s="89" t="s">
        <v>1728</v>
      </c>
      <c r="B4248" s="237">
        <v>112120612120</v>
      </c>
      <c r="C4248" s="89" t="s">
        <v>563</v>
      </c>
      <c r="D4248" s="89"/>
      <c r="E4248" s="236" t="s">
        <v>1699</v>
      </c>
      <c r="F4248" s="236" t="s">
        <v>1696</v>
      </c>
      <c r="G4248" s="236" t="s">
        <v>1729</v>
      </c>
      <c r="H4248" s="238">
        <v>42278</v>
      </c>
      <c r="I4248" s="235">
        <v>42332</v>
      </c>
      <c r="J4248" s="136">
        <v>21508.32</v>
      </c>
      <c r="K4248" s="89"/>
      <c r="L4248" s="89">
        <v>1</v>
      </c>
    </row>
    <row r="4249" spans="1:12" ht="99.75">
      <c r="A4249" s="89" t="s">
        <v>1730</v>
      </c>
      <c r="B4249" s="237">
        <v>112120612120</v>
      </c>
      <c r="C4249" s="89" t="s">
        <v>566</v>
      </c>
      <c r="D4249" s="89"/>
      <c r="E4249" s="236" t="s">
        <v>1699</v>
      </c>
      <c r="F4249" s="236" t="s">
        <v>1696</v>
      </c>
      <c r="G4249" s="236" t="s">
        <v>1731</v>
      </c>
      <c r="H4249" s="238">
        <v>42278</v>
      </c>
      <c r="I4249" s="235">
        <v>42321</v>
      </c>
      <c r="J4249" s="136">
        <v>4434.2299999999996</v>
      </c>
      <c r="K4249" s="89"/>
      <c r="L4249" s="89">
        <v>1</v>
      </c>
    </row>
    <row r="4250" spans="1:12" ht="99.75">
      <c r="A4250" s="89" t="s">
        <v>1732</v>
      </c>
      <c r="B4250" s="237">
        <v>112120612120</v>
      </c>
      <c r="C4250" s="89" t="s">
        <v>573</v>
      </c>
      <c r="D4250" s="89"/>
      <c r="E4250" s="236" t="s">
        <v>1733</v>
      </c>
      <c r="F4250" s="236" t="s">
        <v>1696</v>
      </c>
      <c r="G4250" s="236" t="s">
        <v>1734</v>
      </c>
      <c r="H4250" s="238">
        <v>42278</v>
      </c>
      <c r="I4250" s="235">
        <v>42321</v>
      </c>
      <c r="J4250" s="136">
        <v>3770.13</v>
      </c>
      <c r="K4250" s="89"/>
      <c r="L4250" s="89">
        <v>1</v>
      </c>
    </row>
    <row r="4251" spans="1:12" ht="99.75">
      <c r="A4251" s="89" t="s">
        <v>1735</v>
      </c>
      <c r="B4251" s="237">
        <v>112120612120</v>
      </c>
      <c r="C4251" s="89" t="s">
        <v>610</v>
      </c>
      <c r="D4251" s="89"/>
      <c r="E4251" s="236" t="s">
        <v>1699</v>
      </c>
      <c r="F4251" s="236" t="s">
        <v>1696</v>
      </c>
      <c r="G4251" s="236" t="s">
        <v>1736</v>
      </c>
      <c r="H4251" s="238">
        <v>42248</v>
      </c>
      <c r="I4251" s="235">
        <v>42321</v>
      </c>
      <c r="J4251" s="136">
        <v>3893.8</v>
      </c>
      <c r="K4251" s="89"/>
      <c r="L4251" s="89">
        <v>1</v>
      </c>
    </row>
    <row r="4252" spans="1:12" ht="99.75">
      <c r="A4252" s="89" t="s">
        <v>1737</v>
      </c>
      <c r="B4252" s="237">
        <v>112120612120</v>
      </c>
      <c r="C4252" s="89" t="s">
        <v>615</v>
      </c>
      <c r="D4252" s="89"/>
      <c r="E4252" s="236" t="s">
        <v>1715</v>
      </c>
      <c r="F4252" s="236" t="s">
        <v>1696</v>
      </c>
      <c r="G4252" s="236" t="s">
        <v>1738</v>
      </c>
      <c r="H4252" s="238">
        <v>42278</v>
      </c>
      <c r="I4252" s="235">
        <v>42317</v>
      </c>
      <c r="J4252" s="136">
        <v>5485.76</v>
      </c>
      <c r="K4252" s="89"/>
      <c r="L4252" s="89">
        <v>1</v>
      </c>
    </row>
    <row r="4253" spans="1:12" ht="99.75">
      <c r="A4253" s="89" t="s">
        <v>1739</v>
      </c>
      <c r="B4253" s="237">
        <v>112120612120</v>
      </c>
      <c r="C4253" s="89" t="s">
        <v>622</v>
      </c>
      <c r="D4253" s="89"/>
      <c r="E4253" s="236" t="s">
        <v>1699</v>
      </c>
      <c r="F4253" s="236" t="s">
        <v>1696</v>
      </c>
      <c r="G4253" s="236" t="s">
        <v>1740</v>
      </c>
      <c r="H4253" s="238">
        <v>42278</v>
      </c>
      <c r="I4253" s="235">
        <v>42321</v>
      </c>
      <c r="J4253" s="136">
        <v>6221.45</v>
      </c>
      <c r="K4253" s="89"/>
      <c r="L4253" s="89">
        <v>1</v>
      </c>
    </row>
    <row r="4254" spans="1:12" ht="156.75">
      <c r="A4254" s="89" t="s">
        <v>1741</v>
      </c>
      <c r="B4254" s="237">
        <v>112120612120</v>
      </c>
      <c r="C4254" s="89" t="s">
        <v>627</v>
      </c>
      <c r="D4254" s="89"/>
      <c r="E4254" s="236" t="s">
        <v>1695</v>
      </c>
      <c r="F4254" s="236" t="s">
        <v>1696</v>
      </c>
      <c r="G4254" s="236" t="s">
        <v>1742</v>
      </c>
      <c r="H4254" s="238">
        <v>42278</v>
      </c>
      <c r="I4254" s="235">
        <v>42326</v>
      </c>
      <c r="J4254" s="136">
        <v>11507.51</v>
      </c>
      <c r="K4254" s="89"/>
      <c r="L4254" s="89">
        <v>1</v>
      </c>
    </row>
    <row r="4255" spans="1:12" ht="156.75">
      <c r="A4255" s="89" t="s">
        <v>1741</v>
      </c>
      <c r="B4255" s="237">
        <v>112120612120</v>
      </c>
      <c r="C4255" s="89" t="s">
        <v>627</v>
      </c>
      <c r="D4255" s="89"/>
      <c r="E4255" s="236" t="s">
        <v>1695</v>
      </c>
      <c r="F4255" s="236" t="s">
        <v>1696</v>
      </c>
      <c r="G4255" s="236" t="s">
        <v>1743</v>
      </c>
      <c r="H4255" s="238">
        <v>42095</v>
      </c>
      <c r="I4255" s="235">
        <v>42338</v>
      </c>
      <c r="J4255" s="136">
        <v>309.76</v>
      </c>
      <c r="K4255" s="89"/>
      <c r="L4255" s="89">
        <v>1</v>
      </c>
    </row>
    <row r="4256" spans="1:12" ht="156.75">
      <c r="A4256" s="89" t="s">
        <v>1741</v>
      </c>
      <c r="B4256" s="237">
        <v>112120612120</v>
      </c>
      <c r="C4256" s="89" t="s">
        <v>627</v>
      </c>
      <c r="D4256" s="89"/>
      <c r="E4256" s="236" t="s">
        <v>1695</v>
      </c>
      <c r="F4256" s="236" t="s">
        <v>1696</v>
      </c>
      <c r="G4256" s="236" t="s">
        <v>1744</v>
      </c>
      <c r="H4256" s="238">
        <v>42248</v>
      </c>
      <c r="I4256" s="235">
        <v>42338</v>
      </c>
      <c r="J4256" s="136">
        <v>11154.04</v>
      </c>
      <c r="K4256" s="89"/>
      <c r="L4256" s="89">
        <v>1</v>
      </c>
    </row>
    <row r="4257" spans="1:12" ht="156.75">
      <c r="A4257" s="89" t="s">
        <v>1741</v>
      </c>
      <c r="B4257" s="237">
        <v>112120612120</v>
      </c>
      <c r="C4257" s="89" t="s">
        <v>627</v>
      </c>
      <c r="D4257" s="89"/>
      <c r="E4257" s="236" t="s">
        <v>1695</v>
      </c>
      <c r="F4257" s="236" t="s">
        <v>1696</v>
      </c>
      <c r="G4257" s="236" t="s">
        <v>1745</v>
      </c>
      <c r="H4257" s="238">
        <v>42217</v>
      </c>
      <c r="I4257" s="235">
        <v>42338</v>
      </c>
      <c r="J4257" s="136">
        <v>21542.99</v>
      </c>
      <c r="K4257" s="89"/>
      <c r="L4257" s="89">
        <v>1</v>
      </c>
    </row>
    <row r="4258" spans="1:12" ht="156.75">
      <c r="A4258" s="89" t="s">
        <v>1741</v>
      </c>
      <c r="B4258" s="237">
        <v>112120612120</v>
      </c>
      <c r="C4258" s="89" t="s">
        <v>627</v>
      </c>
      <c r="D4258" s="89"/>
      <c r="E4258" s="236" t="s">
        <v>1695</v>
      </c>
      <c r="F4258" s="236" t="s">
        <v>1696</v>
      </c>
      <c r="G4258" s="236" t="s">
        <v>1746</v>
      </c>
      <c r="H4258" s="238">
        <v>42125</v>
      </c>
      <c r="I4258" s="235">
        <v>42338</v>
      </c>
      <c r="J4258" s="136">
        <v>313.77</v>
      </c>
      <c r="K4258" s="89"/>
      <c r="L4258" s="89">
        <v>1</v>
      </c>
    </row>
    <row r="4259" spans="1:12" ht="156.75">
      <c r="A4259" s="89" t="s">
        <v>1741</v>
      </c>
      <c r="B4259" s="237">
        <v>112120612120</v>
      </c>
      <c r="C4259" s="89" t="s">
        <v>627</v>
      </c>
      <c r="D4259" s="89"/>
      <c r="E4259" s="236" t="s">
        <v>1695</v>
      </c>
      <c r="F4259" s="236" t="s">
        <v>1696</v>
      </c>
      <c r="G4259" s="236" t="s">
        <v>1747</v>
      </c>
      <c r="H4259" s="238">
        <v>42156</v>
      </c>
      <c r="I4259" s="235">
        <v>42338</v>
      </c>
      <c r="J4259" s="136">
        <v>312.47000000000003</v>
      </c>
      <c r="K4259" s="89"/>
      <c r="L4259" s="89">
        <v>1</v>
      </c>
    </row>
    <row r="4260" spans="1:12" ht="156.75">
      <c r="A4260" s="89" t="s">
        <v>1741</v>
      </c>
      <c r="B4260" s="237">
        <v>112120612120</v>
      </c>
      <c r="C4260" s="89" t="s">
        <v>627</v>
      </c>
      <c r="D4260" s="89"/>
      <c r="E4260" s="236" t="s">
        <v>1695</v>
      </c>
      <c r="F4260" s="236" t="s">
        <v>1696</v>
      </c>
      <c r="G4260" s="236" t="s">
        <v>1748</v>
      </c>
      <c r="H4260" s="238">
        <v>42278</v>
      </c>
      <c r="I4260" s="235">
        <v>42338</v>
      </c>
      <c r="J4260" s="136">
        <v>12158.13</v>
      </c>
      <c r="K4260" s="89"/>
      <c r="L4260" s="89">
        <v>1</v>
      </c>
    </row>
    <row r="4261" spans="1:12" ht="57">
      <c r="A4261" s="89" t="s">
        <v>1749</v>
      </c>
      <c r="B4261" s="237">
        <v>112120612120</v>
      </c>
      <c r="C4261" s="89" t="s">
        <v>637</v>
      </c>
      <c r="D4261" s="89"/>
      <c r="E4261" s="236" t="s">
        <v>1708</v>
      </c>
      <c r="F4261" s="236" t="s">
        <v>1696</v>
      </c>
      <c r="G4261" s="236" t="s">
        <v>1750</v>
      </c>
      <c r="H4261" s="238">
        <v>42278</v>
      </c>
      <c r="I4261" s="235">
        <v>42327</v>
      </c>
      <c r="J4261" s="136">
        <v>6276.28</v>
      </c>
      <c r="K4261" s="89"/>
      <c r="L4261" s="89">
        <v>1</v>
      </c>
    </row>
    <row r="4262" spans="1:12" ht="156.75">
      <c r="A4262" s="89" t="s">
        <v>1751</v>
      </c>
      <c r="B4262" s="237">
        <v>112120612130</v>
      </c>
      <c r="C4262" s="89" t="s">
        <v>459</v>
      </c>
      <c r="D4262" s="89"/>
      <c r="E4262" s="236" t="s">
        <v>1752</v>
      </c>
      <c r="F4262" s="236" t="s">
        <v>1753</v>
      </c>
      <c r="G4262" s="236" t="s">
        <v>1754</v>
      </c>
      <c r="H4262" s="238">
        <v>42278</v>
      </c>
      <c r="I4262" s="235">
        <v>42331</v>
      </c>
      <c r="J4262" s="136">
        <v>58.02</v>
      </c>
      <c r="K4262" s="89"/>
      <c r="L4262" s="89">
        <v>1</v>
      </c>
    </row>
    <row r="4263" spans="1:12" ht="156.75">
      <c r="A4263" s="89" t="s">
        <v>1755</v>
      </c>
      <c r="B4263" s="237">
        <v>112120612130</v>
      </c>
      <c r="C4263" s="89" t="s">
        <v>458</v>
      </c>
      <c r="D4263" s="89"/>
      <c r="E4263" s="236" t="s">
        <v>1752</v>
      </c>
      <c r="F4263" s="236" t="s">
        <v>1753</v>
      </c>
      <c r="G4263" s="236" t="s">
        <v>1756</v>
      </c>
      <c r="H4263" s="238">
        <v>42278</v>
      </c>
      <c r="I4263" s="235">
        <v>42335</v>
      </c>
      <c r="J4263" s="136">
        <v>7847.4</v>
      </c>
      <c r="K4263" s="89"/>
      <c r="L4263" s="89">
        <v>1</v>
      </c>
    </row>
    <row r="4264" spans="1:12" ht="156.75">
      <c r="A4264" s="89" t="s">
        <v>1755</v>
      </c>
      <c r="B4264" s="237">
        <v>112120612130</v>
      </c>
      <c r="C4264" s="89" t="s">
        <v>458</v>
      </c>
      <c r="D4264" s="89"/>
      <c r="E4264" s="236" t="s">
        <v>1752</v>
      </c>
      <c r="F4264" s="236" t="s">
        <v>1753</v>
      </c>
      <c r="G4264" s="236" t="s">
        <v>1757</v>
      </c>
      <c r="H4264" s="238">
        <v>42278</v>
      </c>
      <c r="I4264" s="235">
        <v>42335</v>
      </c>
      <c r="J4264" s="136">
        <v>4648.8999999999996</v>
      </c>
      <c r="K4264" s="89"/>
      <c r="L4264" s="89">
        <v>1</v>
      </c>
    </row>
    <row r="4265" spans="1:12" ht="42.75">
      <c r="A4265" s="89" t="s">
        <v>1758</v>
      </c>
      <c r="B4265" s="237">
        <v>112120612130</v>
      </c>
      <c r="C4265" s="89" t="s">
        <v>456</v>
      </c>
      <c r="D4265" s="89"/>
      <c r="E4265" s="236" t="s">
        <v>1759</v>
      </c>
      <c r="F4265" s="236" t="s">
        <v>1753</v>
      </c>
      <c r="G4265" s="236" t="s">
        <v>1760</v>
      </c>
      <c r="H4265" s="238">
        <v>42278</v>
      </c>
      <c r="I4265" s="235">
        <v>42324</v>
      </c>
      <c r="J4265" s="136">
        <v>15078.41</v>
      </c>
      <c r="K4265" s="89"/>
      <c r="L4265" s="89">
        <v>1</v>
      </c>
    </row>
    <row r="4266" spans="1:12" ht="156.75">
      <c r="A4266" s="89" t="s">
        <v>1761</v>
      </c>
      <c r="B4266" s="237">
        <v>112120612130</v>
      </c>
      <c r="C4266" s="89" t="s">
        <v>719</v>
      </c>
      <c r="D4266" s="89"/>
      <c r="E4266" s="236" t="s">
        <v>1752</v>
      </c>
      <c r="F4266" s="236" t="s">
        <v>1753</v>
      </c>
      <c r="G4266" s="236" t="s">
        <v>1762</v>
      </c>
      <c r="H4266" s="238">
        <v>42278</v>
      </c>
      <c r="I4266" s="235">
        <v>42324</v>
      </c>
      <c r="J4266" s="136">
        <v>5687.85</v>
      </c>
      <c r="K4266" s="89"/>
      <c r="L4266" s="89">
        <v>1</v>
      </c>
    </row>
    <row r="4267" spans="1:12" ht="156.75">
      <c r="A4267" s="89" t="s">
        <v>1763</v>
      </c>
      <c r="B4267" s="237">
        <v>112120612130</v>
      </c>
      <c r="C4267" s="89" t="s">
        <v>460</v>
      </c>
      <c r="D4267" s="89"/>
      <c r="E4267" s="236" t="s">
        <v>1752</v>
      </c>
      <c r="F4267" s="236" t="s">
        <v>1753</v>
      </c>
      <c r="G4267" s="236" t="s">
        <v>1764</v>
      </c>
      <c r="H4267" s="238">
        <v>42278</v>
      </c>
      <c r="I4267" s="235">
        <v>42335</v>
      </c>
      <c r="J4267" s="136">
        <v>13744.84</v>
      </c>
      <c r="K4267" s="89"/>
      <c r="L4267" s="89">
        <v>1</v>
      </c>
    </row>
    <row r="4268" spans="1:12" ht="156.75">
      <c r="A4268" s="89" t="s">
        <v>1765</v>
      </c>
      <c r="B4268" s="237">
        <v>112120612130</v>
      </c>
      <c r="C4268" s="89" t="s">
        <v>461</v>
      </c>
      <c r="D4268" s="89"/>
      <c r="E4268" s="236" t="s">
        <v>1752</v>
      </c>
      <c r="F4268" s="236" t="s">
        <v>1753</v>
      </c>
      <c r="G4268" s="236" t="s">
        <v>1766</v>
      </c>
      <c r="H4268" s="238">
        <v>42278</v>
      </c>
      <c r="I4268" s="235">
        <v>42314</v>
      </c>
      <c r="J4268" s="136">
        <v>9321.76</v>
      </c>
      <c r="K4268" s="89"/>
      <c r="L4268" s="89">
        <v>1</v>
      </c>
    </row>
    <row r="4269" spans="1:12" ht="156.75">
      <c r="A4269" s="89" t="s">
        <v>1767</v>
      </c>
      <c r="B4269" s="237">
        <v>112120612130</v>
      </c>
      <c r="C4269" s="89" t="s">
        <v>463</v>
      </c>
      <c r="D4269" s="89"/>
      <c r="E4269" s="236" t="s">
        <v>1768</v>
      </c>
      <c r="F4269" s="236" t="s">
        <v>1753</v>
      </c>
      <c r="G4269" s="236" t="s">
        <v>1769</v>
      </c>
      <c r="H4269" s="238">
        <v>42278</v>
      </c>
      <c r="I4269" s="235">
        <v>42331</v>
      </c>
      <c r="J4269" s="136">
        <v>6356.22</v>
      </c>
      <c r="K4269" s="89"/>
      <c r="L4269" s="89">
        <v>1</v>
      </c>
    </row>
    <row r="4270" spans="1:12" ht="156.75">
      <c r="A4270" s="89" t="s">
        <v>1770</v>
      </c>
      <c r="B4270" s="237">
        <v>112120612130</v>
      </c>
      <c r="C4270" s="89" t="s">
        <v>466</v>
      </c>
      <c r="D4270" s="89"/>
      <c r="E4270" s="236" t="s">
        <v>1244</v>
      </c>
      <c r="F4270" s="236" t="s">
        <v>1753</v>
      </c>
      <c r="G4270" s="236" t="s">
        <v>1771</v>
      </c>
      <c r="H4270" s="238">
        <v>42278</v>
      </c>
      <c r="I4270" s="235">
        <v>42318</v>
      </c>
      <c r="J4270" s="136">
        <v>689.73</v>
      </c>
      <c r="K4270" s="89"/>
      <c r="L4270" s="89">
        <v>1</v>
      </c>
    </row>
    <row r="4271" spans="1:12" ht="156.75">
      <c r="A4271" s="89" t="s">
        <v>1770</v>
      </c>
      <c r="B4271" s="237">
        <v>112120612130</v>
      </c>
      <c r="C4271" s="89" t="s">
        <v>466</v>
      </c>
      <c r="D4271" s="89"/>
      <c r="E4271" s="236" t="s">
        <v>1244</v>
      </c>
      <c r="F4271" s="236" t="s">
        <v>1753</v>
      </c>
      <c r="G4271" s="236" t="s">
        <v>1265</v>
      </c>
      <c r="H4271" s="238">
        <v>42278</v>
      </c>
      <c r="I4271" s="235">
        <v>42318</v>
      </c>
      <c r="J4271" s="136">
        <v>2292.4</v>
      </c>
      <c r="K4271" s="89"/>
      <c r="L4271" s="89">
        <v>1</v>
      </c>
    </row>
    <row r="4272" spans="1:12" ht="156.75">
      <c r="A4272" s="89" t="s">
        <v>1772</v>
      </c>
      <c r="B4272" s="237">
        <v>112120612130</v>
      </c>
      <c r="C4272" s="89" t="s">
        <v>551</v>
      </c>
      <c r="D4272" s="89"/>
      <c r="E4272" s="236" t="s">
        <v>1773</v>
      </c>
      <c r="F4272" s="236" t="s">
        <v>1753</v>
      </c>
      <c r="G4272" s="236" t="s">
        <v>1774</v>
      </c>
      <c r="H4272" s="238">
        <v>42278</v>
      </c>
      <c r="I4272" s="235">
        <v>42318</v>
      </c>
      <c r="J4272" s="136">
        <v>1065.58</v>
      </c>
      <c r="K4272" s="89"/>
      <c r="L4272" s="89">
        <v>1</v>
      </c>
    </row>
    <row r="4273" spans="1:12" ht="156.75">
      <c r="A4273" s="89" t="s">
        <v>1775</v>
      </c>
      <c r="B4273" s="237">
        <v>112120612130</v>
      </c>
      <c r="C4273" s="89" t="s">
        <v>604</v>
      </c>
      <c r="D4273" s="89"/>
      <c r="E4273" s="236" t="s">
        <v>1752</v>
      </c>
      <c r="F4273" s="236" t="s">
        <v>1753</v>
      </c>
      <c r="G4273" s="236" t="s">
        <v>1776</v>
      </c>
      <c r="H4273" s="238">
        <v>42278</v>
      </c>
      <c r="I4273" s="235">
        <v>42338</v>
      </c>
      <c r="J4273" s="136">
        <v>336.32</v>
      </c>
      <c r="K4273" s="89"/>
      <c r="L4273" s="89">
        <v>1</v>
      </c>
    </row>
    <row r="4274" spans="1:12" ht="156.75">
      <c r="A4274" s="89" t="s">
        <v>1777</v>
      </c>
      <c r="B4274" s="237">
        <v>112120612130</v>
      </c>
      <c r="C4274" s="89" t="s">
        <v>645</v>
      </c>
      <c r="D4274" s="89"/>
      <c r="E4274" s="236" t="s">
        <v>1752</v>
      </c>
      <c r="F4274" s="236" t="s">
        <v>1753</v>
      </c>
      <c r="G4274" s="236" t="s">
        <v>1778</v>
      </c>
      <c r="H4274" s="238">
        <v>42278</v>
      </c>
      <c r="I4274" s="235">
        <v>42311</v>
      </c>
      <c r="J4274" s="136">
        <v>379.58</v>
      </c>
      <c r="K4274" s="89"/>
      <c r="L4274" s="89">
        <v>1</v>
      </c>
    </row>
    <row r="4275" spans="1:12" ht="185.25">
      <c r="A4275" s="89" t="s">
        <v>1779</v>
      </c>
      <c r="B4275" s="237">
        <v>112120612130</v>
      </c>
      <c r="C4275" s="89" t="s">
        <v>659</v>
      </c>
      <c r="D4275" s="89"/>
      <c r="E4275" s="236" t="s">
        <v>1780</v>
      </c>
      <c r="F4275" s="236" t="s">
        <v>1753</v>
      </c>
      <c r="G4275" s="236" t="s">
        <v>1781</v>
      </c>
      <c r="H4275" s="238">
        <v>42278</v>
      </c>
      <c r="I4275" s="235">
        <v>42317</v>
      </c>
      <c r="J4275" s="136">
        <v>1433.26</v>
      </c>
      <c r="K4275" s="89"/>
      <c r="L4275" s="89">
        <v>1</v>
      </c>
    </row>
    <row r="4276" spans="1:12" ht="71.25">
      <c r="A4276" s="89" t="s">
        <v>1782</v>
      </c>
      <c r="B4276" s="237"/>
      <c r="C4276" s="89" t="s">
        <v>544</v>
      </c>
      <c r="D4276" s="89"/>
      <c r="E4276" s="236" t="s">
        <v>438</v>
      </c>
      <c r="F4276" s="236" t="s">
        <v>1753</v>
      </c>
      <c r="G4276" s="236" t="s">
        <v>1783</v>
      </c>
      <c r="H4276" s="238">
        <v>42309</v>
      </c>
      <c r="I4276" s="235">
        <v>42325</v>
      </c>
      <c r="J4276" s="136">
        <v>789.54</v>
      </c>
      <c r="K4276" s="89"/>
      <c r="L4276" s="89">
        <v>1</v>
      </c>
    </row>
    <row r="4277" spans="1:12" ht="156.75">
      <c r="A4277" s="89" t="s">
        <v>1784</v>
      </c>
      <c r="B4277" s="237">
        <v>112120612130</v>
      </c>
      <c r="C4277" s="89" t="s">
        <v>556</v>
      </c>
      <c r="D4277" s="89"/>
      <c r="E4277" s="236" t="s">
        <v>1752</v>
      </c>
      <c r="F4277" s="236" t="s">
        <v>1753</v>
      </c>
      <c r="G4277" s="236" t="s">
        <v>1785</v>
      </c>
      <c r="H4277" s="238">
        <v>42278</v>
      </c>
      <c r="I4277" s="235">
        <v>42331</v>
      </c>
      <c r="J4277" s="136">
        <v>249.23</v>
      </c>
      <c r="K4277" s="89"/>
      <c r="L4277" s="89">
        <v>1</v>
      </c>
    </row>
    <row r="4278" spans="1:12" ht="156.75">
      <c r="A4278" s="89" t="s">
        <v>1786</v>
      </c>
      <c r="B4278" s="237">
        <v>112120612130</v>
      </c>
      <c r="C4278" s="89" t="s">
        <v>559</v>
      </c>
      <c r="D4278" s="89"/>
      <c r="E4278" s="236" t="s">
        <v>1752</v>
      </c>
      <c r="F4278" s="236" t="s">
        <v>1753</v>
      </c>
      <c r="G4278" s="236" t="s">
        <v>1787</v>
      </c>
      <c r="H4278" s="238">
        <v>42278</v>
      </c>
      <c r="I4278" s="235">
        <v>42317</v>
      </c>
      <c r="J4278" s="136">
        <v>338.53</v>
      </c>
      <c r="K4278" s="89"/>
      <c r="L4278" s="89">
        <v>1</v>
      </c>
    </row>
    <row r="4279" spans="1:12" ht="156.75">
      <c r="A4279" s="89" t="s">
        <v>1788</v>
      </c>
      <c r="B4279" s="237">
        <v>112120612130</v>
      </c>
      <c r="C4279" s="89" t="s">
        <v>573</v>
      </c>
      <c r="D4279" s="89"/>
      <c r="E4279" s="236" t="s">
        <v>1752</v>
      </c>
      <c r="F4279" s="236" t="s">
        <v>1753</v>
      </c>
      <c r="G4279" s="236" t="s">
        <v>1789</v>
      </c>
      <c r="H4279" s="238">
        <v>42278</v>
      </c>
      <c r="I4279" s="235">
        <v>42312</v>
      </c>
      <c r="J4279" s="136">
        <v>390.85</v>
      </c>
      <c r="K4279" s="89"/>
      <c r="L4279" s="89">
        <v>1</v>
      </c>
    </row>
    <row r="4280" spans="1:12" ht="156.75">
      <c r="A4280" s="89" t="s">
        <v>1790</v>
      </c>
      <c r="B4280" s="237">
        <v>112120612130</v>
      </c>
      <c r="C4280" s="89" t="s">
        <v>610</v>
      </c>
      <c r="D4280" s="89"/>
      <c r="E4280" s="236" t="s">
        <v>1752</v>
      </c>
      <c r="F4280" s="236" t="s">
        <v>1753</v>
      </c>
      <c r="G4280" s="236" t="s">
        <v>1791</v>
      </c>
      <c r="H4280" s="238">
        <v>42278</v>
      </c>
      <c r="I4280" s="235">
        <v>42320</v>
      </c>
      <c r="J4280" s="136">
        <v>390.85</v>
      </c>
      <c r="K4280" s="89"/>
      <c r="L4280" s="89">
        <v>1</v>
      </c>
    </row>
    <row r="4281" spans="1:12" ht="156.75">
      <c r="A4281" s="89" t="s">
        <v>1792</v>
      </c>
      <c r="B4281" s="237">
        <v>112120612130</v>
      </c>
      <c r="C4281" s="89" t="s">
        <v>615</v>
      </c>
      <c r="D4281" s="89"/>
      <c r="E4281" s="236" t="s">
        <v>1752</v>
      </c>
      <c r="F4281" s="236" t="s">
        <v>1753</v>
      </c>
      <c r="G4281" s="236" t="s">
        <v>1793</v>
      </c>
      <c r="H4281" s="238">
        <v>42278</v>
      </c>
      <c r="I4281" s="235">
        <v>42313</v>
      </c>
      <c r="J4281" s="136">
        <v>193.51</v>
      </c>
      <c r="K4281" s="89"/>
      <c r="L4281" s="89">
        <v>1</v>
      </c>
    </row>
    <row r="4282" spans="1:12" ht="71.25">
      <c r="A4282" s="89" t="s">
        <v>1794</v>
      </c>
      <c r="B4282" s="237"/>
      <c r="C4282" s="89" t="s">
        <v>446</v>
      </c>
      <c r="D4282" s="89"/>
      <c r="E4282" s="236" t="s">
        <v>438</v>
      </c>
      <c r="F4282" s="236" t="s">
        <v>1753</v>
      </c>
      <c r="G4282" s="236" t="s">
        <v>1795</v>
      </c>
      <c r="H4282" s="238">
        <v>42309</v>
      </c>
      <c r="I4282" s="235">
        <v>42338</v>
      </c>
      <c r="J4282" s="136">
        <v>120.49</v>
      </c>
      <c r="K4282" s="89"/>
      <c r="L4282" s="89">
        <v>1</v>
      </c>
    </row>
    <row r="4283" spans="1:12" ht="156.75">
      <c r="A4283" s="89" t="s">
        <v>1796</v>
      </c>
      <c r="B4283" s="237">
        <v>112120612130</v>
      </c>
      <c r="C4283" s="89" t="s">
        <v>622</v>
      </c>
      <c r="D4283" s="89"/>
      <c r="E4283" s="236" t="s">
        <v>1752</v>
      </c>
      <c r="F4283" s="236" t="s">
        <v>1753</v>
      </c>
      <c r="G4283" s="236" t="s">
        <v>1797</v>
      </c>
      <c r="H4283" s="238">
        <v>42278</v>
      </c>
      <c r="I4283" s="235">
        <v>42326</v>
      </c>
      <c r="J4283" s="136">
        <v>339.94</v>
      </c>
      <c r="K4283" s="89"/>
      <c r="L4283" s="89">
        <v>1</v>
      </c>
    </row>
    <row r="4284" spans="1:12" ht="71.25">
      <c r="A4284" s="89" t="s">
        <v>1798</v>
      </c>
      <c r="B4284" s="237"/>
      <c r="C4284" s="89" t="s">
        <v>627</v>
      </c>
      <c r="D4284" s="89"/>
      <c r="E4284" s="236" t="s">
        <v>438</v>
      </c>
      <c r="F4284" s="236" t="s">
        <v>1753</v>
      </c>
      <c r="G4284" s="236" t="s">
        <v>1799</v>
      </c>
      <c r="H4284" s="238">
        <v>42278</v>
      </c>
      <c r="I4284" s="235">
        <v>42312</v>
      </c>
      <c r="J4284" s="136">
        <v>396.98</v>
      </c>
      <c r="K4284" s="89"/>
      <c r="L4284" s="89">
        <v>1</v>
      </c>
    </row>
    <row r="4285" spans="1:12" ht="128.25">
      <c r="A4285" s="89" t="s">
        <v>1800</v>
      </c>
      <c r="B4285" s="237">
        <v>112120612130</v>
      </c>
      <c r="C4285" s="89" t="s">
        <v>675</v>
      </c>
      <c r="D4285" s="89"/>
      <c r="E4285" s="236" t="s">
        <v>1801</v>
      </c>
      <c r="F4285" s="236" t="s">
        <v>1753</v>
      </c>
      <c r="G4285" s="236" t="s">
        <v>1802</v>
      </c>
      <c r="H4285" s="238">
        <v>42278</v>
      </c>
      <c r="I4285" s="235">
        <v>42331</v>
      </c>
      <c r="J4285" s="136">
        <v>188.2</v>
      </c>
      <c r="K4285" s="89"/>
      <c r="L4285" s="89">
        <v>1</v>
      </c>
    </row>
    <row r="4286" spans="1:12" ht="57">
      <c r="A4286" s="89" t="s">
        <v>1803</v>
      </c>
      <c r="B4286" s="237">
        <v>114010000000</v>
      </c>
      <c r="C4286" s="89" t="s">
        <v>449</v>
      </c>
      <c r="D4286" s="89"/>
      <c r="E4286" s="236" t="s">
        <v>869</v>
      </c>
      <c r="F4286" s="236" t="s">
        <v>1804</v>
      </c>
      <c r="G4286" s="236" t="s">
        <v>870</v>
      </c>
      <c r="H4286" s="238">
        <v>42248</v>
      </c>
      <c r="I4286" s="235">
        <v>42338</v>
      </c>
      <c r="J4286" s="136">
        <v>5268.58</v>
      </c>
      <c r="K4286" s="89"/>
      <c r="L4286" s="89">
        <v>1</v>
      </c>
    </row>
    <row r="4287" spans="1:12" ht="185.25">
      <c r="A4287" s="89" t="s">
        <v>1805</v>
      </c>
      <c r="B4287" s="237">
        <v>112120801020</v>
      </c>
      <c r="C4287" s="89" t="s">
        <v>449</v>
      </c>
      <c r="D4287" s="89"/>
      <c r="E4287" s="236" t="s">
        <v>652</v>
      </c>
      <c r="F4287" s="236" t="s">
        <v>1806</v>
      </c>
      <c r="G4287" s="236" t="s">
        <v>1807</v>
      </c>
      <c r="H4287" s="238">
        <v>42248</v>
      </c>
      <c r="I4287" s="235">
        <v>42318</v>
      </c>
      <c r="J4287" s="136">
        <v>0.28000000000000003</v>
      </c>
      <c r="K4287" s="89"/>
      <c r="L4287" s="89">
        <v>1</v>
      </c>
    </row>
    <row r="4288" spans="1:12" ht="185.25">
      <c r="A4288" s="89" t="s">
        <v>1805</v>
      </c>
      <c r="B4288" s="237">
        <v>112120801020</v>
      </c>
      <c r="C4288" s="89" t="s">
        <v>449</v>
      </c>
      <c r="D4288" s="89"/>
      <c r="E4288" s="236" t="s">
        <v>652</v>
      </c>
      <c r="F4288" s="236" t="s">
        <v>1806</v>
      </c>
      <c r="G4288" s="236" t="s">
        <v>1808</v>
      </c>
      <c r="H4288" s="238">
        <v>42248</v>
      </c>
      <c r="I4288" s="235">
        <v>42318</v>
      </c>
      <c r="J4288" s="136">
        <v>0.28000000000000003</v>
      </c>
      <c r="K4288" s="89"/>
      <c r="L4288" s="89">
        <v>1</v>
      </c>
    </row>
    <row r="4289" spans="1:12" ht="185.25">
      <c r="A4289" s="89" t="s">
        <v>1805</v>
      </c>
      <c r="B4289" s="237">
        <v>112120801020</v>
      </c>
      <c r="C4289" s="89" t="s">
        <v>449</v>
      </c>
      <c r="D4289" s="89"/>
      <c r="E4289" s="236" t="s">
        <v>652</v>
      </c>
      <c r="F4289" s="236" t="s">
        <v>1806</v>
      </c>
      <c r="G4289" s="236" t="s">
        <v>1809</v>
      </c>
      <c r="H4289" s="238">
        <v>42248</v>
      </c>
      <c r="I4289" s="235">
        <v>42318</v>
      </c>
      <c r="J4289" s="136">
        <v>0.28999999999999998</v>
      </c>
      <c r="K4289" s="89"/>
      <c r="L4289" s="89">
        <v>1</v>
      </c>
    </row>
    <row r="4290" spans="1:12" ht="185.25">
      <c r="A4290" s="89" t="s">
        <v>1805</v>
      </c>
      <c r="B4290" s="237">
        <v>112120801020</v>
      </c>
      <c r="C4290" s="89" t="s">
        <v>449</v>
      </c>
      <c r="D4290" s="89"/>
      <c r="E4290" s="236" t="s">
        <v>652</v>
      </c>
      <c r="F4290" s="236" t="s">
        <v>1806</v>
      </c>
      <c r="G4290" s="236" t="s">
        <v>1810</v>
      </c>
      <c r="H4290" s="238">
        <v>42217</v>
      </c>
      <c r="I4290" s="235">
        <v>42318</v>
      </c>
      <c r="J4290" s="136">
        <v>0.28999999999999998</v>
      </c>
      <c r="K4290" s="89"/>
      <c r="L4290" s="89">
        <v>1</v>
      </c>
    </row>
    <row r="4291" spans="1:12" ht="99.75">
      <c r="A4291" s="89" t="s">
        <v>1805</v>
      </c>
      <c r="B4291" s="237">
        <v>112120801020</v>
      </c>
      <c r="C4291" s="89" t="s">
        <v>449</v>
      </c>
      <c r="D4291" s="89"/>
      <c r="E4291" s="236" t="s">
        <v>624</v>
      </c>
      <c r="F4291" s="236" t="s">
        <v>1806</v>
      </c>
      <c r="G4291" s="236" t="s">
        <v>1811</v>
      </c>
      <c r="H4291" s="238">
        <v>42248</v>
      </c>
      <c r="I4291" s="235">
        <v>42324</v>
      </c>
      <c r="J4291" s="136">
        <v>0.5</v>
      </c>
      <c r="K4291" s="89"/>
      <c r="L4291" s="89">
        <v>1</v>
      </c>
    </row>
    <row r="4292" spans="1:12" ht="128.25">
      <c r="A4292" s="89" t="s">
        <v>1805</v>
      </c>
      <c r="B4292" s="237">
        <v>112120801020</v>
      </c>
      <c r="C4292" s="89" t="s">
        <v>449</v>
      </c>
      <c r="D4292" s="89"/>
      <c r="E4292" s="236" t="s">
        <v>546</v>
      </c>
      <c r="F4292" s="236" t="s">
        <v>1806</v>
      </c>
      <c r="G4292" s="236" t="s">
        <v>1812</v>
      </c>
      <c r="H4292" s="238">
        <v>42248</v>
      </c>
      <c r="I4292" s="235">
        <v>42333</v>
      </c>
      <c r="J4292" s="136">
        <v>1.61</v>
      </c>
      <c r="K4292" s="89"/>
      <c r="L4292" s="89">
        <v>1</v>
      </c>
    </row>
    <row r="4293" spans="1:12" ht="185.25">
      <c r="A4293" s="89" t="s">
        <v>1805</v>
      </c>
      <c r="B4293" s="237">
        <v>211010200000</v>
      </c>
      <c r="C4293" s="89" t="s">
        <v>449</v>
      </c>
      <c r="D4293" s="89"/>
      <c r="E4293" s="236" t="s">
        <v>652</v>
      </c>
      <c r="F4293" s="236" t="s">
        <v>426</v>
      </c>
      <c r="G4293" s="236" t="s">
        <v>1807</v>
      </c>
      <c r="H4293" s="238">
        <v>42248</v>
      </c>
      <c r="I4293" s="235">
        <v>42318</v>
      </c>
      <c r="J4293" s="136">
        <v>0.28000000000000003</v>
      </c>
      <c r="K4293" s="89"/>
      <c r="L4293" s="89">
        <v>1</v>
      </c>
    </row>
    <row r="4294" spans="1:12" ht="185.25">
      <c r="A4294" s="89" t="s">
        <v>1805</v>
      </c>
      <c r="B4294" s="237">
        <v>211010200000</v>
      </c>
      <c r="C4294" s="89" t="s">
        <v>449</v>
      </c>
      <c r="D4294" s="89"/>
      <c r="E4294" s="236" t="s">
        <v>652</v>
      </c>
      <c r="F4294" s="236" t="s">
        <v>426</v>
      </c>
      <c r="G4294" s="236" t="s">
        <v>1808</v>
      </c>
      <c r="H4294" s="238">
        <v>42248</v>
      </c>
      <c r="I4294" s="235">
        <v>42318</v>
      </c>
      <c r="J4294" s="136">
        <v>0.28000000000000003</v>
      </c>
      <c r="K4294" s="89"/>
      <c r="L4294" s="89">
        <v>1</v>
      </c>
    </row>
    <row r="4295" spans="1:12" ht="185.25">
      <c r="A4295" s="89" t="s">
        <v>1805</v>
      </c>
      <c r="B4295" s="237">
        <v>211010200000</v>
      </c>
      <c r="C4295" s="89" t="s">
        <v>449</v>
      </c>
      <c r="D4295" s="89"/>
      <c r="E4295" s="236" t="s">
        <v>652</v>
      </c>
      <c r="F4295" s="236" t="s">
        <v>426</v>
      </c>
      <c r="G4295" s="236" t="s">
        <v>1809</v>
      </c>
      <c r="H4295" s="238">
        <v>42248</v>
      </c>
      <c r="I4295" s="235">
        <v>42318</v>
      </c>
      <c r="J4295" s="136">
        <v>0.28999999999999998</v>
      </c>
      <c r="K4295" s="89"/>
      <c r="L4295" s="89">
        <v>1</v>
      </c>
    </row>
    <row r="4296" spans="1:12" ht="185.25">
      <c r="A4296" s="89" t="s">
        <v>1805</v>
      </c>
      <c r="B4296" s="237">
        <v>211010200000</v>
      </c>
      <c r="C4296" s="89" t="s">
        <v>449</v>
      </c>
      <c r="D4296" s="89"/>
      <c r="E4296" s="236" t="s">
        <v>652</v>
      </c>
      <c r="F4296" s="236" t="s">
        <v>426</v>
      </c>
      <c r="G4296" s="236" t="s">
        <v>1810</v>
      </c>
      <c r="H4296" s="238">
        <v>42217</v>
      </c>
      <c r="I4296" s="235">
        <v>42318</v>
      </c>
      <c r="J4296" s="136">
        <v>0.28999999999999998</v>
      </c>
      <c r="K4296" s="89"/>
      <c r="L4296" s="89">
        <v>1</v>
      </c>
    </row>
    <row r="4297" spans="1:12" ht="99.75">
      <c r="A4297" s="89" t="s">
        <v>1805</v>
      </c>
      <c r="B4297" s="237">
        <v>211010200000</v>
      </c>
      <c r="C4297" s="89" t="s">
        <v>449</v>
      </c>
      <c r="D4297" s="89"/>
      <c r="E4297" s="236" t="s">
        <v>624</v>
      </c>
      <c r="F4297" s="236" t="s">
        <v>426</v>
      </c>
      <c r="G4297" s="236" t="s">
        <v>1811</v>
      </c>
      <c r="H4297" s="238">
        <v>42248</v>
      </c>
      <c r="I4297" s="235">
        <v>42324</v>
      </c>
      <c r="J4297" s="136">
        <v>0.5</v>
      </c>
      <c r="K4297" s="89"/>
      <c r="L4297" s="89">
        <v>1</v>
      </c>
    </row>
    <row r="4298" spans="1:12" ht="128.25">
      <c r="A4298" s="89" t="s">
        <v>1805</v>
      </c>
      <c r="B4298" s="237">
        <v>211010200000</v>
      </c>
      <c r="C4298" s="89" t="s">
        <v>449</v>
      </c>
      <c r="D4298" s="89"/>
      <c r="E4298" s="236" t="s">
        <v>546</v>
      </c>
      <c r="F4298" s="236" t="s">
        <v>426</v>
      </c>
      <c r="G4298" s="236" t="s">
        <v>1812</v>
      </c>
      <c r="H4298" s="238">
        <v>42248</v>
      </c>
      <c r="I4298" s="235">
        <v>42333</v>
      </c>
      <c r="J4298" s="136">
        <v>1.61</v>
      </c>
      <c r="K4298" s="89"/>
      <c r="L4298" s="89">
        <v>1</v>
      </c>
    </row>
    <row r="4299" spans="1:12" ht="85.5">
      <c r="A4299" s="89" t="s">
        <v>1813</v>
      </c>
      <c r="B4299" s="237">
        <v>114040000000</v>
      </c>
      <c r="C4299" s="89" t="s">
        <v>719</v>
      </c>
      <c r="D4299" s="89"/>
      <c r="E4299" s="236" t="s">
        <v>1814</v>
      </c>
      <c r="F4299" s="236" t="s">
        <v>395</v>
      </c>
      <c r="G4299" s="236" t="s">
        <v>1815</v>
      </c>
      <c r="H4299" s="238">
        <v>42309</v>
      </c>
      <c r="I4299" s="235">
        <v>42331</v>
      </c>
      <c r="J4299" s="136">
        <v>630</v>
      </c>
      <c r="K4299" s="89"/>
      <c r="L4299" s="89">
        <v>1</v>
      </c>
    </row>
    <row r="4300" spans="1:12" ht="128.25">
      <c r="A4300" s="89" t="s">
        <v>1816</v>
      </c>
      <c r="B4300" s="237">
        <v>132050100000</v>
      </c>
      <c r="C4300" s="89" t="s">
        <v>454</v>
      </c>
      <c r="D4300" s="89"/>
      <c r="E4300" s="236" t="s">
        <v>1817</v>
      </c>
      <c r="F4300" s="236" t="s">
        <v>439</v>
      </c>
      <c r="G4300" s="236" t="s">
        <v>1818</v>
      </c>
      <c r="H4300" s="238">
        <v>42278</v>
      </c>
      <c r="I4300" s="235">
        <v>42334</v>
      </c>
      <c r="J4300" s="136">
        <v>566.71</v>
      </c>
      <c r="K4300" s="89"/>
      <c r="L4300" s="89">
        <v>1</v>
      </c>
    </row>
    <row r="4301" spans="1:12" ht="114">
      <c r="A4301" s="89" t="s">
        <v>1819</v>
      </c>
      <c r="B4301" s="237">
        <v>132050100000</v>
      </c>
      <c r="C4301" s="89" t="s">
        <v>463</v>
      </c>
      <c r="D4301" s="89"/>
      <c r="E4301" s="236" t="s">
        <v>430</v>
      </c>
      <c r="F4301" s="236" t="s">
        <v>439</v>
      </c>
      <c r="G4301" s="236" t="s">
        <v>1820</v>
      </c>
      <c r="H4301" s="238">
        <v>42278</v>
      </c>
      <c r="I4301" s="235">
        <v>42324</v>
      </c>
      <c r="J4301" s="136">
        <v>495</v>
      </c>
      <c r="K4301" s="89"/>
      <c r="L4301" s="89">
        <v>1</v>
      </c>
    </row>
    <row r="4302" spans="1:12">
      <c r="J4302" s="337">
        <v>29586645.900000028</v>
      </c>
    </row>
    <row r="4303" spans="1:12" s="287" customFormat="1" ht="14.25">
      <c r="A4303" s="280"/>
      <c r="B4303" s="281"/>
      <c r="C4303" s="280"/>
      <c r="D4303" s="282"/>
      <c r="E4303" s="282"/>
      <c r="F4303" s="282"/>
      <c r="G4303" s="283"/>
      <c r="H4303" s="290"/>
      <c r="I4303" s="291"/>
      <c r="J4303" s="279"/>
      <c r="K4303" s="288"/>
    </row>
    <row r="4304" spans="1:12" s="288" customFormat="1" ht="15">
      <c r="J4304" s="335"/>
    </row>
  </sheetData>
  <mergeCells count="2">
    <mergeCell ref="A1:B1"/>
    <mergeCell ref="A33:B33"/>
  </mergeCells>
  <printOptions horizontalCentered="1"/>
  <pageMargins left="0.78740157480314965" right="0.78740157480314965" top="0.59055118110236227" bottom="0.78740157480314965" header="0.51181102362204722" footer="0.59055118110236227"/>
  <pageSetup paperSize="9" scale="44" firstPageNumber="143" fitToHeight="3" orientation="landscape" useFirstPageNumber="1" r:id="rId1"/>
  <headerFooter alignWithMargins="0">
    <oddFooter>&amp;C&amp;12página &amp;P</oddFooter>
  </headerFooter>
  <rowBreaks count="4" manualBreakCount="4">
    <brk id="70" max="7" man="1"/>
    <brk id="152" max="7" man="1"/>
    <brk id="232" max="7" man="1"/>
    <brk id="389" max="7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5"/>
  <sheetViews>
    <sheetView showGridLines="0" view="pageBreakPreview" topLeftCell="A121" zoomScale="80" zoomScaleNormal="80" zoomScaleSheetLayoutView="80" workbookViewId="0">
      <selection activeCell="F13" sqref="F13"/>
    </sheetView>
  </sheetViews>
  <sheetFormatPr defaultRowHeight="12.75"/>
  <cols>
    <col min="1" max="1" width="89.42578125" customWidth="1"/>
    <col min="2" max="2" width="38.5703125" customWidth="1"/>
    <col min="3" max="3" width="16.85546875" customWidth="1"/>
    <col min="4" max="8" width="13.5703125" customWidth="1"/>
    <col min="9" max="9" width="10.85546875" customWidth="1"/>
  </cols>
  <sheetData>
    <row r="1" spans="1:2" ht="33.75">
      <c r="A1" s="92" t="s">
        <v>2091</v>
      </c>
      <c r="B1" s="92"/>
    </row>
    <row r="2" spans="1:2" ht="29.25" customHeight="1">
      <c r="B2" s="74" t="str">
        <f>Resumo!E3</f>
        <v>Abril-16</v>
      </c>
    </row>
    <row r="3" spans="1:2" ht="30">
      <c r="A3" s="364"/>
      <c r="B3" s="364"/>
    </row>
    <row r="5" spans="1:2" ht="23.25" customHeight="1"/>
  </sheetData>
  <printOptions horizontalCentered="1"/>
  <pageMargins left="0.78740157480314965" right="0.78740157480314965" top="0.59055118110236227" bottom="0.78740157480314965" header="0.51181102362204722" footer="0.51181102362204722"/>
  <pageSetup paperSize="9" scale="48" firstPageNumber="149" fitToHeight="2" orientation="landscape" useFirstPageNumber="1" r:id="rId1"/>
  <headerFooter alignWithMargins="0">
    <oddFooter>&amp;C&amp;12página &amp;P</oddFooter>
  </headerFooter>
  <rowBreaks count="1" manualBreakCount="1">
    <brk id="73" max="7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2"/>
  <sheetViews>
    <sheetView showGridLines="0" view="pageBreakPreview" topLeftCell="A112" zoomScale="80" zoomScaleNormal="70" zoomScaleSheetLayoutView="80" workbookViewId="0">
      <selection activeCell="F13" sqref="F13"/>
    </sheetView>
  </sheetViews>
  <sheetFormatPr defaultRowHeight="12.75"/>
  <cols>
    <col min="1" max="1" width="86.140625" customWidth="1"/>
    <col min="2" max="2" width="42" customWidth="1"/>
    <col min="3" max="8" width="13" customWidth="1"/>
    <col min="11" max="11" width="21.85546875" customWidth="1"/>
  </cols>
  <sheetData>
    <row r="1" spans="1:11" ht="33.75">
      <c r="A1" s="92" t="s">
        <v>2093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2" spans="1:11" ht="30">
      <c r="A2" s="74"/>
      <c r="B2" s="485" t="str">
        <f>Resumo!E3</f>
        <v>Abril-16</v>
      </c>
      <c r="C2" s="485"/>
      <c r="D2" s="74"/>
      <c r="E2" s="74"/>
      <c r="F2" s="74"/>
      <c r="G2" s="74"/>
      <c r="H2" s="74"/>
      <c r="I2" s="74"/>
      <c r="J2" s="74"/>
      <c r="K2" s="74"/>
    </row>
    <row r="6" spans="1:11" ht="23.25" customHeight="1"/>
    <row r="22" spans="1:3" ht="66" customHeight="1">
      <c r="A22" s="1116"/>
      <c r="B22" s="1116"/>
      <c r="C22" s="1116"/>
    </row>
  </sheetData>
  <mergeCells count="1">
    <mergeCell ref="A22:C22"/>
  </mergeCells>
  <printOptions horizontalCentered="1"/>
  <pageMargins left="0.78740157480314965" right="0.78740157480314965" top="0.59055118110236227" bottom="0.78740157480314965" header="0.51181102362204722" footer="0.59055118110236227"/>
  <pageSetup paperSize="9" scale="46" firstPageNumber="151" fitToHeight="2" orientation="landscape" useFirstPageNumber="1" r:id="rId1"/>
  <headerFooter alignWithMargins="0">
    <oddFooter>&amp;C&amp;12página &amp;P</oddFooter>
  </headerFooter>
  <rowBreaks count="2" manualBreakCount="2">
    <brk id="72" max="7" man="1"/>
    <brk id="151" max="7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9"/>
  <sheetViews>
    <sheetView showGridLines="0" view="pageBreakPreview" zoomScale="80" zoomScaleNormal="80" zoomScaleSheetLayoutView="80" workbookViewId="0">
      <pane ySplit="5" topLeftCell="A41" activePane="bottomLeft" state="frozen"/>
      <selection activeCell="F13" sqref="F13"/>
      <selection pane="bottomLeft" activeCell="F13" sqref="F13"/>
    </sheetView>
  </sheetViews>
  <sheetFormatPr defaultColWidth="9.28515625" defaultRowHeight="12.75"/>
  <cols>
    <col min="1" max="1" width="7" style="2" customWidth="1"/>
    <col min="2" max="2" width="4.28515625" style="154" customWidth="1"/>
    <col min="3" max="3" width="129.140625" style="112" customWidth="1"/>
    <col min="4" max="4" width="26.42578125" style="112" customWidth="1"/>
    <col min="5" max="5" width="27.28515625" style="112" bestFit="1" customWidth="1"/>
    <col min="6" max="6" width="30.28515625" style="112" customWidth="1"/>
    <col min="7" max="7" width="25.7109375" style="2" customWidth="1"/>
    <col min="8" max="8" width="19.7109375" style="2" bestFit="1" customWidth="1"/>
    <col min="9" max="9" width="50.28515625" style="2" customWidth="1"/>
    <col min="10" max="16384" width="9.28515625" style="2"/>
  </cols>
  <sheetData>
    <row r="1" spans="1:12" s="95" customFormat="1" ht="35.25">
      <c r="A1" s="93"/>
      <c r="B1" s="94"/>
      <c r="C1" s="967"/>
      <c r="D1" s="968" t="s">
        <v>137</v>
      </c>
      <c r="E1" s="798"/>
      <c r="F1" s="798"/>
    </row>
    <row r="2" spans="1:12" ht="30">
      <c r="A2" s="12"/>
      <c r="B2" s="96"/>
      <c r="C2" s="969" t="s">
        <v>138</v>
      </c>
      <c r="D2" s="970" t="str">
        <f>Resumo!E3</f>
        <v>Abril-16</v>
      </c>
      <c r="E2" s="334"/>
      <c r="F2" s="971"/>
    </row>
    <row r="3" spans="1:12" ht="15">
      <c r="A3" s="97"/>
      <c r="B3" s="98"/>
      <c r="C3" s="664"/>
      <c r="D3" s="664"/>
      <c r="E3" s="664"/>
      <c r="F3" s="664"/>
    </row>
    <row r="4" spans="1:12" ht="15.75" thickBot="1">
      <c r="A4" s="12"/>
      <c r="B4" s="96"/>
      <c r="C4" s="99"/>
      <c r="D4" s="664"/>
      <c r="E4" s="664"/>
      <c r="F4" s="668" t="s">
        <v>30</v>
      </c>
    </row>
    <row r="5" spans="1:12" ht="35.1" customHeight="1">
      <c r="A5" s="100" t="s">
        <v>139</v>
      </c>
      <c r="B5" s="101" t="s">
        <v>140</v>
      </c>
      <c r="C5" s="952"/>
      <c r="D5" s="654" t="s">
        <v>41</v>
      </c>
      <c r="E5" s="674" t="s">
        <v>42</v>
      </c>
      <c r="F5" s="656" t="s">
        <v>43</v>
      </c>
    </row>
    <row r="6" spans="1:12" ht="23.25" customHeight="1">
      <c r="A6" s="105"/>
      <c r="B6" s="106" t="s">
        <v>44</v>
      </c>
      <c r="C6" s="128" t="s">
        <v>45</v>
      </c>
      <c r="D6" s="107"/>
      <c r="E6" s="108"/>
      <c r="F6" s="48">
        <v>17851.900000000001</v>
      </c>
    </row>
    <row r="7" spans="1:12" s="112" customFormat="1" ht="5.0999999999999996" customHeight="1">
      <c r="A7" s="109"/>
      <c r="B7" s="110"/>
      <c r="C7" s="111"/>
      <c r="D7" s="32"/>
      <c r="E7" s="33"/>
      <c r="F7" s="34"/>
      <c r="H7" s="113"/>
      <c r="I7" s="114"/>
    </row>
    <row r="8" spans="1:12" ht="20.100000000000001" customHeight="1">
      <c r="A8" s="115"/>
      <c r="B8" s="106" t="s">
        <v>46</v>
      </c>
      <c r="C8" s="128" t="s">
        <v>50</v>
      </c>
      <c r="D8" s="116"/>
      <c r="E8" s="46">
        <f>D57</f>
        <v>1580000</v>
      </c>
      <c r="F8" s="30"/>
    </row>
    <row r="9" spans="1:12" s="464" customFormat="1" ht="3.75" customHeight="1">
      <c r="A9" s="109"/>
      <c r="B9" s="110"/>
      <c r="C9" s="111"/>
      <c r="D9" s="32"/>
      <c r="E9" s="33"/>
      <c r="F9" s="34"/>
      <c r="H9" s="525"/>
      <c r="I9" s="526"/>
    </row>
    <row r="10" spans="1:12" s="529" customFormat="1" ht="20.25">
      <c r="A10" s="115"/>
      <c r="B10" s="106" t="s">
        <v>47</v>
      </c>
      <c r="C10" s="128" t="s">
        <v>48</v>
      </c>
      <c r="D10" s="36">
        <v>680000</v>
      </c>
      <c r="E10" s="46"/>
      <c r="F10" s="30"/>
    </row>
    <row r="11" spans="1:12" s="112" customFormat="1" ht="5.0999999999999996" customHeight="1">
      <c r="A11" s="109"/>
      <c r="B11" s="110"/>
      <c r="C11" s="111"/>
      <c r="D11" s="32"/>
      <c r="E11" s="33"/>
      <c r="F11" s="34"/>
      <c r="H11" s="2"/>
      <c r="I11" s="114"/>
    </row>
    <row r="12" spans="1:12" s="464" customFormat="1" ht="20.25" customHeight="1">
      <c r="A12" s="117"/>
      <c r="B12" s="118" t="s">
        <v>49</v>
      </c>
      <c r="C12" s="119" t="s">
        <v>141</v>
      </c>
      <c r="D12" s="120"/>
      <c r="E12" s="46">
        <v>748968.06999999983</v>
      </c>
      <c r="F12" s="48"/>
      <c r="H12" s="529"/>
    </row>
    <row r="13" spans="1:12" s="112" customFormat="1" ht="5.0999999999999996" customHeight="1">
      <c r="A13" s="109"/>
      <c r="B13" s="110"/>
      <c r="C13" s="111"/>
      <c r="D13" s="32"/>
      <c r="E13" s="33"/>
      <c r="F13" s="34"/>
      <c r="H13" s="2"/>
      <c r="I13" s="114"/>
    </row>
    <row r="14" spans="1:12" ht="20.100000000000001" customHeight="1">
      <c r="A14" s="115"/>
      <c r="B14" s="121" t="s">
        <v>51</v>
      </c>
      <c r="C14" s="127" t="s">
        <v>142</v>
      </c>
      <c r="D14" s="36">
        <f>'recebimentos IN'!D136</f>
        <v>1795041.1029999997</v>
      </c>
      <c r="E14" s="46"/>
      <c r="F14" s="30"/>
      <c r="I14" s="346"/>
      <c r="J14" s="346"/>
      <c r="K14" s="346"/>
    </row>
    <row r="15" spans="1:12" s="112" customFormat="1" ht="5.0999999999999996" customHeight="1">
      <c r="A15" s="109"/>
      <c r="B15" s="110"/>
      <c r="C15" s="111"/>
      <c r="D15" s="32"/>
      <c r="E15" s="33"/>
      <c r="F15" s="34"/>
      <c r="H15" s="2"/>
      <c r="I15" s="114"/>
    </row>
    <row r="16" spans="1:12" s="31" customFormat="1" ht="20.25" hidden="1">
      <c r="A16" s="35"/>
      <c r="B16" s="527" t="s">
        <v>54</v>
      </c>
      <c r="C16" s="45" t="s">
        <v>2207</v>
      </c>
      <c r="D16" s="465"/>
      <c r="E16" s="46"/>
      <c r="F16" s="30"/>
      <c r="G16" s="26"/>
      <c r="H16" s="26"/>
      <c r="I16" s="26"/>
      <c r="J16" s="26"/>
      <c r="K16" s="26"/>
      <c r="L16" s="26"/>
    </row>
    <row r="17" spans="1:12" s="31" customFormat="1" ht="20.25" hidden="1">
      <c r="A17" s="35"/>
      <c r="B17" s="527"/>
      <c r="C17" s="528" t="s">
        <v>55</v>
      </c>
      <c r="D17" s="39"/>
      <c r="E17" s="40"/>
      <c r="F17" s="41"/>
      <c r="G17" s="26"/>
      <c r="H17" s="26"/>
      <c r="I17" s="26"/>
      <c r="J17" s="26"/>
      <c r="K17" s="26"/>
      <c r="L17" s="26"/>
    </row>
    <row r="18" spans="1:12" s="31" customFormat="1" ht="32.25" hidden="1" customHeight="1">
      <c r="A18" s="35"/>
      <c r="B18" s="527"/>
      <c r="C18" s="528" t="s">
        <v>144</v>
      </c>
      <c r="D18" s="39"/>
      <c r="E18" s="40"/>
      <c r="F18" s="41"/>
      <c r="G18" s="26"/>
      <c r="H18" s="26"/>
      <c r="I18" s="26"/>
      <c r="J18" s="26"/>
      <c r="K18" s="26"/>
      <c r="L18" s="26"/>
    </row>
    <row r="19" spans="1:12" s="112" customFormat="1" ht="9.75" hidden="1" customHeight="1">
      <c r="A19" s="109"/>
      <c r="B19" s="348"/>
      <c r="C19" s="347"/>
      <c r="D19" s="124"/>
      <c r="E19" s="467"/>
      <c r="F19" s="468"/>
      <c r="H19" s="113"/>
      <c r="I19" s="114"/>
    </row>
    <row r="20" spans="1:12" s="31" customFormat="1" ht="20.25">
      <c r="A20" s="35"/>
      <c r="B20" s="527" t="s">
        <v>53</v>
      </c>
      <c r="C20" s="45" t="s">
        <v>7790</v>
      </c>
      <c r="D20" s="465"/>
      <c r="E20" s="46"/>
      <c r="F20" s="30"/>
      <c r="G20" s="26"/>
      <c r="H20" s="26"/>
      <c r="I20" s="26"/>
      <c r="J20" s="26"/>
      <c r="K20" s="26"/>
      <c r="L20" s="26"/>
    </row>
    <row r="21" spans="1:12" s="31" customFormat="1" ht="20.25" hidden="1">
      <c r="A21" s="35"/>
      <c r="B21" s="527"/>
      <c r="C21" s="528" t="s">
        <v>55</v>
      </c>
      <c r="D21" s="39"/>
      <c r="E21" s="40"/>
      <c r="F21" s="41"/>
      <c r="G21" s="26"/>
      <c r="H21" s="26"/>
      <c r="I21" s="26"/>
      <c r="J21" s="26"/>
      <c r="K21" s="26"/>
      <c r="L21" s="26"/>
    </row>
    <row r="22" spans="1:12" s="31" customFormat="1" ht="32.25" customHeight="1">
      <c r="A22" s="35"/>
      <c r="B22" s="527"/>
      <c r="C22" s="528" t="s">
        <v>55</v>
      </c>
      <c r="D22" s="39"/>
      <c r="E22" s="40">
        <v>11440.07</v>
      </c>
      <c r="F22" s="41"/>
      <c r="G22" s="26"/>
      <c r="H22" s="26"/>
      <c r="I22" s="26"/>
      <c r="J22" s="26"/>
      <c r="K22" s="26"/>
      <c r="L22" s="26"/>
    </row>
    <row r="23" spans="1:12" s="112" customFormat="1" ht="5.0999999999999996" customHeight="1">
      <c r="A23" s="109"/>
      <c r="B23" s="122"/>
      <c r="C23" s="123"/>
      <c r="D23" s="124"/>
      <c r="E23" s="125"/>
      <c r="F23" s="126"/>
      <c r="H23" s="113"/>
      <c r="I23" s="114"/>
    </row>
    <row r="24" spans="1:12" s="31" customFormat="1" ht="34.5" hidden="1" customHeight="1">
      <c r="A24" s="303"/>
      <c r="B24" s="298"/>
      <c r="C24" s="312" t="s">
        <v>2057</v>
      </c>
      <c r="D24" s="465"/>
      <c r="E24" s="46"/>
      <c r="F24" s="30"/>
      <c r="G24" s="299"/>
      <c r="H24" s="299"/>
      <c r="I24" s="299"/>
      <c r="J24" s="299"/>
      <c r="K24" s="299"/>
      <c r="L24" s="299"/>
    </row>
    <row r="25" spans="1:12" s="31" customFormat="1" ht="20.25" hidden="1">
      <c r="A25" s="303"/>
      <c r="B25" s="298"/>
      <c r="C25" s="313" t="s">
        <v>58</v>
      </c>
      <c r="D25" s="39"/>
      <c r="E25" s="40"/>
      <c r="F25" s="41"/>
      <c r="G25" s="299"/>
      <c r="H25" s="299"/>
      <c r="I25" s="299"/>
      <c r="J25" s="299"/>
      <c r="K25" s="299"/>
      <c r="L25" s="299"/>
    </row>
    <row r="26" spans="1:12" s="31" customFormat="1" ht="20.25">
      <c r="A26" s="35"/>
      <c r="B26" s="527" t="s">
        <v>54</v>
      </c>
      <c r="C26" s="45" t="s">
        <v>2751</v>
      </c>
      <c r="D26" s="465"/>
      <c r="E26" s="46"/>
      <c r="F26" s="30"/>
      <c r="G26" s="26"/>
      <c r="H26" s="26"/>
      <c r="I26" s="26"/>
      <c r="J26" s="26"/>
      <c r="K26" s="26"/>
      <c r="L26" s="26"/>
    </row>
    <row r="27" spans="1:12" s="31" customFormat="1" ht="20.25" hidden="1">
      <c r="A27" s="35"/>
      <c r="B27" s="527"/>
      <c r="C27" s="528" t="s">
        <v>55</v>
      </c>
      <c r="D27" s="39"/>
      <c r="E27" s="40"/>
      <c r="F27" s="41"/>
      <c r="G27" s="26"/>
      <c r="H27" s="26"/>
      <c r="I27" s="26"/>
      <c r="J27" s="26"/>
      <c r="K27" s="26"/>
      <c r="L27" s="26"/>
    </row>
    <row r="28" spans="1:12" s="31" customFormat="1" ht="32.25" customHeight="1">
      <c r="A28" s="35"/>
      <c r="B28" s="527"/>
      <c r="C28" s="528" t="s">
        <v>55</v>
      </c>
      <c r="D28" s="40">
        <v>11440.08</v>
      </c>
      <c r="E28" s="40"/>
      <c r="F28" s="41"/>
      <c r="G28" s="26"/>
      <c r="H28" s="26"/>
      <c r="I28" s="26"/>
      <c r="J28" s="26"/>
      <c r="K28" s="26"/>
      <c r="L28" s="26"/>
    </row>
    <row r="29" spans="1:12" s="31" customFormat="1" ht="32.25" customHeight="1">
      <c r="A29" s="35"/>
      <c r="B29" s="527"/>
      <c r="C29" s="528" t="s">
        <v>144</v>
      </c>
      <c r="D29" s="39">
        <v>26.88</v>
      </c>
      <c r="E29" s="40"/>
      <c r="F29" s="41"/>
      <c r="G29" s="26"/>
      <c r="H29" s="26"/>
      <c r="I29" s="26"/>
      <c r="J29" s="26"/>
      <c r="K29" s="26"/>
      <c r="L29" s="26"/>
    </row>
    <row r="30" spans="1:12" s="112" customFormat="1" ht="5.0999999999999996" customHeight="1">
      <c r="A30" s="109"/>
      <c r="B30" s="122"/>
      <c r="C30" s="123"/>
      <c r="D30" s="124"/>
      <c r="E30" s="125"/>
      <c r="F30" s="126"/>
      <c r="H30" s="113"/>
      <c r="I30" s="114"/>
    </row>
    <row r="31" spans="1:12" s="31" customFormat="1" ht="34.5" hidden="1" customHeight="1">
      <c r="A31" s="303"/>
      <c r="B31" s="298"/>
      <c r="C31" s="312" t="s">
        <v>2057</v>
      </c>
      <c r="D31" s="465"/>
      <c r="E31" s="46"/>
      <c r="F31" s="30"/>
      <c r="G31" s="299"/>
      <c r="H31" s="299"/>
      <c r="I31" s="299"/>
      <c r="J31" s="299"/>
      <c r="K31" s="299"/>
      <c r="L31" s="299"/>
    </row>
    <row r="32" spans="1:12" s="31" customFormat="1" ht="20.25" hidden="1">
      <c r="A32" s="303"/>
      <c r="B32" s="298"/>
      <c r="C32" s="313" t="s">
        <v>58</v>
      </c>
      <c r="D32" s="39"/>
      <c r="E32" s="40"/>
      <c r="F32" s="41"/>
      <c r="G32" s="299"/>
      <c r="H32" s="299"/>
      <c r="I32" s="299"/>
      <c r="J32" s="299"/>
      <c r="K32" s="299"/>
      <c r="L32" s="299"/>
    </row>
    <row r="33" spans="1:12" s="31" customFormat="1" ht="20.25">
      <c r="A33" s="35"/>
      <c r="B33" s="527" t="s">
        <v>57</v>
      </c>
      <c r="C33" s="45" t="s">
        <v>2752</v>
      </c>
      <c r="D33" s="465"/>
      <c r="E33" s="46"/>
      <c r="F33" s="30"/>
      <c r="G33" s="26"/>
      <c r="H33" s="26"/>
      <c r="I33" s="26"/>
      <c r="J33" s="26"/>
      <c r="K33" s="26"/>
      <c r="L33" s="26"/>
    </row>
    <row r="34" spans="1:12" s="31" customFormat="1" ht="20.25" hidden="1">
      <c r="A34" s="35"/>
      <c r="B34" s="527"/>
      <c r="C34" s="528" t="s">
        <v>55</v>
      </c>
      <c r="D34" s="39"/>
      <c r="E34" s="40"/>
      <c r="F34" s="41"/>
      <c r="G34" s="26"/>
      <c r="H34" s="26"/>
      <c r="I34" s="26"/>
      <c r="J34" s="26"/>
      <c r="K34" s="26"/>
      <c r="L34" s="26"/>
    </row>
    <row r="35" spans="1:12" s="31" customFormat="1" ht="32.25" customHeight="1">
      <c r="A35" s="35"/>
      <c r="B35" s="527"/>
      <c r="C35" s="528" t="s">
        <v>58</v>
      </c>
      <c r="D35" s="39"/>
      <c r="E35" s="39">
        <v>142131.54</v>
      </c>
      <c r="F35" s="41"/>
      <c r="G35" s="26"/>
      <c r="H35" s="26"/>
      <c r="I35" s="26"/>
      <c r="J35" s="26"/>
      <c r="K35" s="26"/>
      <c r="L35" s="26"/>
    </row>
    <row r="36" spans="1:12" s="31" customFormat="1" ht="32.25" customHeight="1">
      <c r="A36" s="35"/>
      <c r="B36" s="527"/>
      <c r="C36" s="528" t="s">
        <v>143</v>
      </c>
      <c r="D36" s="39"/>
      <c r="E36" s="40">
        <v>288.42</v>
      </c>
      <c r="F36" s="41"/>
      <c r="G36" s="26"/>
      <c r="H36" s="26"/>
      <c r="I36" s="26"/>
      <c r="J36" s="26"/>
      <c r="K36" s="26"/>
      <c r="L36" s="26"/>
    </row>
    <row r="37" spans="1:12" s="112" customFormat="1" ht="9.75" customHeight="1">
      <c r="A37" s="109"/>
      <c r="B37" s="348"/>
      <c r="C37" s="466"/>
      <c r="D37" s="124"/>
      <c r="E37" s="467"/>
      <c r="F37" s="468"/>
      <c r="H37" s="113"/>
      <c r="I37" s="114"/>
    </row>
    <row r="38" spans="1:12" s="112" customFormat="1" ht="5.0999999999999996" customHeight="1" thickBot="1">
      <c r="A38" s="109"/>
      <c r="B38" s="122"/>
      <c r="C38" s="123"/>
      <c r="D38" s="124"/>
      <c r="E38" s="125"/>
      <c r="F38" s="126"/>
      <c r="H38" s="113"/>
      <c r="I38" s="2"/>
    </row>
    <row r="39" spans="1:12" ht="35.1" customHeight="1" thickBot="1">
      <c r="A39" s="130" t="s">
        <v>62</v>
      </c>
      <c r="B39" s="131"/>
      <c r="C39" s="690"/>
      <c r="D39" s="651">
        <f>SUM(D8:D38)</f>
        <v>2486508.0629999996</v>
      </c>
      <c r="E39" s="652">
        <f>SUM(E8:E38)</f>
        <v>2482828.0999999996</v>
      </c>
      <c r="F39" s="653">
        <f>F6+D39-E39</f>
        <v>21531.862999999896</v>
      </c>
      <c r="G39" s="132"/>
    </row>
    <row r="40" spans="1:12" ht="27" customHeight="1" thickBot="1">
      <c r="A40" s="12"/>
      <c r="B40" s="133"/>
      <c r="C40" s="334"/>
      <c r="D40" s="134"/>
      <c r="E40" s="972"/>
      <c r="F40" s="973">
        <f>F39-21531.86</f>
        <v>2.999999895109795E-3</v>
      </c>
      <c r="H40" s="933"/>
      <c r="I40" s="933"/>
    </row>
    <row r="41" spans="1:12" ht="35.1" customHeight="1">
      <c r="A41" s="100" t="s">
        <v>146</v>
      </c>
      <c r="B41" s="156" t="s">
        <v>2061</v>
      </c>
      <c r="C41" s="952"/>
      <c r="D41" s="654" t="s">
        <v>41</v>
      </c>
      <c r="E41" s="674" t="s">
        <v>42</v>
      </c>
      <c r="F41" s="656" t="s">
        <v>43</v>
      </c>
    </row>
    <row r="42" spans="1:12" ht="20.100000000000001" customHeight="1">
      <c r="A42" s="137"/>
      <c r="B42" s="106" t="s">
        <v>147</v>
      </c>
      <c r="C42" s="128" t="s">
        <v>45</v>
      </c>
      <c r="D42" s="36"/>
      <c r="E42" s="46"/>
      <c r="F42" s="30">
        <v>72089985.909999996</v>
      </c>
      <c r="G42" s="140"/>
    </row>
    <row r="43" spans="1:12" s="112" customFormat="1" ht="5.0999999999999996" customHeight="1">
      <c r="A43" s="109"/>
      <c r="B43" s="111"/>
      <c r="C43" s="111"/>
      <c r="D43" s="32"/>
      <c r="E43" s="33"/>
      <c r="F43" s="34"/>
      <c r="H43" s="113"/>
      <c r="I43" s="2"/>
    </row>
    <row r="44" spans="1:12" ht="20.100000000000001" customHeight="1">
      <c r="A44" s="141"/>
      <c r="B44" s="106" t="s">
        <v>46</v>
      </c>
      <c r="C44" s="128" t="s">
        <v>65</v>
      </c>
      <c r="D44" s="36">
        <v>0</v>
      </c>
      <c r="E44" s="46"/>
      <c r="F44" s="30"/>
    </row>
    <row r="45" spans="1:12" s="112" customFormat="1" ht="5.0999999999999996" customHeight="1">
      <c r="A45" s="109"/>
      <c r="B45" s="110"/>
      <c r="C45" s="111"/>
      <c r="D45" s="32"/>
      <c r="E45" s="33"/>
      <c r="F45" s="34"/>
      <c r="H45" s="113"/>
      <c r="I45" s="2"/>
    </row>
    <row r="46" spans="1:12" ht="20.100000000000001" customHeight="1">
      <c r="A46" s="142"/>
      <c r="B46" s="106" t="s">
        <v>47</v>
      </c>
      <c r="C46" s="128" t="s">
        <v>71</v>
      </c>
      <c r="D46" s="36"/>
      <c r="E46" s="46"/>
      <c r="F46" s="30"/>
    </row>
    <row r="47" spans="1:12" s="112" customFormat="1" ht="5.0999999999999996" customHeight="1">
      <c r="A47" s="109"/>
      <c r="B47" s="110"/>
      <c r="C47" s="111"/>
      <c r="D47" s="32"/>
      <c r="E47" s="33"/>
      <c r="F47" s="34"/>
      <c r="H47" s="113"/>
      <c r="I47" s="114"/>
    </row>
    <row r="48" spans="1:12" ht="20.100000000000001" customHeight="1">
      <c r="A48" s="142"/>
      <c r="B48" s="106" t="s">
        <v>49</v>
      </c>
      <c r="C48" s="128" t="s">
        <v>68</v>
      </c>
      <c r="D48" s="120">
        <v>810096.47</v>
      </c>
      <c r="E48" s="46"/>
      <c r="F48" s="30"/>
    </row>
    <row r="49" spans="1:9" s="112" customFormat="1" ht="5.0999999999999996" customHeight="1">
      <c r="A49" s="143"/>
      <c r="B49" s="144"/>
      <c r="C49" s="145"/>
      <c r="D49" s="32"/>
      <c r="E49" s="33"/>
      <c r="F49" s="34"/>
      <c r="H49" s="113"/>
      <c r="I49" s="114"/>
    </row>
    <row r="50" spans="1:9" ht="20.100000000000001" customHeight="1">
      <c r="A50" s="146"/>
      <c r="B50" s="106"/>
      <c r="C50" s="128"/>
      <c r="D50" s="36"/>
      <c r="E50" s="46"/>
      <c r="F50" s="30"/>
    </row>
    <row r="51" spans="1:9" ht="5.0999999999999996" customHeight="1" thickBot="1">
      <c r="A51" s="147"/>
      <c r="B51" s="148"/>
      <c r="C51" s="149"/>
      <c r="D51" s="150"/>
      <c r="E51" s="151"/>
      <c r="F51" s="226"/>
    </row>
    <row r="52" spans="1:9" ht="35.1" customHeight="1" thickBot="1">
      <c r="A52" s="130" t="s">
        <v>69</v>
      </c>
      <c r="B52" s="131"/>
      <c r="C52" s="690"/>
      <c r="D52" s="651">
        <f>SUM(D44:D51)</f>
        <v>810096.47</v>
      </c>
      <c r="E52" s="652">
        <f>SUM(E44:E51)</f>
        <v>0</v>
      </c>
      <c r="F52" s="653">
        <f>F42+D52-E52</f>
        <v>72900082.379999995</v>
      </c>
      <c r="G52" s="152"/>
      <c r="H52" s="153"/>
    </row>
    <row r="53" spans="1:9" ht="30.75" customHeight="1" thickBot="1">
      <c r="D53" s="246"/>
      <c r="E53" s="246"/>
      <c r="F53" s="259"/>
    </row>
    <row r="54" spans="1:9" s="159" customFormat="1" ht="35.1" customHeight="1">
      <c r="A54" s="155" t="s">
        <v>149</v>
      </c>
      <c r="B54" s="156" t="s">
        <v>2060</v>
      </c>
      <c r="C54" s="693"/>
      <c r="D54" s="654" t="s">
        <v>41</v>
      </c>
      <c r="E54" s="655" t="s">
        <v>42</v>
      </c>
      <c r="F54" s="656" t="s">
        <v>43</v>
      </c>
      <c r="G54" s="157"/>
      <c r="H54" s="158"/>
    </row>
    <row r="55" spans="1:9" s="159" customFormat="1" ht="20.100000000000001" customHeight="1">
      <c r="A55" s="160"/>
      <c r="B55" s="106" t="s">
        <v>44</v>
      </c>
      <c r="C55" s="610" t="s">
        <v>45</v>
      </c>
      <c r="D55" s="36"/>
      <c r="E55" s="46"/>
      <c r="F55" s="48">
        <v>3411198.34</v>
      </c>
      <c r="G55" s="157"/>
      <c r="H55" s="157"/>
    </row>
    <row r="56" spans="1:9" s="163" customFormat="1" ht="5.0999999999999996" customHeight="1">
      <c r="A56" s="161"/>
      <c r="B56" s="110"/>
      <c r="C56" s="111"/>
      <c r="D56" s="32"/>
      <c r="E56" s="33"/>
      <c r="F56" s="34"/>
      <c r="G56" s="162"/>
      <c r="H56" s="113"/>
      <c r="I56" s="114"/>
    </row>
    <row r="57" spans="1:9" s="159" customFormat="1" ht="20.100000000000001" customHeight="1">
      <c r="A57" s="164"/>
      <c r="B57" s="106" t="s">
        <v>64</v>
      </c>
      <c r="C57" s="610" t="s">
        <v>65</v>
      </c>
      <c r="D57" s="36">
        <v>1580000</v>
      </c>
      <c r="E57" s="46"/>
      <c r="F57" s="30"/>
      <c r="G57" s="14"/>
    </row>
    <row r="58" spans="1:9" s="163" customFormat="1" ht="5.0999999999999996" customHeight="1">
      <c r="A58" s="161"/>
      <c r="B58" s="110"/>
      <c r="C58" s="111"/>
      <c r="D58" s="32"/>
      <c r="E58" s="33"/>
      <c r="F58" s="34"/>
      <c r="G58" s="162"/>
      <c r="H58" s="113"/>
      <c r="I58" s="114"/>
    </row>
    <row r="59" spans="1:9" s="159" customFormat="1" ht="20.25">
      <c r="A59" s="164"/>
      <c r="B59" s="106" t="s">
        <v>66</v>
      </c>
      <c r="C59" s="127" t="s">
        <v>71</v>
      </c>
      <c r="D59" s="36"/>
      <c r="E59" s="46">
        <v>680000</v>
      </c>
      <c r="F59" s="30"/>
      <c r="G59" s="14"/>
    </row>
    <row r="60" spans="1:9" s="163" customFormat="1" ht="5.0999999999999996" customHeight="1">
      <c r="A60" s="161"/>
      <c r="B60" s="110"/>
      <c r="C60" s="111"/>
      <c r="D60" s="32"/>
      <c r="E60" s="33"/>
      <c r="F60" s="34"/>
      <c r="G60" s="162"/>
      <c r="H60" s="113"/>
      <c r="I60" s="114"/>
    </row>
    <row r="61" spans="1:9" s="159" customFormat="1" ht="20.100000000000001" customHeight="1">
      <c r="A61" s="164"/>
      <c r="B61" s="106" t="s">
        <v>49</v>
      </c>
      <c r="C61" s="610" t="s">
        <v>72</v>
      </c>
      <c r="D61" s="36">
        <v>44578.46</v>
      </c>
      <c r="E61" s="46"/>
      <c r="F61" s="30"/>
      <c r="G61" s="14"/>
    </row>
    <row r="62" spans="1:9" s="163" customFormat="1" ht="5.0999999999999996" customHeight="1" thickBot="1">
      <c r="A62" s="161"/>
      <c r="B62" s="110"/>
      <c r="C62" s="111"/>
      <c r="D62" s="32"/>
      <c r="E62" s="33"/>
      <c r="F62" s="34"/>
      <c r="G62" s="162"/>
      <c r="H62" s="113"/>
      <c r="I62" s="114"/>
    </row>
    <row r="63" spans="1:9" s="163" customFormat="1" ht="35.1" customHeight="1" thickBot="1">
      <c r="A63" s="130" t="s">
        <v>73</v>
      </c>
      <c r="B63" s="131"/>
      <c r="C63" s="690"/>
      <c r="D63" s="657">
        <f>SUM(D57:D62)</f>
        <v>1624578.46</v>
      </c>
      <c r="E63" s="658">
        <f>SUM(E57:E62)</f>
        <v>680000</v>
      </c>
      <c r="F63" s="653">
        <f>F55+D63-E63</f>
        <v>4355776.8</v>
      </c>
      <c r="G63" s="165"/>
      <c r="H63" s="814"/>
    </row>
    <row r="64" spans="1:9" s="163" customFormat="1" ht="31.5" customHeight="1" thickBot="1">
      <c r="A64" s="166"/>
      <c r="B64" s="167"/>
      <c r="C64" s="167"/>
      <c r="D64" s="51"/>
      <c r="E64" s="52"/>
      <c r="F64" s="53"/>
      <c r="G64" s="168"/>
      <c r="H64" s="169"/>
    </row>
    <row r="65" spans="1:8" s="163" customFormat="1" ht="35.1" customHeight="1" thickBot="1">
      <c r="A65" s="130" t="s">
        <v>150</v>
      </c>
      <c r="B65" s="131"/>
      <c r="C65" s="690"/>
      <c r="D65" s="651">
        <f>D39+D52+D63</f>
        <v>4921182.9929999998</v>
      </c>
      <c r="E65" s="651">
        <f>E39+E52+E63</f>
        <v>3162828.0999999996</v>
      </c>
      <c r="F65" s="653">
        <f>F39+F52+F63</f>
        <v>77277391.042999998</v>
      </c>
      <c r="G65" s="162"/>
      <c r="H65" s="894"/>
    </row>
    <row r="68" spans="1:8">
      <c r="F68" s="956"/>
    </row>
    <row r="69" spans="1:8" ht="27">
      <c r="F69" s="974"/>
    </row>
  </sheetData>
  <printOptions horizontalCentered="1"/>
  <pageMargins left="0.39370078740157483" right="0.39370078740157483" top="0.59055118110236227" bottom="0.78740157480314965" header="0.15748031496062992" footer="0.59055118110236227"/>
  <pageSetup paperSize="9" scale="62" firstPageNumber="153" fitToHeight="2" orientation="landscape" useFirstPageNumber="1" r:id="rId1"/>
  <headerFooter alignWithMargins="0">
    <oddFooter>&amp;C&amp;12página &amp;P</oddFooter>
  </headerFooter>
  <rowBreaks count="1" manualBreakCount="1">
    <brk id="40" max="5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27"/>
  <sheetViews>
    <sheetView showGridLines="0" view="pageBreakPreview" zoomScale="90" zoomScaleNormal="80" zoomScaleSheetLayoutView="90" workbookViewId="0">
      <selection activeCell="F13" sqref="F13"/>
    </sheetView>
  </sheetViews>
  <sheetFormatPr defaultRowHeight="12.75"/>
  <cols>
    <col min="1" max="1" width="23.7109375" bestFit="1" customWidth="1"/>
    <col min="2" max="2" width="24.7109375" customWidth="1"/>
    <col min="3" max="3" width="19.5703125" style="5" customWidth="1"/>
    <col min="4" max="4" width="118.5703125" style="5" customWidth="1"/>
  </cols>
  <sheetData>
    <row r="1" spans="1:4" ht="33.75">
      <c r="A1" s="54"/>
      <c r="B1" s="54"/>
      <c r="C1" s="792" t="s">
        <v>151</v>
      </c>
      <c r="D1" s="786"/>
    </row>
    <row r="2" spans="1:4" ht="30">
      <c r="A2" s="20"/>
      <c r="B2" s="56" t="s">
        <v>152</v>
      </c>
      <c r="D2" s="786"/>
    </row>
    <row r="3" spans="1:4" ht="27.75">
      <c r="A3" s="57"/>
      <c r="B3" s="57"/>
      <c r="C3" s="787"/>
      <c r="D3" s="793" t="str">
        <f>Resumo!E3</f>
        <v>Abril-16</v>
      </c>
    </row>
    <row r="4" spans="1:4" ht="25.5">
      <c r="D4" s="788"/>
    </row>
    <row r="5" spans="1:4" ht="31.5">
      <c r="A5" s="60" t="s">
        <v>76</v>
      </c>
      <c r="B5" s="60" t="s">
        <v>77</v>
      </c>
      <c r="C5" s="355" t="s">
        <v>78</v>
      </c>
      <c r="D5" s="355" t="s">
        <v>398</v>
      </c>
    </row>
    <row r="6" spans="1:4" ht="23.25" customHeight="1">
      <c r="A6" s="68" t="s">
        <v>2081</v>
      </c>
      <c r="B6" s="68" t="s">
        <v>83</v>
      </c>
      <c r="C6" s="73">
        <v>0</v>
      </c>
      <c r="D6" s="790"/>
    </row>
    <row r="7" spans="1:4" ht="36" customHeight="1">
      <c r="A7" s="64" t="s">
        <v>81</v>
      </c>
      <c r="B7" s="65"/>
      <c r="C7" s="353">
        <f>SUM(C6:C6)</f>
        <v>0</v>
      </c>
      <c r="D7" s="354"/>
    </row>
    <row r="8" spans="1:4" ht="13.7" customHeight="1">
      <c r="A8" s="1097"/>
      <c r="B8" s="1098"/>
      <c r="C8" s="1098"/>
      <c r="D8" s="1099"/>
    </row>
    <row r="9" spans="1:4" ht="31.5">
      <c r="A9" s="60" t="s">
        <v>76</v>
      </c>
      <c r="B9" s="60" t="s">
        <v>77</v>
      </c>
      <c r="C9" s="355" t="s">
        <v>78</v>
      </c>
      <c r="D9" s="355" t="s">
        <v>1901</v>
      </c>
    </row>
    <row r="10" spans="1:4" ht="30" customHeight="1">
      <c r="A10" s="68" t="s">
        <v>83</v>
      </c>
      <c r="B10" s="70" t="s">
        <v>80</v>
      </c>
      <c r="C10" s="71">
        <v>0</v>
      </c>
      <c r="D10" s="790"/>
    </row>
    <row r="11" spans="1:4" ht="30" customHeight="1">
      <c r="A11" s="64" t="s">
        <v>81</v>
      </c>
      <c r="B11" s="65"/>
      <c r="C11" s="353">
        <f>SUM(C10:C10)</f>
        <v>0</v>
      </c>
      <c r="D11" s="354"/>
    </row>
    <row r="12" spans="1:4" ht="14.25" customHeight="1">
      <c r="A12" s="64"/>
      <c r="B12" s="65"/>
      <c r="C12" s="353"/>
      <c r="D12" s="354"/>
    </row>
    <row r="13" spans="1:4" ht="31.5">
      <c r="A13" s="60" t="s">
        <v>76</v>
      </c>
      <c r="B13" s="60" t="s">
        <v>77</v>
      </c>
      <c r="C13" s="355" t="s">
        <v>78</v>
      </c>
      <c r="D13" s="355" t="s">
        <v>1901</v>
      </c>
    </row>
    <row r="14" spans="1:4" ht="30" customHeight="1">
      <c r="A14" s="70" t="s">
        <v>80</v>
      </c>
      <c r="B14" s="68" t="s">
        <v>83</v>
      </c>
      <c r="C14" s="73">
        <v>11440.07</v>
      </c>
      <c r="D14" s="753" t="s">
        <v>7783</v>
      </c>
    </row>
    <row r="15" spans="1:4" ht="30" customHeight="1">
      <c r="A15" s="64" t="s">
        <v>81</v>
      </c>
      <c r="B15" s="65"/>
      <c r="C15" s="353">
        <f>SUM(C14:C14)</f>
        <v>11440.07</v>
      </c>
      <c r="D15" s="354"/>
    </row>
    <row r="16" spans="1:4" ht="14.25" customHeight="1">
      <c r="A16" s="64"/>
      <c r="B16" s="65"/>
      <c r="C16" s="353"/>
      <c r="D16" s="354"/>
    </row>
    <row r="17" spans="1:5" ht="31.5">
      <c r="A17" s="60" t="s">
        <v>76</v>
      </c>
      <c r="B17" s="60" t="s">
        <v>77</v>
      </c>
      <c r="C17" s="355" t="s">
        <v>78</v>
      </c>
      <c r="D17" s="355" t="s">
        <v>1901</v>
      </c>
    </row>
    <row r="18" spans="1:5" ht="30" customHeight="1">
      <c r="A18" s="68" t="s">
        <v>83</v>
      </c>
      <c r="B18" s="70" t="s">
        <v>2081</v>
      </c>
      <c r="C18" s="73">
        <v>0</v>
      </c>
      <c r="D18" s="753"/>
    </row>
    <row r="19" spans="1:5" ht="30" customHeight="1">
      <c r="A19" s="64" t="s">
        <v>81</v>
      </c>
      <c r="B19" s="65"/>
      <c r="C19" s="353">
        <f>SUM(C18:C18)</f>
        <v>0</v>
      </c>
      <c r="D19" s="794">
        <f>C7+C11+C15+C19</f>
        <v>11440.07</v>
      </c>
    </row>
    <row r="20" spans="1:5" ht="33" customHeight="1">
      <c r="A20" s="1093" t="s">
        <v>84</v>
      </c>
      <c r="B20" s="1093"/>
      <c r="C20" s="1093"/>
      <c r="D20" s="1093"/>
    </row>
    <row r="24" spans="1:5">
      <c r="D24" s="334"/>
      <c r="E24" s="12"/>
    </row>
    <row r="26" spans="1:5">
      <c r="C26" s="795"/>
    </row>
    <row r="27" spans="1:5">
      <c r="C27" s="796"/>
    </row>
  </sheetData>
  <mergeCells count="2">
    <mergeCell ref="A20:D20"/>
    <mergeCell ref="A8:D8"/>
  </mergeCells>
  <pageMargins left="0.78740157480314965" right="0.78740157480314965" top="0.98425196850393704" bottom="0.78740157480314965" header="0.51181102362204722" footer="0.59055118110236227"/>
  <pageSetup paperSize="9" scale="69" firstPageNumber="155" orientation="landscape" useFirstPageNumber="1" r:id="rId1"/>
  <headerFooter alignWithMargins="0">
    <oddFooter>&amp;C&amp;12página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160"/>
  <sheetViews>
    <sheetView showGridLines="0" view="pageBreakPreview" topLeftCell="A103" zoomScale="80" zoomScaleNormal="80" zoomScaleSheetLayoutView="80" workbookViewId="0">
      <selection activeCell="F13" sqref="F13"/>
    </sheetView>
  </sheetViews>
  <sheetFormatPr defaultColWidth="9.140625" defaultRowHeight="18" customHeight="1" outlineLevelRow="2"/>
  <cols>
    <col min="1" max="1" width="33.5703125" style="194" customWidth="1"/>
    <col min="2" max="2" width="83" style="195" customWidth="1"/>
    <col min="3" max="3" width="16.28515625" style="194" customWidth="1"/>
    <col min="4" max="4" width="19.5703125" style="195" bestFit="1" customWidth="1"/>
    <col min="5" max="5" width="37.7109375" style="195" hidden="1" customWidth="1"/>
    <col min="6" max="6" width="11" style="195" bestFit="1" customWidth="1"/>
    <col min="7" max="16384" width="9.140625" style="195"/>
  </cols>
  <sheetData>
    <row r="1" spans="1:5" customFormat="1" ht="23.25" customHeight="1">
      <c r="A1" s="1117" t="s">
        <v>153</v>
      </c>
      <c r="B1" s="1117"/>
      <c r="C1" s="1117"/>
      <c r="D1" s="1117"/>
      <c r="E1" s="1117"/>
    </row>
    <row r="2" spans="1:5" customFormat="1" ht="46.5" customHeight="1">
      <c r="A2" s="1118" t="s">
        <v>2095</v>
      </c>
      <c r="B2" s="1118"/>
      <c r="C2" s="1118"/>
      <c r="D2" s="1118"/>
      <c r="E2" s="1118"/>
    </row>
    <row r="3" spans="1:5" customFormat="1" ht="19.5" customHeight="1">
      <c r="A3" s="1119" t="str">
        <f>Resumo!E3</f>
        <v>Abril-16</v>
      </c>
      <c r="B3" s="1119"/>
      <c r="C3" s="1119"/>
      <c r="D3" s="1119"/>
      <c r="E3" s="1119"/>
    </row>
    <row r="4" spans="1:5" customFormat="1" ht="15.75">
      <c r="A4" s="172"/>
      <c r="B4" s="173"/>
      <c r="C4" s="174"/>
      <c r="D4" s="172"/>
      <c r="E4" s="171"/>
    </row>
    <row r="5" spans="1:5" customFormat="1" ht="34.5" customHeight="1">
      <c r="A5" s="175" t="s">
        <v>154</v>
      </c>
      <c r="B5" s="176" t="s">
        <v>155</v>
      </c>
      <c r="C5" s="177" t="s">
        <v>156</v>
      </c>
      <c r="D5" s="178" t="s">
        <v>157</v>
      </c>
      <c r="E5" s="179" t="s">
        <v>158</v>
      </c>
    </row>
    <row r="6" spans="1:5" s="181" customFormat="1" ht="14.25" outlineLevel="2">
      <c r="A6" s="265" t="s">
        <v>87</v>
      </c>
      <c r="B6" s="266" t="s">
        <v>1912</v>
      </c>
      <c r="C6" s="267">
        <v>42465</v>
      </c>
      <c r="D6" s="185">
        <v>7642.79</v>
      </c>
      <c r="E6" s="180"/>
    </row>
    <row r="7" spans="1:5" s="181" customFormat="1" ht="14.25" outlineLevel="2">
      <c r="A7" s="265" t="s">
        <v>87</v>
      </c>
      <c r="B7" s="266" t="s">
        <v>7742</v>
      </c>
      <c r="C7" s="267">
        <v>42466</v>
      </c>
      <c r="D7" s="185">
        <v>2229.23</v>
      </c>
      <c r="E7" s="180"/>
    </row>
    <row r="8" spans="1:5" s="181" customFormat="1" ht="15" outlineLevel="1">
      <c r="A8" s="589" t="s">
        <v>2116</v>
      </c>
      <c r="B8" s="556"/>
      <c r="C8" s="557"/>
      <c r="D8" s="558">
        <f>SUBTOTAL(9,D6:D7)</f>
        <v>9872.02</v>
      </c>
      <c r="E8" s="180"/>
    </row>
    <row r="9" spans="1:5" s="181" customFormat="1" ht="14.25" outlineLevel="2">
      <c r="A9" s="265" t="s">
        <v>89</v>
      </c>
      <c r="B9" s="266" t="s">
        <v>1912</v>
      </c>
      <c r="C9" s="267">
        <v>42465</v>
      </c>
      <c r="D9" s="185">
        <v>6046.83</v>
      </c>
      <c r="E9" s="180"/>
    </row>
    <row r="10" spans="1:5" s="181" customFormat="1" ht="14.25" outlineLevel="2">
      <c r="A10" s="265" t="s">
        <v>89</v>
      </c>
      <c r="B10" s="266" t="s">
        <v>1913</v>
      </c>
      <c r="C10" s="267">
        <v>42466</v>
      </c>
      <c r="D10" s="185">
        <v>1953.57</v>
      </c>
      <c r="E10" s="180"/>
    </row>
    <row r="11" spans="1:5" s="181" customFormat="1" ht="14.25" outlineLevel="2">
      <c r="A11" s="265" t="s">
        <v>89</v>
      </c>
      <c r="B11" s="266" t="s">
        <v>7742</v>
      </c>
      <c r="C11" s="267">
        <v>42466</v>
      </c>
      <c r="D11" s="185">
        <v>2229.23</v>
      </c>
      <c r="E11" s="180"/>
    </row>
    <row r="12" spans="1:5" s="181" customFormat="1" ht="14.25" outlineLevel="2">
      <c r="A12" s="265" t="s">
        <v>89</v>
      </c>
      <c r="B12" s="266" t="s">
        <v>1914</v>
      </c>
      <c r="C12" s="267">
        <v>42471</v>
      </c>
      <c r="D12" s="185">
        <v>8560.35</v>
      </c>
      <c r="E12" s="180"/>
    </row>
    <row r="13" spans="1:5" s="181" customFormat="1" ht="14.25" outlineLevel="2">
      <c r="A13" s="265" t="s">
        <v>89</v>
      </c>
      <c r="B13" s="266" t="s">
        <v>1914</v>
      </c>
      <c r="C13" s="267">
        <v>42472</v>
      </c>
      <c r="D13" s="185">
        <v>773.8</v>
      </c>
      <c r="E13" s="180"/>
    </row>
    <row r="14" spans="1:5" s="181" customFormat="1" ht="14.25" outlineLevel="2">
      <c r="A14" s="265" t="s">
        <v>89</v>
      </c>
      <c r="B14" s="266" t="s">
        <v>1914</v>
      </c>
      <c r="C14" s="267">
        <v>42474</v>
      </c>
      <c r="D14" s="185">
        <v>773.8</v>
      </c>
      <c r="E14" s="180"/>
    </row>
    <row r="15" spans="1:5" s="181" customFormat="1" ht="15" outlineLevel="1">
      <c r="A15" s="555" t="s">
        <v>2119</v>
      </c>
      <c r="B15" s="556"/>
      <c r="C15" s="557"/>
      <c r="D15" s="558">
        <f>SUBTOTAL(9,D9:D14)</f>
        <v>20337.579999999998</v>
      </c>
      <c r="E15" s="180"/>
    </row>
    <row r="16" spans="1:5" s="181" customFormat="1" ht="14.25" outlineLevel="2">
      <c r="A16" s="265" t="s">
        <v>90</v>
      </c>
      <c r="B16" s="266" t="s">
        <v>1912</v>
      </c>
      <c r="C16" s="267">
        <v>42465</v>
      </c>
      <c r="D16" s="185">
        <v>8067.31</v>
      </c>
      <c r="E16" s="180"/>
    </row>
    <row r="17" spans="1:5" s="181" customFormat="1" ht="14.25" outlineLevel="2">
      <c r="A17" s="265" t="s">
        <v>90</v>
      </c>
      <c r="B17" s="266" t="s">
        <v>7742</v>
      </c>
      <c r="C17" s="267">
        <v>42466</v>
      </c>
      <c r="D17" s="185">
        <v>2229.23</v>
      </c>
      <c r="E17" s="180"/>
    </row>
    <row r="18" spans="1:5" s="181" customFormat="1" ht="15" outlineLevel="1">
      <c r="A18" s="555" t="s">
        <v>2115</v>
      </c>
      <c r="B18" s="556"/>
      <c r="C18" s="557"/>
      <c r="D18" s="558">
        <f>SUBTOTAL(9,D16:D17)</f>
        <v>10296.540000000001</v>
      </c>
      <c r="E18" s="180"/>
    </row>
    <row r="19" spans="1:5" s="181" customFormat="1" ht="14.25" outlineLevel="2">
      <c r="A19" s="265" t="s">
        <v>94</v>
      </c>
      <c r="B19" s="266" t="s">
        <v>1912</v>
      </c>
      <c r="C19" s="267">
        <v>42465</v>
      </c>
      <c r="D19" s="185">
        <v>7979.77</v>
      </c>
      <c r="E19" s="180"/>
    </row>
    <row r="20" spans="1:5" s="181" customFormat="1" ht="14.25" outlineLevel="2">
      <c r="A20" s="265" t="s">
        <v>94</v>
      </c>
      <c r="B20" s="266" t="s">
        <v>7748</v>
      </c>
      <c r="C20" s="267">
        <v>42466</v>
      </c>
      <c r="D20" s="185">
        <v>8916.92</v>
      </c>
      <c r="E20" s="180"/>
    </row>
    <row r="21" spans="1:5" s="181" customFormat="1" ht="14.25" outlineLevel="2">
      <c r="A21" s="265" t="s">
        <v>94</v>
      </c>
      <c r="B21" s="266" t="s">
        <v>1915</v>
      </c>
      <c r="C21" s="267">
        <v>42467</v>
      </c>
      <c r="D21" s="185">
        <v>27584.43</v>
      </c>
      <c r="E21" s="180"/>
    </row>
    <row r="22" spans="1:5" s="181" customFormat="1" ht="15" outlineLevel="1">
      <c r="A22" s="555" t="s">
        <v>2128</v>
      </c>
      <c r="B22" s="556"/>
      <c r="C22" s="557"/>
      <c r="D22" s="558">
        <f>SUBTOTAL(9,D19:D21)</f>
        <v>44481.120000000003</v>
      </c>
      <c r="E22" s="180"/>
    </row>
    <row r="23" spans="1:5" s="181" customFormat="1" ht="14.25" outlineLevel="2">
      <c r="A23" s="265" t="s">
        <v>96</v>
      </c>
      <c r="B23" s="266" t="s">
        <v>1916</v>
      </c>
      <c r="C23" s="267">
        <v>42461</v>
      </c>
      <c r="D23" s="185">
        <v>78.790000000000006</v>
      </c>
      <c r="E23" s="180"/>
    </row>
    <row r="24" spans="1:5" s="181" customFormat="1" ht="14.25" outlineLevel="2">
      <c r="A24" s="265" t="s">
        <v>96</v>
      </c>
      <c r="B24" s="266" t="s">
        <v>1912</v>
      </c>
      <c r="C24" s="267">
        <v>42465</v>
      </c>
      <c r="D24" s="185">
        <v>10727.47</v>
      </c>
      <c r="E24" s="180"/>
    </row>
    <row r="25" spans="1:5" s="181" customFormat="1" ht="14.25" outlineLevel="2">
      <c r="A25" s="265" t="s">
        <v>96</v>
      </c>
      <c r="B25" s="266" t="s">
        <v>1913</v>
      </c>
      <c r="C25" s="267">
        <v>42466</v>
      </c>
      <c r="D25" s="185">
        <v>4579.8</v>
      </c>
      <c r="E25" s="180"/>
    </row>
    <row r="26" spans="1:5" s="181" customFormat="1" ht="14.25" outlineLevel="2">
      <c r="A26" s="265" t="s">
        <v>96</v>
      </c>
      <c r="B26" s="266" t="s">
        <v>7749</v>
      </c>
      <c r="C26" s="267">
        <v>42466</v>
      </c>
      <c r="D26" s="185">
        <v>11146.15</v>
      </c>
      <c r="E26" s="180"/>
    </row>
    <row r="27" spans="1:5" s="181" customFormat="1" ht="14.25" outlineLevel="2">
      <c r="A27" s="265" t="s">
        <v>96</v>
      </c>
      <c r="B27" s="266" t="s">
        <v>1916</v>
      </c>
      <c r="C27" s="267">
        <v>42489</v>
      </c>
      <c r="D27" s="185">
        <v>1561.48</v>
      </c>
      <c r="E27" s="180"/>
    </row>
    <row r="28" spans="1:5" s="181" customFormat="1" ht="15" outlineLevel="1">
      <c r="A28" s="555" t="s">
        <v>2112</v>
      </c>
      <c r="B28" s="556"/>
      <c r="C28" s="557"/>
      <c r="D28" s="558">
        <f>SUBTOTAL(9,D23:D27)</f>
        <v>28093.69</v>
      </c>
      <c r="E28" s="180"/>
    </row>
    <row r="29" spans="1:5" s="181" customFormat="1" ht="14.25" outlineLevel="2">
      <c r="A29" s="265" t="s">
        <v>1917</v>
      </c>
      <c r="B29" s="266" t="s">
        <v>1912</v>
      </c>
      <c r="C29" s="267">
        <v>42465</v>
      </c>
      <c r="D29" s="185">
        <v>6127.47</v>
      </c>
      <c r="E29" s="180"/>
    </row>
    <row r="30" spans="1:5" s="181" customFormat="1" ht="14.25" outlineLevel="2">
      <c r="A30" s="265" t="s">
        <v>1917</v>
      </c>
      <c r="B30" s="266" t="s">
        <v>7739</v>
      </c>
      <c r="C30" s="267">
        <v>42466</v>
      </c>
      <c r="D30" s="185">
        <v>4458.46</v>
      </c>
      <c r="E30" s="180"/>
    </row>
    <row r="31" spans="1:5" s="181" customFormat="1" ht="15" outlineLevel="1">
      <c r="A31" s="555" t="s">
        <v>2120</v>
      </c>
      <c r="B31" s="556"/>
      <c r="C31" s="557"/>
      <c r="D31" s="558">
        <f>SUBTOTAL(9,D29:D30)</f>
        <v>10585.93</v>
      </c>
      <c r="E31" s="180"/>
    </row>
    <row r="32" spans="1:5" s="181" customFormat="1" ht="14.25" outlineLevel="2">
      <c r="A32" s="265" t="s">
        <v>1918</v>
      </c>
      <c r="B32" s="266" t="s">
        <v>7740</v>
      </c>
      <c r="C32" s="267">
        <v>42466</v>
      </c>
      <c r="D32" s="185">
        <v>2229.23</v>
      </c>
      <c r="E32" s="180"/>
    </row>
    <row r="33" spans="1:5" s="181" customFormat="1" ht="15" outlineLevel="1">
      <c r="A33" s="555" t="s">
        <v>2127</v>
      </c>
      <c r="B33" s="556"/>
      <c r="C33" s="557"/>
      <c r="D33" s="558">
        <f>SUBTOTAL(9,D32:D32)</f>
        <v>2229.23</v>
      </c>
      <c r="E33" s="180"/>
    </row>
    <row r="34" spans="1:5" s="181" customFormat="1" ht="14.25" outlineLevel="2">
      <c r="A34" s="265" t="s">
        <v>98</v>
      </c>
      <c r="B34" s="266" t="s">
        <v>1912</v>
      </c>
      <c r="C34" s="267">
        <v>42465</v>
      </c>
      <c r="D34" s="185">
        <v>10087.780000000001</v>
      </c>
      <c r="E34" s="180"/>
    </row>
    <row r="35" spans="1:5" s="181" customFormat="1" ht="14.25" outlineLevel="2">
      <c r="A35" s="265" t="s">
        <v>98</v>
      </c>
      <c r="B35" s="266" t="s">
        <v>7745</v>
      </c>
      <c r="C35" s="267">
        <v>42466</v>
      </c>
      <c r="D35" s="185">
        <v>4458.46</v>
      </c>
      <c r="E35" s="180"/>
    </row>
    <row r="36" spans="1:5" s="181" customFormat="1" ht="15" outlineLevel="1">
      <c r="A36" s="555" t="s">
        <v>2123</v>
      </c>
      <c r="B36" s="556"/>
      <c r="C36" s="557"/>
      <c r="D36" s="558">
        <f>SUBTOTAL(9,D34:D35)</f>
        <v>14546.240000000002</v>
      </c>
      <c r="E36" s="180"/>
    </row>
    <row r="37" spans="1:5" s="181" customFormat="1" ht="14.25" outlineLevel="2">
      <c r="A37" s="265" t="s">
        <v>99</v>
      </c>
      <c r="B37" s="266" t="s">
        <v>1912</v>
      </c>
      <c r="C37" s="267">
        <v>42465</v>
      </c>
      <c r="D37" s="185">
        <v>4390.33</v>
      </c>
      <c r="E37" s="180"/>
    </row>
    <row r="38" spans="1:5" s="181" customFormat="1" ht="15" outlineLevel="1">
      <c r="A38" s="555" t="s">
        <v>2114</v>
      </c>
      <c r="B38" s="556"/>
      <c r="C38" s="557"/>
      <c r="D38" s="558">
        <f>SUBTOTAL(9,D37:D37)</f>
        <v>4390.33</v>
      </c>
      <c r="E38" s="180"/>
    </row>
    <row r="39" spans="1:5" s="181" customFormat="1" ht="14.25" outlineLevel="2">
      <c r="A39" s="265" t="s">
        <v>100</v>
      </c>
      <c r="B39" s="266" t="s">
        <v>1912</v>
      </c>
      <c r="C39" s="267">
        <v>42465</v>
      </c>
      <c r="D39" s="185">
        <v>7924.33</v>
      </c>
      <c r="E39" s="180"/>
    </row>
    <row r="40" spans="1:5" s="181" customFormat="1" ht="14.25" outlineLevel="2">
      <c r="A40" s="265" t="s">
        <v>100</v>
      </c>
      <c r="B40" s="266" t="s">
        <v>7743</v>
      </c>
      <c r="C40" s="267">
        <v>42466</v>
      </c>
      <c r="D40" s="185">
        <v>4458.46</v>
      </c>
      <c r="E40" s="180"/>
    </row>
    <row r="41" spans="1:5" s="181" customFormat="1" ht="15" outlineLevel="1">
      <c r="A41" s="555" t="s">
        <v>2132</v>
      </c>
      <c r="B41" s="556"/>
      <c r="C41" s="557"/>
      <c r="D41" s="558">
        <f>SUBTOTAL(9,D39:D40)</f>
        <v>12382.79</v>
      </c>
      <c r="E41" s="180"/>
    </row>
    <row r="42" spans="1:5" s="181" customFormat="1" ht="14.25" outlineLevel="2">
      <c r="A42" s="265" t="s">
        <v>101</v>
      </c>
      <c r="B42" s="266" t="s">
        <v>1919</v>
      </c>
      <c r="C42" s="267">
        <v>42464</v>
      </c>
      <c r="D42" s="185">
        <v>5290.42</v>
      </c>
      <c r="E42" s="180"/>
    </row>
    <row r="43" spans="1:5" s="181" customFormat="1" ht="14.25" outlineLevel="2">
      <c r="A43" s="265" t="s">
        <v>101</v>
      </c>
      <c r="B43" s="266" t="s">
        <v>1912</v>
      </c>
      <c r="C43" s="267">
        <v>42465</v>
      </c>
      <c r="D43" s="185">
        <v>12394.18</v>
      </c>
      <c r="E43" s="180"/>
    </row>
    <row r="44" spans="1:5" s="181" customFormat="1" ht="14.25" outlineLevel="2">
      <c r="A44" s="265" t="s">
        <v>101</v>
      </c>
      <c r="B44" s="266" t="s">
        <v>1915</v>
      </c>
      <c r="C44" s="267">
        <v>42466</v>
      </c>
      <c r="D44" s="185">
        <v>24315.06</v>
      </c>
      <c r="E44" s="180"/>
    </row>
    <row r="45" spans="1:5" s="181" customFormat="1" ht="14.25" outlineLevel="2">
      <c r="A45" s="265" t="s">
        <v>101</v>
      </c>
      <c r="B45" s="266" t="s">
        <v>7747</v>
      </c>
      <c r="C45" s="267">
        <v>42466</v>
      </c>
      <c r="D45" s="185">
        <v>8916.9230000000007</v>
      </c>
      <c r="E45" s="180"/>
    </row>
    <row r="46" spans="1:5" s="181" customFormat="1" ht="15" outlineLevel="1">
      <c r="A46" s="555" t="s">
        <v>2111</v>
      </c>
      <c r="B46" s="556"/>
      <c r="C46" s="557"/>
      <c r="D46" s="558">
        <f>SUBTOTAL(9,D42:D45)</f>
        <v>50916.583000000006</v>
      </c>
      <c r="E46" s="180"/>
    </row>
    <row r="47" spans="1:5" s="181" customFormat="1" ht="14.25" outlineLevel="2">
      <c r="A47" s="265" t="s">
        <v>102</v>
      </c>
      <c r="B47" s="266" t="s">
        <v>1912</v>
      </c>
      <c r="C47" s="267">
        <v>42465</v>
      </c>
      <c r="D47" s="185">
        <v>9088.48</v>
      </c>
      <c r="E47" s="180"/>
    </row>
    <row r="48" spans="1:5" s="181" customFormat="1" ht="14.25" outlineLevel="2">
      <c r="A48" s="265" t="s">
        <v>102</v>
      </c>
      <c r="B48" s="266" t="s">
        <v>1913</v>
      </c>
      <c r="C48" s="267">
        <v>42466</v>
      </c>
      <c r="D48" s="185">
        <v>2289.9</v>
      </c>
      <c r="E48" s="180"/>
    </row>
    <row r="49" spans="1:5" s="181" customFormat="1" ht="14.25" outlineLevel="2">
      <c r="A49" s="265" t="s">
        <v>102</v>
      </c>
      <c r="B49" s="266" t="s">
        <v>7741</v>
      </c>
      <c r="C49" s="267">
        <v>42466</v>
      </c>
      <c r="D49" s="185">
        <v>2229.23</v>
      </c>
      <c r="E49" s="180"/>
    </row>
    <row r="50" spans="1:5" s="181" customFormat="1" ht="15" outlineLevel="1">
      <c r="A50" s="555" t="s">
        <v>2133</v>
      </c>
      <c r="B50" s="556"/>
      <c r="C50" s="557"/>
      <c r="D50" s="558">
        <f>SUBTOTAL(9,D47:D49)</f>
        <v>13607.609999999999</v>
      </c>
      <c r="E50" s="180"/>
    </row>
    <row r="51" spans="1:5" s="181" customFormat="1" ht="14.25" outlineLevel="2">
      <c r="A51" s="265" t="s">
        <v>103</v>
      </c>
      <c r="B51" s="266" t="s">
        <v>1912</v>
      </c>
      <c r="C51" s="267">
        <v>42465</v>
      </c>
      <c r="D51" s="185">
        <v>12002.47</v>
      </c>
      <c r="E51" s="180"/>
    </row>
    <row r="52" spans="1:5" s="181" customFormat="1" ht="14.25" outlineLevel="2">
      <c r="A52" s="265" t="s">
        <v>103</v>
      </c>
      <c r="B52" s="266" t="s">
        <v>7746</v>
      </c>
      <c r="C52" s="267">
        <v>42466</v>
      </c>
      <c r="D52" s="185">
        <v>6687.69</v>
      </c>
      <c r="E52" s="180"/>
    </row>
    <row r="53" spans="1:5" s="181" customFormat="1" ht="15" outlineLevel="1">
      <c r="A53" s="555" t="s">
        <v>2113</v>
      </c>
      <c r="B53" s="556"/>
      <c r="C53" s="557"/>
      <c r="D53" s="558">
        <f>SUBTOTAL(9,D51:D52)</f>
        <v>18690.16</v>
      </c>
      <c r="E53" s="180"/>
    </row>
    <row r="54" spans="1:5" s="181" customFormat="1" ht="14.25" outlineLevel="2">
      <c r="A54" s="265" t="s">
        <v>105</v>
      </c>
      <c r="B54" s="266" t="s">
        <v>1912</v>
      </c>
      <c r="C54" s="267">
        <v>42465</v>
      </c>
      <c r="D54" s="185">
        <v>7181.07</v>
      </c>
      <c r="E54" s="180"/>
    </row>
    <row r="55" spans="1:5" s="181" customFormat="1" ht="14.25" outlineLevel="2">
      <c r="A55" s="265" t="s">
        <v>105</v>
      </c>
      <c r="B55" s="266" t="s">
        <v>7742</v>
      </c>
      <c r="C55" s="267">
        <v>42466</v>
      </c>
      <c r="D55" s="185">
        <v>2229.23</v>
      </c>
      <c r="E55" s="180"/>
    </row>
    <row r="56" spans="1:5" s="181" customFormat="1" ht="15" outlineLevel="1">
      <c r="A56" s="555" t="s">
        <v>2121</v>
      </c>
      <c r="B56" s="556"/>
      <c r="C56" s="557"/>
      <c r="D56" s="558">
        <f>SUBTOTAL(9,D54:D55)</f>
        <v>9410.2999999999993</v>
      </c>
      <c r="E56" s="180"/>
    </row>
    <row r="57" spans="1:5" s="181" customFormat="1" ht="14.25" outlineLevel="2">
      <c r="A57" s="265" t="s">
        <v>104</v>
      </c>
      <c r="B57" s="266" t="s">
        <v>1912</v>
      </c>
      <c r="C57" s="267">
        <v>42465</v>
      </c>
      <c r="D57" s="185">
        <v>2779.79</v>
      </c>
      <c r="E57" s="180"/>
    </row>
    <row r="58" spans="1:5" s="181" customFormat="1" ht="15" outlineLevel="1">
      <c r="A58" s="555" t="s">
        <v>2122</v>
      </c>
      <c r="B58" s="556"/>
      <c r="C58" s="557"/>
      <c r="D58" s="558">
        <f>SUBTOTAL(9,D57:D57)</f>
        <v>2779.79</v>
      </c>
      <c r="E58" s="180"/>
    </row>
    <row r="59" spans="1:5" s="181" customFormat="1" ht="14.25" outlineLevel="2">
      <c r="A59" s="265" t="s">
        <v>106</v>
      </c>
      <c r="B59" s="266" t="s">
        <v>1912</v>
      </c>
      <c r="C59" s="267">
        <v>42465</v>
      </c>
      <c r="D59" s="185">
        <v>3585.79</v>
      </c>
      <c r="E59" s="180"/>
    </row>
    <row r="60" spans="1:5" s="181" customFormat="1" ht="14.25" outlineLevel="2">
      <c r="A60" s="265" t="s">
        <v>106</v>
      </c>
      <c r="B60" s="266" t="s">
        <v>7744</v>
      </c>
      <c r="C60" s="267">
        <v>42466</v>
      </c>
      <c r="D60" s="185">
        <v>4458.47</v>
      </c>
      <c r="E60" s="180"/>
    </row>
    <row r="61" spans="1:5" s="181" customFormat="1" ht="15" outlineLevel="1">
      <c r="A61" s="555" t="s">
        <v>2118</v>
      </c>
      <c r="B61" s="556"/>
      <c r="C61" s="557"/>
      <c r="D61" s="558">
        <f>SUBTOTAL(9,D59:D60)</f>
        <v>8044.26</v>
      </c>
      <c r="E61" s="180"/>
    </row>
    <row r="62" spans="1:5" s="181" customFormat="1" ht="14.25" outlineLevel="2">
      <c r="A62" s="265" t="s">
        <v>110</v>
      </c>
      <c r="B62" s="266" t="s">
        <v>1912</v>
      </c>
      <c r="C62" s="267">
        <v>42465</v>
      </c>
      <c r="D62" s="185">
        <v>3947.16</v>
      </c>
      <c r="E62" s="180"/>
    </row>
    <row r="63" spans="1:5" s="181" customFormat="1" ht="15" outlineLevel="1">
      <c r="A63" s="590" t="s">
        <v>2134</v>
      </c>
      <c r="B63" s="591"/>
      <c r="C63" s="592"/>
      <c r="D63" s="593">
        <f>SUBTOTAL(9,D62:D62)</f>
        <v>3947.16</v>
      </c>
      <c r="E63" s="588"/>
    </row>
    <row r="64" spans="1:5" customFormat="1" ht="6.75" customHeight="1">
      <c r="A64" s="186"/>
      <c r="B64" s="187"/>
      <c r="C64" s="188"/>
      <c r="D64" s="189"/>
      <c r="E64" s="190"/>
    </row>
    <row r="65" spans="1:5" s="181" customFormat="1" ht="30" customHeight="1">
      <c r="A65" s="559" t="s">
        <v>173</v>
      </c>
      <c r="B65" s="560"/>
      <c r="C65" s="561"/>
      <c r="D65" s="562">
        <f>SUM(D63,D61,D58,D56,D53,D50,D46,D41,D38,D36,D33,D31,D28,D22,D18,D15,D8)</f>
        <v>264611.33300000004</v>
      </c>
      <c r="E65" s="180"/>
    </row>
    <row r="66" spans="1:5" customFormat="1" ht="8.25" customHeight="1">
      <c r="A66" s="186"/>
      <c r="B66" s="187"/>
      <c r="C66" s="188"/>
      <c r="D66" s="189"/>
      <c r="E66" s="190"/>
    </row>
    <row r="67" spans="1:5" s="181" customFormat="1" ht="18" customHeight="1">
      <c r="A67" s="265" t="s">
        <v>1964</v>
      </c>
      <c r="B67" s="192" t="s">
        <v>444</v>
      </c>
      <c r="C67" s="268"/>
      <c r="D67" s="707">
        <v>12895.980000000001</v>
      </c>
      <c r="E67" s="193"/>
    </row>
    <row r="68" spans="1:5" s="181" customFormat="1" ht="18" customHeight="1">
      <c r="A68" s="265" t="s">
        <v>1965</v>
      </c>
      <c r="B68" s="192" t="s">
        <v>444</v>
      </c>
      <c r="C68" s="268"/>
      <c r="D68" s="707">
        <v>5520.1200000000008</v>
      </c>
      <c r="E68" s="193"/>
    </row>
    <row r="69" spans="1:5" s="181" customFormat="1" ht="18" customHeight="1">
      <c r="A69" s="265" t="s">
        <v>1966</v>
      </c>
      <c r="B69" s="192" t="s">
        <v>444</v>
      </c>
      <c r="C69" s="268"/>
      <c r="D69" s="707">
        <v>15571.260000000002</v>
      </c>
      <c r="E69" s="193"/>
    </row>
    <row r="70" spans="1:5" s="181" customFormat="1" ht="18" customHeight="1">
      <c r="A70" s="265" t="s">
        <v>1967</v>
      </c>
      <c r="B70" s="192" t="s">
        <v>444</v>
      </c>
      <c r="C70" s="268"/>
      <c r="D70" s="707">
        <v>20281.260000000002</v>
      </c>
      <c r="E70" s="193"/>
    </row>
    <row r="71" spans="1:5" s="181" customFormat="1" ht="18" customHeight="1">
      <c r="A71" s="265" t="s">
        <v>1968</v>
      </c>
      <c r="B71" s="192" t="s">
        <v>444</v>
      </c>
      <c r="C71" s="268"/>
      <c r="D71" s="707">
        <v>10126.5</v>
      </c>
      <c r="E71" s="193"/>
    </row>
    <row r="72" spans="1:5" s="181" customFormat="1" ht="18" customHeight="1">
      <c r="A72" s="265" t="s">
        <v>1969</v>
      </c>
      <c r="B72" s="192" t="s">
        <v>444</v>
      </c>
      <c r="C72" s="268"/>
      <c r="D72" s="707">
        <v>7074.42</v>
      </c>
      <c r="E72" s="193"/>
    </row>
    <row r="73" spans="1:5" s="181" customFormat="1" ht="18" customHeight="1">
      <c r="A73" s="265" t="s">
        <v>1971</v>
      </c>
      <c r="B73" s="192" t="s">
        <v>444</v>
      </c>
      <c r="C73" s="268"/>
      <c r="D73" s="707">
        <v>7394.7000000000007</v>
      </c>
      <c r="E73" s="193"/>
    </row>
    <row r="74" spans="1:5" s="181" customFormat="1" ht="18" customHeight="1">
      <c r="A74" s="265" t="s">
        <v>1972</v>
      </c>
      <c r="B74" s="192" t="s">
        <v>444</v>
      </c>
      <c r="C74" s="268"/>
      <c r="D74" s="707">
        <v>32480.160000000003</v>
      </c>
      <c r="E74" s="193"/>
    </row>
    <row r="75" spans="1:5" s="181" customFormat="1" ht="18" customHeight="1">
      <c r="A75" s="265" t="s">
        <v>1973</v>
      </c>
      <c r="B75" s="192" t="s">
        <v>444</v>
      </c>
      <c r="C75" s="268"/>
      <c r="D75" s="707">
        <v>7790.34</v>
      </c>
      <c r="E75" s="193"/>
    </row>
    <row r="76" spans="1:5" s="181" customFormat="1" ht="18" customHeight="1">
      <c r="A76" s="265" t="s">
        <v>1974</v>
      </c>
      <c r="B76" s="192" t="s">
        <v>444</v>
      </c>
      <c r="C76" s="268"/>
      <c r="D76" s="707">
        <v>8233.08</v>
      </c>
      <c r="E76" s="193"/>
    </row>
    <row r="77" spans="1:5" s="181" customFormat="1" ht="18" customHeight="1">
      <c r="A77" s="265" t="s">
        <v>1975</v>
      </c>
      <c r="B77" s="192" t="s">
        <v>444</v>
      </c>
      <c r="C77" s="268"/>
      <c r="D77" s="707">
        <v>10493.88</v>
      </c>
      <c r="E77" s="193"/>
    </row>
    <row r="78" spans="1:5" s="181" customFormat="1" ht="18" customHeight="1">
      <c r="A78" s="265" t="s">
        <v>1976</v>
      </c>
      <c r="B78" s="192" t="s">
        <v>444</v>
      </c>
      <c r="C78" s="268"/>
      <c r="D78" s="707">
        <v>3749.16</v>
      </c>
      <c r="E78" s="193"/>
    </row>
    <row r="79" spans="1:5" s="181" customFormat="1" ht="18" customHeight="1">
      <c r="A79" s="265" t="s">
        <v>1979</v>
      </c>
      <c r="B79" s="192" t="s">
        <v>444</v>
      </c>
      <c r="C79" s="268"/>
      <c r="D79" s="707">
        <v>8779.44</v>
      </c>
      <c r="E79" s="193"/>
    </row>
    <row r="80" spans="1:5" s="181" customFormat="1" ht="18" customHeight="1">
      <c r="A80" s="265" t="s">
        <v>1977</v>
      </c>
      <c r="B80" s="192" t="s">
        <v>444</v>
      </c>
      <c r="C80" s="268"/>
      <c r="D80" s="707">
        <v>37001.760000000009</v>
      </c>
      <c r="E80" s="193"/>
    </row>
    <row r="81" spans="1:5" s="181" customFormat="1" ht="18" customHeight="1">
      <c r="A81" s="265" t="s">
        <v>1978</v>
      </c>
      <c r="B81" s="192" t="s">
        <v>444</v>
      </c>
      <c r="C81" s="268"/>
      <c r="D81" s="707">
        <v>71403.599999999977</v>
      </c>
      <c r="E81" s="193"/>
    </row>
    <row r="82" spans="1:5" s="181" customFormat="1" ht="18" customHeight="1">
      <c r="A82" s="265" t="s">
        <v>1980</v>
      </c>
      <c r="B82" s="192" t="s">
        <v>444</v>
      </c>
      <c r="C82" s="268"/>
      <c r="D82" s="707">
        <v>13442.340000000002</v>
      </c>
      <c r="E82" s="193"/>
    </row>
    <row r="83" spans="1:5" s="181" customFormat="1" ht="18" customHeight="1">
      <c r="A83" s="265" t="s">
        <v>1981</v>
      </c>
      <c r="B83" s="192" t="s">
        <v>444</v>
      </c>
      <c r="C83" s="268"/>
      <c r="D83" s="707">
        <v>16494.420000000002</v>
      </c>
      <c r="E83" s="193"/>
    </row>
    <row r="84" spans="1:5" s="181" customFormat="1" ht="18" customHeight="1">
      <c r="A84" s="265" t="s">
        <v>1982</v>
      </c>
      <c r="B84" s="192" t="s">
        <v>444</v>
      </c>
      <c r="C84" s="268"/>
      <c r="D84" s="707">
        <v>10343.16</v>
      </c>
      <c r="E84" s="193"/>
    </row>
    <row r="85" spans="1:5" s="181" customFormat="1" ht="18" customHeight="1">
      <c r="A85" s="265" t="s">
        <v>1983</v>
      </c>
      <c r="B85" s="192" t="s">
        <v>444</v>
      </c>
      <c r="C85" s="268"/>
      <c r="D85" s="707">
        <v>19960.980000000003</v>
      </c>
      <c r="E85" s="193"/>
    </row>
    <row r="86" spans="1:5" s="181" customFormat="1" ht="18" customHeight="1">
      <c r="A86" s="265" t="s">
        <v>1984</v>
      </c>
      <c r="B86" s="192" t="s">
        <v>444</v>
      </c>
      <c r="C86" s="268"/>
      <c r="D86" s="707">
        <v>14996.640000000001</v>
      </c>
      <c r="E86" s="193"/>
    </row>
    <row r="87" spans="1:5" s="181" customFormat="1" ht="18" customHeight="1">
      <c r="A87" s="265" t="s">
        <v>1985</v>
      </c>
      <c r="B87" s="192" t="s">
        <v>444</v>
      </c>
      <c r="C87" s="268"/>
      <c r="D87" s="707">
        <v>12236.580000000002</v>
      </c>
      <c r="E87" s="193"/>
    </row>
    <row r="88" spans="1:5" s="181" customFormat="1" ht="18" customHeight="1">
      <c r="A88" s="265" t="s">
        <v>1986</v>
      </c>
      <c r="B88" s="192" t="s">
        <v>444</v>
      </c>
      <c r="C88" s="268"/>
      <c r="D88" s="707">
        <v>3965.82</v>
      </c>
      <c r="E88" s="193"/>
    </row>
    <row r="89" spans="1:5" s="181" customFormat="1" ht="18" customHeight="1">
      <c r="A89" s="265" t="s">
        <v>1987</v>
      </c>
      <c r="B89" s="192" t="s">
        <v>444</v>
      </c>
      <c r="C89" s="268"/>
      <c r="D89" s="707">
        <v>5388.2400000000007</v>
      </c>
      <c r="E89" s="193"/>
    </row>
    <row r="90" spans="1:5" s="181" customFormat="1" ht="18" customHeight="1">
      <c r="A90" s="265" t="s">
        <v>1988</v>
      </c>
      <c r="B90" s="192" t="s">
        <v>444</v>
      </c>
      <c r="C90" s="268"/>
      <c r="D90" s="707">
        <v>21129.060000000005</v>
      </c>
      <c r="E90" s="193"/>
    </row>
    <row r="91" spans="1:5" s="181" customFormat="1" ht="18" customHeight="1">
      <c r="A91" s="265" t="s">
        <v>1989</v>
      </c>
      <c r="B91" s="192" t="s">
        <v>444</v>
      </c>
      <c r="C91" s="268"/>
      <c r="D91" s="707">
        <v>9843.909999999998</v>
      </c>
      <c r="E91" s="193"/>
    </row>
    <row r="92" spans="1:5" s="181" customFormat="1" ht="18" customHeight="1">
      <c r="A92" s="265" t="s">
        <v>1990</v>
      </c>
      <c r="B92" s="192" t="s">
        <v>444</v>
      </c>
      <c r="C92" s="268"/>
      <c r="D92" s="707">
        <v>13348.14</v>
      </c>
      <c r="E92" s="193"/>
    </row>
    <row r="93" spans="1:5" s="181" customFormat="1" ht="18" customHeight="1">
      <c r="A93" s="265" t="s">
        <v>1991</v>
      </c>
      <c r="B93" s="192" t="s">
        <v>444</v>
      </c>
      <c r="C93" s="268"/>
      <c r="D93" s="707">
        <v>53910.659999999989</v>
      </c>
      <c r="E93" s="193"/>
    </row>
    <row r="94" spans="1:5" s="181" customFormat="1" ht="18" customHeight="1">
      <c r="A94" s="265" t="s">
        <v>1992</v>
      </c>
      <c r="B94" s="192" t="s">
        <v>444</v>
      </c>
      <c r="C94" s="268"/>
      <c r="D94" s="707">
        <v>15477.060000000001</v>
      </c>
      <c r="E94" s="193"/>
    </row>
    <row r="95" spans="1:5" s="181" customFormat="1" ht="18" customHeight="1">
      <c r="A95" s="265" t="s">
        <v>1993</v>
      </c>
      <c r="B95" s="192" t="s">
        <v>444</v>
      </c>
      <c r="C95" s="268"/>
      <c r="D95" s="707">
        <v>9523.6200000000008</v>
      </c>
      <c r="E95" s="193"/>
    </row>
    <row r="96" spans="1:5" s="181" customFormat="1" ht="18" customHeight="1">
      <c r="A96" s="265" t="s">
        <v>1994</v>
      </c>
      <c r="B96" s="192" t="s">
        <v>444</v>
      </c>
      <c r="C96" s="268"/>
      <c r="D96" s="707">
        <v>5849.8200000000006</v>
      </c>
      <c r="E96" s="193"/>
    </row>
    <row r="97" spans="1:5" s="181" customFormat="1" ht="18" customHeight="1">
      <c r="A97" s="265" t="s">
        <v>1995</v>
      </c>
      <c r="B97" s="192" t="s">
        <v>444</v>
      </c>
      <c r="C97" s="268"/>
      <c r="D97" s="707">
        <v>8525.1</v>
      </c>
      <c r="E97" s="193"/>
    </row>
    <row r="98" spans="1:5" s="181" customFormat="1" ht="18" customHeight="1">
      <c r="A98" s="265" t="s">
        <v>1996</v>
      </c>
      <c r="B98" s="192" t="s">
        <v>444</v>
      </c>
      <c r="C98" s="268"/>
      <c r="D98" s="707">
        <f>79636.68+423.9</f>
        <v>80060.579999999987</v>
      </c>
      <c r="E98" s="193"/>
    </row>
    <row r="99" spans="1:5" s="181" customFormat="1" ht="18" customHeight="1">
      <c r="A99" s="265" t="s">
        <v>1997</v>
      </c>
      <c r="B99" s="192" t="s">
        <v>444</v>
      </c>
      <c r="C99" s="268"/>
      <c r="D99" s="707">
        <v>12867.72</v>
      </c>
      <c r="E99" s="193"/>
    </row>
    <row r="100" spans="1:5" s="181" customFormat="1" ht="18" customHeight="1">
      <c r="A100" s="265" t="s">
        <v>1998</v>
      </c>
      <c r="B100" s="192" t="s">
        <v>444</v>
      </c>
      <c r="C100" s="268"/>
      <c r="D100" s="707">
        <v>10390.26</v>
      </c>
      <c r="E100" s="193"/>
    </row>
    <row r="101" spans="1:5" s="181" customFormat="1" ht="18" customHeight="1">
      <c r="A101" s="265" t="s">
        <v>1999</v>
      </c>
      <c r="B101" s="192" t="s">
        <v>444</v>
      </c>
      <c r="C101" s="268"/>
      <c r="D101" s="707">
        <v>40911.060000000005</v>
      </c>
      <c r="E101" s="193"/>
    </row>
    <row r="102" spans="1:5" s="181" customFormat="1" ht="18" customHeight="1">
      <c r="A102" s="265" t="s">
        <v>2000</v>
      </c>
      <c r="B102" s="192" t="s">
        <v>444</v>
      </c>
      <c r="C102" s="268"/>
      <c r="D102" s="707">
        <v>64357.439999999995</v>
      </c>
      <c r="E102" s="193"/>
    </row>
    <row r="103" spans="1:5" s="181" customFormat="1" ht="18" customHeight="1">
      <c r="A103" s="265" t="s">
        <v>2001</v>
      </c>
      <c r="B103" s="192" t="s">
        <v>444</v>
      </c>
      <c r="C103" s="268"/>
      <c r="D103" s="707">
        <v>12848.880000000001</v>
      </c>
      <c r="E103" s="193"/>
    </row>
    <row r="104" spans="1:5" s="181" customFormat="1" ht="18" customHeight="1">
      <c r="A104" s="265" t="s">
        <v>2002</v>
      </c>
      <c r="B104" s="192" t="s">
        <v>444</v>
      </c>
      <c r="C104" s="268"/>
      <c r="D104" s="707">
        <v>6754.1400000000012</v>
      </c>
      <c r="E104" s="193"/>
    </row>
    <row r="105" spans="1:5" s="181" customFormat="1" ht="18" customHeight="1">
      <c r="A105" s="265" t="s">
        <v>2044</v>
      </c>
      <c r="B105" s="192" t="s">
        <v>444</v>
      </c>
      <c r="C105" s="268"/>
      <c r="D105" s="707">
        <v>13536.54</v>
      </c>
      <c r="E105" s="193"/>
    </row>
    <row r="106" spans="1:5" s="181" customFormat="1" ht="18" customHeight="1">
      <c r="A106" s="265" t="s">
        <v>2006</v>
      </c>
      <c r="B106" s="192" t="s">
        <v>444</v>
      </c>
      <c r="C106" s="268"/>
      <c r="D106" s="707">
        <v>23305.08</v>
      </c>
      <c r="E106" s="193"/>
    </row>
    <row r="107" spans="1:5" s="181" customFormat="1" ht="18" customHeight="1">
      <c r="A107" s="265" t="s">
        <v>2726</v>
      </c>
      <c r="B107" s="192" t="s">
        <v>444</v>
      </c>
      <c r="C107" s="268"/>
      <c r="D107" s="707">
        <v>12575.7</v>
      </c>
      <c r="E107" s="193"/>
    </row>
    <row r="108" spans="1:5" s="181" customFormat="1" ht="18" customHeight="1">
      <c r="A108" s="265" t="s">
        <v>2007</v>
      </c>
      <c r="B108" s="192" t="s">
        <v>444</v>
      </c>
      <c r="C108" s="268"/>
      <c r="D108" s="707">
        <v>52620.12000000001</v>
      </c>
      <c r="E108" s="193"/>
    </row>
    <row r="109" spans="1:5" s="181" customFormat="1" ht="18" customHeight="1">
      <c r="A109" s="265" t="s">
        <v>2008</v>
      </c>
      <c r="B109" s="192" t="s">
        <v>444</v>
      </c>
      <c r="C109" s="268"/>
      <c r="D109" s="707">
        <v>8054.1</v>
      </c>
      <c r="E109" s="193"/>
    </row>
    <row r="110" spans="1:5" s="181" customFormat="1" ht="18" customHeight="1">
      <c r="A110" s="265" t="s">
        <v>2009</v>
      </c>
      <c r="B110" s="192" t="s">
        <v>444</v>
      </c>
      <c r="C110" s="268"/>
      <c r="D110" s="707">
        <v>5661.42</v>
      </c>
      <c r="E110" s="193"/>
    </row>
    <row r="111" spans="1:5" s="181" customFormat="1" ht="18" customHeight="1">
      <c r="A111" s="265" t="s">
        <v>2010</v>
      </c>
      <c r="B111" s="192" t="s">
        <v>444</v>
      </c>
      <c r="C111" s="268"/>
      <c r="D111" s="707">
        <v>7950.4800000000014</v>
      </c>
      <c r="E111" s="193"/>
    </row>
    <row r="112" spans="1:5" s="181" customFormat="1" ht="18" customHeight="1">
      <c r="A112" s="265" t="s">
        <v>2011</v>
      </c>
      <c r="B112" s="192" t="s">
        <v>444</v>
      </c>
      <c r="C112" s="268"/>
      <c r="D112" s="707">
        <v>31086</v>
      </c>
      <c r="E112" s="193"/>
    </row>
    <row r="113" spans="1:5" s="181" customFormat="1" ht="18" customHeight="1">
      <c r="A113" s="265" t="s">
        <v>2012</v>
      </c>
      <c r="B113" s="192" t="s">
        <v>444</v>
      </c>
      <c r="C113" s="268"/>
      <c r="D113" s="707">
        <v>15137.94</v>
      </c>
      <c r="E113" s="193"/>
    </row>
    <row r="114" spans="1:5" s="181" customFormat="1" ht="18" customHeight="1">
      <c r="A114" s="265" t="s">
        <v>2013</v>
      </c>
      <c r="B114" s="192" t="s">
        <v>444</v>
      </c>
      <c r="C114" s="268"/>
      <c r="D114" s="707">
        <v>19913.88</v>
      </c>
      <c r="E114" s="193"/>
    </row>
    <row r="115" spans="1:5" s="181" customFormat="1" ht="18" customHeight="1">
      <c r="A115" s="265" t="s">
        <v>2045</v>
      </c>
      <c r="B115" s="192" t="s">
        <v>444</v>
      </c>
      <c r="C115" s="268"/>
      <c r="D115" s="707">
        <v>57009.840000000004</v>
      </c>
      <c r="E115" s="193"/>
    </row>
    <row r="116" spans="1:5" s="181" customFormat="1" ht="18" customHeight="1">
      <c r="A116" s="265" t="s">
        <v>2016</v>
      </c>
      <c r="B116" s="192" t="s">
        <v>444</v>
      </c>
      <c r="C116" s="268"/>
      <c r="D116" s="707">
        <v>15495.900000000001</v>
      </c>
      <c r="E116" s="193"/>
    </row>
    <row r="117" spans="1:5" s="181" customFormat="1" ht="18" customHeight="1">
      <c r="A117" s="265" t="s">
        <v>2018</v>
      </c>
      <c r="B117" s="192" t="s">
        <v>444</v>
      </c>
      <c r="C117" s="268"/>
      <c r="D117" s="707">
        <f>72364.44+376.8</f>
        <v>72741.240000000005</v>
      </c>
      <c r="E117" s="193"/>
    </row>
    <row r="118" spans="1:5" s="181" customFormat="1" ht="18" customHeight="1">
      <c r="A118" s="265" t="s">
        <v>2019</v>
      </c>
      <c r="B118" s="192" t="s">
        <v>444</v>
      </c>
      <c r="C118" s="268"/>
      <c r="D118" s="707">
        <v>43699.380000000005</v>
      </c>
      <c r="E118" s="193"/>
    </row>
    <row r="119" spans="1:5" s="181" customFormat="1" ht="18" customHeight="1">
      <c r="A119" s="265" t="s">
        <v>2020</v>
      </c>
      <c r="B119" s="192" t="s">
        <v>444</v>
      </c>
      <c r="C119" s="268"/>
      <c r="D119" s="707">
        <v>33365.679999999993</v>
      </c>
      <c r="E119" s="193"/>
    </row>
    <row r="120" spans="1:5" s="181" customFormat="1" ht="18" customHeight="1">
      <c r="A120" s="265" t="s">
        <v>2021</v>
      </c>
      <c r="B120" s="192" t="s">
        <v>444</v>
      </c>
      <c r="C120" s="268"/>
      <c r="D120" s="707">
        <v>63434.279999999992</v>
      </c>
      <c r="E120" s="193"/>
    </row>
    <row r="121" spans="1:5" s="181" customFormat="1" ht="18" customHeight="1">
      <c r="A121" s="265" t="s">
        <v>2022</v>
      </c>
      <c r="B121" s="192" t="s">
        <v>444</v>
      </c>
      <c r="C121" s="268"/>
      <c r="D121" s="707">
        <v>18321.899999999998</v>
      </c>
      <c r="E121" s="193"/>
    </row>
    <row r="122" spans="1:5" s="181" customFormat="1" ht="18" customHeight="1">
      <c r="A122" s="265" t="s">
        <v>2023</v>
      </c>
      <c r="B122" s="192" t="s">
        <v>444</v>
      </c>
      <c r="C122" s="268"/>
      <c r="D122" s="707">
        <v>6772.9800000000014</v>
      </c>
      <c r="E122" s="193"/>
    </row>
    <row r="123" spans="1:5" s="181" customFormat="1" ht="18" customHeight="1">
      <c r="A123" s="265" t="s">
        <v>2025</v>
      </c>
      <c r="B123" s="192" t="s">
        <v>444</v>
      </c>
      <c r="C123" s="268"/>
      <c r="D123" s="707">
        <v>36050.340000000004</v>
      </c>
      <c r="E123" s="193"/>
    </row>
    <row r="124" spans="1:5" s="181" customFormat="1" ht="18" customHeight="1">
      <c r="A124" s="265" t="s">
        <v>2024</v>
      </c>
      <c r="B124" s="192" t="s">
        <v>444</v>
      </c>
      <c r="C124" s="268"/>
      <c r="D124" s="707">
        <v>45131.22</v>
      </c>
      <c r="E124" s="193"/>
    </row>
    <row r="125" spans="1:5" s="181" customFormat="1" ht="18" customHeight="1">
      <c r="A125" s="265" t="s">
        <v>2026</v>
      </c>
      <c r="B125" s="192" t="s">
        <v>444</v>
      </c>
      <c r="C125" s="268"/>
      <c r="D125" s="707">
        <v>107312.64000000001</v>
      </c>
      <c r="E125" s="193"/>
    </row>
    <row r="126" spans="1:5" s="181" customFormat="1" ht="18" customHeight="1">
      <c r="A126" s="265" t="s">
        <v>2027</v>
      </c>
      <c r="B126" s="192" t="s">
        <v>444</v>
      </c>
      <c r="C126" s="268"/>
      <c r="D126" s="707">
        <v>9043.2000000000007</v>
      </c>
      <c r="E126" s="193"/>
    </row>
    <row r="127" spans="1:5" s="181" customFormat="1" ht="18" customHeight="1">
      <c r="A127" s="265" t="s">
        <v>2028</v>
      </c>
      <c r="B127" s="192" t="s">
        <v>444</v>
      </c>
      <c r="C127" s="268"/>
      <c r="D127" s="707">
        <v>34175.759999999987</v>
      </c>
      <c r="E127" s="193"/>
    </row>
    <row r="128" spans="1:5" s="181" customFormat="1" ht="18" customHeight="1">
      <c r="A128" s="265" t="s">
        <v>2030</v>
      </c>
      <c r="B128" s="192" t="s">
        <v>444</v>
      </c>
      <c r="C128" s="268"/>
      <c r="D128" s="707">
        <v>17342.22</v>
      </c>
      <c r="E128" s="193"/>
    </row>
    <row r="129" spans="1:5" s="181" customFormat="1" ht="18" customHeight="1">
      <c r="A129" s="265" t="s">
        <v>2031</v>
      </c>
      <c r="B129" s="192" t="s">
        <v>444</v>
      </c>
      <c r="C129" s="268"/>
      <c r="D129" s="707">
        <v>14921.28</v>
      </c>
      <c r="E129" s="193"/>
    </row>
    <row r="130" spans="1:5" s="181" customFormat="1" ht="18" customHeight="1">
      <c r="A130" s="265" t="s">
        <v>2046</v>
      </c>
      <c r="B130" s="192" t="s">
        <v>444</v>
      </c>
      <c r="C130" s="268"/>
      <c r="D130" s="707">
        <v>13696.679999999998</v>
      </c>
      <c r="E130" s="193"/>
    </row>
    <row r="131" spans="1:5" s="181" customFormat="1" ht="18" customHeight="1">
      <c r="A131" s="265" t="s">
        <v>2033</v>
      </c>
      <c r="B131" s="192" t="s">
        <v>444</v>
      </c>
      <c r="C131" s="268"/>
      <c r="D131" s="707">
        <v>22457.280000000002</v>
      </c>
      <c r="E131" s="193"/>
    </row>
    <row r="132" spans="1:5" s="181" customFormat="1" ht="18" customHeight="1">
      <c r="A132" s="265" t="s">
        <v>2034</v>
      </c>
      <c r="B132" s="192" t="s">
        <v>444</v>
      </c>
      <c r="C132" s="268"/>
      <c r="D132" s="707">
        <v>8195.4</v>
      </c>
      <c r="E132" s="193"/>
    </row>
    <row r="133" spans="1:5" ht="8.25" customHeight="1"/>
    <row r="134" spans="1:5" s="181" customFormat="1" ht="30" customHeight="1" outlineLevel="1" collapsed="1">
      <c r="A134" s="559" t="s">
        <v>174</v>
      </c>
      <c r="B134" s="560"/>
      <c r="C134" s="561"/>
      <c r="D134" s="562">
        <f>SUM(D67:D133)</f>
        <v>1530429.7699999996</v>
      </c>
      <c r="E134" s="180"/>
    </row>
    <row r="135" spans="1:5" customFormat="1" ht="9" customHeight="1">
      <c r="A135" s="196"/>
      <c r="B135" s="197"/>
      <c r="C135" s="198"/>
      <c r="D135" s="191"/>
      <c r="E135" s="198"/>
    </row>
    <row r="136" spans="1:5" s="181" customFormat="1" ht="30" customHeight="1" outlineLevel="1" collapsed="1">
      <c r="A136" s="559" t="s">
        <v>7750</v>
      </c>
      <c r="B136" s="560"/>
      <c r="C136" s="561"/>
      <c r="D136" s="562">
        <f>D134+D65</f>
        <v>1795041.1029999997</v>
      </c>
      <c r="E136" s="180"/>
    </row>
    <row r="137" spans="1:5" ht="14.65" customHeight="1">
      <c r="D137" s="199"/>
    </row>
    <row r="138" spans="1:5" customFormat="1" ht="15.75" customHeight="1">
      <c r="A138" s="186"/>
      <c r="B138" s="187"/>
      <c r="C138" s="200"/>
      <c r="D138" s="201"/>
      <c r="E138" s="202"/>
    </row>
    <row r="139" spans="1:5" customFormat="1" ht="15.75" hidden="1" customHeight="1">
      <c r="A139" s="186"/>
      <c r="B139" s="187"/>
      <c r="C139" s="200"/>
      <c r="D139" s="201"/>
      <c r="E139" s="202"/>
    </row>
    <row r="140" spans="1:5" customFormat="1" ht="20.100000000000001" hidden="1" customHeight="1">
      <c r="A140" s="182" t="s">
        <v>159</v>
      </c>
      <c r="B140" s="183"/>
      <c r="C140" s="184"/>
      <c r="D140" s="195"/>
      <c r="E140" s="195"/>
    </row>
    <row r="141" spans="1:5" customFormat="1" ht="20.100000000000001" hidden="1" customHeight="1">
      <c r="A141" s="182" t="s">
        <v>160</v>
      </c>
      <c r="B141" s="183"/>
      <c r="C141" s="184"/>
      <c r="D141" s="195"/>
    </row>
    <row r="142" spans="1:5" customFormat="1" ht="20.100000000000001" hidden="1" customHeight="1">
      <c r="A142" s="182" t="s">
        <v>161</v>
      </c>
      <c r="B142" s="183"/>
      <c r="C142" s="184"/>
      <c r="D142" s="195"/>
    </row>
    <row r="143" spans="1:5" customFormat="1" ht="20.100000000000001" hidden="1" customHeight="1">
      <c r="A143" s="182" t="s">
        <v>162</v>
      </c>
      <c r="B143" s="183"/>
      <c r="C143" s="184"/>
      <c r="D143" s="195"/>
    </row>
    <row r="144" spans="1:5" customFormat="1" ht="20.100000000000001" hidden="1" customHeight="1">
      <c r="A144" s="182" t="s">
        <v>163</v>
      </c>
      <c r="B144" s="183"/>
      <c r="C144" s="184"/>
      <c r="D144" s="195"/>
    </row>
    <row r="145" spans="1:5" customFormat="1" ht="20.100000000000001" hidden="1" customHeight="1">
      <c r="A145" s="182" t="s">
        <v>125</v>
      </c>
      <c r="B145" s="183"/>
      <c r="C145" s="184"/>
      <c r="D145" s="195"/>
    </row>
    <row r="146" spans="1:5" customFormat="1" ht="20.100000000000001" hidden="1" customHeight="1">
      <c r="A146" s="182" t="s">
        <v>164</v>
      </c>
      <c r="B146" s="183"/>
      <c r="C146" s="184"/>
      <c r="D146" s="195"/>
    </row>
    <row r="147" spans="1:5" customFormat="1" ht="20.100000000000001" hidden="1" customHeight="1">
      <c r="A147" s="182" t="s">
        <v>165</v>
      </c>
      <c r="B147" s="183"/>
      <c r="C147" s="184"/>
      <c r="D147" s="195"/>
    </row>
    <row r="148" spans="1:5" customFormat="1" ht="20.100000000000001" hidden="1" customHeight="1">
      <c r="A148" s="182" t="s">
        <v>126</v>
      </c>
      <c r="B148" s="183"/>
      <c r="C148" s="184"/>
      <c r="D148" s="195"/>
    </row>
    <row r="149" spans="1:5" customFormat="1" ht="20.100000000000001" hidden="1" customHeight="1">
      <c r="A149" s="182" t="s">
        <v>166</v>
      </c>
      <c r="B149" s="183"/>
      <c r="C149" s="184"/>
      <c r="D149" s="195"/>
    </row>
    <row r="150" spans="1:5" ht="20.100000000000001" hidden="1" customHeight="1">
      <c r="A150" s="182" t="s">
        <v>167</v>
      </c>
      <c r="B150" s="183"/>
      <c r="C150" s="184"/>
      <c r="E150"/>
    </row>
    <row r="151" spans="1:5" ht="20.100000000000001" hidden="1" customHeight="1">
      <c r="A151" s="182" t="s">
        <v>168</v>
      </c>
      <c r="B151" s="183"/>
      <c r="C151" s="184"/>
      <c r="E151"/>
    </row>
    <row r="152" spans="1:5" ht="20.100000000000001" hidden="1" customHeight="1">
      <c r="A152" s="182" t="s">
        <v>169</v>
      </c>
      <c r="B152" s="183"/>
      <c r="C152" s="184"/>
      <c r="E152"/>
    </row>
    <row r="153" spans="1:5" ht="20.100000000000001" hidden="1" customHeight="1">
      <c r="A153" s="182" t="s">
        <v>170</v>
      </c>
      <c r="B153" s="183"/>
      <c r="C153" s="184"/>
      <c r="E153"/>
    </row>
    <row r="154" spans="1:5" ht="20.100000000000001" hidden="1" customHeight="1">
      <c r="A154" s="182" t="s">
        <v>171</v>
      </c>
      <c r="B154" s="183"/>
      <c r="C154" s="184"/>
      <c r="E154"/>
    </row>
    <row r="155" spans="1:5" ht="20.100000000000001" hidden="1" customHeight="1">
      <c r="A155" s="182" t="s">
        <v>172</v>
      </c>
      <c r="B155" s="183"/>
      <c r="C155" s="184"/>
      <c r="E155"/>
    </row>
    <row r="156" spans="1:5" ht="20.100000000000001" hidden="1" customHeight="1">
      <c r="A156" s="182" t="s">
        <v>124</v>
      </c>
      <c r="B156" s="183"/>
      <c r="C156" s="184"/>
      <c r="E156"/>
    </row>
    <row r="157" spans="1:5" ht="18" hidden="1" customHeight="1"/>
    <row r="159" spans="1:5" ht="18" customHeight="1">
      <c r="D159" s="345"/>
    </row>
    <row r="160" spans="1:5" ht="18" customHeight="1">
      <c r="D160" s="344"/>
    </row>
  </sheetData>
  <sortState ref="A6:D46">
    <sortCondition ref="A6:A46"/>
    <sortCondition ref="C6:C46"/>
  </sortState>
  <mergeCells count="3">
    <mergeCell ref="A1:E1"/>
    <mergeCell ref="A2:E2"/>
    <mergeCell ref="A3:E3"/>
  </mergeCells>
  <conditionalFormatting sqref="E6:F63 E65:F65 E134:F134 E136:F136">
    <cfRule type="cellIs" dxfId="0" priority="7" stopIfTrue="1" operator="equal">
      <formula>"""a"""</formula>
    </cfRule>
  </conditionalFormatting>
  <printOptions horizontalCentered="1"/>
  <pageMargins left="0.59055118110236227" right="0.59055118110236227" top="0.59055118110236227" bottom="0.78740157480314965" header="0.51181102362204722" footer="0.59055118110236227"/>
  <pageSetup paperSize="9" scale="63" firstPageNumber="156" fitToHeight="5" orientation="landscape" useFirstPageNumber="1" r:id="rId1"/>
  <headerFooter alignWithMargins="0">
    <oddFooter>&amp;C&amp;12página &amp;P</oddFooter>
  </headerFooter>
  <rowBreaks count="4" manualBreakCount="4">
    <brk id="33" max="4" man="1"/>
    <brk id="65" max="4" man="1"/>
    <brk id="101" max="4" man="1"/>
    <brk id="136" max="4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514"/>
  <sheetViews>
    <sheetView showGridLines="0" view="pageBreakPreview" topLeftCell="C223" zoomScale="80" zoomScaleNormal="80" zoomScaleSheetLayoutView="80" workbookViewId="0">
      <selection activeCell="F13" sqref="F13"/>
    </sheetView>
  </sheetViews>
  <sheetFormatPr defaultColWidth="9.140625" defaultRowHeight="14.25" outlineLevelRow="2"/>
  <cols>
    <col min="1" max="1" width="20.140625" style="112" hidden="1" customWidth="1"/>
    <col min="2" max="2" width="20.28515625" style="469" hidden="1" customWidth="1"/>
    <col min="3" max="3" width="16.140625" style="579" customWidth="1"/>
    <col min="4" max="4" width="17.140625" style="112" customWidth="1"/>
    <col min="5" max="5" width="45.85546875" style="112" customWidth="1"/>
    <col min="6" max="6" width="86.28515625" style="112" customWidth="1"/>
    <col min="7" max="7" width="33.140625" style="112" customWidth="1"/>
    <col min="8" max="8" width="11.85546875" style="579" customWidth="1"/>
    <col min="9" max="9" width="19.140625" style="740" customWidth="1"/>
    <col min="10" max="10" width="20.7109375" style="112" customWidth="1"/>
    <col min="11" max="11" width="19" style="112" hidden="1" customWidth="1"/>
    <col min="12" max="16384" width="9.140625" style="112"/>
  </cols>
  <sheetData>
    <row r="1" spans="1:11" s="479" customFormat="1" ht="27">
      <c r="A1" s="84"/>
      <c r="B1" s="708"/>
      <c r="C1" s="716"/>
      <c r="D1" s="717"/>
      <c r="E1" s="710"/>
      <c r="F1" s="718" t="s">
        <v>175</v>
      </c>
      <c r="G1" s="710"/>
      <c r="H1" s="713"/>
      <c r="I1" s="719"/>
      <c r="J1" s="715"/>
      <c r="K1" s="533"/>
    </row>
    <row r="2" spans="1:11" s="504" customFormat="1" ht="22.5">
      <c r="A2" s="84"/>
      <c r="B2" s="708"/>
      <c r="C2" s="720"/>
      <c r="D2" s="721"/>
      <c r="E2" s="722"/>
      <c r="F2" s="742" t="str">
        <f>Resumo!E3</f>
        <v>Abril-16</v>
      </c>
      <c r="G2" s="743"/>
      <c r="H2" s="723"/>
      <c r="I2" s="724"/>
      <c r="J2" s="715"/>
      <c r="K2" s="533"/>
    </row>
    <row r="3" spans="1:11" s="84" customFormat="1" ht="33" thickBot="1">
      <c r="B3" s="708"/>
      <c r="C3" s="709"/>
      <c r="D3" s="710"/>
      <c r="E3" s="711"/>
      <c r="F3" s="712" t="s">
        <v>111</v>
      </c>
      <c r="G3" s="711"/>
      <c r="H3" s="713"/>
      <c r="I3" s="714"/>
      <c r="J3" s="715"/>
      <c r="K3" s="715"/>
    </row>
    <row r="4" spans="1:11" s="84" customFormat="1" ht="35.25" customHeight="1" thickBot="1">
      <c r="A4" s="490" t="s">
        <v>2078</v>
      </c>
      <c r="B4" s="490" t="s">
        <v>2077</v>
      </c>
      <c r="C4" s="975" t="s">
        <v>176</v>
      </c>
      <c r="D4" s="976"/>
      <c r="E4" s="961" t="s">
        <v>114</v>
      </c>
      <c r="F4" s="976" t="s">
        <v>115</v>
      </c>
      <c r="G4" s="976" t="s">
        <v>116</v>
      </c>
      <c r="H4" s="976" t="s">
        <v>117</v>
      </c>
      <c r="I4" s="977" t="s">
        <v>118</v>
      </c>
      <c r="J4" s="978" t="s">
        <v>119</v>
      </c>
      <c r="K4" s="715"/>
    </row>
    <row r="5" spans="1:11" s="479" customFormat="1" outlineLevel="2">
      <c r="A5" s="347"/>
      <c r="B5" s="481" t="s">
        <v>258</v>
      </c>
      <c r="C5" s="481" t="s">
        <v>177</v>
      </c>
      <c r="D5" s="479" t="s">
        <v>6621</v>
      </c>
      <c r="E5" s="479" t="s">
        <v>1909</v>
      </c>
      <c r="F5" s="479" t="s">
        <v>1910</v>
      </c>
      <c r="G5" s="489"/>
      <c r="H5" s="726">
        <v>42430</v>
      </c>
      <c r="I5" s="727">
        <v>42485</v>
      </c>
      <c r="J5" s="533">
        <v>1486.97</v>
      </c>
      <c r="K5" s="533"/>
    </row>
    <row r="6" spans="1:11" s="479" customFormat="1" outlineLevel="2">
      <c r="A6" s="347"/>
      <c r="B6" s="481" t="s">
        <v>258</v>
      </c>
      <c r="C6" s="481" t="s">
        <v>177</v>
      </c>
      <c r="D6" s="479" t="s">
        <v>6586</v>
      </c>
      <c r="E6" s="479" t="s">
        <v>1909</v>
      </c>
      <c r="F6" s="479" t="s">
        <v>2050</v>
      </c>
      <c r="G6" s="489"/>
      <c r="H6" s="726">
        <v>42430</v>
      </c>
      <c r="I6" s="727">
        <v>42485</v>
      </c>
      <c r="J6" s="533">
        <v>322.83</v>
      </c>
      <c r="K6" s="533"/>
    </row>
    <row r="7" spans="1:11" s="479" customFormat="1" outlineLevel="1">
      <c r="A7" s="347"/>
      <c r="B7" s="481"/>
      <c r="C7" s="902" t="s">
        <v>177</v>
      </c>
      <c r="D7" s="733" t="str">
        <f>VLOOKUP(C7,$C$261:$D$333,2,FALSE)</f>
        <v xml:space="preserve"> PRESIDENTE PRUDENTE</v>
      </c>
      <c r="E7" s="733"/>
      <c r="F7" s="733"/>
      <c r="G7" s="744"/>
      <c r="H7" s="745"/>
      <c r="I7" s="741"/>
      <c r="J7" s="563">
        <f>SUBTOTAL(9,J5:J6)</f>
        <v>1809.8</v>
      </c>
      <c r="K7" s="533"/>
    </row>
    <row r="8" spans="1:11" s="479" customFormat="1" outlineLevel="2">
      <c r="A8" s="347"/>
      <c r="B8" s="481" t="s">
        <v>258</v>
      </c>
      <c r="C8" s="481" t="s">
        <v>178</v>
      </c>
      <c r="D8" s="479" t="s">
        <v>6584</v>
      </c>
      <c r="E8" s="479" t="s">
        <v>1909</v>
      </c>
      <c r="F8" s="479" t="s">
        <v>1910</v>
      </c>
      <c r="G8" s="489"/>
      <c r="H8" s="726">
        <v>42430</v>
      </c>
      <c r="I8" s="727">
        <v>42485</v>
      </c>
      <c r="J8" s="533">
        <v>942.87</v>
      </c>
      <c r="K8" s="533"/>
    </row>
    <row r="9" spans="1:11" s="479" customFormat="1" outlineLevel="2">
      <c r="A9" s="347"/>
      <c r="B9" s="481" t="s">
        <v>258</v>
      </c>
      <c r="C9" s="481" t="s">
        <v>178</v>
      </c>
      <c r="D9" s="479" t="s">
        <v>6584</v>
      </c>
      <c r="E9" s="479" t="s">
        <v>1909</v>
      </c>
      <c r="F9" s="479" t="s">
        <v>2050</v>
      </c>
      <c r="G9" s="489"/>
      <c r="H9" s="726">
        <v>42430</v>
      </c>
      <c r="I9" s="727">
        <v>42485</v>
      </c>
      <c r="J9" s="533">
        <v>204.7</v>
      </c>
      <c r="K9" s="533"/>
    </row>
    <row r="10" spans="1:11" s="479" customFormat="1" outlineLevel="1">
      <c r="A10" s="347"/>
      <c r="B10" s="481"/>
      <c r="C10" s="903" t="s">
        <v>178</v>
      </c>
      <c r="D10" s="733" t="str">
        <f>VLOOKUP(C10,$C$261:$D$333,2,FALSE)</f>
        <v xml:space="preserve"> MARÍLIA</v>
      </c>
      <c r="E10" s="733"/>
      <c r="F10" s="733"/>
      <c r="G10" s="744"/>
      <c r="H10" s="745"/>
      <c r="I10" s="741"/>
      <c r="J10" s="563">
        <f>SUBTOTAL(9,J8:J9)</f>
        <v>1147.57</v>
      </c>
      <c r="K10" s="533"/>
    </row>
    <row r="11" spans="1:11" s="479" customFormat="1" outlineLevel="2">
      <c r="A11" s="347"/>
      <c r="B11" s="481" t="s">
        <v>258</v>
      </c>
      <c r="C11" s="481" t="s">
        <v>179</v>
      </c>
      <c r="D11" s="479" t="s">
        <v>6576</v>
      </c>
      <c r="E11" s="479" t="s">
        <v>1909</v>
      </c>
      <c r="F11" s="479" t="s">
        <v>1910</v>
      </c>
      <c r="G11" s="489"/>
      <c r="H11" s="726">
        <v>42430</v>
      </c>
      <c r="I11" s="727">
        <v>42485</v>
      </c>
      <c r="J11" s="533">
        <v>1049.54</v>
      </c>
      <c r="K11" s="533"/>
    </row>
    <row r="12" spans="1:11" s="479" customFormat="1" outlineLevel="2">
      <c r="A12" s="347"/>
      <c r="B12" s="481" t="s">
        <v>258</v>
      </c>
      <c r="C12" s="481" t="s">
        <v>179</v>
      </c>
      <c r="D12" s="479" t="s">
        <v>6576</v>
      </c>
      <c r="E12" s="479" t="s">
        <v>1909</v>
      </c>
      <c r="F12" s="479" t="s">
        <v>2050</v>
      </c>
      <c r="G12" s="489"/>
      <c r="H12" s="726">
        <v>42430</v>
      </c>
      <c r="I12" s="727">
        <v>42485</v>
      </c>
      <c r="J12" s="533">
        <v>227.86</v>
      </c>
      <c r="K12" s="533"/>
    </row>
    <row r="13" spans="1:11" s="479" customFormat="1" outlineLevel="1">
      <c r="A13" s="347"/>
      <c r="B13" s="481"/>
      <c r="C13" s="903" t="s">
        <v>179</v>
      </c>
      <c r="D13" s="733" t="str">
        <f>VLOOKUP(C13,$C$261:$D$333,2,FALSE)</f>
        <v xml:space="preserve"> ARAÇATUBA</v>
      </c>
      <c r="E13" s="733"/>
      <c r="F13" s="733"/>
      <c r="G13" s="744"/>
      <c r="H13" s="745"/>
      <c r="I13" s="741"/>
      <c r="J13" s="563">
        <f>SUBTOTAL(9,J11:J12)</f>
        <v>1277.4000000000001</v>
      </c>
      <c r="K13" s="533"/>
    </row>
    <row r="14" spans="1:11" s="479" customFormat="1" outlineLevel="2">
      <c r="A14" s="347"/>
      <c r="B14" s="481" t="s">
        <v>258</v>
      </c>
      <c r="C14" s="481" t="s">
        <v>180</v>
      </c>
      <c r="D14" s="479" t="s">
        <v>6622</v>
      </c>
      <c r="E14" s="479" t="s">
        <v>1909</v>
      </c>
      <c r="F14" s="479" t="s">
        <v>1910</v>
      </c>
      <c r="G14" s="489"/>
      <c r="H14" s="726">
        <v>42430</v>
      </c>
      <c r="I14" s="727">
        <v>42485</v>
      </c>
      <c r="J14" s="533">
        <v>1084.6199999999999</v>
      </c>
      <c r="K14" s="533"/>
    </row>
    <row r="15" spans="1:11" s="479" customFormat="1" outlineLevel="2">
      <c r="A15" s="347"/>
      <c r="B15" s="481" t="s">
        <v>258</v>
      </c>
      <c r="C15" s="481" t="s">
        <v>180</v>
      </c>
      <c r="D15" s="479" t="s">
        <v>6587</v>
      </c>
      <c r="E15" s="479" t="s">
        <v>1909</v>
      </c>
      <c r="F15" s="479" t="s">
        <v>2050</v>
      </c>
      <c r="G15" s="489"/>
      <c r="H15" s="726">
        <v>42430</v>
      </c>
      <c r="I15" s="727">
        <v>42485</v>
      </c>
      <c r="J15" s="533">
        <v>235.48</v>
      </c>
      <c r="K15" s="533"/>
    </row>
    <row r="16" spans="1:11" s="479" customFormat="1" outlineLevel="1">
      <c r="A16" s="347"/>
      <c r="B16" s="481"/>
      <c r="C16" s="903" t="s">
        <v>180</v>
      </c>
      <c r="D16" s="733" t="str">
        <f>VLOOKUP(C16,$C$261:$D$333,2,FALSE)</f>
        <v xml:space="preserve"> RIO CLARO</v>
      </c>
      <c r="E16" s="733"/>
      <c r="F16" s="733"/>
      <c r="G16" s="744"/>
      <c r="H16" s="745"/>
      <c r="I16" s="741"/>
      <c r="J16" s="563">
        <f>SUBTOTAL(9,J14:J15)</f>
        <v>1320.1</v>
      </c>
      <c r="K16" s="533"/>
    </row>
    <row r="17" spans="1:11" s="479" customFormat="1" outlineLevel="2">
      <c r="A17" s="347"/>
      <c r="B17" s="481" t="s">
        <v>258</v>
      </c>
      <c r="C17" s="481" t="s">
        <v>181</v>
      </c>
      <c r="D17" s="479" t="s">
        <v>6623</v>
      </c>
      <c r="E17" s="479" t="s">
        <v>1909</v>
      </c>
      <c r="F17" s="479" t="s">
        <v>1910</v>
      </c>
      <c r="G17" s="489"/>
      <c r="H17" s="726">
        <v>42430</v>
      </c>
      <c r="I17" s="727">
        <v>42485</v>
      </c>
      <c r="J17" s="533">
        <v>1519.36</v>
      </c>
      <c r="K17" s="533"/>
    </row>
    <row r="18" spans="1:11" s="479" customFormat="1" outlineLevel="2">
      <c r="A18" s="347"/>
      <c r="B18" s="481"/>
      <c r="C18" s="481" t="s">
        <v>181</v>
      </c>
      <c r="D18" s="479" t="s">
        <v>91</v>
      </c>
      <c r="E18" s="479" t="s">
        <v>1909</v>
      </c>
      <c r="F18" s="479" t="s">
        <v>2050</v>
      </c>
      <c r="G18" s="489"/>
      <c r="H18" s="726">
        <v>42430</v>
      </c>
      <c r="I18" s="727">
        <v>42485</v>
      </c>
      <c r="J18" s="533">
        <v>329.86</v>
      </c>
      <c r="K18" s="533"/>
    </row>
    <row r="19" spans="1:11" s="479" customFormat="1" outlineLevel="1">
      <c r="A19" s="347"/>
      <c r="B19" s="481"/>
      <c r="C19" s="903" t="s">
        <v>181</v>
      </c>
      <c r="D19" s="733" t="str">
        <f>VLOOKUP(C19,$C$261:$D$333,2,FALSE)</f>
        <v xml:space="preserve"> CIDADE ADEMAR</v>
      </c>
      <c r="E19" s="733"/>
      <c r="F19" s="733"/>
      <c r="G19" s="744"/>
      <c r="H19" s="745"/>
      <c r="I19" s="741"/>
      <c r="J19" s="563">
        <f>SUBTOTAL(9,J17:J18)</f>
        <v>1849.2199999999998</v>
      </c>
      <c r="K19" s="533"/>
    </row>
    <row r="20" spans="1:11" s="479" customFormat="1" outlineLevel="2">
      <c r="A20" s="347"/>
      <c r="B20" s="481" t="s">
        <v>258</v>
      </c>
      <c r="C20" s="481" t="s">
        <v>182</v>
      </c>
      <c r="D20" s="479" t="s">
        <v>6590</v>
      </c>
      <c r="E20" s="479" t="s">
        <v>1909</v>
      </c>
      <c r="F20" s="479" t="s">
        <v>1910</v>
      </c>
      <c r="G20" s="489"/>
      <c r="H20" s="726">
        <v>42430</v>
      </c>
      <c r="I20" s="727">
        <v>42485</v>
      </c>
      <c r="J20" s="533">
        <v>940.72</v>
      </c>
      <c r="K20" s="533"/>
    </row>
    <row r="21" spans="1:11" s="479" customFormat="1" outlineLevel="2">
      <c r="A21" s="347"/>
      <c r="B21" s="481" t="s">
        <v>258</v>
      </c>
      <c r="C21" s="481" t="s">
        <v>182</v>
      </c>
      <c r="D21" s="896" t="s">
        <v>6590</v>
      </c>
      <c r="E21" s="479" t="s">
        <v>1909</v>
      </c>
      <c r="F21" s="479" t="s">
        <v>2050</v>
      </c>
      <c r="G21" s="489"/>
      <c r="H21" s="726">
        <v>42430</v>
      </c>
      <c r="I21" s="727">
        <v>42485</v>
      </c>
      <c r="J21" s="533">
        <v>204.24</v>
      </c>
      <c r="K21" s="533"/>
    </row>
    <row r="22" spans="1:11" s="479" customFormat="1" outlineLevel="1">
      <c r="A22" s="347"/>
      <c r="B22" s="481"/>
      <c r="C22" s="903" t="s">
        <v>182</v>
      </c>
      <c r="D22" s="733" t="str">
        <f>VLOOKUP(C22,$C$261:$D$333,2,FALSE)</f>
        <v xml:space="preserve"> TATUÍ</v>
      </c>
      <c r="E22" s="733"/>
      <c r="F22" s="733"/>
      <c r="G22" s="744"/>
      <c r="H22" s="745"/>
      <c r="I22" s="741"/>
      <c r="J22" s="563">
        <f>SUBTOTAL(9,J20:J21)</f>
        <v>1144.96</v>
      </c>
      <c r="K22" s="533"/>
    </row>
    <row r="23" spans="1:11" s="479" customFormat="1" outlineLevel="2">
      <c r="A23" s="347"/>
      <c r="B23" s="481" t="s">
        <v>258</v>
      </c>
      <c r="C23" s="481" t="s">
        <v>183</v>
      </c>
      <c r="D23" s="895" t="s">
        <v>88</v>
      </c>
      <c r="E23" s="479" t="s">
        <v>1909</v>
      </c>
      <c r="F23" s="479" t="s">
        <v>1910</v>
      </c>
      <c r="G23" s="489"/>
      <c r="H23" s="726">
        <v>42430</v>
      </c>
      <c r="I23" s="727">
        <v>42485</v>
      </c>
      <c r="J23" s="533">
        <v>779.64</v>
      </c>
      <c r="K23" s="533"/>
    </row>
    <row r="24" spans="1:11" s="479" customFormat="1" outlineLevel="2">
      <c r="A24" s="347"/>
      <c r="B24" s="481" t="s">
        <v>258</v>
      </c>
      <c r="C24" s="481" t="s">
        <v>183</v>
      </c>
      <c r="D24" s="895" t="s">
        <v>88</v>
      </c>
      <c r="E24" s="479" t="s">
        <v>1909</v>
      </c>
      <c r="F24" s="479" t="s">
        <v>2050</v>
      </c>
      <c r="G24" s="489"/>
      <c r="H24" s="726">
        <v>42430</v>
      </c>
      <c r="I24" s="727">
        <v>42485</v>
      </c>
      <c r="J24" s="533">
        <v>169.26</v>
      </c>
      <c r="K24" s="533"/>
    </row>
    <row r="25" spans="1:11" s="479" customFormat="1" outlineLevel="1">
      <c r="A25" s="347"/>
      <c r="B25" s="481"/>
      <c r="C25" s="903" t="s">
        <v>183</v>
      </c>
      <c r="D25" s="733" t="str">
        <f>VLOOKUP(C25,$C$261:$D$333,2,FALSE)</f>
        <v xml:space="preserve"> BOTUCATU</v>
      </c>
      <c r="E25" s="733"/>
      <c r="F25" s="733"/>
      <c r="G25" s="744"/>
      <c r="H25" s="745"/>
      <c r="I25" s="741"/>
      <c r="J25" s="563">
        <f>SUBTOTAL(9,J23:J24)</f>
        <v>948.9</v>
      </c>
      <c r="K25" s="533"/>
    </row>
    <row r="26" spans="1:11" s="479" customFormat="1" outlineLevel="2">
      <c r="A26" s="347"/>
      <c r="B26" s="481" t="s">
        <v>258</v>
      </c>
      <c r="C26" s="481" t="s">
        <v>184</v>
      </c>
      <c r="D26" s="895" t="s">
        <v>6579</v>
      </c>
      <c r="E26" s="479" t="s">
        <v>1909</v>
      </c>
      <c r="F26" s="479" t="s">
        <v>1910</v>
      </c>
      <c r="G26" s="489"/>
      <c r="H26" s="726">
        <v>42430</v>
      </c>
      <c r="I26" s="727">
        <v>42485</v>
      </c>
      <c r="J26" s="533">
        <v>845.5</v>
      </c>
      <c r="K26" s="533"/>
    </row>
    <row r="27" spans="1:11" s="479" customFormat="1" outlineLevel="2">
      <c r="A27" s="347"/>
      <c r="B27" s="481" t="s">
        <v>258</v>
      </c>
      <c r="C27" s="481" t="s">
        <v>184</v>
      </c>
      <c r="D27" s="895" t="s">
        <v>6579</v>
      </c>
      <c r="E27" s="479" t="s">
        <v>1909</v>
      </c>
      <c r="F27" s="479" t="s">
        <v>2050</v>
      </c>
      <c r="G27" s="489"/>
      <c r="H27" s="726">
        <v>42430</v>
      </c>
      <c r="I27" s="727">
        <v>42485</v>
      </c>
      <c r="J27" s="533">
        <v>183.56</v>
      </c>
      <c r="K27" s="533"/>
    </row>
    <row r="28" spans="1:11" s="479" customFormat="1" outlineLevel="1">
      <c r="A28" s="347"/>
      <c r="B28" s="481"/>
      <c r="C28" s="903" t="s">
        <v>184</v>
      </c>
      <c r="D28" s="733" t="str">
        <f>VLOOKUP(C28,$C$261:$D$333,2,FALSE)</f>
        <v xml:space="preserve"> CARAGUATATUBA</v>
      </c>
      <c r="E28" s="733"/>
      <c r="F28" s="733"/>
      <c r="G28" s="744"/>
      <c r="H28" s="745"/>
      <c r="I28" s="741"/>
      <c r="J28" s="563">
        <f>SUBTOTAL(9,J26:J27)</f>
        <v>1029.06</v>
      </c>
      <c r="K28" s="533"/>
    </row>
    <row r="29" spans="1:11" s="479" customFormat="1" outlineLevel="2">
      <c r="A29" s="347"/>
      <c r="B29" s="481" t="s">
        <v>258</v>
      </c>
      <c r="C29" s="481" t="s">
        <v>186</v>
      </c>
      <c r="D29" s="895" t="s">
        <v>6624</v>
      </c>
      <c r="E29" s="479" t="s">
        <v>1909</v>
      </c>
      <c r="F29" s="479" t="s">
        <v>1910</v>
      </c>
      <c r="G29" s="489"/>
      <c r="H29" s="726">
        <v>42430</v>
      </c>
      <c r="I29" s="727">
        <v>42485</v>
      </c>
      <c r="J29" s="533">
        <v>1247.8499999999999</v>
      </c>
      <c r="K29" s="533"/>
    </row>
    <row r="30" spans="1:11" s="479" customFormat="1" outlineLevel="2">
      <c r="A30" s="347"/>
      <c r="B30" s="481" t="s">
        <v>258</v>
      </c>
      <c r="C30" s="481" t="s">
        <v>186</v>
      </c>
      <c r="D30" s="895" t="s">
        <v>6588</v>
      </c>
      <c r="E30" s="479" t="s">
        <v>1909</v>
      </c>
      <c r="F30" s="479" t="s">
        <v>2050</v>
      </c>
      <c r="G30" s="489"/>
      <c r="H30" s="726">
        <v>42430</v>
      </c>
      <c r="I30" s="727">
        <v>42485</v>
      </c>
      <c r="J30" s="533">
        <v>270.91000000000003</v>
      </c>
      <c r="K30" s="533"/>
    </row>
    <row r="31" spans="1:11" s="479" customFormat="1" outlineLevel="1">
      <c r="A31" s="492"/>
      <c r="B31" s="565"/>
      <c r="C31" s="904" t="s">
        <v>186</v>
      </c>
      <c r="D31" s="733" t="str">
        <f>VLOOKUP(C31,$C$261:$D$333,2,FALSE)</f>
        <v xml:space="preserve"> SÃO CARLOS</v>
      </c>
      <c r="E31" s="554"/>
      <c r="F31" s="554"/>
      <c r="G31" s="554"/>
      <c r="H31" s="905"/>
      <c r="I31" s="906"/>
      <c r="J31" s="907">
        <f>SUBTOTAL(9,J29:J30)</f>
        <v>1518.76</v>
      </c>
      <c r="K31" s="533"/>
    </row>
    <row r="32" spans="1:11" s="479" customFormat="1" outlineLevel="2">
      <c r="A32" s="347"/>
      <c r="B32" s="481" t="s">
        <v>258</v>
      </c>
      <c r="C32" s="481" t="s">
        <v>188</v>
      </c>
      <c r="D32" s="895" t="s">
        <v>6577</v>
      </c>
      <c r="E32" s="479" t="s">
        <v>1909</v>
      </c>
      <c r="F32" s="479" t="s">
        <v>1910</v>
      </c>
      <c r="G32" s="489"/>
      <c r="H32" s="726">
        <v>42430</v>
      </c>
      <c r="I32" s="727">
        <v>42485</v>
      </c>
      <c r="J32" s="533">
        <v>1459.76</v>
      </c>
      <c r="K32" s="533"/>
    </row>
    <row r="33" spans="1:11" s="479" customFormat="1" outlineLevel="2">
      <c r="A33" s="347"/>
      <c r="B33" s="481" t="s">
        <v>258</v>
      </c>
      <c r="C33" s="481" t="s">
        <v>188</v>
      </c>
      <c r="D33" s="898" t="s">
        <v>6577</v>
      </c>
      <c r="E33" s="479" t="s">
        <v>1909</v>
      </c>
      <c r="F33" s="479" t="s">
        <v>2050</v>
      </c>
      <c r="G33" s="489"/>
      <c r="H33" s="726">
        <v>42430</v>
      </c>
      <c r="I33" s="727">
        <v>42485</v>
      </c>
      <c r="J33" s="533">
        <v>316.92</v>
      </c>
      <c r="K33" s="533"/>
    </row>
    <row r="34" spans="1:11" s="479" customFormat="1" outlineLevel="1">
      <c r="A34" s="347"/>
      <c r="B34" s="481"/>
      <c r="C34" s="903" t="s">
        <v>188</v>
      </c>
      <c r="D34" s="733" t="str">
        <f>VLOOKUP(C34,$C$261:$D$333,2,FALSE)</f>
        <v xml:space="preserve"> ARARAQUARA</v>
      </c>
      <c r="E34" s="733"/>
      <c r="F34" s="733"/>
      <c r="G34" s="744"/>
      <c r="H34" s="745"/>
      <c r="I34" s="741"/>
      <c r="J34" s="563">
        <f>SUBTOTAL(9,J32:J33)</f>
        <v>1776.68</v>
      </c>
      <c r="K34" s="533"/>
    </row>
    <row r="35" spans="1:11" s="479" customFormat="1" outlineLevel="2">
      <c r="A35" s="347"/>
      <c r="B35" s="481" t="s">
        <v>258</v>
      </c>
      <c r="C35" s="481" t="s">
        <v>190</v>
      </c>
      <c r="D35" s="479" t="s">
        <v>6581</v>
      </c>
      <c r="E35" s="479" t="s">
        <v>1909</v>
      </c>
      <c r="F35" s="479" t="s">
        <v>1910</v>
      </c>
      <c r="G35" s="489"/>
      <c r="H35" s="726">
        <v>42430</v>
      </c>
      <c r="I35" s="727">
        <v>42485</v>
      </c>
      <c r="J35" s="533">
        <v>1726.81</v>
      </c>
      <c r="K35" s="533"/>
    </row>
    <row r="36" spans="1:11" s="479" customFormat="1" outlineLevel="2">
      <c r="A36" s="347"/>
      <c r="B36" s="481" t="s">
        <v>258</v>
      </c>
      <c r="C36" s="481" t="s">
        <v>190</v>
      </c>
      <c r="D36" s="479" t="s">
        <v>6581</v>
      </c>
      <c r="E36" s="479" t="s">
        <v>1909</v>
      </c>
      <c r="F36" s="479" t="s">
        <v>2050</v>
      </c>
      <c r="G36" s="489"/>
      <c r="H36" s="726">
        <v>42430</v>
      </c>
      <c r="I36" s="727">
        <v>42485</v>
      </c>
      <c r="J36" s="533">
        <v>374.9</v>
      </c>
      <c r="K36" s="533"/>
    </row>
    <row r="37" spans="1:11" s="479" customFormat="1" outlineLevel="1">
      <c r="A37" s="347"/>
      <c r="B37" s="481"/>
      <c r="C37" s="903" t="s">
        <v>190</v>
      </c>
      <c r="D37" s="733" t="str">
        <f>VLOOKUP(C37,$C$261:$D$333,2,FALSE)</f>
        <v xml:space="preserve"> FRANCA</v>
      </c>
      <c r="E37" s="733"/>
      <c r="F37" s="733"/>
      <c r="G37" s="744"/>
      <c r="H37" s="745"/>
      <c r="I37" s="741"/>
      <c r="J37" s="563">
        <f>SUBTOTAL(9,J35:J36)</f>
        <v>2101.71</v>
      </c>
      <c r="K37" s="533"/>
    </row>
    <row r="38" spans="1:11" s="479" customFormat="1" outlineLevel="2">
      <c r="A38" s="347"/>
      <c r="B38" s="481" t="s">
        <v>258</v>
      </c>
      <c r="C38" s="481" t="s">
        <v>192</v>
      </c>
      <c r="D38" s="479" t="s">
        <v>97</v>
      </c>
      <c r="E38" s="479" t="s">
        <v>1909</v>
      </c>
      <c r="F38" s="479" t="s">
        <v>1910</v>
      </c>
      <c r="G38" s="489"/>
      <c r="H38" s="726">
        <v>42430</v>
      </c>
      <c r="I38" s="727">
        <v>42485</v>
      </c>
      <c r="J38" s="533">
        <v>5293.51</v>
      </c>
      <c r="K38" s="533"/>
    </row>
    <row r="39" spans="1:11" s="479" customFormat="1" outlineLevel="2">
      <c r="A39" s="347"/>
      <c r="B39" s="481" t="s">
        <v>258</v>
      </c>
      <c r="C39" s="481" t="s">
        <v>192</v>
      </c>
      <c r="D39" s="479" t="s">
        <v>97</v>
      </c>
      <c r="E39" s="479" t="s">
        <v>1909</v>
      </c>
      <c r="F39" s="479" t="s">
        <v>2050</v>
      </c>
      <c r="G39" s="489"/>
      <c r="H39" s="726">
        <v>42430</v>
      </c>
      <c r="I39" s="727">
        <v>42485</v>
      </c>
      <c r="J39" s="533">
        <v>1149.25</v>
      </c>
      <c r="K39" s="533"/>
    </row>
    <row r="40" spans="1:11" s="479" customFormat="1" outlineLevel="1">
      <c r="A40" s="347"/>
      <c r="B40" s="481"/>
      <c r="C40" s="903" t="s">
        <v>192</v>
      </c>
      <c r="D40" s="733" t="str">
        <f>VLOOKUP(C40,$C$261:$D$333,2,FALSE)</f>
        <v xml:space="preserve"> LAPA</v>
      </c>
      <c r="E40" s="733"/>
      <c r="F40" s="733"/>
      <c r="G40" s="744"/>
      <c r="H40" s="745"/>
      <c r="I40" s="741"/>
      <c r="J40" s="563">
        <f>SUBTOTAL(9,J38:J39)</f>
        <v>6442.76</v>
      </c>
      <c r="K40" s="533"/>
    </row>
    <row r="41" spans="1:11" s="479" customFormat="1" outlineLevel="2">
      <c r="A41" s="347"/>
      <c r="B41" s="481" t="s">
        <v>258</v>
      </c>
      <c r="C41" s="481" t="s">
        <v>194</v>
      </c>
      <c r="D41" s="479" t="s">
        <v>6589</v>
      </c>
      <c r="E41" s="479" t="s">
        <v>1909</v>
      </c>
      <c r="F41" s="479" t="s">
        <v>1910</v>
      </c>
      <c r="G41" s="489"/>
      <c r="H41" s="726">
        <v>42430</v>
      </c>
      <c r="I41" s="727">
        <v>42485</v>
      </c>
      <c r="J41" s="533">
        <v>2450.59</v>
      </c>
      <c r="K41" s="533"/>
    </row>
    <row r="42" spans="1:11" s="479" customFormat="1" outlineLevel="2">
      <c r="A42" s="347"/>
      <c r="B42" s="481"/>
      <c r="C42" s="481" t="s">
        <v>194</v>
      </c>
      <c r="D42" s="479" t="s">
        <v>6589</v>
      </c>
      <c r="E42" s="479" t="s">
        <v>1909</v>
      </c>
      <c r="F42" s="479" t="s">
        <v>2050</v>
      </c>
      <c r="G42" s="489"/>
      <c r="H42" s="726">
        <v>42430</v>
      </c>
      <c r="I42" s="727">
        <v>42485</v>
      </c>
      <c r="J42" s="533">
        <v>532.04</v>
      </c>
      <c r="K42" s="533"/>
    </row>
    <row r="43" spans="1:11" s="479" customFormat="1" outlineLevel="1">
      <c r="A43" s="347"/>
      <c r="B43" s="481"/>
      <c r="C43" s="903" t="s">
        <v>194</v>
      </c>
      <c r="D43" s="733" t="str">
        <f>VLOOKUP(C43,$C$261:$D$333,2,FALSE)</f>
        <v xml:space="preserve"> SOROCABA</v>
      </c>
      <c r="E43" s="733"/>
      <c r="F43" s="733"/>
      <c r="G43" s="744"/>
      <c r="H43" s="745"/>
      <c r="I43" s="741"/>
      <c r="J43" s="563">
        <f>SUBTOTAL(9,J41:J42)</f>
        <v>2982.63</v>
      </c>
      <c r="K43" s="533"/>
    </row>
    <row r="44" spans="1:11" s="479" customFormat="1" outlineLevel="2">
      <c r="A44" s="347"/>
      <c r="B44" s="481" t="s">
        <v>258</v>
      </c>
      <c r="C44" s="481" t="s">
        <v>196</v>
      </c>
      <c r="D44" s="479" t="s">
        <v>6625</v>
      </c>
      <c r="E44" s="479" t="s">
        <v>1909</v>
      </c>
      <c r="F44" s="479" t="s">
        <v>1910</v>
      </c>
      <c r="G44" s="489"/>
      <c r="H44" s="726">
        <v>42430</v>
      </c>
      <c r="I44" s="727">
        <v>42485</v>
      </c>
      <c r="J44" s="533">
        <v>1848.95</v>
      </c>
      <c r="K44" s="533"/>
    </row>
    <row r="45" spans="1:11" s="479" customFormat="1" outlineLevel="2">
      <c r="A45" s="347"/>
      <c r="B45" s="481" t="s">
        <v>258</v>
      </c>
      <c r="C45" s="481" t="s">
        <v>196</v>
      </c>
      <c r="D45" s="479" t="s">
        <v>6585</v>
      </c>
      <c r="E45" s="479" t="s">
        <v>1909</v>
      </c>
      <c r="F45" s="479" t="s">
        <v>2050</v>
      </c>
      <c r="G45" s="489"/>
      <c r="H45" s="726">
        <v>42430</v>
      </c>
      <c r="I45" s="727">
        <v>42485</v>
      </c>
      <c r="J45" s="533">
        <v>401.42</v>
      </c>
      <c r="K45" s="533"/>
    </row>
    <row r="46" spans="1:11" s="479" customFormat="1" outlineLevel="1">
      <c r="A46" s="347"/>
      <c r="B46" s="481"/>
      <c r="C46" s="903" t="s">
        <v>196</v>
      </c>
      <c r="D46" s="733" t="str">
        <f>VLOOKUP(C46,$C$261:$D$333,2,FALSE)</f>
        <v xml:space="preserve"> MOGI DAS CRUZES</v>
      </c>
      <c r="E46" s="733"/>
      <c r="F46" s="733"/>
      <c r="G46" s="744"/>
      <c r="H46" s="745"/>
      <c r="I46" s="741"/>
      <c r="J46" s="563">
        <f>SUBTOTAL(9,J44:J45)</f>
        <v>2250.37</v>
      </c>
      <c r="K46" s="533"/>
    </row>
    <row r="47" spans="1:11" s="479" customFormat="1" outlineLevel="2">
      <c r="A47" s="347"/>
      <c r="B47" s="481" t="s">
        <v>258</v>
      </c>
      <c r="C47" s="481" t="s">
        <v>198</v>
      </c>
      <c r="D47" s="479" t="s">
        <v>99</v>
      </c>
      <c r="E47" s="479" t="s">
        <v>1909</v>
      </c>
      <c r="F47" s="479" t="s">
        <v>1910</v>
      </c>
      <c r="G47" s="489"/>
      <c r="H47" s="726">
        <v>42430</v>
      </c>
      <c r="I47" s="727">
        <v>42485</v>
      </c>
      <c r="J47" s="533">
        <v>2536.13</v>
      </c>
      <c r="K47" s="533"/>
    </row>
    <row r="48" spans="1:11" s="479" customFormat="1" outlineLevel="2">
      <c r="A48" s="347"/>
      <c r="B48" s="481" t="s">
        <v>258</v>
      </c>
      <c r="C48" s="481" t="s">
        <v>198</v>
      </c>
      <c r="D48" s="479" t="s">
        <v>99</v>
      </c>
      <c r="E48" s="479" t="s">
        <v>1909</v>
      </c>
      <c r="F48" s="479" t="s">
        <v>2050</v>
      </c>
      <c r="G48" s="489"/>
      <c r="H48" s="726">
        <v>42430</v>
      </c>
      <c r="I48" s="727">
        <v>42485</v>
      </c>
      <c r="J48" s="533">
        <v>550.61</v>
      </c>
      <c r="K48" s="533"/>
    </row>
    <row r="49" spans="1:11" s="479" customFormat="1" outlineLevel="1">
      <c r="A49" s="347"/>
      <c r="B49" s="481"/>
      <c r="C49" s="903" t="s">
        <v>198</v>
      </c>
      <c r="D49" s="733" t="str">
        <f>VLOOKUP(C49,$C$261:$D$333,2,FALSE)</f>
        <v xml:space="preserve"> PIRACICABA</v>
      </c>
      <c r="E49" s="733"/>
      <c r="F49" s="733"/>
      <c r="G49" s="744"/>
      <c r="H49" s="745"/>
      <c r="I49" s="741"/>
      <c r="J49" s="563">
        <f>SUBTOTAL(9,J47:J48)</f>
        <v>3086.7400000000002</v>
      </c>
      <c r="K49" s="533"/>
    </row>
    <row r="50" spans="1:11" s="479" customFormat="1" outlineLevel="2">
      <c r="A50" s="347"/>
      <c r="B50" s="481"/>
      <c r="C50" s="481" t="s">
        <v>199</v>
      </c>
      <c r="D50" s="479" t="s">
        <v>98</v>
      </c>
      <c r="E50" s="479" t="s">
        <v>1909</v>
      </c>
      <c r="F50" s="479" t="s">
        <v>1910</v>
      </c>
      <c r="G50" s="489"/>
      <c r="H50" s="726">
        <v>42430</v>
      </c>
      <c r="I50" s="727">
        <v>42485</v>
      </c>
      <c r="J50" s="533">
        <v>5008.32</v>
      </c>
      <c r="K50" s="533"/>
    </row>
    <row r="51" spans="1:11" s="479" customFormat="1" outlineLevel="2">
      <c r="A51" s="347"/>
      <c r="B51" s="481" t="s">
        <v>258</v>
      </c>
      <c r="C51" s="481" t="s">
        <v>199</v>
      </c>
      <c r="D51" s="479" t="s">
        <v>98</v>
      </c>
      <c r="E51" s="479" t="s">
        <v>1909</v>
      </c>
      <c r="F51" s="479" t="s">
        <v>2050</v>
      </c>
      <c r="G51" s="489"/>
      <c r="H51" s="726">
        <v>42430</v>
      </c>
      <c r="I51" s="727">
        <v>42485</v>
      </c>
      <c r="J51" s="533">
        <v>1087.33</v>
      </c>
      <c r="K51" s="533"/>
    </row>
    <row r="52" spans="1:11" s="479" customFormat="1" outlineLevel="1">
      <c r="A52" s="347"/>
      <c r="B52" s="481"/>
      <c r="C52" s="903" t="s">
        <v>199</v>
      </c>
      <c r="D52" s="733" t="str">
        <f>VLOOKUP(C52,$C$261:$D$333,2,FALSE)</f>
        <v xml:space="preserve"> OSASCO</v>
      </c>
      <c r="E52" s="733"/>
      <c r="F52" s="733"/>
      <c r="G52" s="744"/>
      <c r="H52" s="745"/>
      <c r="I52" s="741"/>
      <c r="J52" s="563">
        <f>SUBTOTAL(9,J50:J51)</f>
        <v>6095.65</v>
      </c>
      <c r="K52" s="533"/>
    </row>
    <row r="53" spans="1:11" s="479" customFormat="1" outlineLevel="2">
      <c r="A53" s="347"/>
      <c r="B53" s="481" t="s">
        <v>258</v>
      </c>
      <c r="C53" s="481" t="s">
        <v>200</v>
      </c>
      <c r="D53" s="479" t="s">
        <v>87</v>
      </c>
      <c r="E53" s="479" t="s">
        <v>1909</v>
      </c>
      <c r="F53" s="479" t="s">
        <v>1910</v>
      </c>
      <c r="G53" s="489"/>
      <c r="H53" s="726">
        <v>42430</v>
      </c>
      <c r="I53" s="727">
        <v>42485</v>
      </c>
      <c r="J53" s="533">
        <v>2974.77</v>
      </c>
      <c r="K53" s="533"/>
    </row>
    <row r="54" spans="1:11" s="479" customFormat="1" outlineLevel="2">
      <c r="A54" s="347"/>
      <c r="B54" s="481" t="s">
        <v>258</v>
      </c>
      <c r="C54" s="481" t="s">
        <v>200</v>
      </c>
      <c r="D54" s="479" t="s">
        <v>87</v>
      </c>
      <c r="E54" s="479" t="s">
        <v>1909</v>
      </c>
      <c r="F54" s="479" t="s">
        <v>2050</v>
      </c>
      <c r="G54" s="489"/>
      <c r="H54" s="726">
        <v>42430</v>
      </c>
      <c r="I54" s="727">
        <v>42485</v>
      </c>
      <c r="J54" s="533">
        <v>645.84</v>
      </c>
      <c r="K54" s="533"/>
    </row>
    <row r="55" spans="1:11" s="479" customFormat="1" outlineLevel="1">
      <c r="A55" s="347"/>
      <c r="B55" s="481"/>
      <c r="C55" s="903" t="s">
        <v>200</v>
      </c>
      <c r="D55" s="733" t="str">
        <f>VLOOKUP(C55,$C$261:$D$333,2,FALSE)</f>
        <v xml:space="preserve"> BAURU</v>
      </c>
      <c r="E55" s="733"/>
      <c r="F55" s="733"/>
      <c r="G55" s="744"/>
      <c r="H55" s="745"/>
      <c r="I55" s="741"/>
      <c r="J55" s="563">
        <f>SUBTOTAL(9,J53:J54)</f>
        <v>3620.61</v>
      </c>
      <c r="K55" s="533"/>
    </row>
    <row r="56" spans="1:11" s="479" customFormat="1" outlineLevel="2">
      <c r="A56" s="347"/>
      <c r="B56" s="481" t="s">
        <v>258</v>
      </c>
      <c r="C56" s="481" t="s">
        <v>201</v>
      </c>
      <c r="D56" s="479" t="s">
        <v>102</v>
      </c>
      <c r="E56" s="479" t="s">
        <v>1909</v>
      </c>
      <c r="F56" s="479" t="s">
        <v>1910</v>
      </c>
      <c r="G56" s="489"/>
      <c r="H56" s="726">
        <v>42430</v>
      </c>
      <c r="I56" s="727">
        <v>42485</v>
      </c>
      <c r="J56" s="533">
        <v>3643.16</v>
      </c>
      <c r="K56" s="533"/>
    </row>
    <row r="57" spans="1:11" s="479" customFormat="1" outlineLevel="2">
      <c r="A57" s="347"/>
      <c r="B57" s="481" t="s">
        <v>258</v>
      </c>
      <c r="C57" s="481" t="s">
        <v>201</v>
      </c>
      <c r="D57" s="479" t="s">
        <v>102</v>
      </c>
      <c r="E57" s="479" t="s">
        <v>1909</v>
      </c>
      <c r="F57" s="479" t="s">
        <v>2050</v>
      </c>
      <c r="G57" s="489"/>
      <c r="H57" s="726">
        <v>42430</v>
      </c>
      <c r="I57" s="727">
        <v>42485</v>
      </c>
      <c r="J57" s="533">
        <v>790.95</v>
      </c>
      <c r="K57" s="533"/>
    </row>
    <row r="58" spans="1:11" s="479" customFormat="1" outlineLevel="1">
      <c r="A58" s="347"/>
      <c r="B58" s="481"/>
      <c r="C58" s="903" t="s">
        <v>201</v>
      </c>
      <c r="D58" s="733" t="str">
        <f>VLOOKUP(C58,$C$261:$D$333,2,FALSE)</f>
        <v xml:space="preserve"> SANTOS</v>
      </c>
      <c r="E58" s="733"/>
      <c r="F58" s="733"/>
      <c r="G58" s="744"/>
      <c r="H58" s="745"/>
      <c r="I58" s="741"/>
      <c r="J58" s="563">
        <f>SUBTOTAL(9,J56:J57)</f>
        <v>4434.1099999999997</v>
      </c>
      <c r="K58" s="533"/>
    </row>
    <row r="59" spans="1:11" s="479" customFormat="1" outlineLevel="2">
      <c r="A59" s="347"/>
      <c r="B59" s="481" t="s">
        <v>258</v>
      </c>
      <c r="C59" s="481" t="s">
        <v>202</v>
      </c>
      <c r="D59" s="479" t="s">
        <v>110</v>
      </c>
      <c r="E59" s="479" t="s">
        <v>1909</v>
      </c>
      <c r="F59" s="479" t="s">
        <v>1910</v>
      </c>
      <c r="G59" s="489"/>
      <c r="H59" s="726">
        <v>42430</v>
      </c>
      <c r="I59" s="727">
        <v>42485</v>
      </c>
      <c r="J59" s="533">
        <v>2022.04</v>
      </c>
      <c r="K59" s="533"/>
    </row>
    <row r="60" spans="1:11" s="479" customFormat="1" outlineLevel="2">
      <c r="A60" s="347"/>
      <c r="B60" s="481" t="s">
        <v>258</v>
      </c>
      <c r="C60" s="481" t="s">
        <v>202</v>
      </c>
      <c r="D60" s="479" t="s">
        <v>110</v>
      </c>
      <c r="E60" s="479" t="s">
        <v>1909</v>
      </c>
      <c r="F60" s="479" t="s">
        <v>2050</v>
      </c>
      <c r="G60" s="489"/>
      <c r="H60" s="726">
        <v>42430</v>
      </c>
      <c r="I60" s="727">
        <v>42485</v>
      </c>
      <c r="J60" s="533">
        <v>439</v>
      </c>
      <c r="K60" s="533"/>
    </row>
    <row r="61" spans="1:11" s="479" customFormat="1" outlineLevel="1">
      <c r="A61" s="347"/>
      <c r="B61" s="481"/>
      <c r="C61" s="903" t="s">
        <v>202</v>
      </c>
      <c r="D61" s="733" t="str">
        <f>VLOOKUP(C61,$C$261:$D$333,2,FALSE)</f>
        <v xml:space="preserve"> TAUBATÉ</v>
      </c>
      <c r="E61" s="733"/>
      <c r="F61" s="733"/>
      <c r="G61" s="744"/>
      <c r="H61" s="745"/>
      <c r="I61" s="741"/>
      <c r="J61" s="563">
        <f>SUBTOTAL(9,J59:J60)</f>
        <v>2461.04</v>
      </c>
      <c r="K61" s="533"/>
    </row>
    <row r="62" spans="1:11" s="479" customFormat="1" outlineLevel="2">
      <c r="A62" s="347"/>
      <c r="B62" s="481" t="s">
        <v>258</v>
      </c>
      <c r="C62" s="481" t="s">
        <v>203</v>
      </c>
      <c r="D62" s="479" t="s">
        <v>6609</v>
      </c>
      <c r="E62" s="479" t="s">
        <v>1909</v>
      </c>
      <c r="F62" s="479" t="s">
        <v>1910</v>
      </c>
      <c r="G62" s="489"/>
      <c r="H62" s="726">
        <v>42430</v>
      </c>
      <c r="I62" s="727">
        <v>42485</v>
      </c>
      <c r="J62" s="533">
        <v>4009.67</v>
      </c>
      <c r="K62" s="533"/>
    </row>
    <row r="63" spans="1:11" s="479" customFormat="1" outlineLevel="2">
      <c r="A63" s="347"/>
      <c r="B63" s="481" t="s">
        <v>258</v>
      </c>
      <c r="C63" s="481" t="s">
        <v>203</v>
      </c>
      <c r="D63" s="479" t="s">
        <v>6609</v>
      </c>
      <c r="E63" s="479" t="s">
        <v>1909</v>
      </c>
      <c r="F63" s="479" t="s">
        <v>2050</v>
      </c>
      <c r="G63" s="489"/>
      <c r="H63" s="726">
        <v>42430</v>
      </c>
      <c r="I63" s="727">
        <v>42485</v>
      </c>
      <c r="J63" s="533">
        <v>870.52</v>
      </c>
      <c r="K63" s="533"/>
    </row>
    <row r="64" spans="1:11" s="479" customFormat="1" outlineLevel="1">
      <c r="A64" s="347"/>
      <c r="B64" s="481"/>
      <c r="C64" s="903" t="s">
        <v>203</v>
      </c>
      <c r="D64" s="733" t="str">
        <f>VLOOKUP(C64,$C$261:$D$333,2,FALSE)</f>
        <v xml:space="preserve"> JUNDIAÍ</v>
      </c>
      <c r="E64" s="733"/>
      <c r="F64" s="733"/>
      <c r="G64" s="744"/>
      <c r="H64" s="745"/>
      <c r="I64" s="741"/>
      <c r="J64" s="563">
        <f>SUBTOTAL(9,J62:J63)</f>
        <v>4880.1900000000005</v>
      </c>
      <c r="K64" s="533"/>
    </row>
    <row r="65" spans="1:11" s="479" customFormat="1" outlineLevel="2">
      <c r="A65" s="460" t="s">
        <v>204</v>
      </c>
      <c r="B65" s="565">
        <v>112120801030</v>
      </c>
      <c r="C65" s="729" t="s">
        <v>205</v>
      </c>
      <c r="D65" s="479" t="s">
        <v>2197</v>
      </c>
      <c r="E65" s="730" t="s">
        <v>120</v>
      </c>
      <c r="F65" s="730" t="s">
        <v>121</v>
      </c>
      <c r="G65" s="731" t="s">
        <v>122</v>
      </c>
      <c r="H65" s="594">
        <v>42461</v>
      </c>
      <c r="I65" s="595">
        <v>42489</v>
      </c>
      <c r="J65" s="732">
        <v>3174.5</v>
      </c>
      <c r="K65" s="533"/>
    </row>
    <row r="66" spans="1:11" s="479" customFormat="1" outlineLevel="1">
      <c r="A66" s="460"/>
      <c r="B66" s="565"/>
      <c r="C66" s="908" t="s">
        <v>205</v>
      </c>
      <c r="D66" s="733" t="str">
        <f>VLOOKUP(C66,$C$261:$D$333,2,FALSE)</f>
        <v xml:space="preserve"> SUPERINTENDÊNCIA</v>
      </c>
      <c r="E66" s="909"/>
      <c r="F66" s="909"/>
      <c r="G66" s="910"/>
      <c r="H66" s="911"/>
      <c r="I66" s="912"/>
      <c r="J66" s="913">
        <f>SUBTOTAL(9,J65:J65)</f>
        <v>3174.5</v>
      </c>
      <c r="K66" s="533"/>
    </row>
    <row r="67" spans="1:11" s="479" customFormat="1" outlineLevel="2">
      <c r="A67" s="347"/>
      <c r="B67" s="481" t="s">
        <v>258</v>
      </c>
      <c r="C67" s="481" t="s">
        <v>207</v>
      </c>
      <c r="D67" s="479" t="s">
        <v>1918</v>
      </c>
      <c r="E67" s="479" t="s">
        <v>1909</v>
      </c>
      <c r="F67" s="479" t="s">
        <v>1910</v>
      </c>
      <c r="G67" s="489"/>
      <c r="H67" s="726">
        <v>42430</v>
      </c>
      <c r="I67" s="727">
        <v>42485</v>
      </c>
      <c r="J67" s="533">
        <v>169.42</v>
      </c>
      <c r="K67" s="533"/>
    </row>
    <row r="68" spans="1:11" s="479" customFormat="1" outlineLevel="2">
      <c r="A68" s="347"/>
      <c r="B68" s="481" t="s">
        <v>258</v>
      </c>
      <c r="C68" s="481" t="s">
        <v>207</v>
      </c>
      <c r="D68" s="479" t="s">
        <v>1918</v>
      </c>
      <c r="E68" s="479" t="s">
        <v>1909</v>
      </c>
      <c r="F68" s="479" t="s">
        <v>2050</v>
      </c>
      <c r="G68" s="489"/>
      <c r="H68" s="726">
        <v>42430</v>
      </c>
      <c r="I68" s="727">
        <v>42485</v>
      </c>
      <c r="J68" s="533">
        <v>36.78</v>
      </c>
      <c r="K68" s="533"/>
    </row>
    <row r="69" spans="1:11" s="479" customFormat="1" outlineLevel="1">
      <c r="A69" s="347"/>
      <c r="B69" s="481"/>
      <c r="C69" s="903" t="s">
        <v>207</v>
      </c>
      <c r="D69" s="733" t="str">
        <f>VLOOKUP(C69,$C$261:$D$333,2,FALSE)</f>
        <v xml:space="preserve"> LUZ</v>
      </c>
      <c r="E69" s="733"/>
      <c r="F69" s="733"/>
      <c r="G69" s="744"/>
      <c r="H69" s="745"/>
      <c r="I69" s="741"/>
      <c r="J69" s="563">
        <f>SUBTOTAL(9,J67:J68)</f>
        <v>206.2</v>
      </c>
      <c r="K69" s="533"/>
    </row>
    <row r="70" spans="1:11" s="479" customFormat="1" outlineLevel="2">
      <c r="A70" s="347"/>
      <c r="B70" s="481" t="s">
        <v>258</v>
      </c>
      <c r="C70" s="481" t="s">
        <v>208</v>
      </c>
      <c r="D70" s="479" t="s">
        <v>89</v>
      </c>
      <c r="E70" s="479" t="s">
        <v>1909</v>
      </c>
      <c r="F70" s="479" t="s">
        <v>1910</v>
      </c>
      <c r="G70" s="489"/>
      <c r="H70" s="726">
        <v>42430</v>
      </c>
      <c r="I70" s="727">
        <v>42485</v>
      </c>
      <c r="J70" s="533">
        <v>6672.08</v>
      </c>
      <c r="K70" s="533"/>
    </row>
    <row r="71" spans="1:11" s="479" customFormat="1" outlineLevel="2">
      <c r="A71" s="347"/>
      <c r="B71" s="481" t="s">
        <v>258</v>
      </c>
      <c r="C71" s="481" t="s">
        <v>208</v>
      </c>
      <c r="D71" s="479" t="s">
        <v>89</v>
      </c>
      <c r="E71" s="479" t="s">
        <v>1909</v>
      </c>
      <c r="F71" s="479" t="s">
        <v>2050</v>
      </c>
      <c r="G71" s="489"/>
      <c r="H71" s="726">
        <v>42430</v>
      </c>
      <c r="I71" s="727">
        <v>42485</v>
      </c>
      <c r="J71" s="533">
        <v>1448.54</v>
      </c>
      <c r="K71" s="533"/>
    </row>
    <row r="72" spans="1:11" s="479" customFormat="1" outlineLevel="1">
      <c r="A72" s="347"/>
      <c r="B72" s="481"/>
      <c r="C72" s="903" t="s">
        <v>208</v>
      </c>
      <c r="D72" s="733" t="str">
        <f>VLOOKUP(C72,$C$261:$D$333,2,FALSE)</f>
        <v xml:space="preserve"> CAMPINAS CENTRO</v>
      </c>
      <c r="E72" s="733"/>
      <c r="F72" s="733"/>
      <c r="G72" s="744"/>
      <c r="H72" s="745"/>
      <c r="I72" s="741"/>
      <c r="J72" s="563">
        <f>SUBTOTAL(9,J70:J71)</f>
        <v>8120.62</v>
      </c>
      <c r="K72" s="533"/>
    </row>
    <row r="73" spans="1:11" s="479" customFormat="1" outlineLevel="2">
      <c r="A73" s="492" t="s">
        <v>2679</v>
      </c>
      <c r="B73" s="565" t="s">
        <v>2518</v>
      </c>
      <c r="C73" s="571" t="s">
        <v>209</v>
      </c>
      <c r="D73" s="471"/>
      <c r="E73" s="471" t="s">
        <v>6518</v>
      </c>
      <c r="F73" s="471" t="s">
        <v>439</v>
      </c>
      <c r="G73" s="471" t="s">
        <v>6519</v>
      </c>
      <c r="H73" s="570" t="s">
        <v>6505</v>
      </c>
      <c r="I73" s="573">
        <v>5953</v>
      </c>
      <c r="J73" s="566">
        <v>320</v>
      </c>
      <c r="K73" s="533"/>
    </row>
    <row r="74" spans="1:11" s="479" customFormat="1" outlineLevel="2">
      <c r="A74" s="347"/>
      <c r="B74" s="565" t="s">
        <v>258</v>
      </c>
      <c r="C74" s="481" t="s">
        <v>209</v>
      </c>
      <c r="D74" s="479" t="s">
        <v>6626</v>
      </c>
      <c r="E74" s="479" t="s">
        <v>1909</v>
      </c>
      <c r="F74" s="479" t="s">
        <v>1910</v>
      </c>
      <c r="G74" s="489"/>
      <c r="H74" s="726">
        <v>42430</v>
      </c>
      <c r="I74" s="727">
        <v>42485</v>
      </c>
      <c r="J74" s="533">
        <v>9815.5499999999993</v>
      </c>
      <c r="K74" s="533"/>
    </row>
    <row r="75" spans="1:11" s="479" customFormat="1" outlineLevel="2">
      <c r="A75" s="347"/>
      <c r="B75" s="481" t="s">
        <v>258</v>
      </c>
      <c r="C75" s="481" t="s">
        <v>209</v>
      </c>
      <c r="D75" s="479" t="s">
        <v>101</v>
      </c>
      <c r="E75" s="479" t="s">
        <v>1909</v>
      </c>
      <c r="F75" s="479" t="s">
        <v>2050</v>
      </c>
      <c r="G75" s="489"/>
      <c r="H75" s="726">
        <v>42430</v>
      </c>
      <c r="I75" s="727">
        <v>42485</v>
      </c>
      <c r="J75" s="533">
        <v>2131.0100000000002</v>
      </c>
      <c r="K75" s="533"/>
    </row>
    <row r="76" spans="1:11" s="479" customFormat="1" outlineLevel="1">
      <c r="A76" s="347"/>
      <c r="B76" s="481"/>
      <c r="C76" s="903" t="s">
        <v>209</v>
      </c>
      <c r="D76" s="733" t="str">
        <f>VLOOKUP(C76,$C$261:$D$333,2,FALSE)</f>
        <v xml:space="preserve"> SANTO AMARO</v>
      </c>
      <c r="E76" s="733"/>
      <c r="F76" s="733"/>
      <c r="G76" s="744"/>
      <c r="H76" s="745"/>
      <c r="I76" s="741"/>
      <c r="J76" s="563">
        <f>SUBTOTAL(9,J73:J75)</f>
        <v>12266.56</v>
      </c>
      <c r="K76" s="533"/>
    </row>
    <row r="77" spans="1:11" s="479" customFormat="1" outlineLevel="2">
      <c r="A77" s="347"/>
      <c r="B77" s="481" t="s">
        <v>258</v>
      </c>
      <c r="C77" s="481" t="s">
        <v>210</v>
      </c>
      <c r="D77" s="479" t="s">
        <v>104</v>
      </c>
      <c r="E77" s="479" t="s">
        <v>1909</v>
      </c>
      <c r="F77" s="479" t="s">
        <v>1910</v>
      </c>
      <c r="G77" s="489"/>
      <c r="H77" s="726">
        <v>42430</v>
      </c>
      <c r="I77" s="727">
        <v>42485</v>
      </c>
      <c r="J77" s="533">
        <v>3711.64</v>
      </c>
      <c r="K77" s="533"/>
    </row>
    <row r="78" spans="1:11" s="479" customFormat="1" outlineLevel="2">
      <c r="A78" s="347"/>
      <c r="B78" s="481" t="s">
        <v>258</v>
      </c>
      <c r="C78" s="481" t="s">
        <v>210</v>
      </c>
      <c r="D78" s="479" t="s">
        <v>104</v>
      </c>
      <c r="E78" s="479" t="s">
        <v>1909</v>
      </c>
      <c r="F78" s="479" t="s">
        <v>2050</v>
      </c>
      <c r="G78" s="489"/>
      <c r="H78" s="726">
        <v>42430</v>
      </c>
      <c r="I78" s="727">
        <v>42485</v>
      </c>
      <c r="J78" s="533">
        <v>805.82</v>
      </c>
      <c r="K78" s="533"/>
    </row>
    <row r="79" spans="1:11" s="479" customFormat="1" outlineLevel="1">
      <c r="A79" s="347"/>
      <c r="B79" s="481"/>
      <c r="C79" s="903" t="s">
        <v>210</v>
      </c>
      <c r="D79" s="733" t="str">
        <f>VLOOKUP(C79,$C$261:$D$333,2,FALSE)</f>
        <v xml:space="preserve"> SÃO JOSÉ DOS CAMPOS</v>
      </c>
      <c r="E79" s="733"/>
      <c r="F79" s="733"/>
      <c r="G79" s="744"/>
      <c r="H79" s="745"/>
      <c r="I79" s="741"/>
      <c r="J79" s="563">
        <f>SUBTOTAL(9,J77:J78)</f>
        <v>4517.46</v>
      </c>
      <c r="K79" s="533"/>
    </row>
    <row r="80" spans="1:11" s="479" customFormat="1" outlineLevel="2">
      <c r="A80" s="492" t="s">
        <v>6509</v>
      </c>
      <c r="B80" s="565" t="s">
        <v>6510</v>
      </c>
      <c r="C80" s="571" t="s">
        <v>211</v>
      </c>
      <c r="D80" s="471"/>
      <c r="E80" s="471" t="s">
        <v>6511</v>
      </c>
      <c r="F80" s="471" t="s">
        <v>6512</v>
      </c>
      <c r="G80" s="471" t="s">
        <v>6513</v>
      </c>
      <c r="H80" s="570" t="s">
        <v>2678</v>
      </c>
      <c r="I80" s="573">
        <v>5936</v>
      </c>
      <c r="J80" s="566">
        <v>635.66999999999996</v>
      </c>
      <c r="K80" s="533"/>
    </row>
    <row r="81" spans="1:11" s="479" customFormat="1" ht="15" outlineLevel="2">
      <c r="A81" s="492" t="s">
        <v>6509</v>
      </c>
      <c r="B81" s="565" t="s">
        <v>6510</v>
      </c>
      <c r="C81" s="571" t="s">
        <v>211</v>
      </c>
      <c r="D81" s="471"/>
      <c r="E81" s="848" t="s">
        <v>2282</v>
      </c>
      <c r="F81" s="918" t="s">
        <v>6524</v>
      </c>
      <c r="G81" s="854" t="s">
        <v>6525</v>
      </c>
      <c r="H81" s="570">
        <v>42401</v>
      </c>
      <c r="I81" s="573">
        <v>42471</v>
      </c>
      <c r="J81" s="566">
        <v>33.700000000000003</v>
      </c>
      <c r="K81" s="533"/>
    </row>
    <row r="82" spans="1:11" s="479" customFormat="1" outlineLevel="2">
      <c r="A82" s="492" t="s">
        <v>6502</v>
      </c>
      <c r="B82" s="565" t="s">
        <v>6503</v>
      </c>
      <c r="C82" s="571" t="s">
        <v>211</v>
      </c>
      <c r="D82" s="471"/>
      <c r="E82" s="471" t="s">
        <v>856</v>
      </c>
      <c r="F82" s="471" t="s">
        <v>428</v>
      </c>
      <c r="G82" s="471" t="s">
        <v>6504</v>
      </c>
      <c r="H82" s="570" t="s">
        <v>6505</v>
      </c>
      <c r="I82" s="573">
        <v>5953</v>
      </c>
      <c r="J82" s="566">
        <v>695</v>
      </c>
      <c r="K82" s="533"/>
    </row>
    <row r="83" spans="1:11" s="479" customFormat="1" outlineLevel="2">
      <c r="A83" s="492" t="s">
        <v>6502</v>
      </c>
      <c r="B83" s="565" t="s">
        <v>6503</v>
      </c>
      <c r="C83" s="571" t="s">
        <v>211</v>
      </c>
      <c r="D83" s="471"/>
      <c r="E83" s="471" t="s">
        <v>856</v>
      </c>
      <c r="F83" s="471" t="s">
        <v>428</v>
      </c>
      <c r="G83" s="471" t="s">
        <v>6523</v>
      </c>
      <c r="H83" s="570" t="s">
        <v>6505</v>
      </c>
      <c r="I83" s="573">
        <v>5953</v>
      </c>
      <c r="J83" s="566">
        <v>-4.4800000000000004</v>
      </c>
      <c r="K83" s="533"/>
    </row>
    <row r="84" spans="1:11" s="479" customFormat="1" ht="15" outlineLevel="2">
      <c r="A84" s="89" t="s">
        <v>6509</v>
      </c>
      <c r="B84" s="565">
        <v>132070100000</v>
      </c>
      <c r="C84" s="853" t="s">
        <v>211</v>
      </c>
      <c r="D84" s="89"/>
      <c r="E84" s="855" t="s">
        <v>2336</v>
      </c>
      <c r="F84" s="919" t="s">
        <v>6569</v>
      </c>
      <c r="G84" s="89" t="s">
        <v>6570</v>
      </c>
      <c r="H84" s="856">
        <v>42401</v>
      </c>
      <c r="I84" s="857">
        <v>42480</v>
      </c>
      <c r="J84" s="917">
        <v>4.72</v>
      </c>
      <c r="K84" s="533"/>
    </row>
    <row r="85" spans="1:11" s="479" customFormat="1" ht="15" outlineLevel="2">
      <c r="A85" s="89" t="s">
        <v>6509</v>
      </c>
      <c r="B85" s="565">
        <v>132070100000</v>
      </c>
      <c r="C85" s="853" t="s">
        <v>211</v>
      </c>
      <c r="D85" s="89"/>
      <c r="E85" s="855" t="s">
        <v>2336</v>
      </c>
      <c r="F85" s="919" t="s">
        <v>6572</v>
      </c>
      <c r="G85" s="89" t="s">
        <v>6571</v>
      </c>
      <c r="H85" s="856">
        <v>42401</v>
      </c>
      <c r="I85" s="857">
        <v>42480</v>
      </c>
      <c r="J85" s="917">
        <v>324.85000000000002</v>
      </c>
      <c r="K85" s="533"/>
    </row>
    <row r="86" spans="1:11" s="479" customFormat="1" ht="15" outlineLevel="2">
      <c r="A86" s="89" t="s">
        <v>6509</v>
      </c>
      <c r="B86" s="565">
        <v>132070100000</v>
      </c>
      <c r="C86" s="853" t="s">
        <v>211</v>
      </c>
      <c r="D86" s="471"/>
      <c r="E86" s="848" t="s">
        <v>2282</v>
      </c>
      <c r="F86" s="919" t="s">
        <v>6574</v>
      </c>
      <c r="G86" s="89" t="s">
        <v>6573</v>
      </c>
      <c r="H86" s="856">
        <v>42401</v>
      </c>
      <c r="I86" s="573">
        <v>42480</v>
      </c>
      <c r="J86" s="566">
        <v>2389.2600000000002</v>
      </c>
      <c r="K86" s="533"/>
    </row>
    <row r="87" spans="1:11" s="479" customFormat="1" outlineLevel="2">
      <c r="A87" s="347"/>
      <c r="B87" s="481" t="s">
        <v>258</v>
      </c>
      <c r="C87" s="481" t="s">
        <v>211</v>
      </c>
      <c r="D87" s="479" t="s">
        <v>106</v>
      </c>
      <c r="E87" s="479" t="s">
        <v>1909</v>
      </c>
      <c r="F87" s="479" t="s">
        <v>1910</v>
      </c>
      <c r="G87" s="489"/>
      <c r="H87" s="726">
        <v>42430</v>
      </c>
      <c r="I87" s="727">
        <v>42485</v>
      </c>
      <c r="J87" s="533">
        <v>9191.75</v>
      </c>
      <c r="K87" s="533"/>
    </row>
    <row r="88" spans="1:11" s="479" customFormat="1" outlineLevel="2">
      <c r="A88" s="347"/>
      <c r="B88" s="481" t="s">
        <v>258</v>
      </c>
      <c r="C88" s="481" t="s">
        <v>211</v>
      </c>
      <c r="D88" s="479" t="s">
        <v>106</v>
      </c>
      <c r="E88" s="479" t="s">
        <v>1909</v>
      </c>
      <c r="F88" s="479" t="s">
        <v>2050</v>
      </c>
      <c r="G88" s="489"/>
      <c r="H88" s="726">
        <v>42430</v>
      </c>
      <c r="I88" s="727">
        <v>42485</v>
      </c>
      <c r="J88" s="533">
        <v>1995.58</v>
      </c>
      <c r="K88" s="533"/>
    </row>
    <row r="89" spans="1:11" s="479" customFormat="1" outlineLevel="1">
      <c r="A89" s="347"/>
      <c r="B89" s="481"/>
      <c r="C89" s="903" t="s">
        <v>211</v>
      </c>
      <c r="D89" s="733" t="str">
        <f>VLOOKUP(C89,$C$261:$D$333,2,FALSE)</f>
        <v xml:space="preserve"> SÉ</v>
      </c>
      <c r="E89" s="733"/>
      <c r="F89" s="733"/>
      <c r="G89" s="744"/>
      <c r="H89" s="745"/>
      <c r="I89" s="741"/>
      <c r="J89" s="563">
        <f>SUBTOTAL(9,J80:J88)</f>
        <v>15266.050000000001</v>
      </c>
      <c r="K89" s="533"/>
    </row>
    <row r="90" spans="1:11" s="479" customFormat="1" outlineLevel="2">
      <c r="A90" s="347"/>
      <c r="B90" s="481" t="s">
        <v>258</v>
      </c>
      <c r="C90" s="481" t="s">
        <v>212</v>
      </c>
      <c r="D90" s="479" t="s">
        <v>96</v>
      </c>
      <c r="E90" s="479" t="s">
        <v>1909</v>
      </c>
      <c r="F90" s="479" t="s">
        <v>1910</v>
      </c>
      <c r="G90" s="489"/>
      <c r="H90" s="726">
        <v>42430</v>
      </c>
      <c r="I90" s="727">
        <v>42485</v>
      </c>
      <c r="J90" s="533">
        <v>8010.79</v>
      </c>
      <c r="K90" s="533"/>
    </row>
    <row r="91" spans="1:11" s="479" customFormat="1" outlineLevel="2">
      <c r="A91" s="347"/>
      <c r="B91" s="481" t="s">
        <v>258</v>
      </c>
      <c r="C91" s="481" t="s">
        <v>212</v>
      </c>
      <c r="D91" s="479" t="s">
        <v>96</v>
      </c>
      <c r="E91" s="479" t="s">
        <v>1909</v>
      </c>
      <c r="F91" s="479" t="s">
        <v>2050</v>
      </c>
      <c r="G91" s="489"/>
      <c r="H91" s="726">
        <v>42430</v>
      </c>
      <c r="I91" s="727">
        <v>42485</v>
      </c>
      <c r="J91" s="533">
        <v>1739.18</v>
      </c>
      <c r="K91" s="533"/>
    </row>
    <row r="92" spans="1:11" s="479" customFormat="1" outlineLevel="1">
      <c r="A92" s="347"/>
      <c r="B92" s="481"/>
      <c r="C92" s="903" t="s">
        <v>212</v>
      </c>
      <c r="D92" s="733" t="str">
        <f>VLOOKUP(C92,$C$261:$D$333,2,FALSE)</f>
        <v xml:space="preserve">  ITAQUERA</v>
      </c>
      <c r="E92" s="733"/>
      <c r="F92" s="733"/>
      <c r="G92" s="744"/>
      <c r="H92" s="745"/>
      <c r="I92" s="741"/>
      <c r="J92" s="563">
        <f>SUBTOTAL(9,J90:J91)</f>
        <v>9749.9699999999993</v>
      </c>
      <c r="K92" s="533"/>
    </row>
    <row r="93" spans="1:11" s="479" customFormat="1" outlineLevel="2">
      <c r="A93" s="347"/>
      <c r="B93" s="481" t="s">
        <v>258</v>
      </c>
      <c r="C93" s="481" t="s">
        <v>213</v>
      </c>
      <c r="D93" s="479" t="s">
        <v>103</v>
      </c>
      <c r="E93" s="479" t="s">
        <v>1909</v>
      </c>
      <c r="F93" s="479" t="s">
        <v>1910</v>
      </c>
      <c r="G93" s="489"/>
      <c r="H93" s="726">
        <v>42430</v>
      </c>
      <c r="I93" s="727">
        <v>42485</v>
      </c>
      <c r="J93" s="533">
        <v>6237.13</v>
      </c>
      <c r="K93" s="533"/>
    </row>
    <row r="94" spans="1:11" s="479" customFormat="1" outlineLevel="2">
      <c r="A94" s="347"/>
      <c r="B94" s="481" t="s">
        <v>258</v>
      </c>
      <c r="C94" s="481" t="s">
        <v>213</v>
      </c>
      <c r="D94" s="479" t="s">
        <v>103</v>
      </c>
      <c r="E94" s="479" t="s">
        <v>1909</v>
      </c>
      <c r="F94" s="479" t="s">
        <v>2050</v>
      </c>
      <c r="G94" s="489"/>
      <c r="H94" s="726">
        <v>42430</v>
      </c>
      <c r="I94" s="727">
        <v>42485</v>
      </c>
      <c r="J94" s="533">
        <v>1354.11</v>
      </c>
      <c r="K94" s="533"/>
    </row>
    <row r="95" spans="1:11" s="479" customFormat="1" outlineLevel="1">
      <c r="A95" s="347"/>
      <c r="B95" s="481"/>
      <c r="C95" s="903" t="s">
        <v>213</v>
      </c>
      <c r="D95" s="733" t="str">
        <f>VLOOKUP(C95,$C$261:$D$333,2,FALSE)</f>
        <v xml:space="preserve"> SÃO BERNARDO DO CAMPO</v>
      </c>
      <c r="E95" s="733"/>
      <c r="F95" s="733"/>
      <c r="G95" s="744"/>
      <c r="H95" s="745"/>
      <c r="I95" s="741"/>
      <c r="J95" s="563">
        <f>SUBTOTAL(9,J93:J94)</f>
        <v>7591.24</v>
      </c>
      <c r="K95" s="533"/>
    </row>
    <row r="96" spans="1:11" s="479" customFormat="1" outlineLevel="2">
      <c r="A96" s="347"/>
      <c r="B96" s="481" t="s">
        <v>258</v>
      </c>
      <c r="C96" s="481" t="s">
        <v>214</v>
      </c>
      <c r="D96" s="479" t="s">
        <v>94</v>
      </c>
      <c r="E96" s="479" t="s">
        <v>1909</v>
      </c>
      <c r="F96" s="479" t="s">
        <v>1910</v>
      </c>
      <c r="G96" s="489"/>
      <c r="H96" s="726">
        <v>42430</v>
      </c>
      <c r="I96" s="727">
        <v>42485</v>
      </c>
      <c r="J96" s="533">
        <v>7399.9</v>
      </c>
      <c r="K96" s="533"/>
    </row>
    <row r="97" spans="1:11" s="479" customFormat="1" outlineLevel="2">
      <c r="A97" s="347"/>
      <c r="B97" s="481" t="s">
        <v>258</v>
      </c>
      <c r="C97" s="481" t="s">
        <v>214</v>
      </c>
      <c r="D97" s="479" t="s">
        <v>94</v>
      </c>
      <c r="E97" s="479" t="s">
        <v>1909</v>
      </c>
      <c r="F97" s="479" t="s">
        <v>2050</v>
      </c>
      <c r="G97" s="489"/>
      <c r="H97" s="726">
        <v>42430</v>
      </c>
      <c r="I97" s="727">
        <v>42485</v>
      </c>
      <c r="J97" s="533">
        <v>1606.56</v>
      </c>
      <c r="K97" s="533"/>
    </row>
    <row r="98" spans="1:11" s="479" customFormat="1" outlineLevel="1">
      <c r="A98" s="347"/>
      <c r="B98" s="481"/>
      <c r="C98" s="903" t="s">
        <v>214</v>
      </c>
      <c r="D98" s="733" t="str">
        <f>VLOOKUP(C98,$C$261:$D$333,2,FALSE)</f>
        <v xml:space="preserve"> GUARULHOS</v>
      </c>
      <c r="E98" s="733"/>
      <c r="F98" s="733"/>
      <c r="G98" s="744"/>
      <c r="H98" s="745"/>
      <c r="I98" s="741"/>
      <c r="J98" s="563">
        <f>SUBTOTAL(9,J96:J97)</f>
        <v>9006.4599999999991</v>
      </c>
      <c r="K98" s="533"/>
    </row>
    <row r="99" spans="1:11" s="479" customFormat="1" outlineLevel="2">
      <c r="A99" s="492" t="s">
        <v>6514</v>
      </c>
      <c r="B99" s="565">
        <v>132050100000</v>
      </c>
      <c r="C99" s="571" t="s">
        <v>215</v>
      </c>
      <c r="D99" s="471"/>
      <c r="E99" s="471" t="s">
        <v>6515</v>
      </c>
      <c r="F99" s="471" t="s">
        <v>439</v>
      </c>
      <c r="G99" s="471" t="s">
        <v>6516</v>
      </c>
      <c r="H99" s="570" t="s">
        <v>2678</v>
      </c>
      <c r="I99" s="573">
        <v>5957</v>
      </c>
      <c r="J99" s="566">
        <v>25195.18</v>
      </c>
      <c r="K99" s="533"/>
    </row>
    <row r="100" spans="1:11" s="479" customFormat="1" outlineLevel="2">
      <c r="A100" s="347"/>
      <c r="B100" s="481" t="s">
        <v>258</v>
      </c>
      <c r="C100" s="481" t="s">
        <v>215</v>
      </c>
      <c r="D100" s="479" t="s">
        <v>6627</v>
      </c>
      <c r="E100" s="479" t="s">
        <v>1909</v>
      </c>
      <c r="F100" s="479" t="s">
        <v>1910</v>
      </c>
      <c r="G100" s="489"/>
      <c r="H100" s="726">
        <v>42430</v>
      </c>
      <c r="I100" s="727">
        <v>42485</v>
      </c>
      <c r="J100" s="533">
        <v>5141.3100000000004</v>
      </c>
      <c r="K100" s="533"/>
    </row>
    <row r="101" spans="1:11" s="479" customFormat="1" outlineLevel="2">
      <c r="A101" s="347"/>
      <c r="B101" s="481" t="s">
        <v>258</v>
      </c>
      <c r="C101" s="481" t="s">
        <v>215</v>
      </c>
      <c r="D101" s="479" t="s">
        <v>100</v>
      </c>
      <c r="E101" s="479" t="s">
        <v>1909</v>
      </c>
      <c r="F101" s="479" t="s">
        <v>2050</v>
      </c>
      <c r="G101" s="489"/>
      <c r="H101" s="726">
        <v>42430</v>
      </c>
      <c r="I101" s="727">
        <v>42485</v>
      </c>
      <c r="J101" s="533">
        <v>1116.2</v>
      </c>
      <c r="K101" s="533"/>
    </row>
    <row r="102" spans="1:11" s="479" customFormat="1" outlineLevel="1">
      <c r="A102" s="347"/>
      <c r="B102" s="481"/>
      <c r="C102" s="903" t="s">
        <v>215</v>
      </c>
      <c r="D102" s="733" t="str">
        <f>VLOOKUP(C102,$C$261:$D$333,2,FALSE)</f>
        <v xml:space="preserve"> RIBEIRÃO PRETO</v>
      </c>
      <c r="E102" s="733"/>
      <c r="F102" s="733"/>
      <c r="G102" s="744"/>
      <c r="H102" s="745"/>
      <c r="I102" s="741"/>
      <c r="J102" s="563">
        <f>SUBTOTAL(9,J99:J101)</f>
        <v>31452.690000000002</v>
      </c>
      <c r="K102" s="533"/>
    </row>
    <row r="103" spans="1:11" s="479" customFormat="1" outlineLevel="2">
      <c r="A103" s="347"/>
      <c r="B103" s="565" t="s">
        <v>258</v>
      </c>
      <c r="C103" s="481" t="s">
        <v>216</v>
      </c>
      <c r="D103" s="479" t="s">
        <v>90</v>
      </c>
      <c r="E103" s="479" t="s">
        <v>1909</v>
      </c>
      <c r="F103" s="479" t="s">
        <v>1910</v>
      </c>
      <c r="G103" s="489"/>
      <c r="H103" s="726">
        <v>42430</v>
      </c>
      <c r="I103" s="727">
        <v>42485</v>
      </c>
      <c r="J103" s="533">
        <v>3473.11</v>
      </c>
      <c r="K103" s="533"/>
    </row>
    <row r="104" spans="1:11" s="479" customFormat="1" outlineLevel="2">
      <c r="A104" s="347"/>
      <c r="B104" s="481" t="s">
        <v>258</v>
      </c>
      <c r="C104" s="481" t="s">
        <v>216</v>
      </c>
      <c r="D104" s="479" t="s">
        <v>90</v>
      </c>
      <c r="E104" s="479" t="s">
        <v>1909</v>
      </c>
      <c r="F104" s="479" t="s">
        <v>2050</v>
      </c>
      <c r="G104" s="489"/>
      <c r="H104" s="726">
        <v>42430</v>
      </c>
      <c r="I104" s="727">
        <v>42485</v>
      </c>
      <c r="J104" s="533">
        <v>754.03</v>
      </c>
      <c r="K104" s="533"/>
    </row>
    <row r="105" spans="1:11" s="479" customFormat="1" outlineLevel="1">
      <c r="A105" s="347"/>
      <c r="B105" s="481"/>
      <c r="C105" s="903" t="s">
        <v>216</v>
      </c>
      <c r="D105" s="733" t="str">
        <f>VLOOKUP(C105,$C$261:$D$333,2,FALSE)</f>
        <v xml:space="preserve"> CAMPINAS SHOPPING</v>
      </c>
      <c r="E105" s="733"/>
      <c r="F105" s="733"/>
      <c r="G105" s="744"/>
      <c r="H105" s="745"/>
      <c r="I105" s="741"/>
      <c r="J105" s="563">
        <f>SUBTOTAL(9,J103:J104)</f>
        <v>4227.1400000000003</v>
      </c>
      <c r="K105" s="533"/>
    </row>
    <row r="106" spans="1:11" s="479" customFormat="1" outlineLevel="2">
      <c r="A106" s="347"/>
      <c r="B106" s="481"/>
      <c r="C106" s="481" t="s">
        <v>217</v>
      </c>
      <c r="D106" s="479" t="s">
        <v>107</v>
      </c>
      <c r="E106" s="479" t="s">
        <v>1909</v>
      </c>
      <c r="F106" s="479" t="s">
        <v>1910</v>
      </c>
      <c r="G106" s="489"/>
      <c r="H106" s="726">
        <v>42430</v>
      </c>
      <c r="I106" s="727">
        <v>42485</v>
      </c>
      <c r="J106" s="533">
        <v>1285.08</v>
      </c>
      <c r="K106" s="533"/>
    </row>
    <row r="107" spans="1:11" s="479" customFormat="1" outlineLevel="2">
      <c r="A107" s="347"/>
      <c r="B107" s="481" t="s">
        <v>258</v>
      </c>
      <c r="C107" s="481" t="s">
        <v>217</v>
      </c>
      <c r="D107" s="479" t="s">
        <v>107</v>
      </c>
      <c r="E107" s="479" t="s">
        <v>1909</v>
      </c>
      <c r="F107" s="479" t="s">
        <v>2050</v>
      </c>
      <c r="G107" s="489"/>
      <c r="H107" s="726">
        <v>42430</v>
      </c>
      <c r="I107" s="727">
        <v>42485</v>
      </c>
      <c r="J107" s="533">
        <v>279</v>
      </c>
      <c r="K107" s="533"/>
    </row>
    <row r="108" spans="1:11" s="479" customFormat="1" outlineLevel="1">
      <c r="A108" s="347"/>
      <c r="B108" s="481"/>
      <c r="C108" s="903" t="s">
        <v>217</v>
      </c>
      <c r="D108" s="733" t="str">
        <f>VLOOKUP(C108,$C$261:$D$333,2,FALSE)</f>
        <v xml:space="preserve"> SUZANO</v>
      </c>
      <c r="E108" s="733"/>
      <c r="F108" s="733"/>
      <c r="G108" s="744"/>
      <c r="H108" s="745"/>
      <c r="I108" s="741"/>
      <c r="J108" s="563">
        <f>SUBTOTAL(9,J106:J107)</f>
        <v>1564.08</v>
      </c>
      <c r="K108" s="533"/>
    </row>
    <row r="109" spans="1:11" s="479" customFormat="1" outlineLevel="2">
      <c r="A109" s="347"/>
      <c r="B109" s="481" t="s">
        <v>258</v>
      </c>
      <c r="C109" s="481" t="s">
        <v>361</v>
      </c>
      <c r="D109" s="479" t="s">
        <v>6628</v>
      </c>
      <c r="E109" s="479" t="s">
        <v>1909</v>
      </c>
      <c r="F109" s="479" t="s">
        <v>1910</v>
      </c>
      <c r="G109" s="489"/>
      <c r="H109" s="726">
        <v>42430</v>
      </c>
      <c r="I109" s="727">
        <v>42485</v>
      </c>
      <c r="J109" s="533">
        <v>3072.73</v>
      </c>
      <c r="K109" s="533"/>
    </row>
    <row r="110" spans="1:11" s="479" customFormat="1" outlineLevel="2">
      <c r="A110" s="347"/>
      <c r="B110" s="481" t="s">
        <v>258</v>
      </c>
      <c r="C110" s="481" t="s">
        <v>361</v>
      </c>
      <c r="D110" s="479" t="s">
        <v>6591</v>
      </c>
      <c r="E110" s="479" t="s">
        <v>1909</v>
      </c>
      <c r="F110" s="479" t="s">
        <v>2050</v>
      </c>
      <c r="G110" s="489"/>
      <c r="H110" s="726">
        <v>42430</v>
      </c>
      <c r="I110" s="727">
        <v>42485</v>
      </c>
      <c r="J110" s="533">
        <v>667.11</v>
      </c>
      <c r="K110" s="533"/>
    </row>
    <row r="111" spans="1:11" s="479" customFormat="1" outlineLevel="1">
      <c r="A111" s="347"/>
      <c r="B111" s="481"/>
      <c r="C111" s="903" t="s">
        <v>361</v>
      </c>
      <c r="D111" s="733" t="str">
        <f>VLOOKUP(C111,$C$261:$D$333,2,FALSE)</f>
        <v xml:space="preserve"> SANTO ANDRÉ</v>
      </c>
      <c r="E111" s="733"/>
      <c r="F111" s="733"/>
      <c r="G111" s="744"/>
      <c r="H111" s="745"/>
      <c r="I111" s="741"/>
      <c r="J111" s="563">
        <f>SUBTOTAL(9,J109:J110)</f>
        <v>3739.84</v>
      </c>
      <c r="K111" s="533"/>
    </row>
    <row r="112" spans="1:11" s="479" customFormat="1" outlineLevel="2">
      <c r="A112" s="347"/>
      <c r="B112" s="565" t="s">
        <v>258</v>
      </c>
      <c r="C112" s="481" t="s">
        <v>220</v>
      </c>
      <c r="D112" s="479" t="s">
        <v>6592</v>
      </c>
      <c r="E112" s="479" t="s">
        <v>1909</v>
      </c>
      <c r="F112" s="479" t="s">
        <v>1910</v>
      </c>
      <c r="G112" s="489"/>
      <c r="H112" s="726">
        <v>42430</v>
      </c>
      <c r="I112" s="727">
        <v>42485</v>
      </c>
      <c r="J112" s="533">
        <v>957.19</v>
      </c>
      <c r="K112" s="533"/>
    </row>
    <row r="113" spans="1:11" s="479" customFormat="1" outlineLevel="2">
      <c r="A113" s="347"/>
      <c r="B113" s="481" t="s">
        <v>258</v>
      </c>
      <c r="C113" s="481" t="s">
        <v>220</v>
      </c>
      <c r="D113" s="479" t="s">
        <v>6592</v>
      </c>
      <c r="E113" s="479" t="s">
        <v>1909</v>
      </c>
      <c r="F113" s="479" t="s">
        <v>2050</v>
      </c>
      <c r="G113" s="489"/>
      <c r="H113" s="726">
        <v>42430</v>
      </c>
      <c r="I113" s="727">
        <v>42485</v>
      </c>
      <c r="J113" s="533">
        <v>207.81</v>
      </c>
      <c r="K113" s="533"/>
    </row>
    <row r="114" spans="1:11" s="479" customFormat="1" outlineLevel="1">
      <c r="A114" s="347"/>
      <c r="B114" s="481"/>
      <c r="C114" s="903" t="s">
        <v>220</v>
      </c>
      <c r="D114" s="733" t="str">
        <f>VLOOKUP(C114,$C$261:$D$333,2,FALSE)</f>
        <v xml:space="preserve"> AMERICANA</v>
      </c>
      <c r="E114" s="733"/>
      <c r="F114" s="733"/>
      <c r="G114" s="744"/>
      <c r="H114" s="745"/>
      <c r="I114" s="741"/>
      <c r="J114" s="563">
        <f>SUBTOTAL(9,J112:J113)</f>
        <v>1165</v>
      </c>
      <c r="K114" s="533"/>
    </row>
    <row r="115" spans="1:11" s="479" customFormat="1" outlineLevel="2">
      <c r="A115" s="347"/>
      <c r="B115" s="481" t="s">
        <v>258</v>
      </c>
      <c r="C115" s="481" t="s">
        <v>221</v>
      </c>
      <c r="D115" s="479" t="s">
        <v>6603</v>
      </c>
      <c r="E115" s="479" t="s">
        <v>1909</v>
      </c>
      <c r="F115" s="479" t="s">
        <v>1910</v>
      </c>
      <c r="G115" s="489"/>
      <c r="H115" s="726">
        <v>42430</v>
      </c>
      <c r="I115" s="727">
        <v>42485</v>
      </c>
      <c r="J115" s="533">
        <v>388.74</v>
      </c>
      <c r="K115" s="533"/>
    </row>
    <row r="116" spans="1:11" s="479" customFormat="1" outlineLevel="2">
      <c r="A116" s="347"/>
      <c r="B116" s="481" t="s">
        <v>258</v>
      </c>
      <c r="C116" s="481" t="s">
        <v>221</v>
      </c>
      <c r="D116" s="479" t="s">
        <v>6603</v>
      </c>
      <c r="E116" s="479" t="s">
        <v>1909</v>
      </c>
      <c r="F116" s="479" t="s">
        <v>2050</v>
      </c>
      <c r="G116" s="489"/>
      <c r="H116" s="726">
        <v>42430</v>
      </c>
      <c r="I116" s="727">
        <v>42485</v>
      </c>
      <c r="J116" s="533">
        <v>84.4</v>
      </c>
      <c r="K116" s="533"/>
    </row>
    <row r="117" spans="1:11" s="479" customFormat="1" outlineLevel="1">
      <c r="A117" s="347"/>
      <c r="B117" s="481"/>
      <c r="C117" s="903" t="s">
        <v>221</v>
      </c>
      <c r="D117" s="733" t="str">
        <f>VLOOKUP(C117,$C$261:$D$333,2,FALSE)</f>
        <v xml:space="preserve"> ANDRADINA</v>
      </c>
      <c r="E117" s="733"/>
      <c r="F117" s="733"/>
      <c r="G117" s="744"/>
      <c r="H117" s="745"/>
      <c r="I117" s="741"/>
      <c r="J117" s="563">
        <f>SUBTOTAL(9,J115:J116)</f>
        <v>473.14</v>
      </c>
      <c r="K117" s="533"/>
    </row>
    <row r="118" spans="1:11" s="479" customFormat="1" outlineLevel="2">
      <c r="A118" s="347"/>
      <c r="B118" s="481" t="s">
        <v>258</v>
      </c>
      <c r="C118" s="481" t="s">
        <v>222</v>
      </c>
      <c r="D118" s="479" t="s">
        <v>6601</v>
      </c>
      <c r="E118" s="479" t="s">
        <v>1909</v>
      </c>
      <c r="F118" s="479" t="s">
        <v>1910</v>
      </c>
      <c r="G118" s="489"/>
      <c r="H118" s="726">
        <v>42430</v>
      </c>
      <c r="I118" s="727">
        <v>42485</v>
      </c>
      <c r="J118" s="533">
        <v>727.37</v>
      </c>
      <c r="K118" s="533"/>
    </row>
    <row r="119" spans="1:11" s="479" customFormat="1" outlineLevel="2">
      <c r="A119" s="347"/>
      <c r="B119" s="481" t="s">
        <v>258</v>
      </c>
      <c r="C119" s="481" t="s">
        <v>222</v>
      </c>
      <c r="D119" s="479" t="s">
        <v>6601</v>
      </c>
      <c r="E119" s="479" t="s">
        <v>1909</v>
      </c>
      <c r="F119" s="479" t="s">
        <v>2050</v>
      </c>
      <c r="G119" s="489"/>
      <c r="H119" s="726">
        <v>42430</v>
      </c>
      <c r="I119" s="727">
        <v>42485</v>
      </c>
      <c r="J119" s="533">
        <v>157.91999999999999</v>
      </c>
      <c r="K119" s="533"/>
    </row>
    <row r="120" spans="1:11" s="479" customFormat="1" outlineLevel="1">
      <c r="A120" s="347"/>
      <c r="B120" s="481"/>
      <c r="C120" s="903" t="s">
        <v>222</v>
      </c>
      <c r="D120" s="733" t="str">
        <f>VLOOKUP(C120,$C$261:$D$333,2,FALSE)</f>
        <v xml:space="preserve"> ARARAS</v>
      </c>
      <c r="E120" s="733"/>
      <c r="F120" s="733"/>
      <c r="G120" s="744"/>
      <c r="H120" s="745"/>
      <c r="I120" s="741"/>
      <c r="J120" s="563">
        <f>SUBTOTAL(9,J118:J119)</f>
        <v>885.29</v>
      </c>
      <c r="K120" s="533"/>
    </row>
    <row r="121" spans="1:11" s="479" customFormat="1" outlineLevel="2">
      <c r="A121" s="347"/>
      <c r="B121" s="481" t="s">
        <v>258</v>
      </c>
      <c r="C121" s="481" t="s">
        <v>223</v>
      </c>
      <c r="D121" s="479" t="s">
        <v>6575</v>
      </c>
      <c r="E121" s="479" t="s">
        <v>1909</v>
      </c>
      <c r="F121" s="479" t="s">
        <v>1910</v>
      </c>
      <c r="G121" s="489"/>
      <c r="H121" s="726">
        <v>42430</v>
      </c>
      <c r="I121" s="727">
        <v>42485</v>
      </c>
      <c r="J121" s="533">
        <v>582.78</v>
      </c>
      <c r="K121" s="533"/>
    </row>
    <row r="122" spans="1:11" s="479" customFormat="1" outlineLevel="2">
      <c r="A122" s="347"/>
      <c r="B122" s="481" t="s">
        <v>258</v>
      </c>
      <c r="C122" s="481" t="s">
        <v>223</v>
      </c>
      <c r="D122" s="479" t="s">
        <v>6575</v>
      </c>
      <c r="E122" s="479" t="s">
        <v>1909</v>
      </c>
      <c r="F122" s="479" t="s">
        <v>2050</v>
      </c>
      <c r="G122" s="489"/>
      <c r="H122" s="726">
        <v>42430</v>
      </c>
      <c r="I122" s="727">
        <v>42485</v>
      </c>
      <c r="J122" s="533">
        <v>126.53</v>
      </c>
      <c r="K122" s="533"/>
    </row>
    <row r="123" spans="1:11" s="479" customFormat="1" outlineLevel="1">
      <c r="A123" s="347"/>
      <c r="B123" s="481"/>
      <c r="C123" s="903" t="s">
        <v>223</v>
      </c>
      <c r="D123" s="733" t="str">
        <f>VLOOKUP(C123,$C$261:$D$333,2,FALSE)</f>
        <v xml:space="preserve"> ASSIS</v>
      </c>
      <c r="E123" s="733"/>
      <c r="F123" s="733"/>
      <c r="G123" s="744"/>
      <c r="H123" s="745"/>
      <c r="I123" s="741"/>
      <c r="J123" s="563">
        <f>SUBTOTAL(9,J121:J122)</f>
        <v>709.31</v>
      </c>
      <c r="K123" s="533"/>
    </row>
    <row r="124" spans="1:11" s="479" customFormat="1" outlineLevel="2">
      <c r="A124" s="347"/>
      <c r="B124" s="481" t="s">
        <v>258</v>
      </c>
      <c r="C124" s="481" t="s">
        <v>224</v>
      </c>
      <c r="D124" s="479" t="s">
        <v>6593</v>
      </c>
      <c r="E124" s="479" t="s">
        <v>1909</v>
      </c>
      <c r="F124" s="479" t="s">
        <v>1910</v>
      </c>
      <c r="G124" s="489"/>
      <c r="H124" s="726">
        <v>42430</v>
      </c>
      <c r="I124" s="727">
        <v>42485</v>
      </c>
      <c r="J124" s="533">
        <v>559.13</v>
      </c>
      <c r="K124" s="533"/>
    </row>
    <row r="125" spans="1:11" s="479" customFormat="1" outlineLevel="2">
      <c r="A125" s="347"/>
      <c r="B125" s="481" t="s">
        <v>258</v>
      </c>
      <c r="C125" s="481" t="s">
        <v>224</v>
      </c>
      <c r="D125" s="479" t="s">
        <v>6593</v>
      </c>
      <c r="E125" s="479" t="s">
        <v>1909</v>
      </c>
      <c r="F125" s="479" t="s">
        <v>2050</v>
      </c>
      <c r="G125" s="489"/>
      <c r="H125" s="726">
        <v>42430</v>
      </c>
      <c r="I125" s="727">
        <v>42485</v>
      </c>
      <c r="J125" s="533">
        <v>121.39</v>
      </c>
      <c r="K125" s="533"/>
    </row>
    <row r="126" spans="1:11" s="479" customFormat="1" outlineLevel="1">
      <c r="A126" s="347"/>
      <c r="B126" s="481"/>
      <c r="C126" s="903" t="s">
        <v>224</v>
      </c>
      <c r="D126" s="733" t="str">
        <f>VLOOKUP(C126,$C$261:$D$333,2,FALSE)</f>
        <v xml:space="preserve"> BARRETOS</v>
      </c>
      <c r="E126" s="733"/>
      <c r="F126" s="733"/>
      <c r="G126" s="744"/>
      <c r="H126" s="745"/>
      <c r="I126" s="741"/>
      <c r="J126" s="563">
        <f>SUBTOTAL(9,J124:J125)</f>
        <v>680.52</v>
      </c>
      <c r="K126" s="533"/>
    </row>
    <row r="127" spans="1:11" s="479" customFormat="1" outlineLevel="2">
      <c r="A127" s="347"/>
      <c r="B127" s="481" t="s">
        <v>258</v>
      </c>
      <c r="C127" s="481" t="s">
        <v>225</v>
      </c>
      <c r="D127" s="479" t="s">
        <v>6594</v>
      </c>
      <c r="E127" s="479" t="s">
        <v>1909</v>
      </c>
      <c r="F127" s="479" t="s">
        <v>1910</v>
      </c>
      <c r="G127" s="489"/>
      <c r="H127" s="726">
        <v>42430</v>
      </c>
      <c r="I127" s="727">
        <v>42485</v>
      </c>
      <c r="J127" s="533">
        <v>468.93</v>
      </c>
      <c r="K127" s="533"/>
    </row>
    <row r="128" spans="1:11" s="479" customFormat="1" outlineLevel="2">
      <c r="A128" s="347"/>
      <c r="B128" s="481" t="s">
        <v>258</v>
      </c>
      <c r="C128" s="481" t="s">
        <v>225</v>
      </c>
      <c r="D128" s="479" t="s">
        <v>6594</v>
      </c>
      <c r="E128" s="479" t="s">
        <v>1909</v>
      </c>
      <c r="F128" s="479" t="s">
        <v>2050</v>
      </c>
      <c r="G128" s="489"/>
      <c r="H128" s="726">
        <v>42430</v>
      </c>
      <c r="I128" s="727">
        <v>42485</v>
      </c>
      <c r="J128" s="533">
        <v>101.81</v>
      </c>
      <c r="K128" s="533"/>
    </row>
    <row r="129" spans="1:11" s="479" customFormat="1" outlineLevel="1">
      <c r="A129" s="347"/>
      <c r="B129" s="481"/>
      <c r="C129" s="903" t="s">
        <v>225</v>
      </c>
      <c r="D129" s="733" t="str">
        <f>VLOOKUP(C129,$C$261:$D$333,2,FALSE)</f>
        <v xml:space="preserve"> BEBEDOURO</v>
      </c>
      <c r="E129" s="733"/>
      <c r="F129" s="733"/>
      <c r="G129" s="744"/>
      <c r="H129" s="745"/>
      <c r="I129" s="741"/>
      <c r="J129" s="563">
        <f>SUBTOTAL(9,J127:J128)</f>
        <v>570.74</v>
      </c>
      <c r="K129" s="533"/>
    </row>
    <row r="130" spans="1:11" s="479" customFormat="1" outlineLevel="2">
      <c r="A130" s="347"/>
      <c r="B130" s="481" t="s">
        <v>258</v>
      </c>
      <c r="C130" s="481" t="s">
        <v>226</v>
      </c>
      <c r="D130" s="479" t="s">
        <v>6612</v>
      </c>
      <c r="E130" s="479" t="s">
        <v>1909</v>
      </c>
      <c r="F130" s="479" t="s">
        <v>1910</v>
      </c>
      <c r="G130" s="489"/>
      <c r="H130" s="726">
        <v>42430</v>
      </c>
      <c r="I130" s="727">
        <v>42485</v>
      </c>
      <c r="J130" s="533">
        <v>569.87</v>
      </c>
      <c r="K130" s="533"/>
    </row>
    <row r="131" spans="1:11" s="479" customFormat="1" outlineLevel="2">
      <c r="A131" s="347"/>
      <c r="B131" s="481" t="s">
        <v>258</v>
      </c>
      <c r="C131" s="481" t="s">
        <v>226</v>
      </c>
      <c r="D131" s="479" t="s">
        <v>6612</v>
      </c>
      <c r="E131" s="479" t="s">
        <v>1909</v>
      </c>
      <c r="F131" s="479" t="s">
        <v>2050</v>
      </c>
      <c r="G131" s="489"/>
      <c r="H131" s="726">
        <v>42430</v>
      </c>
      <c r="I131" s="727">
        <v>42485</v>
      </c>
      <c r="J131" s="533">
        <v>123.72</v>
      </c>
      <c r="K131" s="533"/>
    </row>
    <row r="132" spans="1:11" s="479" customFormat="1" outlineLevel="1">
      <c r="A132" s="347"/>
      <c r="B132" s="481"/>
      <c r="C132" s="903" t="s">
        <v>226</v>
      </c>
      <c r="D132" s="733" t="str">
        <f>VLOOKUP(C132,$C$261:$D$333,2,FALSE)</f>
        <v xml:space="preserve"> BIRIGUÍ</v>
      </c>
      <c r="E132" s="733"/>
      <c r="F132" s="733"/>
      <c r="G132" s="744"/>
      <c r="H132" s="745"/>
      <c r="I132" s="741"/>
      <c r="J132" s="563">
        <f>SUBTOTAL(9,J130:J131)</f>
        <v>693.59</v>
      </c>
      <c r="K132" s="533"/>
    </row>
    <row r="133" spans="1:11" s="479" customFormat="1" outlineLevel="2">
      <c r="A133" s="347"/>
      <c r="B133" s="481" t="s">
        <v>258</v>
      </c>
      <c r="C133" s="481" t="s">
        <v>227</v>
      </c>
      <c r="D133" s="479" t="s">
        <v>6613</v>
      </c>
      <c r="E133" s="479" t="s">
        <v>1909</v>
      </c>
      <c r="F133" s="479" t="s">
        <v>1910</v>
      </c>
      <c r="G133" s="489"/>
      <c r="H133" s="726">
        <v>42430</v>
      </c>
      <c r="I133" s="727">
        <v>42485</v>
      </c>
      <c r="J133" s="533">
        <v>747.42</v>
      </c>
      <c r="K133" s="533"/>
    </row>
    <row r="134" spans="1:11" s="479" customFormat="1" outlineLevel="2">
      <c r="A134" s="347"/>
      <c r="B134" s="481" t="s">
        <v>258</v>
      </c>
      <c r="C134" s="481" t="s">
        <v>227</v>
      </c>
      <c r="D134" s="479" t="s">
        <v>6613</v>
      </c>
      <c r="E134" s="479" t="s">
        <v>1909</v>
      </c>
      <c r="F134" s="479" t="s">
        <v>2050</v>
      </c>
      <c r="G134" s="489"/>
      <c r="H134" s="726">
        <v>42430</v>
      </c>
      <c r="I134" s="727">
        <v>42485</v>
      </c>
      <c r="J134" s="533">
        <v>162.27000000000001</v>
      </c>
      <c r="K134" s="533"/>
    </row>
    <row r="135" spans="1:11" s="479" customFormat="1" outlineLevel="1">
      <c r="A135" s="347"/>
      <c r="B135" s="481"/>
      <c r="C135" s="903" t="s">
        <v>227</v>
      </c>
      <c r="D135" s="733" t="str">
        <f>VLOOKUP(C135,$C$261:$D$333,2,FALSE)</f>
        <v xml:space="preserve"> BRAGANÇA PAULISTA</v>
      </c>
      <c r="E135" s="733"/>
      <c r="F135" s="733"/>
      <c r="G135" s="744"/>
      <c r="H135" s="745"/>
      <c r="I135" s="741"/>
      <c r="J135" s="563">
        <f>SUBTOTAL(9,J133:J134)</f>
        <v>909.68999999999994</v>
      </c>
      <c r="K135" s="533"/>
    </row>
    <row r="136" spans="1:11" s="479" customFormat="1" outlineLevel="2">
      <c r="A136" s="347"/>
      <c r="B136" s="481" t="s">
        <v>258</v>
      </c>
      <c r="C136" s="481" t="s">
        <v>228</v>
      </c>
      <c r="D136" s="479" t="s">
        <v>6578</v>
      </c>
      <c r="E136" s="479" t="s">
        <v>1909</v>
      </c>
      <c r="F136" s="479" t="s">
        <v>1910</v>
      </c>
      <c r="G136" s="489"/>
      <c r="H136" s="726">
        <v>42430</v>
      </c>
      <c r="I136" s="727">
        <v>42485</v>
      </c>
      <c r="J136" s="533">
        <v>643.61</v>
      </c>
      <c r="K136" s="533"/>
    </row>
    <row r="137" spans="1:11" s="479" customFormat="1" outlineLevel="2">
      <c r="A137" s="347"/>
      <c r="B137" s="481" t="s">
        <v>258</v>
      </c>
      <c r="C137" s="481" t="s">
        <v>228</v>
      </c>
      <c r="D137" s="479" t="s">
        <v>6578</v>
      </c>
      <c r="E137" s="479" t="s">
        <v>1909</v>
      </c>
      <c r="F137" s="479" t="s">
        <v>2050</v>
      </c>
      <c r="G137" s="489"/>
      <c r="H137" s="726">
        <v>42430</v>
      </c>
      <c r="I137" s="727">
        <v>42485</v>
      </c>
      <c r="J137" s="533">
        <v>139.72999999999999</v>
      </c>
      <c r="K137" s="533"/>
    </row>
    <row r="138" spans="1:11" s="479" customFormat="1" outlineLevel="1">
      <c r="A138" s="347"/>
      <c r="B138" s="481"/>
      <c r="C138" s="903" t="s">
        <v>228</v>
      </c>
      <c r="D138" s="733" t="str">
        <f>VLOOKUP(C138,$C$261:$D$333,2,FALSE)</f>
        <v xml:space="preserve"> CAIEIRAS</v>
      </c>
      <c r="E138" s="733"/>
      <c r="F138" s="733"/>
      <c r="G138" s="744"/>
      <c r="H138" s="745"/>
      <c r="I138" s="741"/>
      <c r="J138" s="563">
        <f>SUBTOTAL(9,J136:J137)</f>
        <v>783.34</v>
      </c>
      <c r="K138" s="533"/>
    </row>
    <row r="139" spans="1:11" s="479" customFormat="1" outlineLevel="2">
      <c r="A139" s="347"/>
      <c r="B139" s="481" t="s">
        <v>258</v>
      </c>
      <c r="C139" s="481" t="s">
        <v>229</v>
      </c>
      <c r="D139" s="479" t="s">
        <v>6608</v>
      </c>
      <c r="E139" s="479" t="s">
        <v>1909</v>
      </c>
      <c r="F139" s="479" t="s">
        <v>1910</v>
      </c>
      <c r="G139" s="489"/>
      <c r="H139" s="726">
        <v>42430</v>
      </c>
      <c r="I139" s="727">
        <v>42485</v>
      </c>
      <c r="J139" s="533">
        <v>1243.55</v>
      </c>
      <c r="K139" s="533"/>
    </row>
    <row r="140" spans="1:11" s="479" customFormat="1" outlineLevel="2">
      <c r="A140" s="347"/>
      <c r="B140" s="481" t="s">
        <v>258</v>
      </c>
      <c r="C140" s="481" t="s">
        <v>229</v>
      </c>
      <c r="D140" s="479" t="s">
        <v>6608</v>
      </c>
      <c r="E140" s="479" t="s">
        <v>1909</v>
      </c>
      <c r="F140" s="479" t="s">
        <v>2050</v>
      </c>
      <c r="G140" s="489"/>
      <c r="H140" s="726">
        <v>42430</v>
      </c>
      <c r="I140" s="727">
        <v>42485</v>
      </c>
      <c r="J140" s="533">
        <v>269.98</v>
      </c>
      <c r="K140" s="533"/>
    </row>
    <row r="141" spans="1:11" s="479" customFormat="1" outlineLevel="1">
      <c r="A141" s="347"/>
      <c r="B141" s="481"/>
      <c r="C141" s="903" t="s">
        <v>229</v>
      </c>
      <c r="D141" s="733" t="str">
        <f>VLOOKUP(C141,$C$261:$D$333,2,FALSE)</f>
        <v xml:space="preserve"> CARAPICUÍBA</v>
      </c>
      <c r="E141" s="733"/>
      <c r="F141" s="733"/>
      <c r="G141" s="744"/>
      <c r="H141" s="745"/>
      <c r="I141" s="741"/>
      <c r="J141" s="563">
        <f>SUBTOTAL(9,J139:J140)</f>
        <v>1513.53</v>
      </c>
      <c r="K141" s="533"/>
    </row>
    <row r="142" spans="1:11" s="479" customFormat="1" outlineLevel="2">
      <c r="A142" s="347"/>
      <c r="B142" s="481" t="s">
        <v>258</v>
      </c>
      <c r="C142" s="481" t="s">
        <v>230</v>
      </c>
      <c r="D142" s="479" t="s">
        <v>6595</v>
      </c>
      <c r="E142" s="479" t="s">
        <v>1909</v>
      </c>
      <c r="F142" s="479" t="s">
        <v>1910</v>
      </c>
      <c r="G142" s="489"/>
      <c r="H142" s="726">
        <v>42430</v>
      </c>
      <c r="I142" s="727">
        <v>42485</v>
      </c>
      <c r="J142" s="533">
        <v>695.87</v>
      </c>
      <c r="K142" s="533"/>
    </row>
    <row r="143" spans="1:11" s="479" customFormat="1" outlineLevel="2">
      <c r="A143" s="347"/>
      <c r="B143" s="481" t="s">
        <v>258</v>
      </c>
      <c r="C143" s="481" t="s">
        <v>230</v>
      </c>
      <c r="D143" s="479" t="s">
        <v>6595</v>
      </c>
      <c r="E143" s="479" t="s">
        <v>1909</v>
      </c>
      <c r="F143" s="479" t="s">
        <v>2050</v>
      </c>
      <c r="G143" s="489"/>
      <c r="H143" s="726">
        <v>42430</v>
      </c>
      <c r="I143" s="727">
        <v>42485</v>
      </c>
      <c r="J143" s="533">
        <v>151.08000000000001</v>
      </c>
      <c r="K143" s="533"/>
    </row>
    <row r="144" spans="1:11" s="479" customFormat="1" outlineLevel="1">
      <c r="A144" s="347"/>
      <c r="B144" s="481"/>
      <c r="C144" s="903" t="s">
        <v>230</v>
      </c>
      <c r="D144" s="733" t="str">
        <f>VLOOKUP(C144,$C$261:$D$333,2,FALSE)</f>
        <v xml:space="preserve"> CATANDUVA</v>
      </c>
      <c r="E144" s="733"/>
      <c r="F144" s="733"/>
      <c r="G144" s="744"/>
      <c r="H144" s="745"/>
      <c r="I144" s="741"/>
      <c r="J144" s="563">
        <f>SUBTOTAL(9,J142:J143)</f>
        <v>846.95</v>
      </c>
      <c r="K144" s="533"/>
    </row>
    <row r="145" spans="1:11" s="479" customFormat="1" outlineLevel="2">
      <c r="A145" s="347"/>
      <c r="B145" s="481" t="s">
        <v>258</v>
      </c>
      <c r="C145" s="481" t="s">
        <v>231</v>
      </c>
      <c r="D145" s="479" t="s">
        <v>92</v>
      </c>
      <c r="E145" s="479" t="s">
        <v>1909</v>
      </c>
      <c r="F145" s="479" t="s">
        <v>1910</v>
      </c>
      <c r="G145" s="489"/>
      <c r="H145" s="726">
        <v>42430</v>
      </c>
      <c r="I145" s="727">
        <v>42485</v>
      </c>
      <c r="J145" s="533">
        <v>1215.4100000000001</v>
      </c>
      <c r="K145" s="533"/>
    </row>
    <row r="146" spans="1:11" s="479" customFormat="1" outlineLevel="2">
      <c r="A146" s="347"/>
      <c r="B146" s="481" t="s">
        <v>258</v>
      </c>
      <c r="C146" s="481" t="s">
        <v>231</v>
      </c>
      <c r="D146" s="479" t="s">
        <v>92</v>
      </c>
      <c r="E146" s="479" t="s">
        <v>1909</v>
      </c>
      <c r="F146" s="479" t="s">
        <v>2050</v>
      </c>
      <c r="G146" s="489"/>
      <c r="H146" s="726">
        <v>42430</v>
      </c>
      <c r="I146" s="727">
        <v>42485</v>
      </c>
      <c r="J146" s="533">
        <v>263.87</v>
      </c>
      <c r="K146" s="533"/>
    </row>
    <row r="147" spans="1:11" s="479" customFormat="1" outlineLevel="1">
      <c r="A147" s="347"/>
      <c r="B147" s="481"/>
      <c r="C147" s="903" t="s">
        <v>231</v>
      </c>
      <c r="D147" s="733" t="str">
        <f>VLOOKUP(C147,$C$261:$D$333,2,FALSE)</f>
        <v xml:space="preserve"> COTIA</v>
      </c>
      <c r="E147" s="733"/>
      <c r="F147" s="733"/>
      <c r="G147" s="744"/>
      <c r="H147" s="745"/>
      <c r="I147" s="741"/>
      <c r="J147" s="563">
        <f>SUBTOTAL(9,J145:J146)</f>
        <v>1479.2800000000002</v>
      </c>
      <c r="K147" s="533"/>
    </row>
    <row r="148" spans="1:11" s="479" customFormat="1" outlineLevel="2">
      <c r="A148" s="347"/>
      <c r="B148" s="481" t="s">
        <v>258</v>
      </c>
      <c r="C148" s="481" t="s">
        <v>232</v>
      </c>
      <c r="D148" s="479" t="s">
        <v>93</v>
      </c>
      <c r="E148" s="479" t="s">
        <v>1909</v>
      </c>
      <c r="F148" s="479" t="s">
        <v>1910</v>
      </c>
      <c r="G148" s="489"/>
      <c r="H148" s="726">
        <v>42430</v>
      </c>
      <c r="I148" s="727">
        <v>42485</v>
      </c>
      <c r="J148" s="533">
        <v>924.25</v>
      </c>
      <c r="K148" s="533"/>
    </row>
    <row r="149" spans="1:11" s="479" customFormat="1" outlineLevel="2">
      <c r="A149" s="347"/>
      <c r="B149" s="481" t="s">
        <v>258</v>
      </c>
      <c r="C149" s="481" t="s">
        <v>232</v>
      </c>
      <c r="D149" s="479" t="s">
        <v>93</v>
      </c>
      <c r="E149" s="479" t="s">
        <v>1909</v>
      </c>
      <c r="F149" s="479" t="s">
        <v>2050</v>
      </c>
      <c r="G149" s="489"/>
      <c r="H149" s="726">
        <v>42430</v>
      </c>
      <c r="I149" s="727">
        <v>42485</v>
      </c>
      <c r="J149" s="533">
        <v>200.66</v>
      </c>
      <c r="K149" s="533"/>
    </row>
    <row r="150" spans="1:11" s="479" customFormat="1" outlineLevel="1">
      <c r="A150" s="347"/>
      <c r="B150" s="481"/>
      <c r="C150" s="903" t="s">
        <v>232</v>
      </c>
      <c r="D150" s="733" t="str">
        <f>VLOOKUP(C150,$C$261:$D$333,2,FALSE)</f>
        <v xml:space="preserve"> DIADEMA</v>
      </c>
      <c r="E150" s="733"/>
      <c r="F150" s="733"/>
      <c r="G150" s="744"/>
      <c r="H150" s="745"/>
      <c r="I150" s="741"/>
      <c r="J150" s="563">
        <f>SUBTOTAL(9,J148:J149)</f>
        <v>1124.9100000000001</v>
      </c>
      <c r="K150" s="533"/>
    </row>
    <row r="151" spans="1:11" s="479" customFormat="1" outlineLevel="2">
      <c r="A151" s="347"/>
      <c r="B151" s="481" t="s">
        <v>258</v>
      </c>
      <c r="C151" s="481" t="s">
        <v>233</v>
      </c>
      <c r="D151" s="479" t="s">
        <v>6604</v>
      </c>
      <c r="E151" s="479" t="s">
        <v>1909</v>
      </c>
      <c r="F151" s="479" t="s">
        <v>1910</v>
      </c>
      <c r="G151" s="489"/>
      <c r="H151" s="726">
        <v>42430</v>
      </c>
      <c r="I151" s="727">
        <v>42485</v>
      </c>
      <c r="J151" s="533">
        <v>297.82</v>
      </c>
      <c r="K151" s="533"/>
    </row>
    <row r="152" spans="1:11" s="479" customFormat="1" outlineLevel="2">
      <c r="A152" s="347"/>
      <c r="B152" s="481" t="s">
        <v>258</v>
      </c>
      <c r="C152" s="481" t="s">
        <v>233</v>
      </c>
      <c r="D152" s="479" t="s">
        <v>6604</v>
      </c>
      <c r="E152" s="479" t="s">
        <v>1909</v>
      </c>
      <c r="F152" s="479" t="s">
        <v>2050</v>
      </c>
      <c r="G152" s="489"/>
      <c r="H152" s="726">
        <v>42430</v>
      </c>
      <c r="I152" s="727">
        <v>42485</v>
      </c>
      <c r="J152" s="533">
        <v>64.66</v>
      </c>
      <c r="K152" s="533"/>
    </row>
    <row r="153" spans="1:11" s="479" customFormat="1" outlineLevel="1">
      <c r="A153" s="347"/>
      <c r="B153" s="481"/>
      <c r="C153" s="903" t="s">
        <v>233</v>
      </c>
      <c r="D153" s="733" t="str">
        <f>VLOOKUP(C153,$C$261:$D$333,2,FALSE)</f>
        <v xml:space="preserve"> DRACENA</v>
      </c>
      <c r="E153" s="733"/>
      <c r="F153" s="733"/>
      <c r="G153" s="744"/>
      <c r="H153" s="745"/>
      <c r="I153" s="741"/>
      <c r="J153" s="563">
        <f>SUBTOTAL(9,J151:J152)</f>
        <v>362.48</v>
      </c>
      <c r="K153" s="533"/>
    </row>
    <row r="154" spans="1:11" s="479" customFormat="1" outlineLevel="2">
      <c r="A154" s="347"/>
      <c r="B154" s="481" t="s">
        <v>258</v>
      </c>
      <c r="C154" s="481" t="s">
        <v>234</v>
      </c>
      <c r="D154" s="479" t="s">
        <v>6580</v>
      </c>
      <c r="E154" s="479" t="s">
        <v>1909</v>
      </c>
      <c r="F154" s="479" t="s">
        <v>1910</v>
      </c>
      <c r="G154" s="489"/>
      <c r="H154" s="726">
        <v>42430</v>
      </c>
      <c r="I154" s="727">
        <v>42485</v>
      </c>
      <c r="J154" s="533">
        <v>383.02</v>
      </c>
      <c r="K154" s="533"/>
    </row>
    <row r="155" spans="1:11" s="479" customFormat="1" outlineLevel="2">
      <c r="A155" s="347"/>
      <c r="B155" s="481" t="s">
        <v>258</v>
      </c>
      <c r="C155" s="481" t="s">
        <v>234</v>
      </c>
      <c r="D155" s="479" t="s">
        <v>6580</v>
      </c>
      <c r="E155" s="479" t="s">
        <v>1909</v>
      </c>
      <c r="F155" s="479" t="s">
        <v>2050</v>
      </c>
      <c r="G155" s="489"/>
      <c r="H155" s="726">
        <v>42430</v>
      </c>
      <c r="I155" s="727">
        <v>42485</v>
      </c>
      <c r="J155" s="533">
        <v>83.16</v>
      </c>
      <c r="K155" s="533"/>
    </row>
    <row r="156" spans="1:11" s="479" customFormat="1" outlineLevel="1">
      <c r="A156" s="347"/>
      <c r="B156" s="481"/>
      <c r="C156" s="903" t="s">
        <v>234</v>
      </c>
      <c r="D156" s="733" t="str">
        <f>VLOOKUP(C156,$C$261:$D$333,2,FALSE)</f>
        <v xml:space="preserve"> FERNANDÓPOLIS</v>
      </c>
      <c r="E156" s="733"/>
      <c r="F156" s="733"/>
      <c r="G156" s="744"/>
      <c r="H156" s="745"/>
      <c r="I156" s="741"/>
      <c r="J156" s="563">
        <f>SUBTOTAL(9,J154:J155)</f>
        <v>466.17999999999995</v>
      </c>
      <c r="K156" s="533"/>
    </row>
    <row r="157" spans="1:11" s="479" customFormat="1" outlineLevel="2">
      <c r="A157" s="347"/>
      <c r="B157" s="565" t="s">
        <v>258</v>
      </c>
      <c r="C157" s="481" t="s">
        <v>2724</v>
      </c>
      <c r="D157" s="479" t="s">
        <v>2720</v>
      </c>
      <c r="E157" s="479" t="s">
        <v>1909</v>
      </c>
      <c r="F157" s="479" t="s">
        <v>1910</v>
      </c>
      <c r="G157" s="489"/>
      <c r="H157" s="726">
        <v>42430</v>
      </c>
      <c r="I157" s="727">
        <v>42485</v>
      </c>
      <c r="J157" s="533">
        <v>660.09</v>
      </c>
      <c r="K157" s="533"/>
    </row>
    <row r="158" spans="1:11" s="479" customFormat="1" outlineLevel="2">
      <c r="A158" s="347"/>
      <c r="B158" s="481" t="s">
        <v>258</v>
      </c>
      <c r="C158" s="481" t="s">
        <v>2724</v>
      </c>
      <c r="D158" s="479" t="s">
        <v>2720</v>
      </c>
      <c r="E158" s="479" t="s">
        <v>1909</v>
      </c>
      <c r="F158" s="479" t="s">
        <v>2050</v>
      </c>
      <c r="G158" s="489"/>
      <c r="H158" s="726">
        <v>42430</v>
      </c>
      <c r="I158" s="727">
        <v>42485</v>
      </c>
      <c r="J158" s="533">
        <v>143.31</v>
      </c>
      <c r="K158" s="533"/>
    </row>
    <row r="159" spans="1:11" s="479" customFormat="1" outlineLevel="1">
      <c r="A159" s="347"/>
      <c r="B159" s="481"/>
      <c r="C159" s="903" t="s">
        <v>2724</v>
      </c>
      <c r="D159" s="733" t="str">
        <f>VLOOKUP(C159,$C$261:$D$333,2,FALSE)</f>
        <v xml:space="preserve"> GUARATINGUETÁ</v>
      </c>
      <c r="E159" s="733"/>
      <c r="F159" s="733"/>
      <c r="G159" s="744"/>
      <c r="H159" s="745"/>
      <c r="I159" s="741"/>
      <c r="J159" s="563">
        <f>SUBTOTAL(9,J157:J158)</f>
        <v>803.40000000000009</v>
      </c>
      <c r="K159" s="533"/>
    </row>
    <row r="160" spans="1:11" s="479" customFormat="1" outlineLevel="2">
      <c r="A160" s="347"/>
      <c r="B160" s="481" t="s">
        <v>258</v>
      </c>
      <c r="C160" s="481" t="s">
        <v>2725</v>
      </c>
      <c r="D160" s="479" t="s">
        <v>2721</v>
      </c>
      <c r="E160" s="479" t="s">
        <v>1909</v>
      </c>
      <c r="F160" s="479" t="s">
        <v>1910</v>
      </c>
      <c r="G160" s="489"/>
      <c r="H160" s="726">
        <v>42430</v>
      </c>
      <c r="I160" s="727">
        <v>42485</v>
      </c>
      <c r="J160" s="533">
        <v>805.41</v>
      </c>
      <c r="K160" s="533"/>
    </row>
    <row r="161" spans="1:11" s="479" customFormat="1" outlineLevel="2">
      <c r="A161" s="347"/>
      <c r="B161" s="481" t="s">
        <v>258</v>
      </c>
      <c r="C161" s="481" t="s">
        <v>2725</v>
      </c>
      <c r="D161" s="479" t="s">
        <v>2721</v>
      </c>
      <c r="E161" s="479" t="s">
        <v>1909</v>
      </c>
      <c r="F161" s="479" t="s">
        <v>2050</v>
      </c>
      <c r="G161" s="489"/>
      <c r="H161" s="726">
        <v>42430</v>
      </c>
      <c r="I161" s="727">
        <v>42485</v>
      </c>
      <c r="J161" s="533">
        <v>174.86</v>
      </c>
      <c r="K161" s="533"/>
    </row>
    <row r="162" spans="1:11" s="479" customFormat="1" outlineLevel="1">
      <c r="A162" s="347"/>
      <c r="B162" s="481"/>
      <c r="C162" s="903" t="s">
        <v>2725</v>
      </c>
      <c r="D162" s="733" t="str">
        <f>VLOOKUP(C162,$C$261:$D$333,2,FALSE)</f>
        <v xml:space="preserve"> GUARUJÁ</v>
      </c>
      <c r="E162" s="733"/>
      <c r="F162" s="733"/>
      <c r="G162" s="744"/>
      <c r="H162" s="745"/>
      <c r="I162" s="741"/>
      <c r="J162" s="563">
        <f>SUBTOTAL(9,J160:J161)</f>
        <v>980.27</v>
      </c>
      <c r="K162" s="533"/>
    </row>
    <row r="163" spans="1:11" s="479" customFormat="1" outlineLevel="2">
      <c r="A163" s="347"/>
      <c r="B163" s="481" t="s">
        <v>258</v>
      </c>
      <c r="C163" s="481" t="s">
        <v>235</v>
      </c>
      <c r="D163" s="479" t="s">
        <v>6596</v>
      </c>
      <c r="E163" s="479" t="s">
        <v>1909</v>
      </c>
      <c r="F163" s="479" t="s">
        <v>1910</v>
      </c>
      <c r="G163" s="489"/>
      <c r="H163" s="726">
        <v>42430</v>
      </c>
      <c r="I163" s="727">
        <v>42485</v>
      </c>
      <c r="J163" s="533">
        <v>1010.88</v>
      </c>
      <c r="K163" s="533"/>
    </row>
    <row r="164" spans="1:11" s="479" customFormat="1" outlineLevel="2">
      <c r="A164" s="347"/>
      <c r="B164" s="481" t="s">
        <v>258</v>
      </c>
      <c r="C164" s="481" t="s">
        <v>235</v>
      </c>
      <c r="D164" s="479" t="s">
        <v>6596</v>
      </c>
      <c r="E164" s="479" t="s">
        <v>1909</v>
      </c>
      <c r="F164" s="479" t="s">
        <v>2050</v>
      </c>
      <c r="G164" s="489"/>
      <c r="H164" s="726">
        <v>42430</v>
      </c>
      <c r="I164" s="727">
        <v>42485</v>
      </c>
      <c r="J164" s="533">
        <v>219.47</v>
      </c>
      <c r="K164" s="533"/>
    </row>
    <row r="165" spans="1:11" s="479" customFormat="1" outlineLevel="1">
      <c r="A165" s="347"/>
      <c r="B165" s="481"/>
      <c r="C165" s="903" t="s">
        <v>235</v>
      </c>
      <c r="D165" s="733" t="str">
        <f>VLOOKUP(C165,$C$261:$D$333,2,FALSE)</f>
        <v xml:space="preserve"> INDAIATUBA</v>
      </c>
      <c r="E165" s="733"/>
      <c r="F165" s="733"/>
      <c r="G165" s="744"/>
      <c r="H165" s="745"/>
      <c r="I165" s="741"/>
      <c r="J165" s="563">
        <f>SUBTOTAL(9,J163:J164)</f>
        <v>1230.3499999999999</v>
      </c>
      <c r="K165" s="533"/>
    </row>
    <row r="166" spans="1:11" s="479" customFormat="1" outlineLevel="2">
      <c r="A166" s="347"/>
      <c r="B166" s="481" t="s">
        <v>258</v>
      </c>
      <c r="C166" s="481" t="s">
        <v>236</v>
      </c>
      <c r="D166" s="479" t="s">
        <v>6597</v>
      </c>
      <c r="E166" s="479" t="s">
        <v>1909</v>
      </c>
      <c r="F166" s="479" t="s">
        <v>1910</v>
      </c>
      <c r="G166" s="489"/>
      <c r="H166" s="726">
        <v>42430</v>
      </c>
      <c r="I166" s="727">
        <v>42485</v>
      </c>
      <c r="J166" s="533">
        <v>689.43</v>
      </c>
      <c r="K166" s="533"/>
    </row>
    <row r="167" spans="1:11" s="479" customFormat="1" outlineLevel="2">
      <c r="A167" s="347"/>
      <c r="B167" s="481" t="s">
        <v>258</v>
      </c>
      <c r="C167" s="481" t="s">
        <v>236</v>
      </c>
      <c r="D167" s="479" t="s">
        <v>6597</v>
      </c>
      <c r="E167" s="479" t="s">
        <v>1909</v>
      </c>
      <c r="F167" s="479" t="s">
        <v>2050</v>
      </c>
      <c r="G167" s="489"/>
      <c r="H167" s="726">
        <v>42430</v>
      </c>
      <c r="I167" s="727">
        <v>42485</v>
      </c>
      <c r="J167" s="533">
        <v>149.63</v>
      </c>
      <c r="K167" s="533"/>
    </row>
    <row r="168" spans="1:11" s="479" customFormat="1" outlineLevel="1">
      <c r="A168" s="347"/>
      <c r="B168" s="481"/>
      <c r="C168" s="903" t="s">
        <v>236</v>
      </c>
      <c r="D168" s="733" t="str">
        <f>VLOOKUP(C168,$C$261:$D$333,2,FALSE)</f>
        <v xml:space="preserve"> ITAPETININGA</v>
      </c>
      <c r="E168" s="733"/>
      <c r="F168" s="733"/>
      <c r="G168" s="744"/>
      <c r="H168" s="745"/>
      <c r="I168" s="741"/>
      <c r="J168" s="563">
        <f>SUBTOTAL(9,J166:J167)</f>
        <v>839.06</v>
      </c>
      <c r="K168" s="533"/>
    </row>
    <row r="169" spans="1:11" s="479" customFormat="1" outlineLevel="2">
      <c r="A169" s="347"/>
      <c r="B169" s="481" t="s">
        <v>258</v>
      </c>
      <c r="C169" s="481" t="s">
        <v>237</v>
      </c>
      <c r="D169" s="479" t="s">
        <v>6602</v>
      </c>
      <c r="E169" s="479" t="s">
        <v>1909</v>
      </c>
      <c r="F169" s="479" t="s">
        <v>1910</v>
      </c>
      <c r="G169" s="489"/>
      <c r="H169" s="726">
        <v>42430</v>
      </c>
      <c r="I169" s="727">
        <v>42485</v>
      </c>
      <c r="J169" s="533">
        <v>430.98</v>
      </c>
      <c r="K169" s="533"/>
    </row>
    <row r="170" spans="1:11" s="479" customFormat="1" outlineLevel="2">
      <c r="A170" s="347"/>
      <c r="B170" s="481" t="s">
        <v>258</v>
      </c>
      <c r="C170" s="481" t="s">
        <v>237</v>
      </c>
      <c r="D170" s="479" t="s">
        <v>6602</v>
      </c>
      <c r="E170" s="479" t="s">
        <v>1909</v>
      </c>
      <c r="F170" s="479" t="s">
        <v>2050</v>
      </c>
      <c r="G170" s="489"/>
      <c r="H170" s="726">
        <v>42430</v>
      </c>
      <c r="I170" s="727">
        <v>42485</v>
      </c>
      <c r="J170" s="533">
        <v>93.57</v>
      </c>
      <c r="K170" s="533"/>
    </row>
    <row r="171" spans="1:11" s="479" customFormat="1" outlineLevel="1">
      <c r="A171" s="347"/>
      <c r="B171" s="481"/>
      <c r="C171" s="903" t="s">
        <v>237</v>
      </c>
      <c r="D171" s="733" t="str">
        <f>VLOOKUP(C171,$C$261:$D$333,2,FALSE)</f>
        <v xml:space="preserve"> ITAPEVA</v>
      </c>
      <c r="E171" s="733"/>
      <c r="F171" s="733"/>
      <c r="G171" s="744"/>
      <c r="H171" s="745"/>
      <c r="I171" s="741"/>
      <c r="J171" s="563">
        <f>SUBTOTAL(9,J169:J170)</f>
        <v>524.54999999999995</v>
      </c>
      <c r="K171" s="533"/>
    </row>
    <row r="172" spans="1:11" s="479" customFormat="1" outlineLevel="2">
      <c r="A172" s="347"/>
      <c r="B172" s="481" t="s">
        <v>258</v>
      </c>
      <c r="C172" s="481" t="s">
        <v>238</v>
      </c>
      <c r="D172" s="479" t="s">
        <v>6614</v>
      </c>
      <c r="E172" s="479" t="s">
        <v>1909</v>
      </c>
      <c r="F172" s="479" t="s">
        <v>1910</v>
      </c>
      <c r="G172" s="489"/>
      <c r="H172" s="726">
        <v>42430</v>
      </c>
      <c r="I172" s="727">
        <v>42485</v>
      </c>
      <c r="J172" s="533">
        <v>865.55</v>
      </c>
      <c r="K172" s="533"/>
    </row>
    <row r="173" spans="1:11" s="479" customFormat="1" outlineLevel="2">
      <c r="A173" s="347"/>
      <c r="B173" s="481" t="s">
        <v>258</v>
      </c>
      <c r="C173" s="481" t="s">
        <v>238</v>
      </c>
      <c r="D173" s="479" t="s">
        <v>6614</v>
      </c>
      <c r="E173" s="479" t="s">
        <v>1909</v>
      </c>
      <c r="F173" s="479" t="s">
        <v>2050</v>
      </c>
      <c r="G173" s="489"/>
      <c r="H173" s="726">
        <v>42430</v>
      </c>
      <c r="I173" s="727">
        <v>42485</v>
      </c>
      <c r="J173" s="533">
        <v>187.91</v>
      </c>
      <c r="K173" s="533"/>
    </row>
    <row r="174" spans="1:11" s="479" customFormat="1" outlineLevel="1">
      <c r="A174" s="347"/>
      <c r="B174" s="481"/>
      <c r="C174" s="903" t="s">
        <v>238</v>
      </c>
      <c r="D174" s="733" t="str">
        <f>VLOOKUP(C174,$C$261:$D$333,2,FALSE)</f>
        <v xml:space="preserve"> ITU</v>
      </c>
      <c r="E174" s="733"/>
      <c r="F174" s="733"/>
      <c r="G174" s="744"/>
      <c r="H174" s="745"/>
      <c r="I174" s="741"/>
      <c r="J174" s="563">
        <f>SUBTOTAL(9,J172:J173)</f>
        <v>1053.46</v>
      </c>
      <c r="K174" s="533"/>
    </row>
    <row r="175" spans="1:11" s="479" customFormat="1" outlineLevel="2">
      <c r="A175" s="347"/>
      <c r="B175" s="481" t="s">
        <v>258</v>
      </c>
      <c r="C175" s="481" t="s">
        <v>239</v>
      </c>
      <c r="D175" s="479" t="s">
        <v>6598</v>
      </c>
      <c r="E175" s="479" t="s">
        <v>1909</v>
      </c>
      <c r="F175" s="479" t="s">
        <v>1910</v>
      </c>
      <c r="G175" s="489"/>
      <c r="H175" s="726">
        <v>42430</v>
      </c>
      <c r="I175" s="727">
        <v>42485</v>
      </c>
      <c r="J175" s="533">
        <v>816.73</v>
      </c>
      <c r="K175" s="533"/>
    </row>
    <row r="176" spans="1:11" s="479" customFormat="1" outlineLevel="2">
      <c r="A176" s="347"/>
      <c r="B176" s="481" t="s">
        <v>258</v>
      </c>
      <c r="C176" s="481" t="s">
        <v>239</v>
      </c>
      <c r="D176" s="479" t="s">
        <v>6598</v>
      </c>
      <c r="E176" s="479" t="s">
        <v>1909</v>
      </c>
      <c r="F176" s="479" t="s">
        <v>2050</v>
      </c>
      <c r="G176" s="489"/>
      <c r="H176" s="726">
        <v>42430</v>
      </c>
      <c r="I176" s="727">
        <v>42485</v>
      </c>
      <c r="J176" s="533">
        <v>177.32</v>
      </c>
      <c r="K176" s="533"/>
    </row>
    <row r="177" spans="1:11" s="479" customFormat="1" outlineLevel="1">
      <c r="A177" s="347"/>
      <c r="B177" s="481"/>
      <c r="C177" s="903" t="s">
        <v>239</v>
      </c>
      <c r="D177" s="733" t="str">
        <f>VLOOKUP(C177,$C$261:$D$333,2,FALSE)</f>
        <v xml:space="preserve"> JACAREÍ</v>
      </c>
      <c r="E177" s="733"/>
      <c r="F177" s="733"/>
      <c r="G177" s="744"/>
      <c r="H177" s="745"/>
      <c r="I177" s="741"/>
      <c r="J177" s="563">
        <f>SUBTOTAL(9,J175:J176)</f>
        <v>994.05</v>
      </c>
      <c r="K177" s="533"/>
    </row>
    <row r="178" spans="1:11" s="479" customFormat="1" outlineLevel="2">
      <c r="A178" s="347"/>
      <c r="B178" s="481" t="s">
        <v>258</v>
      </c>
      <c r="C178" s="481" t="s">
        <v>240</v>
      </c>
      <c r="D178" s="479" t="s">
        <v>6583</v>
      </c>
      <c r="E178" s="479" t="s">
        <v>1909</v>
      </c>
      <c r="F178" s="479" t="s">
        <v>1910</v>
      </c>
      <c r="G178" s="489"/>
      <c r="H178" s="726">
        <v>42430</v>
      </c>
      <c r="I178" s="727">
        <v>42485</v>
      </c>
      <c r="J178" s="533">
        <v>520.47</v>
      </c>
      <c r="K178" s="533"/>
    </row>
    <row r="179" spans="1:11" s="479" customFormat="1" outlineLevel="2">
      <c r="A179" s="347"/>
      <c r="B179" s="481" t="s">
        <v>258</v>
      </c>
      <c r="C179" s="481" t="s">
        <v>240</v>
      </c>
      <c r="D179" s="479" t="s">
        <v>6583</v>
      </c>
      <c r="E179" s="479" t="s">
        <v>1909</v>
      </c>
      <c r="F179" s="479" t="s">
        <v>2050</v>
      </c>
      <c r="G179" s="489"/>
      <c r="H179" s="726">
        <v>42430</v>
      </c>
      <c r="I179" s="727">
        <v>42485</v>
      </c>
      <c r="J179" s="533">
        <v>113</v>
      </c>
      <c r="K179" s="533"/>
    </row>
    <row r="180" spans="1:11" s="479" customFormat="1" outlineLevel="1">
      <c r="A180" s="347"/>
      <c r="B180" s="481"/>
      <c r="C180" s="903" t="s">
        <v>240</v>
      </c>
      <c r="D180" s="733" t="str">
        <f>VLOOKUP(C180,$C$261:$D$333,2,FALSE)</f>
        <v xml:space="preserve"> LINS</v>
      </c>
      <c r="E180" s="733"/>
      <c r="F180" s="733"/>
      <c r="G180" s="744"/>
      <c r="H180" s="745"/>
      <c r="I180" s="741"/>
      <c r="J180" s="563">
        <f>SUBTOTAL(9,J178:J179)</f>
        <v>633.47</v>
      </c>
      <c r="K180" s="533"/>
    </row>
    <row r="181" spans="1:11" s="479" customFormat="1" outlineLevel="2">
      <c r="A181" s="347"/>
      <c r="B181" s="481"/>
      <c r="C181" s="481" t="s">
        <v>241</v>
      </c>
      <c r="D181" s="479" t="s">
        <v>6616</v>
      </c>
      <c r="E181" s="479" t="s">
        <v>1909</v>
      </c>
      <c r="F181" s="479" t="s">
        <v>1910</v>
      </c>
      <c r="G181" s="489"/>
      <c r="H181" s="726">
        <v>42430</v>
      </c>
      <c r="I181" s="727">
        <v>42485</v>
      </c>
      <c r="J181" s="533">
        <v>960.76</v>
      </c>
      <c r="K181" s="533"/>
    </row>
    <row r="182" spans="1:11" s="479" customFormat="1" outlineLevel="2">
      <c r="A182" s="347"/>
      <c r="B182" s="481" t="s">
        <v>258</v>
      </c>
      <c r="C182" s="481" t="s">
        <v>241</v>
      </c>
      <c r="D182" s="479" t="s">
        <v>6616</v>
      </c>
      <c r="E182" s="479" t="s">
        <v>1909</v>
      </c>
      <c r="F182" s="479" t="s">
        <v>2050</v>
      </c>
      <c r="G182" s="489"/>
      <c r="H182" s="726">
        <v>42430</v>
      </c>
      <c r="I182" s="727">
        <v>42485</v>
      </c>
      <c r="J182" s="533">
        <v>208.59</v>
      </c>
      <c r="K182" s="533"/>
    </row>
    <row r="183" spans="1:11" s="479" customFormat="1" outlineLevel="1">
      <c r="A183" s="347"/>
      <c r="B183" s="481"/>
      <c r="C183" s="903" t="s">
        <v>241</v>
      </c>
      <c r="D183" s="733" t="str">
        <f>VLOOKUP(C183,$C$261:$D$333,2,FALSE)</f>
        <v xml:space="preserve"> MOGI-GUAÇU</v>
      </c>
      <c r="E183" s="733"/>
      <c r="F183" s="733"/>
      <c r="G183" s="744"/>
      <c r="H183" s="745"/>
      <c r="I183" s="741"/>
      <c r="J183" s="563">
        <f>SUBTOTAL(9,J181:J182)</f>
        <v>1169.3499999999999</v>
      </c>
      <c r="K183" s="533"/>
    </row>
    <row r="184" spans="1:11" s="479" customFormat="1" outlineLevel="2">
      <c r="A184" s="347"/>
      <c r="B184" s="481" t="s">
        <v>258</v>
      </c>
      <c r="C184" s="481" t="s">
        <v>242</v>
      </c>
      <c r="D184" s="479" t="s">
        <v>6599</v>
      </c>
      <c r="E184" s="479" t="s">
        <v>1909</v>
      </c>
      <c r="F184" s="479" t="s">
        <v>1910</v>
      </c>
      <c r="G184" s="489"/>
      <c r="H184" s="726">
        <v>42430</v>
      </c>
      <c r="I184" s="727">
        <v>42485</v>
      </c>
      <c r="J184" s="533">
        <v>562.71</v>
      </c>
      <c r="K184" s="533"/>
    </row>
    <row r="185" spans="1:11" s="479" customFormat="1" outlineLevel="2">
      <c r="A185" s="347"/>
      <c r="B185" s="481" t="s">
        <v>258</v>
      </c>
      <c r="C185" s="481" t="s">
        <v>242</v>
      </c>
      <c r="D185" s="479" t="s">
        <v>6599</v>
      </c>
      <c r="E185" s="479" t="s">
        <v>1909</v>
      </c>
      <c r="F185" s="479" t="s">
        <v>2050</v>
      </c>
      <c r="G185" s="489"/>
      <c r="H185" s="726">
        <v>42430</v>
      </c>
      <c r="I185" s="727">
        <v>42485</v>
      </c>
      <c r="J185" s="533">
        <v>122.17</v>
      </c>
      <c r="K185" s="533"/>
    </row>
    <row r="186" spans="1:11" s="479" customFormat="1" outlineLevel="1">
      <c r="A186" s="347"/>
      <c r="B186" s="481"/>
      <c r="C186" s="903" t="s">
        <v>242</v>
      </c>
      <c r="D186" s="733" t="str">
        <f>VLOOKUP(C186,$C$261:$D$333,2,FALSE)</f>
        <v xml:space="preserve"> OURINHOS</v>
      </c>
      <c r="E186" s="733"/>
      <c r="F186" s="733"/>
      <c r="G186" s="744"/>
      <c r="H186" s="745"/>
      <c r="I186" s="741"/>
      <c r="J186" s="563">
        <f>SUBTOTAL(9,J184:J185)</f>
        <v>684.88</v>
      </c>
      <c r="K186" s="533"/>
    </row>
    <row r="187" spans="1:11" s="479" customFormat="1" outlineLevel="2">
      <c r="A187" s="347"/>
      <c r="B187" s="481" t="s">
        <v>258</v>
      </c>
      <c r="C187" s="481" t="s">
        <v>243</v>
      </c>
      <c r="D187" s="479" t="s">
        <v>6605</v>
      </c>
      <c r="E187" s="479" t="s">
        <v>1909</v>
      </c>
      <c r="F187" s="479" t="s">
        <v>1910</v>
      </c>
      <c r="G187" s="489"/>
      <c r="H187" s="726">
        <v>42430</v>
      </c>
      <c r="I187" s="727">
        <v>42485</v>
      </c>
      <c r="J187" s="533">
        <v>553.41</v>
      </c>
      <c r="K187" s="533"/>
    </row>
    <row r="188" spans="1:11" s="479" customFormat="1" outlineLevel="2">
      <c r="A188" s="347"/>
      <c r="B188" s="481" t="s">
        <v>258</v>
      </c>
      <c r="C188" s="481" t="s">
        <v>243</v>
      </c>
      <c r="D188" s="479" t="s">
        <v>6605</v>
      </c>
      <c r="E188" s="479" t="s">
        <v>1909</v>
      </c>
      <c r="F188" s="479" t="s">
        <v>2050</v>
      </c>
      <c r="G188" s="489"/>
      <c r="H188" s="726">
        <v>42430</v>
      </c>
      <c r="I188" s="727">
        <v>42485</v>
      </c>
      <c r="J188" s="533">
        <v>120.15</v>
      </c>
      <c r="K188" s="533"/>
    </row>
    <row r="189" spans="1:11" s="479" customFormat="1" outlineLevel="1">
      <c r="A189" s="347"/>
      <c r="B189" s="481"/>
      <c r="C189" s="903" t="s">
        <v>243</v>
      </c>
      <c r="D189" s="733" t="str">
        <f>VLOOKUP(C189,$C$261:$D$333,2,FALSE)</f>
        <v xml:space="preserve"> PINDAMONHANGABA</v>
      </c>
      <c r="E189" s="733"/>
      <c r="F189" s="733"/>
      <c r="G189" s="744"/>
      <c r="H189" s="745"/>
      <c r="I189" s="741"/>
      <c r="J189" s="563">
        <f>SUBTOTAL(9,J187:J188)</f>
        <v>673.56</v>
      </c>
      <c r="K189" s="533"/>
    </row>
    <row r="190" spans="1:11" s="479" customFormat="1" outlineLevel="2">
      <c r="A190" s="347"/>
      <c r="B190" s="481" t="s">
        <v>258</v>
      </c>
      <c r="C190" s="481" t="s">
        <v>244</v>
      </c>
      <c r="D190" s="479" t="s">
        <v>6617</v>
      </c>
      <c r="E190" s="479" t="s">
        <v>1909</v>
      </c>
      <c r="F190" s="479" t="s">
        <v>1910</v>
      </c>
      <c r="G190" s="489"/>
      <c r="H190" s="726">
        <v>42430</v>
      </c>
      <c r="I190" s="727">
        <v>42485</v>
      </c>
      <c r="J190" s="533">
        <v>1007.3</v>
      </c>
      <c r="K190" s="533"/>
    </row>
    <row r="191" spans="1:11" s="479" customFormat="1" outlineLevel="2">
      <c r="A191" s="347"/>
      <c r="B191" s="481" t="s">
        <v>258</v>
      </c>
      <c r="C191" s="481" t="s">
        <v>244</v>
      </c>
      <c r="D191" s="479" t="s">
        <v>2719</v>
      </c>
      <c r="E191" s="479" t="s">
        <v>1909</v>
      </c>
      <c r="F191" s="479" t="s">
        <v>2050</v>
      </c>
      <c r="G191" s="489"/>
      <c r="H191" s="726">
        <v>42430</v>
      </c>
      <c r="I191" s="727">
        <v>42485</v>
      </c>
      <c r="J191" s="533">
        <v>218.69</v>
      </c>
      <c r="K191" s="533"/>
    </row>
    <row r="192" spans="1:11" s="479" customFormat="1" outlineLevel="1">
      <c r="A192" s="347"/>
      <c r="B192" s="481"/>
      <c r="C192" s="903" t="s">
        <v>244</v>
      </c>
      <c r="D192" s="733" t="str">
        <f>VLOOKUP(C192,$C$261:$D$333,2,FALSE)</f>
        <v xml:space="preserve"> PRAIA GRANDE</v>
      </c>
      <c r="E192" s="733"/>
      <c r="F192" s="733"/>
      <c r="G192" s="744"/>
      <c r="H192" s="745"/>
      <c r="I192" s="741"/>
      <c r="J192" s="563">
        <f>SUBTOTAL(9,J190:J191)</f>
        <v>1225.99</v>
      </c>
      <c r="K192" s="533"/>
    </row>
    <row r="193" spans="1:11" s="479" customFormat="1" outlineLevel="2">
      <c r="A193" s="347"/>
      <c r="B193" s="481" t="s">
        <v>258</v>
      </c>
      <c r="C193" s="481" t="s">
        <v>245</v>
      </c>
      <c r="D193" s="479" t="s">
        <v>6618</v>
      </c>
      <c r="E193" s="479" t="s">
        <v>1909</v>
      </c>
      <c r="F193" s="479" t="s">
        <v>1910</v>
      </c>
      <c r="G193" s="489"/>
      <c r="H193" s="726">
        <v>42430</v>
      </c>
      <c r="I193" s="727">
        <v>42485</v>
      </c>
      <c r="J193" s="533">
        <v>521.19000000000005</v>
      </c>
      <c r="K193" s="533"/>
    </row>
    <row r="194" spans="1:11" s="479" customFormat="1" outlineLevel="2">
      <c r="A194" s="347"/>
      <c r="B194" s="481" t="s">
        <v>258</v>
      </c>
      <c r="C194" s="481" t="s">
        <v>245</v>
      </c>
      <c r="D194" s="479" t="s">
        <v>6600</v>
      </c>
      <c r="E194" s="479" t="s">
        <v>1909</v>
      </c>
      <c r="F194" s="479" t="s">
        <v>2050</v>
      </c>
      <c r="G194" s="489"/>
      <c r="H194" s="726">
        <v>42430</v>
      </c>
      <c r="I194" s="727">
        <v>42485</v>
      </c>
      <c r="J194" s="533">
        <v>113.15</v>
      </c>
      <c r="K194" s="533"/>
    </row>
    <row r="195" spans="1:11" s="479" customFormat="1" outlineLevel="1">
      <c r="A195" s="347"/>
      <c r="B195" s="481"/>
      <c r="C195" s="903" t="s">
        <v>245</v>
      </c>
      <c r="D195" s="733" t="str">
        <f>VLOOKUP(C195,$C$261:$D$333,2,FALSE)</f>
        <v xml:space="preserve"> SÃO JOÃO DA BOA VISTA</v>
      </c>
      <c r="E195" s="733"/>
      <c r="F195" s="733"/>
      <c r="G195" s="744"/>
      <c r="H195" s="745"/>
      <c r="I195" s="741"/>
      <c r="J195" s="563">
        <f>SUBTOTAL(9,J193:J194)</f>
        <v>634.34</v>
      </c>
      <c r="K195" s="533"/>
    </row>
    <row r="196" spans="1:11" s="479" customFormat="1" outlineLevel="2">
      <c r="A196" s="347"/>
      <c r="B196" s="481" t="s">
        <v>258</v>
      </c>
      <c r="C196" s="481" t="s">
        <v>246</v>
      </c>
      <c r="D196" s="479" t="s">
        <v>6619</v>
      </c>
      <c r="E196" s="479" t="s">
        <v>1909</v>
      </c>
      <c r="F196" s="479" t="s">
        <v>1910</v>
      </c>
      <c r="G196" s="489"/>
      <c r="H196" s="726">
        <v>42430</v>
      </c>
      <c r="I196" s="727">
        <v>42485</v>
      </c>
      <c r="J196" s="533">
        <v>1273.6199999999999</v>
      </c>
      <c r="K196" s="533"/>
    </row>
    <row r="197" spans="1:11" s="479" customFormat="1" outlineLevel="2">
      <c r="A197" s="347"/>
      <c r="B197" s="481" t="s">
        <v>258</v>
      </c>
      <c r="C197" s="481" t="s">
        <v>246</v>
      </c>
      <c r="D197" s="479" t="s">
        <v>108</v>
      </c>
      <c r="E197" s="479" t="s">
        <v>1909</v>
      </c>
      <c r="F197" s="479" t="s">
        <v>2050</v>
      </c>
      <c r="G197" s="489"/>
      <c r="H197" s="726">
        <v>42430</v>
      </c>
      <c r="I197" s="727">
        <v>42485</v>
      </c>
      <c r="J197" s="533">
        <v>276.51</v>
      </c>
      <c r="K197" s="533"/>
    </row>
    <row r="198" spans="1:11" s="479" customFormat="1" outlineLevel="1">
      <c r="A198" s="347"/>
      <c r="B198" s="481"/>
      <c r="C198" s="903" t="s">
        <v>246</v>
      </c>
      <c r="D198" s="733" t="str">
        <f>VLOOKUP(C198,$C$261:$D$333,2,FALSE)</f>
        <v xml:space="preserve"> TABOÃO DA SERRA</v>
      </c>
      <c r="E198" s="733"/>
      <c r="F198" s="733"/>
      <c r="G198" s="744"/>
      <c r="H198" s="745"/>
      <c r="I198" s="741"/>
      <c r="J198" s="563">
        <f>SUBTOTAL(9,J196:J197)</f>
        <v>1550.1299999999999</v>
      </c>
      <c r="K198" s="533"/>
    </row>
    <row r="199" spans="1:11" s="479" customFormat="1" outlineLevel="2">
      <c r="A199" s="347"/>
      <c r="B199" s="481" t="s">
        <v>258</v>
      </c>
      <c r="C199" s="481" t="s">
        <v>247</v>
      </c>
      <c r="D199" s="479" t="s">
        <v>6607</v>
      </c>
      <c r="E199" s="479" t="s">
        <v>1909</v>
      </c>
      <c r="F199" s="479" t="s">
        <v>1910</v>
      </c>
      <c r="G199" s="489"/>
      <c r="H199" s="726">
        <v>42430</v>
      </c>
      <c r="I199" s="727">
        <v>42485</v>
      </c>
      <c r="J199" s="533">
        <v>625</v>
      </c>
      <c r="K199" s="533"/>
    </row>
    <row r="200" spans="1:11" s="479" customFormat="1" outlineLevel="2">
      <c r="A200" s="347"/>
      <c r="B200" s="481" t="s">
        <v>258</v>
      </c>
      <c r="C200" s="481" t="s">
        <v>247</v>
      </c>
      <c r="D200" s="479" t="s">
        <v>6607</v>
      </c>
      <c r="E200" s="479" t="s">
        <v>1909</v>
      </c>
      <c r="F200" s="479" t="s">
        <v>2050</v>
      </c>
      <c r="G200" s="489"/>
      <c r="H200" s="726">
        <v>42430</v>
      </c>
      <c r="I200" s="727">
        <v>42485</v>
      </c>
      <c r="J200" s="533">
        <v>135.69</v>
      </c>
      <c r="K200" s="533"/>
    </row>
    <row r="201" spans="1:11" s="479" customFormat="1" outlineLevel="1">
      <c r="A201" s="347"/>
      <c r="B201" s="481"/>
      <c r="C201" s="903" t="s">
        <v>247</v>
      </c>
      <c r="D201" s="733" t="str">
        <f>VLOOKUP(C201,$C$261:$D$333,2,FALSE)</f>
        <v xml:space="preserve"> VOTUPORANGA</v>
      </c>
      <c r="E201" s="733"/>
      <c r="F201" s="733"/>
      <c r="G201" s="744"/>
      <c r="H201" s="745"/>
      <c r="I201" s="741"/>
      <c r="J201" s="563">
        <f>SUBTOTAL(9,J199:J200)</f>
        <v>760.69</v>
      </c>
      <c r="K201" s="533"/>
    </row>
    <row r="202" spans="1:11" s="479" customFormat="1" outlineLevel="2">
      <c r="A202" s="347"/>
      <c r="B202" s="481" t="s">
        <v>258</v>
      </c>
      <c r="C202" s="481" t="s">
        <v>248</v>
      </c>
      <c r="D202" s="479" t="s">
        <v>6582</v>
      </c>
      <c r="E202" s="479" t="s">
        <v>1909</v>
      </c>
      <c r="F202" s="479" t="s">
        <v>1910</v>
      </c>
      <c r="G202" s="489"/>
      <c r="H202" s="726">
        <v>42430</v>
      </c>
      <c r="I202" s="727">
        <v>42485</v>
      </c>
      <c r="J202" s="533">
        <v>883.45</v>
      </c>
      <c r="K202" s="533"/>
    </row>
    <row r="203" spans="1:11" s="479" customFormat="1" outlineLevel="2">
      <c r="A203" s="347"/>
      <c r="B203" s="481" t="s">
        <v>258</v>
      </c>
      <c r="C203" s="481" t="s">
        <v>248</v>
      </c>
      <c r="D203" s="479" t="s">
        <v>6582</v>
      </c>
      <c r="E203" s="479" t="s">
        <v>1909</v>
      </c>
      <c r="F203" s="479" t="s">
        <v>2050</v>
      </c>
      <c r="G203" s="489"/>
      <c r="H203" s="726">
        <v>42430</v>
      </c>
      <c r="I203" s="727">
        <v>42485</v>
      </c>
      <c r="J203" s="533">
        <v>191.8</v>
      </c>
      <c r="K203" s="533"/>
    </row>
    <row r="204" spans="1:11" s="479" customFormat="1" outlineLevel="1">
      <c r="A204" s="347"/>
      <c r="B204" s="481"/>
      <c r="C204" s="903" t="s">
        <v>248</v>
      </c>
      <c r="D204" s="733" t="str">
        <f>VLOOKUP(C204,$C$261:$D$333,2,FALSE)</f>
        <v xml:space="preserve"> LIMEIRA</v>
      </c>
      <c r="E204" s="733"/>
      <c r="F204" s="733"/>
      <c r="G204" s="744"/>
      <c r="H204" s="745"/>
      <c r="I204" s="741"/>
      <c r="J204" s="563">
        <f>SUBTOTAL(9,J202:J203)</f>
        <v>1075.25</v>
      </c>
      <c r="K204" s="533"/>
    </row>
    <row r="205" spans="1:11" s="479" customFormat="1" outlineLevel="2">
      <c r="A205" s="347"/>
      <c r="B205" s="481" t="s">
        <v>258</v>
      </c>
      <c r="C205" s="481" t="s">
        <v>249</v>
      </c>
      <c r="D205" s="479" t="s">
        <v>6606</v>
      </c>
      <c r="E205" s="479" t="s">
        <v>1909</v>
      </c>
      <c r="F205" s="479" t="s">
        <v>1910</v>
      </c>
      <c r="G205" s="489"/>
      <c r="H205" s="726">
        <v>42430</v>
      </c>
      <c r="I205" s="727">
        <v>42485</v>
      </c>
      <c r="J205" s="533">
        <v>382.3</v>
      </c>
      <c r="K205" s="533"/>
    </row>
    <row r="206" spans="1:11" s="479" customFormat="1" outlineLevel="2">
      <c r="A206" s="347"/>
      <c r="B206" s="481" t="s">
        <v>258</v>
      </c>
      <c r="C206" s="481" t="s">
        <v>249</v>
      </c>
      <c r="D206" s="479" t="s">
        <v>6606</v>
      </c>
      <c r="E206" s="479" t="s">
        <v>1909</v>
      </c>
      <c r="F206" s="479" t="s">
        <v>2050</v>
      </c>
      <c r="G206" s="489"/>
      <c r="H206" s="726">
        <v>42430</v>
      </c>
      <c r="I206" s="727">
        <v>42485</v>
      </c>
      <c r="J206" s="533">
        <v>83</v>
      </c>
      <c r="K206" s="533"/>
    </row>
    <row r="207" spans="1:11" s="479" customFormat="1" outlineLevel="1">
      <c r="A207" s="347"/>
      <c r="B207" s="481"/>
      <c r="C207" s="903" t="s">
        <v>249</v>
      </c>
      <c r="D207" s="733" t="str">
        <f>VLOOKUP(C207,$C$261:$D$333,2,FALSE)</f>
        <v xml:space="preserve"> PENÁPOLIS</v>
      </c>
      <c r="E207" s="733"/>
      <c r="F207" s="733"/>
      <c r="G207" s="744"/>
      <c r="H207" s="745"/>
      <c r="I207" s="741"/>
      <c r="J207" s="563">
        <f>SUBTOTAL(9,J205:J206)</f>
        <v>465.3</v>
      </c>
      <c r="K207" s="533"/>
    </row>
    <row r="208" spans="1:11" s="479" customFormat="1" outlineLevel="2">
      <c r="A208" s="347"/>
      <c r="B208" s="481"/>
      <c r="C208" s="481" t="s">
        <v>2088</v>
      </c>
      <c r="D208" s="479" t="s">
        <v>2204</v>
      </c>
      <c r="E208" s="479" t="s">
        <v>1909</v>
      </c>
      <c r="F208" s="479" t="s">
        <v>1910</v>
      </c>
      <c r="G208" s="489"/>
      <c r="H208" s="726">
        <v>42430</v>
      </c>
      <c r="I208" s="727">
        <v>42485</v>
      </c>
      <c r="J208" s="533">
        <v>668.66</v>
      </c>
      <c r="K208" s="533"/>
    </row>
    <row r="209" spans="1:11" s="479" customFormat="1" outlineLevel="2">
      <c r="A209" s="347"/>
      <c r="B209" s="481" t="s">
        <v>258</v>
      </c>
      <c r="C209" s="481" t="s">
        <v>2088</v>
      </c>
      <c r="D209" s="479" t="s">
        <v>2204</v>
      </c>
      <c r="E209" s="479" t="s">
        <v>1909</v>
      </c>
      <c r="F209" s="479" t="s">
        <v>2050</v>
      </c>
      <c r="G209" s="489"/>
      <c r="H209" s="726">
        <v>42430</v>
      </c>
      <c r="I209" s="727">
        <v>42485</v>
      </c>
      <c r="J209" s="533">
        <v>145.16999999999999</v>
      </c>
      <c r="K209" s="533"/>
    </row>
    <row r="210" spans="1:11" s="479" customFormat="1" outlineLevel="1">
      <c r="A210" s="347"/>
      <c r="B210" s="481"/>
      <c r="C210" s="903" t="s">
        <v>2088</v>
      </c>
      <c r="D210" s="733" t="str">
        <f>VLOOKUP(C210,$C$261:$D$333,2,FALSE)</f>
        <v>SERTÃOZINHO</v>
      </c>
      <c r="E210" s="733"/>
      <c r="F210" s="733"/>
      <c r="G210" s="744"/>
      <c r="H210" s="745"/>
      <c r="I210" s="741"/>
      <c r="J210" s="563">
        <f>SUBTOTAL(9,J208:J209)</f>
        <v>813.82999999999993</v>
      </c>
      <c r="K210" s="533"/>
    </row>
    <row r="211" spans="1:11" s="479" customFormat="1" outlineLevel="2">
      <c r="A211" s="347"/>
      <c r="B211" s="481" t="s">
        <v>258</v>
      </c>
      <c r="C211" s="481" t="s">
        <v>359</v>
      </c>
      <c r="D211" s="479" t="s">
        <v>95</v>
      </c>
      <c r="E211" s="479" t="s">
        <v>1909</v>
      </c>
      <c r="F211" s="479" t="s">
        <v>1910</v>
      </c>
      <c r="G211" s="489"/>
      <c r="H211" s="726">
        <v>42430</v>
      </c>
      <c r="I211" s="727">
        <v>42485</v>
      </c>
      <c r="J211" s="533">
        <v>516.16999999999996</v>
      </c>
      <c r="K211" s="533"/>
    </row>
    <row r="212" spans="1:11" s="479" customFormat="1" outlineLevel="2">
      <c r="A212" s="347"/>
      <c r="B212" s="481" t="s">
        <v>258</v>
      </c>
      <c r="C212" s="481" t="s">
        <v>359</v>
      </c>
      <c r="D212" s="479" t="s">
        <v>95</v>
      </c>
      <c r="E212" s="479" t="s">
        <v>1909</v>
      </c>
      <c r="F212" s="479" t="s">
        <v>2050</v>
      </c>
      <c r="G212" s="489"/>
      <c r="H212" s="726">
        <v>42430</v>
      </c>
      <c r="I212" s="727">
        <v>42485</v>
      </c>
      <c r="J212" s="533">
        <v>112.07</v>
      </c>
      <c r="K212" s="533"/>
    </row>
    <row r="213" spans="1:11" s="479" customFormat="1" outlineLevel="1">
      <c r="A213" s="347"/>
      <c r="B213" s="481"/>
      <c r="C213" s="903" t="s">
        <v>359</v>
      </c>
      <c r="D213" s="733" t="str">
        <f>VLOOKUP(C213,$C$261:$D$333,2,FALSE)</f>
        <v xml:space="preserve"> ITAQUAQUECETUBA</v>
      </c>
      <c r="E213" s="733"/>
      <c r="F213" s="733"/>
      <c r="G213" s="744"/>
      <c r="H213" s="745"/>
      <c r="I213" s="741"/>
      <c r="J213" s="563">
        <f>SUBTOTAL(9,J211:J212)</f>
        <v>628.24</v>
      </c>
      <c r="K213" s="533"/>
    </row>
    <row r="214" spans="1:11" s="479" customFormat="1" outlineLevel="2">
      <c r="A214" s="347"/>
      <c r="B214" s="481" t="s">
        <v>258</v>
      </c>
      <c r="C214" s="481" t="s">
        <v>250</v>
      </c>
      <c r="D214" s="479" t="s">
        <v>105</v>
      </c>
      <c r="E214" s="479" t="s">
        <v>1909</v>
      </c>
      <c r="F214" s="479" t="s">
        <v>1910</v>
      </c>
      <c r="G214" s="489"/>
      <c r="H214" s="726">
        <v>42430</v>
      </c>
      <c r="I214" s="727">
        <v>42485</v>
      </c>
      <c r="J214" s="533">
        <v>3231.36</v>
      </c>
      <c r="K214" s="533"/>
    </row>
    <row r="215" spans="1:11" s="479" customFormat="1" outlineLevel="2">
      <c r="A215" s="347"/>
      <c r="B215" s="481" t="s">
        <v>258</v>
      </c>
      <c r="C215" s="481" t="s">
        <v>250</v>
      </c>
      <c r="D215" s="479" t="s">
        <v>105</v>
      </c>
      <c r="E215" s="479" t="s">
        <v>1909</v>
      </c>
      <c r="F215" s="479" t="s">
        <v>2050</v>
      </c>
      <c r="G215" s="489"/>
      <c r="H215" s="726">
        <v>42430</v>
      </c>
      <c r="I215" s="727">
        <v>42485</v>
      </c>
      <c r="J215" s="533">
        <v>701.55</v>
      </c>
      <c r="K215" s="732"/>
    </row>
    <row r="216" spans="1:11" s="479" customFormat="1" outlineLevel="1">
      <c r="A216" s="347"/>
      <c r="B216" s="481"/>
      <c r="C216" s="903" t="s">
        <v>250</v>
      </c>
      <c r="D216" s="733" t="str">
        <f>VLOOKUP(C216,$C$261:$D$333,2,FALSE)</f>
        <v xml:space="preserve"> SÃO JOSÉ DO RIO PRETO</v>
      </c>
      <c r="E216" s="733"/>
      <c r="F216" s="733"/>
      <c r="G216" s="744"/>
      <c r="H216" s="745"/>
      <c r="I216" s="741"/>
      <c r="J216" s="563">
        <f>SUBTOTAL(9,J214:J215)</f>
        <v>3932.91</v>
      </c>
      <c r="K216" s="732"/>
    </row>
    <row r="217" spans="1:11" s="479" customFormat="1" outlineLevel="2">
      <c r="A217" s="492" t="s">
        <v>2363</v>
      </c>
      <c r="B217" s="565" t="s">
        <v>2676</v>
      </c>
      <c r="C217" s="571" t="s">
        <v>2364</v>
      </c>
      <c r="D217" s="471"/>
      <c r="E217" s="471" t="s">
        <v>2505</v>
      </c>
      <c r="F217" s="471" t="s">
        <v>2677</v>
      </c>
      <c r="G217" s="471" t="s">
        <v>6517</v>
      </c>
      <c r="H217" s="570" t="s">
        <v>2678</v>
      </c>
      <c r="I217" s="573">
        <v>5941</v>
      </c>
      <c r="J217" s="566">
        <v>17702.580000000002</v>
      </c>
      <c r="K217" s="533"/>
    </row>
    <row r="218" spans="1:11" s="479" customFormat="1" ht="15" outlineLevel="2">
      <c r="A218" s="492" t="s">
        <v>2367</v>
      </c>
      <c r="B218" s="565">
        <v>451030000000</v>
      </c>
      <c r="C218" s="571" t="s">
        <v>2364</v>
      </c>
      <c r="D218" s="471"/>
      <c r="E218" s="848" t="s">
        <v>1909</v>
      </c>
      <c r="F218" s="920" t="s">
        <v>6526</v>
      </c>
      <c r="G218" s="817" t="s">
        <v>6527</v>
      </c>
      <c r="H218" s="570">
        <v>42430</v>
      </c>
      <c r="I218" s="573">
        <v>42480</v>
      </c>
      <c r="J218" s="566">
        <v>951.59</v>
      </c>
      <c r="K218" s="533"/>
    </row>
    <row r="219" spans="1:11" s="479" customFormat="1" ht="15" outlineLevel="2">
      <c r="A219" s="492" t="s">
        <v>2363</v>
      </c>
      <c r="B219" s="565">
        <v>451020000000</v>
      </c>
      <c r="C219" s="571" t="s">
        <v>2364</v>
      </c>
      <c r="D219" s="471"/>
      <c r="E219" s="848" t="s">
        <v>1909</v>
      </c>
      <c r="F219" s="920" t="s">
        <v>6528</v>
      </c>
      <c r="G219" s="817" t="s">
        <v>6529</v>
      </c>
      <c r="H219" s="570">
        <v>42401</v>
      </c>
      <c r="I219" s="573">
        <v>42480</v>
      </c>
      <c r="J219" s="566">
        <v>282.94</v>
      </c>
      <c r="K219" s="533"/>
    </row>
    <row r="220" spans="1:11" s="479" customFormat="1" ht="15" outlineLevel="2">
      <c r="A220" s="492" t="s">
        <v>2365</v>
      </c>
      <c r="B220" s="565">
        <v>442010000000</v>
      </c>
      <c r="C220" s="571" t="s">
        <v>2364</v>
      </c>
      <c r="D220" s="471"/>
      <c r="E220" s="848" t="s">
        <v>1909</v>
      </c>
      <c r="F220" s="920" t="s">
        <v>6530</v>
      </c>
      <c r="G220" s="817" t="s">
        <v>6531</v>
      </c>
      <c r="H220" s="570">
        <v>42401</v>
      </c>
      <c r="I220" s="573">
        <v>42480</v>
      </c>
      <c r="J220" s="566">
        <v>940.71</v>
      </c>
      <c r="K220" s="533"/>
    </row>
    <row r="221" spans="1:11" s="479" customFormat="1" ht="15" outlineLevel="2">
      <c r="A221" s="492" t="s">
        <v>2502</v>
      </c>
      <c r="B221" s="565">
        <v>442010000000</v>
      </c>
      <c r="C221" s="571" t="s">
        <v>2364</v>
      </c>
      <c r="D221" s="869"/>
      <c r="E221" s="848" t="s">
        <v>1909</v>
      </c>
      <c r="F221" s="920" t="s">
        <v>6534</v>
      </c>
      <c r="G221" s="817" t="s">
        <v>6535</v>
      </c>
      <c r="H221" s="570">
        <v>42401</v>
      </c>
      <c r="I221" s="573">
        <v>42480</v>
      </c>
      <c r="J221" s="566">
        <v>1854.28</v>
      </c>
      <c r="K221" s="533"/>
    </row>
    <row r="222" spans="1:11" s="479" customFormat="1" ht="15" outlineLevel="2">
      <c r="A222" s="492" t="s">
        <v>2502</v>
      </c>
      <c r="B222" s="565">
        <v>442010000000</v>
      </c>
      <c r="C222" s="571" t="s">
        <v>2364</v>
      </c>
      <c r="D222" s="869"/>
      <c r="E222" s="848" t="s">
        <v>1909</v>
      </c>
      <c r="F222" s="920" t="s">
        <v>6532</v>
      </c>
      <c r="G222" s="817" t="s">
        <v>6533</v>
      </c>
      <c r="H222" s="570">
        <v>42401</v>
      </c>
      <c r="I222" s="573">
        <v>42480</v>
      </c>
      <c r="J222" s="566">
        <v>1854.28</v>
      </c>
      <c r="K222" s="533"/>
    </row>
    <row r="223" spans="1:11" s="479" customFormat="1" ht="15" outlineLevel="2">
      <c r="A223" s="492" t="s">
        <v>2365</v>
      </c>
      <c r="B223" s="565">
        <v>442010000000</v>
      </c>
      <c r="C223" s="571" t="s">
        <v>2364</v>
      </c>
      <c r="D223" s="897"/>
      <c r="E223" s="848" t="s">
        <v>1909</v>
      </c>
      <c r="F223" s="920" t="s">
        <v>6542</v>
      </c>
      <c r="G223" s="817" t="s">
        <v>6543</v>
      </c>
      <c r="H223" s="570">
        <v>42401</v>
      </c>
      <c r="I223" s="573">
        <v>42480</v>
      </c>
      <c r="J223" s="566">
        <v>2916.2</v>
      </c>
      <c r="K223" s="533"/>
    </row>
    <row r="224" spans="1:11" s="479" customFormat="1" ht="15" outlineLevel="2">
      <c r="A224" s="492" t="s">
        <v>2366</v>
      </c>
      <c r="B224" s="565">
        <v>441020000000</v>
      </c>
      <c r="C224" s="571" t="s">
        <v>2364</v>
      </c>
      <c r="D224" s="897"/>
      <c r="E224" s="848" t="s">
        <v>1909</v>
      </c>
      <c r="F224" s="920" t="s">
        <v>6536</v>
      </c>
      <c r="G224" s="817" t="s">
        <v>6537</v>
      </c>
      <c r="H224" s="570">
        <v>42401</v>
      </c>
      <c r="I224" s="573">
        <v>42480</v>
      </c>
      <c r="J224" s="566">
        <v>635.97</v>
      </c>
      <c r="K224" s="533"/>
    </row>
    <row r="225" spans="1:11" s="479" customFormat="1" outlineLevel="2">
      <c r="A225" s="492" t="s">
        <v>2365</v>
      </c>
      <c r="B225" s="565">
        <v>442010000000</v>
      </c>
      <c r="C225" s="571" t="s">
        <v>2364</v>
      </c>
      <c r="D225" s="471"/>
      <c r="E225" s="471" t="s">
        <v>6560</v>
      </c>
      <c r="F225" s="471" t="s">
        <v>2753</v>
      </c>
      <c r="G225" s="471" t="s">
        <v>6568</v>
      </c>
      <c r="H225" s="856">
        <v>42401</v>
      </c>
      <c r="I225" s="573">
        <v>42480</v>
      </c>
      <c r="J225" s="566">
        <v>58857.14</v>
      </c>
      <c r="K225" s="533"/>
    </row>
    <row r="226" spans="1:11" s="479" customFormat="1" outlineLevel="2">
      <c r="A226" s="492" t="s">
        <v>2366</v>
      </c>
      <c r="B226" s="565" t="s">
        <v>2680</v>
      </c>
      <c r="C226" s="571" t="s">
        <v>2364</v>
      </c>
      <c r="D226" s="471"/>
      <c r="E226" s="471" t="s">
        <v>2503</v>
      </c>
      <c r="F226" s="471" t="s">
        <v>2504</v>
      </c>
      <c r="G226" s="471" t="s">
        <v>6522</v>
      </c>
      <c r="H226" s="570" t="s">
        <v>6505</v>
      </c>
      <c r="I226" s="573">
        <v>5964</v>
      </c>
      <c r="J226" s="566">
        <v>247623.85</v>
      </c>
      <c r="K226" s="533"/>
    </row>
    <row r="227" spans="1:11" s="479" customFormat="1" outlineLevel="2">
      <c r="A227" s="492" t="s">
        <v>6498</v>
      </c>
      <c r="B227" s="565" t="s">
        <v>2675</v>
      </c>
      <c r="C227" s="571" t="s">
        <v>2369</v>
      </c>
      <c r="D227" s="471"/>
      <c r="E227" s="471" t="s">
        <v>6499</v>
      </c>
      <c r="F227" s="471" t="s">
        <v>2506</v>
      </c>
      <c r="G227" s="471" t="s">
        <v>6500</v>
      </c>
      <c r="H227" s="570" t="s">
        <v>2678</v>
      </c>
      <c r="I227" s="573">
        <v>5941</v>
      </c>
      <c r="J227" s="566">
        <v>87476.69</v>
      </c>
      <c r="K227" s="533"/>
    </row>
    <row r="228" spans="1:11" s="479" customFormat="1" outlineLevel="2">
      <c r="A228" s="492" t="s">
        <v>2368</v>
      </c>
      <c r="B228" s="565" t="s">
        <v>2675</v>
      </c>
      <c r="C228" s="571" t="s">
        <v>2369</v>
      </c>
      <c r="D228" s="471"/>
      <c r="E228" s="471" t="s">
        <v>2507</v>
      </c>
      <c r="F228" s="471" t="s">
        <v>2506</v>
      </c>
      <c r="G228" s="471" t="s">
        <v>6506</v>
      </c>
      <c r="H228" s="570" t="s">
        <v>2678</v>
      </c>
      <c r="I228" s="573">
        <v>5941</v>
      </c>
      <c r="J228" s="566">
        <v>44988.87</v>
      </c>
      <c r="K228" s="533"/>
    </row>
    <row r="229" spans="1:11" s="479" customFormat="1" outlineLevel="2">
      <c r="A229" s="492" t="s">
        <v>2371</v>
      </c>
      <c r="B229" s="565" t="s">
        <v>2675</v>
      </c>
      <c r="C229" s="571" t="s">
        <v>2369</v>
      </c>
      <c r="D229" s="471"/>
      <c r="E229" s="471" t="s">
        <v>2505</v>
      </c>
      <c r="F229" s="471" t="s">
        <v>2506</v>
      </c>
      <c r="G229" s="471" t="s">
        <v>6520</v>
      </c>
      <c r="H229" s="570" t="s">
        <v>2678</v>
      </c>
      <c r="I229" s="573">
        <v>5941</v>
      </c>
      <c r="J229" s="566">
        <v>13589.8</v>
      </c>
      <c r="K229" s="533"/>
    </row>
    <row r="230" spans="1:11" s="479" customFormat="1" outlineLevel="2">
      <c r="A230" s="492" t="s">
        <v>2370</v>
      </c>
      <c r="B230" s="565" t="s">
        <v>2675</v>
      </c>
      <c r="C230" s="571" t="s">
        <v>2369</v>
      </c>
      <c r="D230" s="471"/>
      <c r="E230" s="471" t="s">
        <v>2505</v>
      </c>
      <c r="F230" s="471" t="s">
        <v>2506</v>
      </c>
      <c r="G230" s="471" t="s">
        <v>6521</v>
      </c>
      <c r="H230" s="570" t="s">
        <v>2678</v>
      </c>
      <c r="I230" s="573">
        <v>5941</v>
      </c>
      <c r="J230" s="566">
        <v>17690.900000000001</v>
      </c>
      <c r="K230" s="533"/>
    </row>
    <row r="231" spans="1:11" s="479" customFormat="1" outlineLevel="2">
      <c r="A231" s="492" t="s">
        <v>2372</v>
      </c>
      <c r="B231" s="565" t="s">
        <v>2675</v>
      </c>
      <c r="C231" s="571" t="s">
        <v>2369</v>
      </c>
      <c r="D231" s="471"/>
      <c r="E231" s="471" t="s">
        <v>2508</v>
      </c>
      <c r="F231" s="471" t="s">
        <v>2506</v>
      </c>
      <c r="G231" s="471" t="s">
        <v>6501</v>
      </c>
      <c r="H231" s="570" t="s">
        <v>2678</v>
      </c>
      <c r="I231" s="573">
        <v>5946</v>
      </c>
      <c r="J231" s="566">
        <v>26098.12</v>
      </c>
      <c r="K231" s="533"/>
    </row>
    <row r="232" spans="1:11" s="479" customFormat="1" outlineLevel="2">
      <c r="A232" s="492" t="s">
        <v>6507</v>
      </c>
      <c r="B232" s="565" t="s">
        <v>2518</v>
      </c>
      <c r="C232" s="571" t="s">
        <v>2369</v>
      </c>
      <c r="D232" s="471"/>
      <c r="E232" s="471" t="s">
        <v>2505</v>
      </c>
      <c r="F232" s="471" t="s">
        <v>439</v>
      </c>
      <c r="G232" s="471" t="s">
        <v>6508</v>
      </c>
      <c r="H232" s="570" t="s">
        <v>2678</v>
      </c>
      <c r="I232" s="573">
        <v>5953</v>
      </c>
      <c r="J232" s="566">
        <v>13261.87</v>
      </c>
      <c r="K232" s="533"/>
    </row>
    <row r="233" spans="1:11" s="479" customFormat="1" ht="15" outlineLevel="2">
      <c r="A233" s="492" t="s">
        <v>6554</v>
      </c>
      <c r="B233" s="565">
        <v>134010100000</v>
      </c>
      <c r="C233" s="571" t="s">
        <v>2369</v>
      </c>
      <c r="D233" s="471"/>
      <c r="E233" s="848" t="s">
        <v>1909</v>
      </c>
      <c r="F233" s="920" t="s">
        <v>6553</v>
      </c>
      <c r="G233" s="817" t="s">
        <v>6548</v>
      </c>
      <c r="H233" s="570">
        <v>42401</v>
      </c>
      <c r="I233" s="573">
        <v>42480</v>
      </c>
      <c r="J233" s="566">
        <v>211.96</v>
      </c>
      <c r="K233" s="533"/>
    </row>
    <row r="234" spans="1:11" s="479" customFormat="1" ht="15" outlineLevel="2">
      <c r="A234" s="848" t="s">
        <v>2370</v>
      </c>
      <c r="B234" s="565">
        <v>134010100000</v>
      </c>
      <c r="C234" s="571" t="s">
        <v>2369</v>
      </c>
      <c r="D234" s="471"/>
      <c r="E234" s="848" t="s">
        <v>1909</v>
      </c>
      <c r="F234" s="920" t="s">
        <v>6551</v>
      </c>
      <c r="G234" s="817" t="s">
        <v>6546</v>
      </c>
      <c r="H234" s="570">
        <v>42401</v>
      </c>
      <c r="I234" s="573">
        <v>42480</v>
      </c>
      <c r="J234" s="566">
        <v>282.75</v>
      </c>
      <c r="K234" s="533"/>
    </row>
    <row r="235" spans="1:11" s="479" customFormat="1" ht="15" outlineLevel="2">
      <c r="A235" s="848" t="s">
        <v>2371</v>
      </c>
      <c r="B235" s="565">
        <v>134010100000</v>
      </c>
      <c r="C235" s="571" t="s">
        <v>2369</v>
      </c>
      <c r="D235" s="471"/>
      <c r="E235" s="848" t="s">
        <v>1909</v>
      </c>
      <c r="F235" s="920" t="s">
        <v>6552</v>
      </c>
      <c r="G235" s="817" t="s">
        <v>6547</v>
      </c>
      <c r="H235" s="570">
        <v>42401</v>
      </c>
      <c r="I235" s="573">
        <v>42480</v>
      </c>
      <c r="J235" s="566">
        <v>217.2</v>
      </c>
      <c r="K235" s="533"/>
    </row>
    <row r="236" spans="1:11" s="479" customFormat="1" ht="15" outlineLevel="2">
      <c r="A236" s="492" t="s">
        <v>2372</v>
      </c>
      <c r="B236" s="565">
        <v>134010100000</v>
      </c>
      <c r="C236" s="571" t="s">
        <v>2369</v>
      </c>
      <c r="D236" s="471"/>
      <c r="E236" s="848" t="s">
        <v>1909</v>
      </c>
      <c r="F236" s="920" t="s">
        <v>6549</v>
      </c>
      <c r="G236" s="817" t="s">
        <v>6544</v>
      </c>
      <c r="H236" s="570">
        <v>42401</v>
      </c>
      <c r="I236" s="573">
        <v>42480</v>
      </c>
      <c r="J236" s="566">
        <v>417.12</v>
      </c>
      <c r="K236" s="533"/>
    </row>
    <row r="237" spans="1:11" s="479" customFormat="1" ht="15" outlineLevel="2">
      <c r="A237" s="492" t="s">
        <v>6498</v>
      </c>
      <c r="B237" s="565">
        <v>134010100000</v>
      </c>
      <c r="C237" s="571" t="s">
        <v>2369</v>
      </c>
      <c r="D237" s="471"/>
      <c r="E237" s="848" t="s">
        <v>1909</v>
      </c>
      <c r="F237" s="920" t="s">
        <v>6550</v>
      </c>
      <c r="G237" s="817" t="s">
        <v>6545</v>
      </c>
      <c r="H237" s="570">
        <v>42401</v>
      </c>
      <c r="I237" s="573">
        <v>42480</v>
      </c>
      <c r="J237" s="566">
        <v>1398.14</v>
      </c>
      <c r="K237" s="533"/>
    </row>
    <row r="238" spans="1:11" s="479" customFormat="1" ht="15" outlineLevel="2">
      <c r="A238" s="492" t="s">
        <v>2368</v>
      </c>
      <c r="B238" s="565">
        <v>134010100000</v>
      </c>
      <c r="C238" s="571" t="s">
        <v>2369</v>
      </c>
      <c r="D238" s="471"/>
      <c r="E238" s="848" t="s">
        <v>1909</v>
      </c>
      <c r="F238" s="920" t="s">
        <v>6556</v>
      </c>
      <c r="G238" s="817" t="s">
        <v>6555</v>
      </c>
      <c r="H238" s="570">
        <v>42401</v>
      </c>
      <c r="I238" s="573">
        <v>42480</v>
      </c>
      <c r="J238" s="566">
        <v>719.06</v>
      </c>
      <c r="K238" s="533"/>
    </row>
    <row r="239" spans="1:11" s="479" customFormat="1" ht="15" outlineLevel="2">
      <c r="A239" s="492" t="s">
        <v>6566</v>
      </c>
      <c r="B239" s="565">
        <v>134010100000</v>
      </c>
      <c r="C239" s="571" t="s">
        <v>2369</v>
      </c>
      <c r="D239" s="869"/>
      <c r="E239" s="848" t="s">
        <v>1909</v>
      </c>
      <c r="F239" s="920" t="s">
        <v>6540</v>
      </c>
      <c r="G239" s="817" t="s">
        <v>6541</v>
      </c>
      <c r="H239" s="570">
        <v>42401</v>
      </c>
      <c r="I239" s="573">
        <v>42480</v>
      </c>
      <c r="J239" s="566">
        <v>962.28</v>
      </c>
      <c r="K239" s="533"/>
    </row>
    <row r="240" spans="1:11" s="479" customFormat="1" ht="15" outlineLevel="2">
      <c r="A240" s="492" t="s">
        <v>2370</v>
      </c>
      <c r="B240" s="565">
        <v>134010100000</v>
      </c>
      <c r="C240" s="571" t="s">
        <v>2369</v>
      </c>
      <c r="D240" s="869"/>
      <c r="E240" s="848" t="s">
        <v>1909</v>
      </c>
      <c r="F240" s="920" t="s">
        <v>6562</v>
      </c>
      <c r="G240" s="817" t="s">
        <v>6557</v>
      </c>
      <c r="H240" s="570">
        <v>42401</v>
      </c>
      <c r="I240" s="573">
        <v>42480</v>
      </c>
      <c r="J240" s="566">
        <v>991.36</v>
      </c>
      <c r="K240" s="533"/>
    </row>
    <row r="241" spans="1:11" s="479" customFormat="1" ht="15" outlineLevel="2">
      <c r="A241" s="492" t="s">
        <v>6567</v>
      </c>
      <c r="B241" s="565">
        <v>134010100000</v>
      </c>
      <c r="C241" s="571" t="s">
        <v>2369</v>
      </c>
      <c r="D241" s="869"/>
      <c r="E241" s="848" t="s">
        <v>1909</v>
      </c>
      <c r="F241" s="920" t="s">
        <v>6538</v>
      </c>
      <c r="G241" s="817" t="s">
        <v>6539</v>
      </c>
      <c r="H241" s="570">
        <v>42401</v>
      </c>
      <c r="I241" s="573">
        <v>42480</v>
      </c>
      <c r="J241" s="566">
        <v>1501.91</v>
      </c>
      <c r="K241" s="533"/>
    </row>
    <row r="242" spans="1:11" s="479" customFormat="1" ht="15" outlineLevel="2">
      <c r="A242" s="492" t="s">
        <v>2372</v>
      </c>
      <c r="B242" s="565">
        <v>134010100000</v>
      </c>
      <c r="C242" s="571" t="s">
        <v>2369</v>
      </c>
      <c r="D242" s="869"/>
      <c r="E242" s="848" t="s">
        <v>1909</v>
      </c>
      <c r="F242" s="920" t="s">
        <v>6563</v>
      </c>
      <c r="G242" s="817" t="s">
        <v>6558</v>
      </c>
      <c r="H242" s="570">
        <v>42401</v>
      </c>
      <c r="I242" s="573">
        <v>42480</v>
      </c>
      <c r="J242" s="566">
        <v>1769.32</v>
      </c>
      <c r="K242" s="533"/>
    </row>
    <row r="243" spans="1:11" s="479" customFormat="1" ht="15" outlineLevel="2">
      <c r="A243" s="492" t="s">
        <v>2368</v>
      </c>
      <c r="B243" s="565">
        <v>134010100000</v>
      </c>
      <c r="C243" s="571" t="s">
        <v>2369</v>
      </c>
      <c r="D243" s="869"/>
      <c r="E243" s="848" t="s">
        <v>1909</v>
      </c>
      <c r="F243" s="920" t="s">
        <v>6564</v>
      </c>
      <c r="G243" s="817" t="s">
        <v>6559</v>
      </c>
      <c r="H243" s="570">
        <v>42401</v>
      </c>
      <c r="I243" s="573">
        <v>42480</v>
      </c>
      <c r="J243" s="566">
        <v>1799.39</v>
      </c>
      <c r="K243" s="533"/>
    </row>
    <row r="244" spans="1:11" s="479" customFormat="1" ht="15" outlineLevel="2">
      <c r="A244" s="492" t="s">
        <v>2371</v>
      </c>
      <c r="B244" s="565">
        <v>134010100000</v>
      </c>
      <c r="C244" s="571" t="s">
        <v>2369</v>
      </c>
      <c r="D244" s="869"/>
      <c r="E244" s="848" t="s">
        <v>1909</v>
      </c>
      <c r="F244" s="920" t="s">
        <v>6565</v>
      </c>
      <c r="G244" s="817" t="s">
        <v>6561</v>
      </c>
      <c r="H244" s="570">
        <v>42401</v>
      </c>
      <c r="I244" s="573">
        <v>42480</v>
      </c>
      <c r="J244" s="566">
        <v>5573.69</v>
      </c>
      <c r="K244" s="533"/>
    </row>
    <row r="245" spans="1:11" s="479" customFormat="1" ht="28.5" outlineLevel="1">
      <c r="A245" s="492"/>
      <c r="B245" s="565"/>
      <c r="C245" s="746" t="s">
        <v>400</v>
      </c>
      <c r="D245" s="733" t="s">
        <v>251</v>
      </c>
      <c r="E245" s="733"/>
      <c r="F245" s="733"/>
      <c r="G245" s="744"/>
      <c r="H245" s="745"/>
      <c r="I245" s="741"/>
      <c r="J245" s="563">
        <f>SUM(J217:J244)</f>
        <v>552569.97</v>
      </c>
      <c r="K245" s="533"/>
    </row>
    <row r="246" spans="1:11" s="479" customFormat="1" ht="15" outlineLevel="1">
      <c r="A246" s="492"/>
      <c r="B246" s="565"/>
      <c r="C246" s="830"/>
      <c r="D246" s="899"/>
      <c r="E246" s="900"/>
      <c r="F246" s="921"/>
      <c r="G246" s="901"/>
      <c r="H246" s="823"/>
      <c r="I246" s="867"/>
      <c r="J246" s="868"/>
      <c r="K246" s="533"/>
    </row>
    <row r="247" spans="1:11" s="479" customFormat="1" ht="15">
      <c r="A247" s="492"/>
      <c r="B247" s="565"/>
      <c r="C247" s="744" t="s">
        <v>134</v>
      </c>
      <c r="D247" s="914"/>
      <c r="E247" s="915"/>
      <c r="F247" s="922"/>
      <c r="G247" s="916"/>
      <c r="H247" s="905"/>
      <c r="I247" s="906"/>
      <c r="J247" s="907">
        <f>SUBTOTAL(9,J5:J244)</f>
        <v>748968.06999999983</v>
      </c>
      <c r="K247" s="533"/>
    </row>
    <row r="248" spans="1:11" s="479" customFormat="1" ht="15">
      <c r="A248" s="492"/>
      <c r="B248" s="565"/>
      <c r="C248" s="571"/>
      <c r="D248" s="869"/>
      <c r="E248" s="848"/>
      <c r="F248" s="920"/>
      <c r="G248" s="817"/>
      <c r="H248" s="570"/>
      <c r="I248" s="573"/>
      <c r="J248" s="566"/>
      <c r="K248" s="533"/>
    </row>
    <row r="250" spans="1:11" s="479" customFormat="1">
      <c r="B250" s="481"/>
      <c r="K250" s="533"/>
    </row>
    <row r="251" spans="1:11" s="479" customFormat="1">
      <c r="A251" s="347"/>
      <c r="B251" s="481"/>
      <c r="C251" s="481"/>
      <c r="D251" s="174"/>
      <c r="G251" s="489"/>
      <c r="H251" s="726"/>
      <c r="I251" s="727"/>
      <c r="J251" s="533"/>
      <c r="K251" s="533"/>
    </row>
    <row r="252" spans="1:11" s="479" customFormat="1" hidden="1">
      <c r="A252" s="347"/>
      <c r="B252" s="481"/>
      <c r="C252" s="481"/>
      <c r="D252" s="174"/>
      <c r="G252" s="489"/>
      <c r="H252" s="726"/>
      <c r="I252" s="727"/>
      <c r="J252" s="533"/>
      <c r="K252" s="533"/>
    </row>
    <row r="253" spans="1:11" s="479" customFormat="1" hidden="1">
      <c r="A253" s="347"/>
      <c r="B253" s="481"/>
      <c r="C253" s="481"/>
      <c r="D253" s="174"/>
      <c r="G253" s="489"/>
      <c r="H253" s="726"/>
      <c r="I253" s="727"/>
      <c r="J253" s="533"/>
      <c r="K253" s="533"/>
    </row>
    <row r="254" spans="1:11" s="479" customFormat="1" hidden="1">
      <c r="A254" s="347"/>
      <c r="B254" s="481"/>
      <c r="C254" s="481"/>
      <c r="G254" s="489"/>
      <c r="H254" s="726"/>
      <c r="I254" s="727"/>
      <c r="J254" s="533"/>
      <c r="K254" s="533"/>
    </row>
    <row r="255" spans="1:11" s="479" customFormat="1" hidden="1">
      <c r="A255" s="347"/>
      <c r="B255" s="481"/>
      <c r="C255" s="481"/>
      <c r="G255" s="489"/>
      <c r="H255" s="726"/>
      <c r="I255" s="727"/>
      <c r="J255" s="533"/>
      <c r="K255" s="533"/>
    </row>
    <row r="256" spans="1:11" s="479" customFormat="1" ht="28.5" hidden="1">
      <c r="A256" s="347"/>
      <c r="B256" s="481"/>
      <c r="C256" s="746" t="s">
        <v>400</v>
      </c>
      <c r="D256" s="733" t="s">
        <v>251</v>
      </c>
      <c r="E256" s="733"/>
      <c r="F256" s="733"/>
      <c r="G256" s="744"/>
      <c r="H256" s="745"/>
      <c r="I256" s="741"/>
      <c r="J256" s="586" t="e">
        <f>SUM(#REF!)</f>
        <v>#REF!</v>
      </c>
      <c r="K256" s="533"/>
    </row>
    <row r="257" spans="1:11" s="479" customFormat="1" hidden="1">
      <c r="A257" s="460"/>
      <c r="B257" s="565"/>
      <c r="C257" s="734"/>
      <c r="D257" s="725"/>
      <c r="E257" s="735"/>
      <c r="F257" s="735"/>
      <c r="G257" s="736"/>
      <c r="H257" s="737"/>
      <c r="I257" s="738"/>
      <c r="J257" s="739"/>
      <c r="K257" s="732"/>
    </row>
    <row r="258" spans="1:11" s="479" customFormat="1" hidden="1">
      <c r="A258" s="747"/>
      <c r="B258" s="481"/>
      <c r="C258" s="744" t="s">
        <v>134</v>
      </c>
      <c r="D258" s="733"/>
      <c r="E258" s="733"/>
      <c r="F258" s="733"/>
      <c r="G258" s="744"/>
      <c r="H258" s="745"/>
      <c r="I258" s="741"/>
      <c r="J258" s="586" t="e">
        <f>SUM(J256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)</f>
        <v>#REF!</v>
      </c>
      <c r="K258" s="533"/>
    </row>
    <row r="259" spans="1:11" hidden="1">
      <c r="K259" s="213"/>
    </row>
    <row r="260" spans="1:11" hidden="1">
      <c r="J260" s="568"/>
    </row>
    <row r="261" spans="1:11" s="504" customFormat="1" ht="15" hidden="1">
      <c r="B261" s="1055" t="s">
        <v>6586</v>
      </c>
      <c r="C261" s="587" t="s">
        <v>177</v>
      </c>
      <c r="D261" s="470" t="s">
        <v>2135</v>
      </c>
      <c r="E261" s="725"/>
      <c r="F261" s="1055"/>
      <c r="G261" s="1055"/>
      <c r="H261" s="1056"/>
      <c r="I261" s="1057"/>
      <c r="J261" s="1055"/>
    </row>
    <row r="262" spans="1:11" s="504" customFormat="1" ht="15" hidden="1">
      <c r="B262" s="1055" t="s">
        <v>6584</v>
      </c>
      <c r="C262" s="587" t="s">
        <v>178</v>
      </c>
      <c r="D262" s="470" t="s">
        <v>2136</v>
      </c>
      <c r="E262" s="725"/>
      <c r="F262" s="1055"/>
      <c r="G262" s="1055"/>
      <c r="H262" s="1056"/>
      <c r="I262" s="1057"/>
      <c r="J262" s="1055"/>
    </row>
    <row r="263" spans="1:11" s="504" customFormat="1" ht="15" hidden="1">
      <c r="B263" s="1055" t="s">
        <v>6576</v>
      </c>
      <c r="C263" s="587" t="s">
        <v>179</v>
      </c>
      <c r="D263" s="470" t="s">
        <v>2137</v>
      </c>
      <c r="E263" s="725"/>
      <c r="F263" s="1055"/>
      <c r="G263" s="1055"/>
      <c r="H263" s="1056"/>
      <c r="I263" s="1057"/>
      <c r="J263" s="1055"/>
    </row>
    <row r="264" spans="1:11" s="504" customFormat="1" ht="15" hidden="1">
      <c r="B264" s="1055" t="s">
        <v>6587</v>
      </c>
      <c r="C264" s="587" t="s">
        <v>180</v>
      </c>
      <c r="D264" s="470" t="s">
        <v>2138</v>
      </c>
      <c r="E264" s="725"/>
      <c r="F264" s="1055"/>
      <c r="G264" s="1055"/>
      <c r="H264" s="1056"/>
      <c r="I264" s="1057"/>
      <c r="J264" s="1055"/>
    </row>
    <row r="265" spans="1:11" s="504" customFormat="1" ht="15" hidden="1">
      <c r="B265" s="1055" t="s">
        <v>91</v>
      </c>
      <c r="C265" s="587" t="s">
        <v>181</v>
      </c>
      <c r="D265" s="470" t="s">
        <v>2139</v>
      </c>
      <c r="E265" s="725"/>
      <c r="F265" s="1055"/>
      <c r="G265" s="1055"/>
      <c r="H265" s="1056"/>
      <c r="I265" s="1057"/>
      <c r="J265" s="1055"/>
    </row>
    <row r="266" spans="1:11" s="504" customFormat="1" ht="15" hidden="1">
      <c r="B266" s="1055" t="s">
        <v>6590</v>
      </c>
      <c r="C266" s="587" t="s">
        <v>182</v>
      </c>
      <c r="D266" s="470" t="s">
        <v>2140</v>
      </c>
      <c r="E266" s="725"/>
      <c r="F266" s="1055"/>
      <c r="G266" s="1055"/>
      <c r="H266" s="1056"/>
      <c r="I266" s="1057"/>
      <c r="J266" s="1055"/>
    </row>
    <row r="267" spans="1:11" s="504" customFormat="1" ht="15" hidden="1">
      <c r="B267" s="1055" t="s">
        <v>88</v>
      </c>
      <c r="C267" s="587" t="s">
        <v>183</v>
      </c>
      <c r="D267" s="470" t="s">
        <v>2141</v>
      </c>
      <c r="E267" s="725"/>
      <c r="F267" s="1055"/>
      <c r="G267" s="1055"/>
      <c r="H267" s="1056"/>
      <c r="I267" s="1057"/>
      <c r="J267" s="1055"/>
    </row>
    <row r="268" spans="1:11" s="504" customFormat="1" ht="15" hidden="1">
      <c r="B268" s="1055" t="s">
        <v>6579</v>
      </c>
      <c r="C268" s="587" t="s">
        <v>184</v>
      </c>
      <c r="D268" s="470" t="s">
        <v>2142</v>
      </c>
      <c r="E268" s="725"/>
      <c r="F268" s="1055"/>
      <c r="G268" s="1055"/>
      <c r="H268" s="1056"/>
      <c r="I268" s="1057"/>
      <c r="J268" s="1055"/>
    </row>
    <row r="269" spans="1:11" s="504" customFormat="1" ht="15" hidden="1">
      <c r="B269" s="1055" t="s">
        <v>6588</v>
      </c>
      <c r="C269" s="587" t="s">
        <v>186</v>
      </c>
      <c r="D269" s="470" t="s">
        <v>2143</v>
      </c>
      <c r="E269" s="725"/>
      <c r="F269" s="1055"/>
      <c r="G269" s="1055"/>
      <c r="H269" s="1056"/>
      <c r="I269" s="1057"/>
      <c r="J269" s="1055"/>
    </row>
    <row r="270" spans="1:11" s="504" customFormat="1" ht="15" hidden="1">
      <c r="B270" s="1055" t="s">
        <v>6577</v>
      </c>
      <c r="C270" s="587" t="s">
        <v>188</v>
      </c>
      <c r="D270" s="470" t="s">
        <v>2144</v>
      </c>
      <c r="E270" s="725"/>
      <c r="F270" s="1055"/>
      <c r="G270" s="1055"/>
      <c r="H270" s="1056"/>
      <c r="I270" s="1057"/>
      <c r="J270" s="1055"/>
    </row>
    <row r="271" spans="1:11" s="504" customFormat="1" ht="15" hidden="1">
      <c r="B271" s="1055" t="s">
        <v>6581</v>
      </c>
      <c r="C271" s="587" t="s">
        <v>190</v>
      </c>
      <c r="D271" s="470" t="s">
        <v>2145</v>
      </c>
      <c r="E271" s="725"/>
      <c r="F271" s="1055"/>
      <c r="G271" s="1055"/>
      <c r="H271" s="1056"/>
      <c r="I271" s="1057"/>
      <c r="J271" s="1055"/>
    </row>
    <row r="272" spans="1:11" s="504" customFormat="1" ht="15" hidden="1">
      <c r="B272" s="1055" t="s">
        <v>97</v>
      </c>
      <c r="C272" s="587" t="s">
        <v>192</v>
      </c>
      <c r="D272" s="470" t="s">
        <v>2146</v>
      </c>
      <c r="E272" s="725"/>
      <c r="F272" s="1055"/>
      <c r="G272" s="1055"/>
      <c r="H272" s="1056"/>
      <c r="I272" s="1057"/>
      <c r="J272" s="1055"/>
    </row>
    <row r="273" spans="2:10" s="504" customFormat="1" ht="15" hidden="1">
      <c r="B273" s="1055" t="s">
        <v>6589</v>
      </c>
      <c r="C273" s="587" t="s">
        <v>194</v>
      </c>
      <c r="D273" s="470" t="s">
        <v>2147</v>
      </c>
      <c r="E273" s="725"/>
      <c r="F273" s="1055"/>
      <c r="G273" s="1055"/>
      <c r="H273" s="1056"/>
      <c r="I273" s="1057"/>
      <c r="J273" s="1055"/>
    </row>
    <row r="274" spans="2:10" s="504" customFormat="1" ht="15" hidden="1">
      <c r="B274" s="1055" t="s">
        <v>6585</v>
      </c>
      <c r="C274" s="587" t="s">
        <v>196</v>
      </c>
      <c r="D274" s="470" t="s">
        <v>2148</v>
      </c>
      <c r="E274" s="725"/>
      <c r="F274" s="1055"/>
      <c r="G274" s="1055"/>
      <c r="H274" s="1056"/>
      <c r="I274" s="1057"/>
      <c r="J274" s="1055"/>
    </row>
    <row r="275" spans="2:10" s="504" customFormat="1" ht="15" hidden="1">
      <c r="B275" s="1055" t="s">
        <v>99</v>
      </c>
      <c r="C275" s="587" t="s">
        <v>198</v>
      </c>
      <c r="D275" s="470" t="s">
        <v>2149</v>
      </c>
      <c r="E275" s="725"/>
      <c r="F275" s="1055"/>
      <c r="G275" s="1055"/>
      <c r="H275" s="1056"/>
      <c r="I275" s="1057"/>
      <c r="J275" s="1055"/>
    </row>
    <row r="276" spans="2:10" s="504" customFormat="1" ht="15" hidden="1">
      <c r="B276" s="1055" t="s">
        <v>6629</v>
      </c>
      <c r="C276" s="587" t="s">
        <v>1896</v>
      </c>
      <c r="D276" s="470" t="s">
        <v>2198</v>
      </c>
      <c r="E276" s="725"/>
      <c r="F276" s="1055"/>
      <c r="G276" s="1055"/>
      <c r="H276" s="1056"/>
      <c r="I276" s="1057"/>
      <c r="J276" s="1055"/>
    </row>
    <row r="277" spans="2:10" s="504" customFormat="1" ht="15" hidden="1">
      <c r="B277" s="1055" t="s">
        <v>98</v>
      </c>
      <c r="C277" s="587" t="s">
        <v>199</v>
      </c>
      <c r="D277" s="470" t="s">
        <v>2150</v>
      </c>
      <c r="E277" s="725"/>
      <c r="F277" s="1055"/>
      <c r="G277" s="1055"/>
      <c r="H277" s="1056"/>
      <c r="I277" s="1057"/>
      <c r="J277" s="1055"/>
    </row>
    <row r="278" spans="2:10" s="504" customFormat="1" ht="15" hidden="1">
      <c r="B278" s="1055" t="s">
        <v>87</v>
      </c>
      <c r="C278" s="587" t="s">
        <v>200</v>
      </c>
      <c r="D278" s="470" t="s">
        <v>2151</v>
      </c>
      <c r="E278" s="725"/>
      <c r="F278" s="1055"/>
      <c r="G278" s="1055"/>
      <c r="H278" s="1056"/>
      <c r="I278" s="1057"/>
      <c r="J278" s="1055"/>
    </row>
    <row r="279" spans="2:10" s="504" customFormat="1" ht="15" hidden="1">
      <c r="B279" s="1055" t="s">
        <v>102</v>
      </c>
      <c r="C279" s="587" t="s">
        <v>201</v>
      </c>
      <c r="D279" s="470" t="s">
        <v>2152</v>
      </c>
      <c r="E279" s="725"/>
      <c r="F279" s="1055"/>
      <c r="G279" s="1055"/>
      <c r="H279" s="1056"/>
      <c r="I279" s="1057"/>
      <c r="J279" s="1055"/>
    </row>
    <row r="280" spans="2:10" s="504" customFormat="1" ht="15" hidden="1">
      <c r="B280" s="1055" t="s">
        <v>110</v>
      </c>
      <c r="C280" s="587" t="s">
        <v>202</v>
      </c>
      <c r="D280" s="470" t="s">
        <v>2153</v>
      </c>
      <c r="E280" s="725"/>
      <c r="F280" s="1055"/>
      <c r="G280" s="1055"/>
      <c r="H280" s="1056"/>
      <c r="I280" s="1057"/>
      <c r="J280" s="1055"/>
    </row>
    <row r="281" spans="2:10" s="504" customFormat="1" ht="15" hidden="1">
      <c r="B281" s="1055" t="s">
        <v>6609</v>
      </c>
      <c r="C281" s="587" t="s">
        <v>203</v>
      </c>
      <c r="D281" s="470" t="s">
        <v>2154</v>
      </c>
      <c r="E281" s="725"/>
      <c r="F281" s="1055"/>
      <c r="G281" s="1055"/>
      <c r="H281" s="1056"/>
      <c r="I281" s="1057"/>
      <c r="J281" s="1055"/>
    </row>
    <row r="282" spans="2:10" s="504" customFormat="1" ht="15" hidden="1">
      <c r="B282" s="1055" t="s">
        <v>6610</v>
      </c>
      <c r="C282" s="587" t="s">
        <v>205</v>
      </c>
      <c r="D282" s="470" t="s">
        <v>2197</v>
      </c>
      <c r="E282" s="725"/>
      <c r="F282" s="1055"/>
      <c r="G282" s="1055"/>
      <c r="H282" s="1056"/>
      <c r="I282" s="1057"/>
      <c r="J282" s="1055"/>
    </row>
    <row r="283" spans="2:10" s="504" customFormat="1" ht="15" hidden="1">
      <c r="B283" s="1055" t="s">
        <v>1918</v>
      </c>
      <c r="C283" s="587" t="s">
        <v>207</v>
      </c>
      <c r="D283" s="470" t="s">
        <v>2155</v>
      </c>
      <c r="E283" s="725"/>
      <c r="F283" s="1055"/>
      <c r="G283" s="1055"/>
      <c r="H283" s="1056"/>
      <c r="I283" s="1057"/>
      <c r="J283" s="1055"/>
    </row>
    <row r="284" spans="2:10" s="504" customFormat="1" ht="15" hidden="1">
      <c r="B284" s="1055" t="s">
        <v>89</v>
      </c>
      <c r="C284" s="587" t="s">
        <v>208</v>
      </c>
      <c r="D284" s="470" t="s">
        <v>2156</v>
      </c>
      <c r="E284" s="725"/>
      <c r="F284" s="1055"/>
      <c r="G284" s="1055"/>
      <c r="H284" s="1056"/>
      <c r="I284" s="1057"/>
      <c r="J284" s="1055"/>
    </row>
    <row r="285" spans="2:10" s="504" customFormat="1" ht="15" hidden="1">
      <c r="B285" s="1055" t="s">
        <v>101</v>
      </c>
      <c r="C285" s="587" t="s">
        <v>209</v>
      </c>
      <c r="D285" s="470" t="s">
        <v>2157</v>
      </c>
      <c r="E285" s="725"/>
      <c r="F285" s="1055"/>
      <c r="G285" s="1055"/>
      <c r="H285" s="1056"/>
      <c r="I285" s="1057"/>
      <c r="J285" s="1055"/>
    </row>
    <row r="286" spans="2:10" s="504" customFormat="1" ht="15" hidden="1">
      <c r="B286" s="1055" t="s">
        <v>104</v>
      </c>
      <c r="C286" s="587" t="s">
        <v>210</v>
      </c>
      <c r="D286" s="470" t="s">
        <v>2158</v>
      </c>
      <c r="E286" s="725"/>
      <c r="F286" s="1055"/>
      <c r="G286" s="1055"/>
      <c r="H286" s="1056"/>
      <c r="I286" s="1057"/>
      <c r="J286" s="1055"/>
    </row>
    <row r="287" spans="2:10" s="504" customFormat="1" ht="15" hidden="1">
      <c r="B287" s="1055" t="s">
        <v>106</v>
      </c>
      <c r="C287" s="587" t="s">
        <v>211</v>
      </c>
      <c r="D287" s="470" t="s">
        <v>2199</v>
      </c>
      <c r="E287" s="725"/>
      <c r="F287" s="1055"/>
      <c r="G287" s="1055"/>
      <c r="H287" s="1056"/>
      <c r="I287" s="1057"/>
      <c r="J287" s="1055"/>
    </row>
    <row r="288" spans="2:10" s="504" customFormat="1" ht="15" hidden="1">
      <c r="B288" s="1055" t="s">
        <v>96</v>
      </c>
      <c r="C288" s="587" t="s">
        <v>212</v>
      </c>
      <c r="D288" s="470" t="s">
        <v>2159</v>
      </c>
      <c r="E288" s="725"/>
      <c r="F288" s="1055"/>
      <c r="G288" s="1055"/>
      <c r="H288" s="1056"/>
      <c r="I288" s="1057"/>
      <c r="J288" s="1055"/>
    </row>
    <row r="289" spans="2:10" s="504" customFormat="1" ht="15" hidden="1">
      <c r="B289" s="1055" t="s">
        <v>103</v>
      </c>
      <c r="C289" s="587" t="s">
        <v>213</v>
      </c>
      <c r="D289" s="470" t="s">
        <v>2160</v>
      </c>
      <c r="E289" s="725"/>
      <c r="F289" s="1055"/>
      <c r="G289" s="1055"/>
      <c r="H289" s="1056"/>
      <c r="I289" s="1057"/>
      <c r="J289" s="1055"/>
    </row>
    <row r="290" spans="2:10" s="504" customFormat="1" ht="15" hidden="1">
      <c r="B290" s="1055" t="s">
        <v>94</v>
      </c>
      <c r="C290" s="587" t="s">
        <v>214</v>
      </c>
      <c r="D290" s="470" t="s">
        <v>2161</v>
      </c>
      <c r="E290" s="725"/>
      <c r="F290" s="1055"/>
      <c r="G290" s="1055"/>
      <c r="H290" s="1056"/>
      <c r="I290" s="1057"/>
      <c r="J290" s="1055"/>
    </row>
    <row r="291" spans="2:10" s="504" customFormat="1" ht="15" hidden="1">
      <c r="B291" s="1055" t="s">
        <v>100</v>
      </c>
      <c r="C291" s="587" t="s">
        <v>215</v>
      </c>
      <c r="D291" s="470" t="s">
        <v>2162</v>
      </c>
      <c r="E291" s="725"/>
      <c r="F291" s="1055"/>
      <c r="G291" s="1055"/>
      <c r="H291" s="1056"/>
      <c r="I291" s="1057"/>
      <c r="J291" s="1055"/>
    </row>
    <row r="292" spans="2:10" s="504" customFormat="1" ht="15" hidden="1">
      <c r="B292" s="1055" t="s">
        <v>90</v>
      </c>
      <c r="C292" s="587" t="s">
        <v>216</v>
      </c>
      <c r="D292" s="470" t="s">
        <v>2163</v>
      </c>
      <c r="E292" s="725"/>
      <c r="F292" s="1055"/>
      <c r="G292" s="1055"/>
      <c r="H292" s="1056"/>
      <c r="I292" s="1057"/>
      <c r="J292" s="1055"/>
    </row>
    <row r="293" spans="2:10" s="504" customFormat="1" ht="15" hidden="1">
      <c r="B293" s="1055" t="s">
        <v>6611</v>
      </c>
      <c r="C293" s="587" t="s">
        <v>1897</v>
      </c>
      <c r="D293" s="470" t="s">
        <v>2200</v>
      </c>
      <c r="E293" s="725"/>
      <c r="F293" s="1055"/>
      <c r="G293" s="1055"/>
      <c r="H293" s="1056"/>
      <c r="I293" s="1057"/>
      <c r="J293" s="1055"/>
    </row>
    <row r="294" spans="2:10" s="504" customFormat="1" ht="15" hidden="1">
      <c r="B294" s="1055" t="s">
        <v>107</v>
      </c>
      <c r="C294" s="587" t="s">
        <v>217</v>
      </c>
      <c r="D294" s="470" t="s">
        <v>2164</v>
      </c>
      <c r="E294" s="725"/>
      <c r="F294" s="1055"/>
      <c r="G294" s="1055"/>
      <c r="H294" s="1056"/>
      <c r="I294" s="1057"/>
      <c r="J294" s="1055"/>
    </row>
    <row r="295" spans="2:10" s="504" customFormat="1" ht="15" hidden="1">
      <c r="B295" s="1055" t="s">
        <v>6591</v>
      </c>
      <c r="C295" s="587" t="s">
        <v>361</v>
      </c>
      <c r="D295" s="470" t="s">
        <v>2165</v>
      </c>
      <c r="E295" s="725"/>
      <c r="F295" s="1055"/>
      <c r="G295" s="1055"/>
      <c r="H295" s="1056"/>
      <c r="I295" s="1057"/>
      <c r="J295" s="1055"/>
    </row>
    <row r="296" spans="2:10" s="504" customFormat="1" ht="15" hidden="1">
      <c r="B296" s="1055" t="s">
        <v>6630</v>
      </c>
      <c r="C296" s="587" t="s">
        <v>219</v>
      </c>
      <c r="D296" s="470" t="s">
        <v>2201</v>
      </c>
      <c r="E296" s="725"/>
      <c r="F296" s="1055"/>
      <c r="G296" s="1055"/>
      <c r="H296" s="1056"/>
      <c r="I296" s="1057"/>
      <c r="J296" s="1055"/>
    </row>
    <row r="297" spans="2:10" s="504" customFormat="1" ht="15" hidden="1">
      <c r="B297" s="1055" t="s">
        <v>6592</v>
      </c>
      <c r="C297" s="587" t="s">
        <v>220</v>
      </c>
      <c r="D297" s="470" t="s">
        <v>2166</v>
      </c>
      <c r="E297" s="725"/>
      <c r="F297" s="1055"/>
      <c r="G297" s="1055"/>
      <c r="H297" s="1056"/>
      <c r="I297" s="1057"/>
      <c r="J297" s="1055"/>
    </row>
    <row r="298" spans="2:10" s="504" customFormat="1" ht="15" hidden="1">
      <c r="B298" s="1055" t="s">
        <v>6603</v>
      </c>
      <c r="C298" s="587" t="s">
        <v>221</v>
      </c>
      <c r="D298" s="470" t="s">
        <v>2167</v>
      </c>
      <c r="E298" s="725"/>
      <c r="F298" s="1055"/>
      <c r="G298" s="1055"/>
      <c r="H298" s="1056"/>
      <c r="I298" s="1057"/>
      <c r="J298" s="1055"/>
    </row>
    <row r="299" spans="2:10" s="504" customFormat="1" ht="15" hidden="1">
      <c r="B299" s="1055" t="s">
        <v>6601</v>
      </c>
      <c r="C299" s="587" t="s">
        <v>222</v>
      </c>
      <c r="D299" s="470" t="s">
        <v>2168</v>
      </c>
      <c r="E299" s="725"/>
      <c r="F299" s="1055"/>
      <c r="G299" s="1055"/>
      <c r="H299" s="1056"/>
      <c r="I299" s="1057"/>
      <c r="J299" s="1055"/>
    </row>
    <row r="300" spans="2:10" s="504" customFormat="1" ht="15" hidden="1">
      <c r="B300" s="1055" t="s">
        <v>6575</v>
      </c>
      <c r="C300" s="587" t="s">
        <v>223</v>
      </c>
      <c r="D300" s="470" t="s">
        <v>7862</v>
      </c>
      <c r="E300" s="725"/>
      <c r="F300" s="1055"/>
      <c r="G300" s="1055"/>
      <c r="H300" s="1056"/>
      <c r="I300" s="1057"/>
      <c r="J300" s="1055"/>
    </row>
    <row r="301" spans="2:10" s="504" customFormat="1" ht="15" hidden="1">
      <c r="B301" s="1055" t="s">
        <v>6593</v>
      </c>
      <c r="C301" s="587" t="s">
        <v>224</v>
      </c>
      <c r="D301" s="470" t="s">
        <v>2169</v>
      </c>
      <c r="E301" s="725"/>
      <c r="F301" s="1055"/>
      <c r="G301" s="1055"/>
      <c r="H301" s="1056"/>
      <c r="I301" s="1057"/>
      <c r="J301" s="1055"/>
    </row>
    <row r="302" spans="2:10" s="504" customFormat="1" ht="15" hidden="1">
      <c r="B302" s="1055" t="s">
        <v>6594</v>
      </c>
      <c r="C302" s="587" t="s">
        <v>225</v>
      </c>
      <c r="D302" s="470" t="s">
        <v>2170</v>
      </c>
      <c r="E302" s="725"/>
      <c r="F302" s="1055"/>
      <c r="G302" s="1055"/>
      <c r="H302" s="1056"/>
      <c r="I302" s="1057"/>
      <c r="J302" s="1055"/>
    </row>
    <row r="303" spans="2:10" s="504" customFormat="1" ht="15" hidden="1">
      <c r="B303" s="1055" t="s">
        <v>6612</v>
      </c>
      <c r="C303" s="587" t="s">
        <v>226</v>
      </c>
      <c r="D303" s="470" t="s">
        <v>2171</v>
      </c>
      <c r="E303" s="725"/>
      <c r="F303" s="1055"/>
      <c r="G303" s="1055"/>
      <c r="H303" s="1056"/>
      <c r="I303" s="1057"/>
      <c r="J303" s="1055"/>
    </row>
    <row r="304" spans="2:10" s="504" customFormat="1" ht="15" hidden="1">
      <c r="B304" s="1055" t="s">
        <v>6613</v>
      </c>
      <c r="C304" s="587" t="s">
        <v>227</v>
      </c>
      <c r="D304" s="470" t="s">
        <v>2172</v>
      </c>
      <c r="E304" s="725"/>
      <c r="F304" s="1055"/>
      <c r="G304" s="1055"/>
      <c r="H304" s="1056"/>
      <c r="I304" s="1057"/>
      <c r="J304" s="1055"/>
    </row>
    <row r="305" spans="2:10" s="504" customFormat="1" ht="15" hidden="1">
      <c r="B305" s="1055" t="s">
        <v>6578</v>
      </c>
      <c r="C305" s="587" t="s">
        <v>228</v>
      </c>
      <c r="D305" s="470" t="s">
        <v>2173</v>
      </c>
      <c r="E305" s="725"/>
      <c r="F305" s="1055"/>
      <c r="G305" s="1055"/>
      <c r="H305" s="1056"/>
      <c r="I305" s="1057"/>
      <c r="J305" s="1055"/>
    </row>
    <row r="306" spans="2:10" s="504" customFormat="1" ht="15" hidden="1">
      <c r="B306" s="1055" t="s">
        <v>6608</v>
      </c>
      <c r="C306" s="587" t="s">
        <v>229</v>
      </c>
      <c r="D306" s="470" t="s">
        <v>2174</v>
      </c>
      <c r="E306" s="725"/>
      <c r="F306" s="1055"/>
      <c r="G306" s="1055"/>
      <c r="H306" s="1056"/>
      <c r="I306" s="1057"/>
      <c r="J306" s="1055"/>
    </row>
    <row r="307" spans="2:10" s="504" customFormat="1" ht="15" hidden="1">
      <c r="B307" s="1055" t="s">
        <v>6595</v>
      </c>
      <c r="C307" s="587" t="s">
        <v>230</v>
      </c>
      <c r="D307" s="470" t="s">
        <v>2175</v>
      </c>
      <c r="E307" s="725"/>
      <c r="F307" s="1055"/>
      <c r="G307" s="1055"/>
      <c r="H307" s="1056"/>
      <c r="I307" s="1057"/>
      <c r="J307" s="1055"/>
    </row>
    <row r="308" spans="2:10" s="504" customFormat="1" ht="15" hidden="1">
      <c r="B308" s="1055" t="s">
        <v>92</v>
      </c>
      <c r="C308" s="587" t="s">
        <v>231</v>
      </c>
      <c r="D308" s="470" t="s">
        <v>2176</v>
      </c>
      <c r="E308" s="725"/>
      <c r="F308" s="1055"/>
      <c r="G308" s="1055"/>
      <c r="H308" s="1056"/>
      <c r="I308" s="1057"/>
      <c r="J308" s="1055"/>
    </row>
    <row r="309" spans="2:10" s="504" customFormat="1" ht="15" hidden="1">
      <c r="B309" s="1055" t="s">
        <v>93</v>
      </c>
      <c r="C309" s="587" t="s">
        <v>232</v>
      </c>
      <c r="D309" s="470" t="s">
        <v>2177</v>
      </c>
      <c r="E309" s="725"/>
      <c r="F309" s="1055"/>
      <c r="G309" s="1055"/>
      <c r="H309" s="1056"/>
      <c r="I309" s="1057"/>
      <c r="J309" s="1055"/>
    </row>
    <row r="310" spans="2:10" s="504" customFormat="1" ht="15" hidden="1">
      <c r="B310" s="1055" t="s">
        <v>6604</v>
      </c>
      <c r="C310" s="587" t="s">
        <v>233</v>
      </c>
      <c r="D310" s="470" t="s">
        <v>2178</v>
      </c>
      <c r="E310" s="725"/>
      <c r="F310" s="1055"/>
      <c r="G310" s="1055"/>
      <c r="H310" s="1056"/>
      <c r="I310" s="1057"/>
      <c r="J310" s="1055"/>
    </row>
    <row r="311" spans="2:10" s="504" customFormat="1" ht="15" hidden="1">
      <c r="B311" s="1055" t="s">
        <v>6580</v>
      </c>
      <c r="C311" s="587" t="s">
        <v>234</v>
      </c>
      <c r="D311" s="470" t="s">
        <v>2179</v>
      </c>
      <c r="E311" s="725"/>
      <c r="F311" s="1055"/>
      <c r="G311" s="1055"/>
      <c r="H311" s="1056"/>
      <c r="I311" s="1057"/>
      <c r="J311" s="1055"/>
    </row>
    <row r="312" spans="2:10" s="504" customFormat="1" ht="15" hidden="1">
      <c r="B312" s="1055" t="s">
        <v>6596</v>
      </c>
      <c r="C312" s="587" t="s">
        <v>235</v>
      </c>
      <c r="D312" s="470" t="s">
        <v>2180</v>
      </c>
      <c r="E312" s="725"/>
      <c r="F312" s="1055"/>
      <c r="G312" s="1055"/>
      <c r="H312" s="1056"/>
      <c r="I312" s="1057"/>
      <c r="J312" s="1055"/>
    </row>
    <row r="313" spans="2:10" s="504" customFormat="1" ht="15" hidden="1">
      <c r="B313" s="1055" t="s">
        <v>6597</v>
      </c>
      <c r="C313" s="587" t="s">
        <v>236</v>
      </c>
      <c r="D313" s="470" t="s">
        <v>2181</v>
      </c>
      <c r="E313" s="725"/>
      <c r="F313" s="1055"/>
      <c r="G313" s="1055"/>
      <c r="H313" s="1056"/>
      <c r="I313" s="1057"/>
      <c r="J313" s="1055"/>
    </row>
    <row r="314" spans="2:10" s="504" customFormat="1" ht="15" hidden="1">
      <c r="B314" s="1055" t="s">
        <v>6602</v>
      </c>
      <c r="C314" s="587" t="s">
        <v>237</v>
      </c>
      <c r="D314" s="470" t="s">
        <v>2182</v>
      </c>
      <c r="E314" s="725"/>
      <c r="F314" s="1055"/>
      <c r="G314" s="1055"/>
      <c r="H314" s="1056"/>
      <c r="I314" s="1057"/>
      <c r="J314" s="1055"/>
    </row>
    <row r="315" spans="2:10" s="504" customFormat="1" ht="15" hidden="1">
      <c r="B315" s="1055" t="s">
        <v>6614</v>
      </c>
      <c r="C315" s="587" t="s">
        <v>238</v>
      </c>
      <c r="D315" s="470" t="s">
        <v>2183</v>
      </c>
      <c r="E315" s="725"/>
      <c r="F315" s="1055"/>
      <c r="G315" s="1055"/>
      <c r="H315" s="1056"/>
      <c r="I315" s="1057"/>
      <c r="J315" s="1055"/>
    </row>
    <row r="316" spans="2:10" s="504" customFormat="1" ht="15" hidden="1">
      <c r="B316" s="1055" t="s">
        <v>6598</v>
      </c>
      <c r="C316" s="587" t="s">
        <v>239</v>
      </c>
      <c r="D316" s="470" t="s">
        <v>2184</v>
      </c>
      <c r="E316" s="725"/>
      <c r="F316" s="1055"/>
      <c r="G316" s="1055"/>
      <c r="H316" s="1056"/>
      <c r="I316" s="1057"/>
      <c r="J316" s="1055"/>
    </row>
    <row r="317" spans="2:10" s="504" customFormat="1" ht="15" hidden="1">
      <c r="B317" s="1055" t="s">
        <v>6583</v>
      </c>
      <c r="C317" s="587" t="s">
        <v>240</v>
      </c>
      <c r="D317" s="470" t="s">
        <v>2185</v>
      </c>
      <c r="E317" s="725"/>
      <c r="F317" s="1055"/>
      <c r="G317" s="1055"/>
      <c r="H317" s="1056"/>
      <c r="I317" s="1057"/>
      <c r="J317" s="1055"/>
    </row>
    <row r="318" spans="2:10" s="504" customFormat="1" ht="15" hidden="1">
      <c r="B318" s="1055" t="s">
        <v>6615</v>
      </c>
      <c r="C318" s="587" t="s">
        <v>252</v>
      </c>
      <c r="D318" s="470" t="s">
        <v>2202</v>
      </c>
      <c r="E318" s="725"/>
      <c r="F318" s="1055"/>
      <c r="G318" s="1055"/>
      <c r="H318" s="1056"/>
      <c r="I318" s="1057"/>
      <c r="J318" s="1055"/>
    </row>
    <row r="319" spans="2:10" s="504" customFormat="1" ht="15" hidden="1">
      <c r="B319" s="1055" t="s">
        <v>6616</v>
      </c>
      <c r="C319" s="587" t="s">
        <v>241</v>
      </c>
      <c r="D319" s="470" t="s">
        <v>2186</v>
      </c>
      <c r="E319" s="725"/>
      <c r="F319" s="1055"/>
      <c r="G319" s="1055"/>
      <c r="H319" s="1056"/>
      <c r="I319" s="1057"/>
      <c r="J319" s="1055"/>
    </row>
    <row r="320" spans="2:10" s="504" customFormat="1" ht="15" hidden="1">
      <c r="B320" s="1055" t="s">
        <v>6599</v>
      </c>
      <c r="C320" s="587" t="s">
        <v>242</v>
      </c>
      <c r="D320" s="470" t="s">
        <v>2187</v>
      </c>
      <c r="E320" s="725"/>
      <c r="F320" s="1055"/>
      <c r="G320" s="1055"/>
      <c r="H320" s="1056"/>
      <c r="I320" s="1057"/>
      <c r="J320" s="1055"/>
    </row>
    <row r="321" spans="2:10" s="504" customFormat="1" ht="15" hidden="1">
      <c r="B321" s="1055" t="s">
        <v>6605</v>
      </c>
      <c r="C321" s="587" t="s">
        <v>243</v>
      </c>
      <c r="D321" s="470" t="s">
        <v>2188</v>
      </c>
      <c r="E321" s="725"/>
      <c r="F321" s="1055"/>
      <c r="G321" s="1055"/>
      <c r="H321" s="1056"/>
      <c r="I321" s="1057"/>
      <c r="J321" s="1055"/>
    </row>
    <row r="322" spans="2:10" s="504" customFormat="1" ht="15" hidden="1">
      <c r="B322" s="1055" t="s">
        <v>2719</v>
      </c>
      <c r="C322" s="587" t="s">
        <v>244</v>
      </c>
      <c r="D322" s="470" t="s">
        <v>2189</v>
      </c>
      <c r="E322" s="725"/>
      <c r="F322" s="1055"/>
      <c r="G322" s="1055"/>
      <c r="H322" s="1056"/>
      <c r="I322" s="1057"/>
      <c r="J322" s="1055"/>
    </row>
    <row r="323" spans="2:10" s="504" customFormat="1" ht="15" hidden="1">
      <c r="B323" s="1055" t="s">
        <v>6600</v>
      </c>
      <c r="C323" s="587" t="s">
        <v>245</v>
      </c>
      <c r="D323" s="470" t="s">
        <v>2190</v>
      </c>
      <c r="E323" s="725"/>
      <c r="F323" s="1055"/>
      <c r="G323" s="1055"/>
      <c r="H323" s="1056"/>
      <c r="I323" s="1057"/>
      <c r="J323" s="1055"/>
    </row>
    <row r="324" spans="2:10" s="504" customFormat="1" ht="15" hidden="1">
      <c r="B324" s="1055" t="s">
        <v>108</v>
      </c>
      <c r="C324" s="587" t="s">
        <v>246</v>
      </c>
      <c r="D324" s="470" t="s">
        <v>2191</v>
      </c>
      <c r="E324" s="725"/>
      <c r="F324" s="1055"/>
      <c r="G324" s="1055"/>
      <c r="H324" s="1056"/>
      <c r="I324" s="1057"/>
      <c r="J324" s="1055"/>
    </row>
    <row r="325" spans="2:10" s="504" customFormat="1" ht="15" hidden="1">
      <c r="B325" s="1055" t="s">
        <v>6607</v>
      </c>
      <c r="C325" s="587" t="s">
        <v>247</v>
      </c>
      <c r="D325" s="470" t="s">
        <v>2192</v>
      </c>
      <c r="E325" s="725"/>
      <c r="F325" s="1055"/>
      <c r="G325" s="1055"/>
      <c r="H325" s="1056"/>
      <c r="I325" s="1057"/>
      <c r="J325" s="1055"/>
    </row>
    <row r="326" spans="2:10" s="504" customFormat="1" ht="15" hidden="1">
      <c r="B326" s="1055" t="s">
        <v>6582</v>
      </c>
      <c r="C326" s="587" t="s">
        <v>248</v>
      </c>
      <c r="D326" s="470" t="s">
        <v>2193</v>
      </c>
      <c r="E326" s="725"/>
      <c r="F326" s="1055"/>
      <c r="G326" s="1055"/>
      <c r="H326" s="1056"/>
      <c r="I326" s="1057"/>
      <c r="J326" s="1055"/>
    </row>
    <row r="327" spans="2:10" s="504" customFormat="1" ht="15" hidden="1">
      <c r="B327" s="1055" t="s">
        <v>6620</v>
      </c>
      <c r="C327" s="587" t="s">
        <v>1823</v>
      </c>
      <c r="D327" s="470" t="s">
        <v>2203</v>
      </c>
      <c r="E327" s="725"/>
      <c r="F327" s="1055"/>
      <c r="G327" s="1055"/>
      <c r="H327" s="1056"/>
      <c r="I327" s="1057"/>
      <c r="J327" s="1055"/>
    </row>
    <row r="328" spans="2:10" s="504" customFormat="1" ht="15" hidden="1">
      <c r="B328" s="1055" t="s">
        <v>2720</v>
      </c>
      <c r="C328" s="587" t="s">
        <v>2724</v>
      </c>
      <c r="D328" s="470" t="s">
        <v>2722</v>
      </c>
      <c r="E328" s="725"/>
      <c r="F328" s="1055"/>
      <c r="G328" s="1055"/>
      <c r="H328" s="1056"/>
      <c r="I328" s="1057"/>
      <c r="J328" s="1055"/>
    </row>
    <row r="329" spans="2:10" s="504" customFormat="1" ht="15" hidden="1">
      <c r="B329" s="1055" t="s">
        <v>2721</v>
      </c>
      <c r="C329" s="587" t="s">
        <v>2725</v>
      </c>
      <c r="D329" s="470" t="s">
        <v>2723</v>
      </c>
      <c r="E329" s="725"/>
      <c r="F329" s="1055"/>
      <c r="G329" s="1055"/>
      <c r="H329" s="1056"/>
      <c r="I329" s="1057"/>
      <c r="J329" s="1055"/>
    </row>
    <row r="330" spans="2:10" s="504" customFormat="1" ht="15" hidden="1">
      <c r="B330" s="1055" t="s">
        <v>6606</v>
      </c>
      <c r="C330" s="587" t="s">
        <v>249</v>
      </c>
      <c r="D330" s="470" t="s">
        <v>2194</v>
      </c>
      <c r="E330" s="725"/>
      <c r="F330" s="1055"/>
      <c r="G330" s="1055"/>
      <c r="H330" s="1056"/>
      <c r="I330" s="1057"/>
      <c r="J330" s="1055"/>
    </row>
    <row r="331" spans="2:10" s="504" customFormat="1" ht="15" hidden="1">
      <c r="B331" s="1055" t="s">
        <v>2204</v>
      </c>
      <c r="C331" s="587" t="s">
        <v>2088</v>
      </c>
      <c r="D331" s="470" t="s">
        <v>2204</v>
      </c>
      <c r="E331" s="725"/>
      <c r="F331" s="1055"/>
      <c r="G331" s="1055"/>
      <c r="H331" s="1056"/>
      <c r="I331" s="1057"/>
      <c r="J331" s="1055"/>
    </row>
    <row r="332" spans="2:10" s="504" customFormat="1" ht="15" hidden="1">
      <c r="B332" s="1055" t="s">
        <v>95</v>
      </c>
      <c r="C332" s="587" t="s">
        <v>359</v>
      </c>
      <c r="D332" s="470" t="s">
        <v>2195</v>
      </c>
      <c r="E332" s="725"/>
      <c r="F332" s="1055"/>
      <c r="G332" s="1055"/>
      <c r="H332" s="1056"/>
      <c r="I332" s="1057"/>
      <c r="J332" s="1055"/>
    </row>
    <row r="333" spans="2:10" s="504" customFormat="1" ht="15" hidden="1">
      <c r="B333" s="1055" t="s">
        <v>105</v>
      </c>
      <c r="C333" s="587" t="s">
        <v>250</v>
      </c>
      <c r="D333" s="470" t="s">
        <v>2196</v>
      </c>
      <c r="E333" s="725"/>
      <c r="F333" s="1055"/>
      <c r="G333" s="1055"/>
      <c r="H333" s="1056"/>
      <c r="I333" s="1057"/>
      <c r="J333" s="1055"/>
    </row>
    <row r="334" spans="2:10" s="504" customFormat="1" ht="15" hidden="1">
      <c r="B334" s="1055"/>
      <c r="C334" s="567"/>
      <c r="D334" s="872"/>
      <c r="E334" s="725"/>
      <c r="F334" s="1055"/>
      <c r="G334" s="1055"/>
      <c r="H334" s="1056"/>
      <c r="I334" s="1057"/>
      <c r="J334" s="1055"/>
    </row>
    <row r="335" spans="2:10" s="504" customFormat="1" ht="15" hidden="1">
      <c r="B335" s="1055"/>
      <c r="C335" s="567"/>
      <c r="D335" s="872"/>
      <c r="E335" s="725"/>
      <c r="F335" s="1055"/>
      <c r="G335" s="1055"/>
      <c r="H335" s="1056"/>
      <c r="I335" s="1057"/>
      <c r="J335" s="1055"/>
    </row>
    <row r="336" spans="2:10" s="504" customFormat="1" ht="15" hidden="1">
      <c r="B336" s="1055"/>
      <c r="C336" s="567"/>
      <c r="D336" s="872"/>
      <c r="E336" s="725"/>
      <c r="F336" s="1055"/>
      <c r="G336" s="1055"/>
      <c r="H336" s="1056"/>
      <c r="I336" s="1057"/>
      <c r="J336" s="1055"/>
    </row>
    <row r="337" spans="2:10" s="504" customFormat="1" ht="15" hidden="1">
      <c r="B337" s="1055"/>
      <c r="C337" s="567"/>
      <c r="D337" s="872"/>
      <c r="E337" s="725"/>
      <c r="F337" s="1055"/>
      <c r="G337" s="1055"/>
      <c r="H337" s="1056"/>
      <c r="I337" s="1057"/>
      <c r="J337" s="1055"/>
    </row>
    <row r="338" spans="2:10" s="504" customFormat="1" ht="15" hidden="1">
      <c r="B338" s="1055"/>
      <c r="C338" s="567"/>
      <c r="D338" s="872"/>
      <c r="E338" s="725"/>
      <c r="F338" s="1055"/>
      <c r="G338" s="1055"/>
      <c r="H338" s="1056"/>
      <c r="I338" s="1057"/>
      <c r="J338" s="1055"/>
    </row>
    <row r="339" spans="2:10" s="504" customFormat="1" ht="15" hidden="1">
      <c r="B339" s="1055"/>
      <c r="C339" s="567"/>
      <c r="D339" s="872"/>
      <c r="E339" s="725"/>
      <c r="F339" s="1055"/>
      <c r="G339" s="1055"/>
      <c r="H339" s="1056"/>
      <c r="I339" s="1057"/>
      <c r="J339" s="1055"/>
    </row>
    <row r="340" spans="2:10" s="504" customFormat="1" ht="15" hidden="1">
      <c r="B340" s="1055"/>
      <c r="C340" s="567"/>
      <c r="D340" s="872"/>
      <c r="E340" s="725"/>
      <c r="F340" s="1055"/>
      <c r="G340" s="1055"/>
      <c r="H340" s="1056"/>
      <c r="I340" s="1057"/>
      <c r="J340" s="1055"/>
    </row>
    <row r="341" spans="2:10" s="504" customFormat="1" ht="15" hidden="1">
      <c r="B341" s="1055"/>
      <c r="C341" s="567"/>
      <c r="D341" s="872"/>
      <c r="E341" s="725"/>
      <c r="F341" s="1055"/>
      <c r="G341" s="1055"/>
      <c r="H341" s="1056"/>
      <c r="I341" s="1057"/>
      <c r="J341" s="1055"/>
    </row>
    <row r="342" spans="2:10" s="504" customFormat="1" ht="15" hidden="1">
      <c r="B342" s="1055"/>
      <c r="C342" s="567"/>
      <c r="D342" s="872"/>
      <c r="E342" s="725"/>
      <c r="F342" s="1055"/>
      <c r="G342" s="1055"/>
      <c r="H342" s="1056"/>
      <c r="I342" s="1057"/>
      <c r="J342" s="1055"/>
    </row>
    <row r="343" spans="2:10" s="504" customFormat="1" hidden="1">
      <c r="B343" s="578"/>
      <c r="C343" s="567"/>
      <c r="D343" s="872"/>
      <c r="E343" s="725"/>
      <c r="F343" s="1058"/>
      <c r="G343" s="1059"/>
      <c r="H343" s="1060"/>
      <c r="I343" s="1061"/>
      <c r="J343" s="1062"/>
    </row>
    <row r="344" spans="2:10" s="504" customFormat="1" hidden="1">
      <c r="B344" s="578"/>
      <c r="C344" s="567"/>
      <c r="D344" s="872"/>
      <c r="E344" s="725"/>
      <c r="H344" s="1063"/>
      <c r="I344" s="750"/>
    </row>
    <row r="345" spans="2:10" s="504" customFormat="1" hidden="1">
      <c r="B345" s="578"/>
      <c r="C345" s="567"/>
      <c r="D345" s="872"/>
      <c r="E345" s="725"/>
      <c r="H345" s="1063"/>
      <c r="I345" s="750"/>
    </row>
    <row r="346" spans="2:10" s="504" customFormat="1" hidden="1">
      <c r="B346" s="578"/>
      <c r="C346" s="567"/>
      <c r="D346" s="872"/>
      <c r="E346" s="725"/>
      <c r="H346" s="1063"/>
      <c r="I346" s="750"/>
    </row>
    <row r="347" spans="2:10" s="504" customFormat="1" hidden="1">
      <c r="B347" s="578"/>
      <c r="C347" s="567"/>
      <c r="D347" s="872"/>
      <c r="E347" s="725"/>
      <c r="H347" s="1063"/>
      <c r="I347" s="750"/>
    </row>
    <row r="348" spans="2:10" s="504" customFormat="1" hidden="1">
      <c r="B348" s="578"/>
      <c r="C348" s="567"/>
      <c r="D348" s="872"/>
      <c r="E348" s="725"/>
      <c r="H348" s="1063"/>
      <c r="I348" s="750"/>
    </row>
    <row r="349" spans="2:10" s="504" customFormat="1" hidden="1">
      <c r="B349" s="578"/>
      <c r="C349" s="567"/>
      <c r="D349" s="872"/>
      <c r="E349" s="725"/>
      <c r="H349" s="1063"/>
      <c r="I349" s="750"/>
    </row>
    <row r="350" spans="2:10" s="504" customFormat="1" hidden="1">
      <c r="B350" s="578"/>
      <c r="C350" s="567"/>
      <c r="D350" s="872"/>
      <c r="E350" s="725"/>
      <c r="H350" s="1063"/>
      <c r="I350" s="750"/>
    </row>
    <row r="351" spans="2:10" s="504" customFormat="1" hidden="1">
      <c r="B351" s="578"/>
      <c r="C351" s="567"/>
      <c r="D351" s="872"/>
      <c r="E351" s="725"/>
      <c r="H351" s="1063"/>
      <c r="I351" s="750"/>
    </row>
    <row r="352" spans="2:10" s="504" customFormat="1" hidden="1">
      <c r="B352" s="578"/>
      <c r="C352" s="567"/>
      <c r="D352" s="872"/>
      <c r="E352" s="725"/>
      <c r="H352" s="1063"/>
      <c r="I352" s="750"/>
    </row>
    <row r="353" spans="1:11" s="88" customFormat="1" hidden="1">
      <c r="A353" s="347"/>
      <c r="B353" s="481" t="s">
        <v>258</v>
      </c>
      <c r="C353" s="481" t="s">
        <v>177</v>
      </c>
      <c r="D353" s="479" t="s">
        <v>6621</v>
      </c>
      <c r="E353" s="479" t="s">
        <v>1909</v>
      </c>
      <c r="F353" s="479" t="s">
        <v>1910</v>
      </c>
      <c r="G353" s="489"/>
      <c r="H353" s="726">
        <v>42430</v>
      </c>
      <c r="I353" s="727">
        <v>42485</v>
      </c>
      <c r="J353" s="533">
        <v>1486.97</v>
      </c>
      <c r="K353" s="533"/>
    </row>
    <row r="354" spans="1:11" s="88" customFormat="1" hidden="1">
      <c r="A354" s="347"/>
      <c r="B354" s="481" t="s">
        <v>258</v>
      </c>
      <c r="C354" s="481" t="s">
        <v>178</v>
      </c>
      <c r="D354" s="479" t="s">
        <v>6584</v>
      </c>
      <c r="E354" s="479" t="s">
        <v>1909</v>
      </c>
      <c r="F354" s="479" t="s">
        <v>1910</v>
      </c>
      <c r="G354" s="489"/>
      <c r="H354" s="726">
        <v>42430</v>
      </c>
      <c r="I354" s="727">
        <v>42485</v>
      </c>
      <c r="J354" s="533">
        <v>942.87</v>
      </c>
      <c r="K354" s="334">
        <v>60</v>
      </c>
    </row>
    <row r="355" spans="1:11" s="88" customFormat="1" hidden="1">
      <c r="A355" s="347"/>
      <c r="B355" s="481" t="s">
        <v>258</v>
      </c>
      <c r="C355" s="481" t="s">
        <v>179</v>
      </c>
      <c r="D355" s="479" t="s">
        <v>6576</v>
      </c>
      <c r="E355" s="479" t="s">
        <v>1909</v>
      </c>
      <c r="F355" s="479" t="s">
        <v>1910</v>
      </c>
      <c r="G355" s="489"/>
      <c r="H355" s="726">
        <v>42430</v>
      </c>
      <c r="I355" s="727">
        <v>42485</v>
      </c>
      <c r="J355" s="533">
        <v>1049.54</v>
      </c>
      <c r="K355" s="479"/>
    </row>
    <row r="356" spans="1:11" s="88" customFormat="1" hidden="1">
      <c r="A356" s="347"/>
      <c r="B356" s="481" t="s">
        <v>258</v>
      </c>
      <c r="C356" s="481" t="s">
        <v>180</v>
      </c>
      <c r="D356" s="479" t="s">
        <v>6622</v>
      </c>
      <c r="E356" s="479" t="s">
        <v>1909</v>
      </c>
      <c r="F356" s="479" t="s">
        <v>1910</v>
      </c>
      <c r="G356" s="489"/>
      <c r="H356" s="726">
        <v>42430</v>
      </c>
      <c r="I356" s="727">
        <v>42485</v>
      </c>
      <c r="J356" s="533">
        <v>1084.6199999999999</v>
      </c>
      <c r="K356" s="533"/>
    </row>
    <row r="357" spans="1:11" s="88" customFormat="1" hidden="1">
      <c r="A357" s="347"/>
      <c r="B357" s="481" t="s">
        <v>258</v>
      </c>
      <c r="C357" s="481" t="s">
        <v>181</v>
      </c>
      <c r="D357" s="479" t="s">
        <v>6623</v>
      </c>
      <c r="E357" s="479" t="s">
        <v>1909</v>
      </c>
      <c r="F357" s="479" t="s">
        <v>1910</v>
      </c>
      <c r="G357" s="489"/>
      <c r="H357" s="726">
        <v>42430</v>
      </c>
      <c r="I357" s="727">
        <v>42485</v>
      </c>
      <c r="J357" s="533">
        <v>1519.36</v>
      </c>
      <c r="K357" s="533"/>
    </row>
    <row r="358" spans="1:11" s="88" customFormat="1" hidden="1">
      <c r="A358" s="347"/>
      <c r="B358" s="481" t="s">
        <v>258</v>
      </c>
      <c r="C358" s="481" t="s">
        <v>182</v>
      </c>
      <c r="D358" s="479" t="s">
        <v>6590</v>
      </c>
      <c r="E358" s="479" t="s">
        <v>1909</v>
      </c>
      <c r="F358" s="479" t="s">
        <v>1910</v>
      </c>
      <c r="G358" s="489"/>
      <c r="H358" s="726">
        <v>42430</v>
      </c>
      <c r="I358" s="727">
        <v>42485</v>
      </c>
      <c r="J358" s="533">
        <v>940.72</v>
      </c>
      <c r="K358" s="533"/>
    </row>
    <row r="359" spans="1:11" s="88" customFormat="1" hidden="1">
      <c r="A359" s="347"/>
      <c r="B359" s="481" t="s">
        <v>258</v>
      </c>
      <c r="C359" s="481" t="s">
        <v>183</v>
      </c>
      <c r="D359" s="479" t="s">
        <v>88</v>
      </c>
      <c r="E359" s="479" t="s">
        <v>1909</v>
      </c>
      <c r="F359" s="479" t="s">
        <v>1910</v>
      </c>
      <c r="G359" s="489"/>
      <c r="H359" s="726">
        <v>42430</v>
      </c>
      <c r="I359" s="727">
        <v>42485</v>
      </c>
      <c r="J359" s="533">
        <v>779.64</v>
      </c>
      <c r="K359" s="533"/>
    </row>
    <row r="360" spans="1:11" s="88" customFormat="1" hidden="1">
      <c r="A360" s="347"/>
      <c r="B360" s="481" t="s">
        <v>258</v>
      </c>
      <c r="C360" s="481" t="s">
        <v>184</v>
      </c>
      <c r="D360" s="479" t="s">
        <v>6579</v>
      </c>
      <c r="E360" s="479" t="s">
        <v>1909</v>
      </c>
      <c r="F360" s="479" t="s">
        <v>1910</v>
      </c>
      <c r="G360" s="489"/>
      <c r="H360" s="726">
        <v>42430</v>
      </c>
      <c r="I360" s="727">
        <v>42485</v>
      </c>
      <c r="J360" s="533">
        <v>845.5</v>
      </c>
      <c r="K360" s="533"/>
    </row>
    <row r="361" spans="1:11" s="88" customFormat="1" hidden="1">
      <c r="A361" s="347"/>
      <c r="B361" s="481" t="s">
        <v>258</v>
      </c>
      <c r="C361" s="481" t="s">
        <v>186</v>
      </c>
      <c r="D361" s="479" t="s">
        <v>6624</v>
      </c>
      <c r="E361" s="479" t="s">
        <v>1909</v>
      </c>
      <c r="F361" s="479" t="s">
        <v>1910</v>
      </c>
      <c r="G361" s="489"/>
      <c r="H361" s="726">
        <v>42430</v>
      </c>
      <c r="I361" s="727">
        <v>42485</v>
      </c>
      <c r="J361" s="533">
        <v>1247.8499999999999</v>
      </c>
      <c r="K361" s="533"/>
    </row>
    <row r="362" spans="1:11" s="88" customFormat="1" hidden="1">
      <c r="A362" s="347"/>
      <c r="B362" s="481" t="s">
        <v>258</v>
      </c>
      <c r="C362" s="481" t="s">
        <v>188</v>
      </c>
      <c r="D362" s="479" t="s">
        <v>6577</v>
      </c>
      <c r="E362" s="479" t="s">
        <v>1909</v>
      </c>
      <c r="F362" s="479" t="s">
        <v>1910</v>
      </c>
      <c r="G362" s="489"/>
      <c r="H362" s="726">
        <v>42430</v>
      </c>
      <c r="I362" s="727">
        <v>42485</v>
      </c>
      <c r="J362" s="533">
        <v>1459.76</v>
      </c>
      <c r="K362" s="533"/>
    </row>
    <row r="363" spans="1:11" s="88" customFormat="1" hidden="1">
      <c r="A363" s="347"/>
      <c r="B363" s="481" t="s">
        <v>258</v>
      </c>
      <c r="C363" s="481" t="s">
        <v>190</v>
      </c>
      <c r="D363" s="479" t="s">
        <v>6581</v>
      </c>
      <c r="E363" s="479" t="s">
        <v>1909</v>
      </c>
      <c r="F363" s="479" t="s">
        <v>1910</v>
      </c>
      <c r="G363" s="489"/>
      <c r="H363" s="726">
        <v>42430</v>
      </c>
      <c r="I363" s="727">
        <v>42485</v>
      </c>
      <c r="J363" s="533">
        <v>1726.81</v>
      </c>
      <c r="K363" s="533"/>
    </row>
    <row r="364" spans="1:11" s="88" customFormat="1" hidden="1">
      <c r="A364" s="347"/>
      <c r="B364" s="481" t="s">
        <v>258</v>
      </c>
      <c r="C364" s="481" t="s">
        <v>192</v>
      </c>
      <c r="D364" s="479" t="s">
        <v>97</v>
      </c>
      <c r="E364" s="479" t="s">
        <v>1909</v>
      </c>
      <c r="F364" s="479" t="s">
        <v>1910</v>
      </c>
      <c r="G364" s="489"/>
      <c r="H364" s="726">
        <v>42430</v>
      </c>
      <c r="I364" s="727">
        <v>42485</v>
      </c>
      <c r="J364" s="533">
        <v>5293.51</v>
      </c>
      <c r="K364" s="479"/>
    </row>
    <row r="365" spans="1:11" s="88" customFormat="1" hidden="1">
      <c r="A365" s="347"/>
      <c r="B365" s="481" t="s">
        <v>258</v>
      </c>
      <c r="C365" s="481" t="s">
        <v>194</v>
      </c>
      <c r="D365" s="479" t="s">
        <v>6589</v>
      </c>
      <c r="E365" s="479" t="s">
        <v>1909</v>
      </c>
      <c r="F365" s="479" t="s">
        <v>1910</v>
      </c>
      <c r="G365" s="489"/>
      <c r="H365" s="726">
        <v>42430</v>
      </c>
      <c r="I365" s="727">
        <v>42485</v>
      </c>
      <c r="J365" s="533">
        <v>2450.59</v>
      </c>
      <c r="K365" s="533"/>
    </row>
    <row r="366" spans="1:11" s="88" customFormat="1" hidden="1">
      <c r="A366" s="347"/>
      <c r="B366" s="481" t="s">
        <v>258</v>
      </c>
      <c r="C366" s="481" t="s">
        <v>196</v>
      </c>
      <c r="D366" s="479" t="s">
        <v>6625</v>
      </c>
      <c r="E366" s="479" t="s">
        <v>1909</v>
      </c>
      <c r="F366" s="479" t="s">
        <v>1910</v>
      </c>
      <c r="G366" s="489"/>
      <c r="H366" s="726">
        <v>42430</v>
      </c>
      <c r="I366" s="727">
        <v>42485</v>
      </c>
      <c r="J366" s="533">
        <v>1848.95</v>
      </c>
      <c r="K366" s="533"/>
    </row>
    <row r="367" spans="1:11" s="88" customFormat="1" hidden="1">
      <c r="A367" s="347"/>
      <c r="B367" s="481" t="s">
        <v>258</v>
      </c>
      <c r="C367" s="481" t="s">
        <v>198</v>
      </c>
      <c r="D367" s="479" t="s">
        <v>99</v>
      </c>
      <c r="E367" s="479" t="s">
        <v>1909</v>
      </c>
      <c r="F367" s="479" t="s">
        <v>1910</v>
      </c>
      <c r="G367" s="489"/>
      <c r="H367" s="726">
        <v>42430</v>
      </c>
      <c r="I367" s="727">
        <v>42485</v>
      </c>
      <c r="J367" s="533">
        <v>2536.13</v>
      </c>
      <c r="K367" s="533"/>
    </row>
    <row r="368" spans="1:11" s="88" customFormat="1" hidden="1">
      <c r="A368" s="347"/>
      <c r="B368" s="481"/>
      <c r="C368" s="481" t="s">
        <v>199</v>
      </c>
      <c r="D368" s="479" t="s">
        <v>98</v>
      </c>
      <c r="E368" s="479" t="s">
        <v>1909</v>
      </c>
      <c r="F368" s="479" t="s">
        <v>1910</v>
      </c>
      <c r="G368" s="489"/>
      <c r="H368" s="726">
        <v>42430</v>
      </c>
      <c r="I368" s="727">
        <v>42485</v>
      </c>
      <c r="J368" s="533">
        <v>5008.32</v>
      </c>
      <c r="K368" s="533"/>
    </row>
    <row r="369" spans="1:11" s="88" customFormat="1" hidden="1">
      <c r="A369" s="347"/>
      <c r="B369" s="481" t="s">
        <v>258</v>
      </c>
      <c r="C369" s="481" t="s">
        <v>200</v>
      </c>
      <c r="D369" s="479" t="s">
        <v>87</v>
      </c>
      <c r="E369" s="479" t="s">
        <v>1909</v>
      </c>
      <c r="F369" s="479" t="s">
        <v>1910</v>
      </c>
      <c r="G369" s="489"/>
      <c r="H369" s="726">
        <v>42430</v>
      </c>
      <c r="I369" s="727">
        <v>42485</v>
      </c>
      <c r="J369" s="533">
        <v>2974.77</v>
      </c>
      <c r="K369" s="533"/>
    </row>
    <row r="370" spans="1:11" s="88" customFormat="1" hidden="1">
      <c r="A370" s="347"/>
      <c r="B370" s="481" t="s">
        <v>258</v>
      </c>
      <c r="C370" s="481" t="s">
        <v>201</v>
      </c>
      <c r="D370" s="479" t="s">
        <v>102</v>
      </c>
      <c r="E370" s="479" t="s">
        <v>1909</v>
      </c>
      <c r="F370" s="479" t="s">
        <v>1910</v>
      </c>
      <c r="G370" s="489"/>
      <c r="H370" s="726">
        <v>42430</v>
      </c>
      <c r="I370" s="727">
        <v>42485</v>
      </c>
      <c r="J370" s="533">
        <v>3643.16</v>
      </c>
      <c r="K370" s="334">
        <v>1</v>
      </c>
    </row>
    <row r="371" spans="1:11" s="88" customFormat="1" hidden="1">
      <c r="A371" s="347"/>
      <c r="B371" s="481" t="s">
        <v>258</v>
      </c>
      <c r="C371" s="481" t="s">
        <v>202</v>
      </c>
      <c r="D371" s="479" t="s">
        <v>110</v>
      </c>
      <c r="E371" s="479" t="s">
        <v>1909</v>
      </c>
      <c r="F371" s="479" t="s">
        <v>1910</v>
      </c>
      <c r="G371" s="489"/>
      <c r="H371" s="726">
        <v>42430</v>
      </c>
      <c r="I371" s="727">
        <v>42485</v>
      </c>
      <c r="J371" s="533">
        <v>2022.04</v>
      </c>
      <c r="K371" s="533"/>
    </row>
    <row r="372" spans="1:11" s="88" customFormat="1" hidden="1">
      <c r="A372" s="347"/>
      <c r="B372" s="481" t="s">
        <v>258</v>
      </c>
      <c r="C372" s="481" t="s">
        <v>203</v>
      </c>
      <c r="D372" s="479" t="s">
        <v>6609</v>
      </c>
      <c r="E372" s="479" t="s">
        <v>1909</v>
      </c>
      <c r="F372" s="479" t="s">
        <v>1910</v>
      </c>
      <c r="G372" s="489"/>
      <c r="H372" s="726">
        <v>42430</v>
      </c>
      <c r="I372" s="727">
        <v>42485</v>
      </c>
      <c r="J372" s="533">
        <v>4009.67</v>
      </c>
      <c r="K372" s="533"/>
    </row>
    <row r="373" spans="1:11" s="88" customFormat="1" hidden="1">
      <c r="A373" s="347"/>
      <c r="B373" s="481" t="s">
        <v>258</v>
      </c>
      <c r="C373" s="481" t="s">
        <v>207</v>
      </c>
      <c r="D373" s="479" t="s">
        <v>1918</v>
      </c>
      <c r="E373" s="479" t="s">
        <v>1909</v>
      </c>
      <c r="F373" s="479" t="s">
        <v>1910</v>
      </c>
      <c r="G373" s="489"/>
      <c r="H373" s="726">
        <v>42430</v>
      </c>
      <c r="I373" s="727">
        <v>42485</v>
      </c>
      <c r="J373" s="533">
        <v>169.42</v>
      </c>
      <c r="K373" s="479">
        <v>60</v>
      </c>
    </row>
    <row r="374" spans="1:11" s="88" customFormat="1" hidden="1">
      <c r="A374" s="347"/>
      <c r="B374" s="481" t="s">
        <v>258</v>
      </c>
      <c r="C374" s="481" t="s">
        <v>208</v>
      </c>
      <c r="D374" s="479" t="s">
        <v>89</v>
      </c>
      <c r="E374" s="479" t="s">
        <v>1909</v>
      </c>
      <c r="F374" s="479" t="s">
        <v>1910</v>
      </c>
      <c r="G374" s="489"/>
      <c r="H374" s="726">
        <v>42430</v>
      </c>
      <c r="I374" s="727">
        <v>42485</v>
      </c>
      <c r="J374" s="533">
        <v>6672.08</v>
      </c>
      <c r="K374" s="479">
        <v>1</v>
      </c>
    </row>
    <row r="375" spans="1:11" s="88" customFormat="1" hidden="1">
      <c r="A375" s="347"/>
      <c r="B375" s="565" t="s">
        <v>258</v>
      </c>
      <c r="C375" s="481" t="s">
        <v>209</v>
      </c>
      <c r="D375" s="479" t="s">
        <v>6626</v>
      </c>
      <c r="E375" s="479" t="s">
        <v>1909</v>
      </c>
      <c r="F375" s="479" t="s">
        <v>1910</v>
      </c>
      <c r="G375" s="489"/>
      <c r="H375" s="726">
        <v>42430</v>
      </c>
      <c r="I375" s="727">
        <v>42485</v>
      </c>
      <c r="J375" s="533">
        <v>9815.5499999999993</v>
      </c>
      <c r="K375" s="533"/>
    </row>
    <row r="376" spans="1:11" s="88" customFormat="1" hidden="1">
      <c r="A376" s="347"/>
      <c r="B376" s="481" t="s">
        <v>258</v>
      </c>
      <c r="C376" s="481" t="s">
        <v>210</v>
      </c>
      <c r="D376" s="479" t="s">
        <v>104</v>
      </c>
      <c r="E376" s="479" t="s">
        <v>1909</v>
      </c>
      <c r="F376" s="479" t="s">
        <v>1910</v>
      </c>
      <c r="G376" s="489"/>
      <c r="H376" s="726">
        <v>42430</v>
      </c>
      <c r="I376" s="727">
        <v>42485</v>
      </c>
      <c r="J376" s="533">
        <v>3711.64</v>
      </c>
      <c r="K376" s="334">
        <v>60</v>
      </c>
    </row>
    <row r="377" spans="1:11" s="88" customFormat="1" hidden="1">
      <c r="A377" s="347"/>
      <c r="B377" s="481" t="s">
        <v>258</v>
      </c>
      <c r="C377" s="481" t="s">
        <v>211</v>
      </c>
      <c r="D377" s="479" t="s">
        <v>106</v>
      </c>
      <c r="E377" s="479" t="s">
        <v>1909</v>
      </c>
      <c r="F377" s="479" t="s">
        <v>1910</v>
      </c>
      <c r="G377" s="489"/>
      <c r="H377" s="726">
        <v>42430</v>
      </c>
      <c r="I377" s="727">
        <v>42485</v>
      </c>
      <c r="J377" s="533">
        <v>9191.75</v>
      </c>
      <c r="K377" s="533"/>
    </row>
    <row r="378" spans="1:11" s="88" customFormat="1" hidden="1">
      <c r="A378" s="347"/>
      <c r="B378" s="481" t="s">
        <v>258</v>
      </c>
      <c r="C378" s="481" t="s">
        <v>212</v>
      </c>
      <c r="D378" s="479" t="s">
        <v>96</v>
      </c>
      <c r="E378" s="479" t="s">
        <v>1909</v>
      </c>
      <c r="F378" s="479" t="s">
        <v>1910</v>
      </c>
      <c r="G378" s="489"/>
      <c r="H378" s="726">
        <v>42430</v>
      </c>
      <c r="I378" s="727">
        <v>42485</v>
      </c>
      <c r="J378" s="533">
        <v>8010.79</v>
      </c>
      <c r="K378" s="533"/>
    </row>
    <row r="379" spans="1:11" s="88" customFormat="1" hidden="1">
      <c r="A379" s="347"/>
      <c r="B379" s="481" t="s">
        <v>258</v>
      </c>
      <c r="C379" s="481" t="s">
        <v>213</v>
      </c>
      <c r="D379" s="479" t="s">
        <v>103</v>
      </c>
      <c r="E379" s="479" t="s">
        <v>1909</v>
      </c>
      <c r="F379" s="479" t="s">
        <v>1910</v>
      </c>
      <c r="G379" s="489"/>
      <c r="H379" s="726">
        <v>42430</v>
      </c>
      <c r="I379" s="727">
        <v>42485</v>
      </c>
      <c r="J379" s="533">
        <v>6237.13</v>
      </c>
      <c r="K379" s="533"/>
    </row>
    <row r="380" spans="1:11" s="88" customFormat="1" hidden="1">
      <c r="A380" s="347"/>
      <c r="B380" s="481" t="s">
        <v>258</v>
      </c>
      <c r="C380" s="481" t="s">
        <v>214</v>
      </c>
      <c r="D380" s="479" t="s">
        <v>94</v>
      </c>
      <c r="E380" s="479" t="s">
        <v>1909</v>
      </c>
      <c r="F380" s="479" t="s">
        <v>1910</v>
      </c>
      <c r="G380" s="489"/>
      <c r="H380" s="726">
        <v>42430</v>
      </c>
      <c r="I380" s="727">
        <v>42485</v>
      </c>
      <c r="J380" s="533">
        <v>7399.9</v>
      </c>
      <c r="K380" s="533"/>
    </row>
    <row r="381" spans="1:11" s="88" customFormat="1" hidden="1">
      <c r="A381" s="347"/>
      <c r="B381" s="481" t="s">
        <v>258</v>
      </c>
      <c r="C381" s="481" t="s">
        <v>215</v>
      </c>
      <c r="D381" s="479" t="s">
        <v>6627</v>
      </c>
      <c r="E381" s="479" t="s">
        <v>1909</v>
      </c>
      <c r="F381" s="479" t="s">
        <v>1910</v>
      </c>
      <c r="G381" s="489"/>
      <c r="H381" s="726">
        <v>42430</v>
      </c>
      <c r="I381" s="727">
        <v>42485</v>
      </c>
      <c r="J381" s="533">
        <v>5141.3100000000004</v>
      </c>
      <c r="K381" s="533"/>
    </row>
    <row r="382" spans="1:11" s="479" customFormat="1" hidden="1">
      <c r="A382" s="347"/>
      <c r="B382" s="565" t="s">
        <v>258</v>
      </c>
      <c r="C382" s="481" t="s">
        <v>216</v>
      </c>
      <c r="D382" s="479" t="s">
        <v>90</v>
      </c>
      <c r="E382" s="479" t="s">
        <v>1909</v>
      </c>
      <c r="F382" s="479" t="s">
        <v>1910</v>
      </c>
      <c r="G382" s="489"/>
      <c r="H382" s="726">
        <v>42430</v>
      </c>
      <c r="I382" s="727">
        <v>42485</v>
      </c>
      <c r="J382" s="533">
        <v>3473.11</v>
      </c>
      <c r="K382" s="533"/>
    </row>
    <row r="383" spans="1:11" s="479" customFormat="1" hidden="1">
      <c r="A383" s="347"/>
      <c r="B383" s="481"/>
      <c r="C383" s="481" t="s">
        <v>217</v>
      </c>
      <c r="D383" s="479" t="s">
        <v>107</v>
      </c>
      <c r="E383" s="479" t="s">
        <v>1909</v>
      </c>
      <c r="F383" s="479" t="s">
        <v>1910</v>
      </c>
      <c r="G383" s="489"/>
      <c r="H383" s="726">
        <v>42430</v>
      </c>
      <c r="I383" s="727">
        <v>42485</v>
      </c>
      <c r="J383" s="533">
        <v>1285.08</v>
      </c>
      <c r="K383" s="533"/>
    </row>
    <row r="384" spans="1:11" s="479" customFormat="1" hidden="1">
      <c r="A384" s="347"/>
      <c r="B384" s="481" t="s">
        <v>258</v>
      </c>
      <c r="C384" s="481" t="s">
        <v>361</v>
      </c>
      <c r="D384" s="479" t="s">
        <v>6628</v>
      </c>
      <c r="E384" s="479" t="s">
        <v>1909</v>
      </c>
      <c r="F384" s="479" t="s">
        <v>1910</v>
      </c>
      <c r="G384" s="489"/>
      <c r="H384" s="726">
        <v>42430</v>
      </c>
      <c r="I384" s="727">
        <v>42485</v>
      </c>
      <c r="J384" s="533">
        <v>3072.73</v>
      </c>
      <c r="K384" s="479">
        <v>60</v>
      </c>
    </row>
    <row r="385" spans="1:11" s="479" customFormat="1" hidden="1">
      <c r="A385" s="347"/>
      <c r="B385" s="565" t="s">
        <v>258</v>
      </c>
      <c r="C385" s="481" t="s">
        <v>220</v>
      </c>
      <c r="D385" s="479" t="s">
        <v>6592</v>
      </c>
      <c r="E385" s="479" t="s">
        <v>1909</v>
      </c>
      <c r="F385" s="479" t="s">
        <v>1910</v>
      </c>
      <c r="G385" s="489"/>
      <c r="H385" s="726">
        <v>42430</v>
      </c>
      <c r="I385" s="727">
        <v>42485</v>
      </c>
      <c r="J385" s="533">
        <v>957.19</v>
      </c>
      <c r="K385" s="533"/>
    </row>
    <row r="386" spans="1:11" s="504" customFormat="1" hidden="1">
      <c r="A386" s="347"/>
      <c r="B386" s="481" t="s">
        <v>258</v>
      </c>
      <c r="C386" s="481" t="s">
        <v>221</v>
      </c>
      <c r="D386" s="479" t="s">
        <v>6603</v>
      </c>
      <c r="E386" s="479" t="s">
        <v>1909</v>
      </c>
      <c r="F386" s="479" t="s">
        <v>1910</v>
      </c>
      <c r="G386" s="489"/>
      <c r="H386" s="726">
        <v>42430</v>
      </c>
      <c r="I386" s="727">
        <v>42485</v>
      </c>
      <c r="J386" s="533">
        <v>388.74</v>
      </c>
      <c r="K386" s="334"/>
    </row>
    <row r="387" spans="1:11" s="479" customFormat="1" hidden="1">
      <c r="A387" s="347"/>
      <c r="B387" s="481" t="s">
        <v>258</v>
      </c>
      <c r="C387" s="481" t="s">
        <v>222</v>
      </c>
      <c r="D387" s="479" t="s">
        <v>6601</v>
      </c>
      <c r="E387" s="479" t="s">
        <v>1909</v>
      </c>
      <c r="F387" s="479" t="s">
        <v>1910</v>
      </c>
      <c r="G387" s="489"/>
      <c r="H387" s="726">
        <v>42430</v>
      </c>
      <c r="I387" s="727">
        <v>42485</v>
      </c>
      <c r="J387" s="533">
        <v>727.37</v>
      </c>
      <c r="K387" s="533"/>
    </row>
    <row r="388" spans="1:11" s="479" customFormat="1" hidden="1">
      <c r="A388" s="347"/>
      <c r="B388" s="481" t="s">
        <v>258</v>
      </c>
      <c r="C388" s="481" t="s">
        <v>223</v>
      </c>
      <c r="D388" s="479" t="s">
        <v>6575</v>
      </c>
      <c r="E388" s="479" t="s">
        <v>1909</v>
      </c>
      <c r="F388" s="479" t="s">
        <v>1910</v>
      </c>
      <c r="G388" s="489"/>
      <c r="H388" s="726">
        <v>42430</v>
      </c>
      <c r="I388" s="727">
        <v>42485</v>
      </c>
      <c r="J388" s="533">
        <v>582.78</v>
      </c>
      <c r="K388" s="533"/>
    </row>
    <row r="389" spans="1:11" s="504" customFormat="1" hidden="1">
      <c r="A389" s="347"/>
      <c r="B389" s="481" t="s">
        <v>258</v>
      </c>
      <c r="C389" s="481" t="s">
        <v>224</v>
      </c>
      <c r="D389" s="479" t="s">
        <v>6593</v>
      </c>
      <c r="E389" s="479" t="s">
        <v>1909</v>
      </c>
      <c r="F389" s="479" t="s">
        <v>1910</v>
      </c>
      <c r="G389" s="489"/>
      <c r="H389" s="726">
        <v>42430</v>
      </c>
      <c r="I389" s="727">
        <v>42485</v>
      </c>
      <c r="J389" s="533">
        <v>559.13</v>
      </c>
      <c r="K389" s="533"/>
    </row>
    <row r="390" spans="1:11" s="504" customFormat="1" hidden="1">
      <c r="A390" s="347"/>
      <c r="B390" s="481" t="s">
        <v>258</v>
      </c>
      <c r="C390" s="481" t="s">
        <v>225</v>
      </c>
      <c r="D390" s="479" t="s">
        <v>6594</v>
      </c>
      <c r="E390" s="479" t="s">
        <v>1909</v>
      </c>
      <c r="F390" s="479" t="s">
        <v>1910</v>
      </c>
      <c r="G390" s="489"/>
      <c r="H390" s="726">
        <v>42430</v>
      </c>
      <c r="I390" s="727">
        <v>42485</v>
      </c>
      <c r="J390" s="533">
        <v>468.93</v>
      </c>
      <c r="K390" s="533"/>
    </row>
    <row r="391" spans="1:11" s="479" customFormat="1" hidden="1">
      <c r="A391" s="347"/>
      <c r="B391" s="481" t="s">
        <v>258</v>
      </c>
      <c r="C391" s="481" t="s">
        <v>226</v>
      </c>
      <c r="D391" s="479" t="s">
        <v>6612</v>
      </c>
      <c r="E391" s="479" t="s">
        <v>1909</v>
      </c>
      <c r="F391" s="479" t="s">
        <v>1910</v>
      </c>
      <c r="G391" s="489"/>
      <c r="H391" s="726">
        <v>42430</v>
      </c>
      <c r="I391" s="727">
        <v>42485</v>
      </c>
      <c r="J391" s="533">
        <v>569.87</v>
      </c>
      <c r="K391" s="334">
        <v>60</v>
      </c>
    </row>
    <row r="392" spans="1:11" s="479" customFormat="1" hidden="1">
      <c r="A392" s="347"/>
      <c r="B392" s="481" t="s">
        <v>258</v>
      </c>
      <c r="C392" s="481" t="s">
        <v>227</v>
      </c>
      <c r="D392" s="479" t="s">
        <v>6613</v>
      </c>
      <c r="E392" s="479" t="s">
        <v>1909</v>
      </c>
      <c r="F392" s="479" t="s">
        <v>1910</v>
      </c>
      <c r="G392" s="489"/>
      <c r="H392" s="726">
        <v>42430</v>
      </c>
      <c r="I392" s="727">
        <v>42485</v>
      </c>
      <c r="J392" s="533">
        <v>747.42</v>
      </c>
      <c r="K392" s="533"/>
    </row>
    <row r="393" spans="1:11" s="479" customFormat="1" hidden="1">
      <c r="A393" s="347"/>
      <c r="B393" s="481" t="s">
        <v>258</v>
      </c>
      <c r="C393" s="481" t="s">
        <v>228</v>
      </c>
      <c r="D393" s="479" t="s">
        <v>6578</v>
      </c>
      <c r="E393" s="479" t="s">
        <v>1909</v>
      </c>
      <c r="F393" s="479" t="s">
        <v>1910</v>
      </c>
      <c r="G393" s="489"/>
      <c r="H393" s="726">
        <v>42430</v>
      </c>
      <c r="I393" s="727">
        <v>42485</v>
      </c>
      <c r="J393" s="533">
        <v>643.61</v>
      </c>
      <c r="K393" s="533"/>
    </row>
    <row r="394" spans="1:11" s="504" customFormat="1" hidden="1">
      <c r="A394" s="347"/>
      <c r="B394" s="481" t="s">
        <v>258</v>
      </c>
      <c r="C394" s="481" t="s">
        <v>229</v>
      </c>
      <c r="D394" s="479" t="s">
        <v>6608</v>
      </c>
      <c r="E394" s="479" t="s">
        <v>1909</v>
      </c>
      <c r="F394" s="479" t="s">
        <v>1910</v>
      </c>
      <c r="G394" s="489"/>
      <c r="H394" s="726">
        <v>42430</v>
      </c>
      <c r="I394" s="727">
        <v>42485</v>
      </c>
      <c r="J394" s="533">
        <v>1243.55</v>
      </c>
      <c r="K394" s="479">
        <v>60</v>
      </c>
    </row>
    <row r="395" spans="1:11" s="479" customFormat="1" hidden="1">
      <c r="A395" s="347"/>
      <c r="B395" s="481" t="s">
        <v>258</v>
      </c>
      <c r="C395" s="481" t="s">
        <v>230</v>
      </c>
      <c r="D395" s="479" t="s">
        <v>6595</v>
      </c>
      <c r="E395" s="479" t="s">
        <v>1909</v>
      </c>
      <c r="F395" s="479" t="s">
        <v>1910</v>
      </c>
      <c r="G395" s="489"/>
      <c r="H395" s="726">
        <v>42430</v>
      </c>
      <c r="I395" s="727">
        <v>42485</v>
      </c>
      <c r="J395" s="533">
        <v>695.87</v>
      </c>
      <c r="K395" s="533"/>
    </row>
    <row r="396" spans="1:11" s="504" customFormat="1" hidden="1">
      <c r="A396" s="347"/>
      <c r="B396" s="481" t="s">
        <v>258</v>
      </c>
      <c r="C396" s="481" t="s">
        <v>231</v>
      </c>
      <c r="D396" s="479" t="s">
        <v>92</v>
      </c>
      <c r="E396" s="479" t="s">
        <v>1909</v>
      </c>
      <c r="F396" s="479" t="s">
        <v>1910</v>
      </c>
      <c r="G396" s="489"/>
      <c r="H396" s="726">
        <v>42430</v>
      </c>
      <c r="I396" s="727">
        <v>42485</v>
      </c>
      <c r="J396" s="533">
        <v>1215.4100000000001</v>
      </c>
      <c r="K396" s="533"/>
    </row>
    <row r="397" spans="1:11" s="479" customFormat="1" hidden="1">
      <c r="A397" s="347"/>
      <c r="B397" s="481" t="s">
        <v>258</v>
      </c>
      <c r="C397" s="481" t="s">
        <v>232</v>
      </c>
      <c r="D397" s="479" t="s">
        <v>93</v>
      </c>
      <c r="E397" s="479" t="s">
        <v>1909</v>
      </c>
      <c r="F397" s="479" t="s">
        <v>1910</v>
      </c>
      <c r="G397" s="489"/>
      <c r="H397" s="726">
        <v>42430</v>
      </c>
      <c r="I397" s="727">
        <v>42485</v>
      </c>
      <c r="J397" s="533">
        <v>924.25</v>
      </c>
    </row>
    <row r="398" spans="1:11" s="504" customFormat="1" hidden="1">
      <c r="A398" s="347"/>
      <c r="B398" s="481" t="s">
        <v>258</v>
      </c>
      <c r="C398" s="481" t="s">
        <v>233</v>
      </c>
      <c r="D398" s="479" t="s">
        <v>6604</v>
      </c>
      <c r="E398" s="479" t="s">
        <v>1909</v>
      </c>
      <c r="F398" s="479" t="s">
        <v>1910</v>
      </c>
      <c r="G398" s="489"/>
      <c r="H398" s="726">
        <v>42430</v>
      </c>
      <c r="I398" s="727">
        <v>42485</v>
      </c>
      <c r="J398" s="533">
        <v>297.82</v>
      </c>
      <c r="K398" s="533"/>
    </row>
    <row r="399" spans="1:11" s="479" customFormat="1" hidden="1">
      <c r="A399" s="347"/>
      <c r="B399" s="481" t="s">
        <v>258</v>
      </c>
      <c r="C399" s="481" t="s">
        <v>234</v>
      </c>
      <c r="D399" s="479" t="s">
        <v>6580</v>
      </c>
      <c r="E399" s="479" t="s">
        <v>1909</v>
      </c>
      <c r="F399" s="479" t="s">
        <v>1910</v>
      </c>
      <c r="G399" s="489"/>
      <c r="H399" s="726">
        <v>42430</v>
      </c>
      <c r="I399" s="727">
        <v>42485</v>
      </c>
      <c r="J399" s="533">
        <v>383.02</v>
      </c>
      <c r="K399" s="533"/>
    </row>
    <row r="400" spans="1:11" s="479" customFormat="1" hidden="1">
      <c r="A400" s="347"/>
      <c r="B400" s="565" t="s">
        <v>258</v>
      </c>
      <c r="C400" s="481" t="s">
        <v>2724</v>
      </c>
      <c r="D400" s="479" t="s">
        <v>2720</v>
      </c>
      <c r="E400" s="479" t="s">
        <v>1909</v>
      </c>
      <c r="F400" s="479" t="s">
        <v>1910</v>
      </c>
      <c r="G400" s="489"/>
      <c r="H400" s="726">
        <v>42430</v>
      </c>
      <c r="I400" s="727">
        <v>42485</v>
      </c>
      <c r="J400" s="533">
        <v>660.09</v>
      </c>
      <c r="K400" s="533"/>
    </row>
    <row r="401" spans="1:11" s="504" customFormat="1" hidden="1">
      <c r="A401" s="347"/>
      <c r="B401" s="481" t="s">
        <v>258</v>
      </c>
      <c r="C401" s="481" t="s">
        <v>2725</v>
      </c>
      <c r="D401" s="479" t="s">
        <v>2721</v>
      </c>
      <c r="E401" s="479" t="s">
        <v>1909</v>
      </c>
      <c r="F401" s="479" t="s">
        <v>1910</v>
      </c>
      <c r="G401" s="489"/>
      <c r="H401" s="726">
        <v>42430</v>
      </c>
      <c r="I401" s="727">
        <v>42485</v>
      </c>
      <c r="J401" s="533">
        <v>805.41</v>
      </c>
      <c r="K401" s="479"/>
    </row>
    <row r="402" spans="1:11" s="504" customFormat="1" hidden="1">
      <c r="A402" s="347"/>
      <c r="B402" s="481" t="s">
        <v>258</v>
      </c>
      <c r="C402" s="481" t="s">
        <v>235</v>
      </c>
      <c r="D402" s="479" t="s">
        <v>6596</v>
      </c>
      <c r="E402" s="479" t="s">
        <v>1909</v>
      </c>
      <c r="F402" s="479" t="s">
        <v>1910</v>
      </c>
      <c r="G402" s="489"/>
      <c r="H402" s="726">
        <v>42430</v>
      </c>
      <c r="I402" s="727">
        <v>42485</v>
      </c>
      <c r="J402" s="533">
        <v>1010.88</v>
      </c>
      <c r="K402" s="334"/>
    </row>
    <row r="403" spans="1:11" s="479" customFormat="1" hidden="1">
      <c r="A403" s="347"/>
      <c r="B403" s="481" t="s">
        <v>258</v>
      </c>
      <c r="C403" s="481" t="s">
        <v>236</v>
      </c>
      <c r="D403" s="479" t="s">
        <v>6597</v>
      </c>
      <c r="E403" s="479" t="s">
        <v>1909</v>
      </c>
      <c r="F403" s="479" t="s">
        <v>1910</v>
      </c>
      <c r="G403" s="489"/>
      <c r="H403" s="726">
        <v>42430</v>
      </c>
      <c r="I403" s="727">
        <v>42485</v>
      </c>
      <c r="J403" s="533">
        <v>689.43</v>
      </c>
      <c r="K403" s="533"/>
    </row>
    <row r="404" spans="1:11" s="479" customFormat="1" hidden="1">
      <c r="A404" s="347"/>
      <c r="B404" s="481" t="s">
        <v>258</v>
      </c>
      <c r="C404" s="481" t="s">
        <v>237</v>
      </c>
      <c r="D404" s="479" t="s">
        <v>6602</v>
      </c>
      <c r="E404" s="479" t="s">
        <v>1909</v>
      </c>
      <c r="F404" s="479" t="s">
        <v>1910</v>
      </c>
      <c r="G404" s="489"/>
      <c r="H404" s="726">
        <v>42430</v>
      </c>
      <c r="I404" s="727">
        <v>42485</v>
      </c>
      <c r="J404" s="533">
        <v>430.98</v>
      </c>
      <c r="K404" s="533"/>
    </row>
    <row r="405" spans="1:11" s="504" customFormat="1" hidden="1">
      <c r="A405" s="347"/>
      <c r="B405" s="481" t="s">
        <v>258</v>
      </c>
      <c r="C405" s="481" t="s">
        <v>238</v>
      </c>
      <c r="D405" s="479" t="s">
        <v>6614</v>
      </c>
      <c r="E405" s="479" t="s">
        <v>1909</v>
      </c>
      <c r="F405" s="479" t="s">
        <v>1910</v>
      </c>
      <c r="G405" s="489"/>
      <c r="H405" s="726">
        <v>42430</v>
      </c>
      <c r="I405" s="727">
        <v>42485</v>
      </c>
      <c r="J405" s="533">
        <v>865.55</v>
      </c>
      <c r="K405" s="533"/>
    </row>
    <row r="406" spans="1:11" s="479" customFormat="1" hidden="1">
      <c r="A406" s="347"/>
      <c r="B406" s="481" t="s">
        <v>258</v>
      </c>
      <c r="C406" s="481" t="s">
        <v>239</v>
      </c>
      <c r="D406" s="479" t="s">
        <v>6598</v>
      </c>
      <c r="E406" s="479" t="s">
        <v>1909</v>
      </c>
      <c r="F406" s="479" t="s">
        <v>1910</v>
      </c>
      <c r="G406" s="489"/>
      <c r="H406" s="726">
        <v>42430</v>
      </c>
      <c r="I406" s="727">
        <v>42485</v>
      </c>
      <c r="J406" s="533">
        <v>816.73</v>
      </c>
      <c r="K406" s="533"/>
    </row>
    <row r="407" spans="1:11" s="479" customFormat="1" hidden="1">
      <c r="A407" s="347"/>
      <c r="B407" s="481" t="s">
        <v>258</v>
      </c>
      <c r="C407" s="481" t="s">
        <v>240</v>
      </c>
      <c r="D407" s="479" t="s">
        <v>6583</v>
      </c>
      <c r="E407" s="479" t="s">
        <v>1909</v>
      </c>
      <c r="F407" s="479" t="s">
        <v>1910</v>
      </c>
      <c r="G407" s="489"/>
      <c r="H407" s="726">
        <v>42430</v>
      </c>
      <c r="I407" s="727">
        <v>42485</v>
      </c>
      <c r="J407" s="533">
        <v>520.47</v>
      </c>
      <c r="K407" s="479">
        <v>1</v>
      </c>
    </row>
    <row r="408" spans="1:11" s="504" customFormat="1" hidden="1">
      <c r="A408" s="347"/>
      <c r="B408" s="481"/>
      <c r="C408" s="481" t="s">
        <v>241</v>
      </c>
      <c r="D408" s="479" t="s">
        <v>6616</v>
      </c>
      <c r="E408" s="479" t="s">
        <v>1909</v>
      </c>
      <c r="F408" s="479" t="s">
        <v>1910</v>
      </c>
      <c r="G408" s="489"/>
      <c r="H408" s="726">
        <v>42430</v>
      </c>
      <c r="I408" s="727">
        <v>42485</v>
      </c>
      <c r="J408" s="533">
        <v>960.76</v>
      </c>
      <c r="K408" s="533"/>
    </row>
    <row r="409" spans="1:11" s="504" customFormat="1" hidden="1">
      <c r="A409" s="347"/>
      <c r="B409" s="481" t="s">
        <v>258</v>
      </c>
      <c r="C409" s="481" t="s">
        <v>242</v>
      </c>
      <c r="D409" s="479" t="s">
        <v>6599</v>
      </c>
      <c r="E409" s="479" t="s">
        <v>1909</v>
      </c>
      <c r="F409" s="479" t="s">
        <v>1910</v>
      </c>
      <c r="G409" s="489"/>
      <c r="H409" s="726">
        <v>42430</v>
      </c>
      <c r="I409" s="727">
        <v>42485</v>
      </c>
      <c r="J409" s="533">
        <v>562.71</v>
      </c>
      <c r="K409" s="533"/>
    </row>
    <row r="410" spans="1:11" s="504" customFormat="1" hidden="1">
      <c r="A410" s="347"/>
      <c r="B410" s="481" t="s">
        <v>258</v>
      </c>
      <c r="C410" s="481" t="s">
        <v>243</v>
      </c>
      <c r="D410" s="479" t="s">
        <v>6605</v>
      </c>
      <c r="E410" s="479" t="s">
        <v>1909</v>
      </c>
      <c r="F410" s="479" t="s">
        <v>1910</v>
      </c>
      <c r="G410" s="489"/>
      <c r="H410" s="726">
        <v>42430</v>
      </c>
      <c r="I410" s="727">
        <v>42485</v>
      </c>
      <c r="J410" s="533">
        <v>553.41</v>
      </c>
      <c r="K410" s="533"/>
    </row>
    <row r="411" spans="1:11" s="479" customFormat="1" hidden="1">
      <c r="A411" s="347"/>
      <c r="B411" s="481" t="s">
        <v>258</v>
      </c>
      <c r="C411" s="481" t="s">
        <v>244</v>
      </c>
      <c r="D411" s="479" t="s">
        <v>6617</v>
      </c>
      <c r="E411" s="479" t="s">
        <v>1909</v>
      </c>
      <c r="F411" s="479" t="s">
        <v>1910</v>
      </c>
      <c r="G411" s="489"/>
      <c r="H411" s="726">
        <v>42430</v>
      </c>
      <c r="I411" s="727">
        <v>42485</v>
      </c>
      <c r="J411" s="533">
        <v>1007.3</v>
      </c>
      <c r="K411" s="533"/>
    </row>
    <row r="412" spans="1:11" s="479" customFormat="1" hidden="1">
      <c r="A412" s="347"/>
      <c r="B412" s="481" t="s">
        <v>258</v>
      </c>
      <c r="C412" s="481" t="s">
        <v>245</v>
      </c>
      <c r="D412" s="479" t="s">
        <v>6618</v>
      </c>
      <c r="E412" s="479" t="s">
        <v>1909</v>
      </c>
      <c r="F412" s="479" t="s">
        <v>1910</v>
      </c>
      <c r="G412" s="489"/>
      <c r="H412" s="726">
        <v>42430</v>
      </c>
      <c r="I412" s="727">
        <v>42485</v>
      </c>
      <c r="J412" s="533">
        <v>521.19000000000005</v>
      </c>
      <c r="K412" s="533"/>
    </row>
    <row r="413" spans="1:11" s="479" customFormat="1" hidden="1">
      <c r="A413" s="347"/>
      <c r="B413" s="481" t="s">
        <v>258</v>
      </c>
      <c r="C413" s="481" t="s">
        <v>246</v>
      </c>
      <c r="D413" s="479" t="s">
        <v>6619</v>
      </c>
      <c r="E413" s="479" t="s">
        <v>1909</v>
      </c>
      <c r="F413" s="479" t="s">
        <v>1910</v>
      </c>
      <c r="G413" s="489"/>
      <c r="H413" s="726">
        <v>42430</v>
      </c>
      <c r="I413" s="727">
        <v>42485</v>
      </c>
      <c r="J413" s="533">
        <v>1273.6199999999999</v>
      </c>
      <c r="K413" s="533"/>
    </row>
    <row r="414" spans="1:11" s="479" customFormat="1" hidden="1">
      <c r="A414" s="347"/>
      <c r="B414" s="481" t="s">
        <v>258</v>
      </c>
      <c r="C414" s="481" t="s">
        <v>247</v>
      </c>
      <c r="D414" s="479" t="s">
        <v>6607</v>
      </c>
      <c r="E414" s="479" t="s">
        <v>1909</v>
      </c>
      <c r="F414" s="479" t="s">
        <v>1910</v>
      </c>
      <c r="G414" s="489"/>
      <c r="H414" s="726">
        <v>42430</v>
      </c>
      <c r="I414" s="727">
        <v>42485</v>
      </c>
      <c r="J414" s="533">
        <v>625</v>
      </c>
      <c r="K414" s="533"/>
    </row>
    <row r="415" spans="1:11" s="479" customFormat="1" hidden="1">
      <c r="A415" s="347"/>
      <c r="B415" s="481" t="s">
        <v>258</v>
      </c>
      <c r="C415" s="481" t="s">
        <v>248</v>
      </c>
      <c r="D415" s="479" t="s">
        <v>6582</v>
      </c>
      <c r="E415" s="479" t="s">
        <v>1909</v>
      </c>
      <c r="F415" s="479" t="s">
        <v>1910</v>
      </c>
      <c r="G415" s="489"/>
      <c r="H415" s="726">
        <v>42430</v>
      </c>
      <c r="I415" s="727">
        <v>42485</v>
      </c>
      <c r="J415" s="533">
        <v>883.45</v>
      </c>
      <c r="K415" s="533"/>
    </row>
    <row r="416" spans="1:11" s="504" customFormat="1" hidden="1">
      <c r="A416" s="347"/>
      <c r="B416" s="481" t="s">
        <v>258</v>
      </c>
      <c r="C416" s="481" t="s">
        <v>249</v>
      </c>
      <c r="D416" s="479" t="s">
        <v>6606</v>
      </c>
      <c r="E416" s="479" t="s">
        <v>1909</v>
      </c>
      <c r="F416" s="479" t="s">
        <v>1910</v>
      </c>
      <c r="G416" s="489"/>
      <c r="H416" s="726">
        <v>42430</v>
      </c>
      <c r="I416" s="727">
        <v>42485</v>
      </c>
      <c r="J416" s="533">
        <v>382.3</v>
      </c>
      <c r="K416" s="533"/>
    </row>
    <row r="417" spans="1:11" s="504" customFormat="1" hidden="1">
      <c r="A417" s="347"/>
      <c r="B417" s="481"/>
      <c r="C417" s="481" t="s">
        <v>2088</v>
      </c>
      <c r="D417" s="479" t="s">
        <v>2204</v>
      </c>
      <c r="E417" s="479" t="s">
        <v>1909</v>
      </c>
      <c r="F417" s="479" t="s">
        <v>1910</v>
      </c>
      <c r="G417" s="489"/>
      <c r="H417" s="726">
        <v>42430</v>
      </c>
      <c r="I417" s="727">
        <v>42485</v>
      </c>
      <c r="J417" s="533">
        <v>668.66</v>
      </c>
      <c r="K417" s="533"/>
    </row>
    <row r="418" spans="1:11" s="479" customFormat="1" hidden="1">
      <c r="A418" s="347"/>
      <c r="B418" s="481" t="s">
        <v>258</v>
      </c>
      <c r="C418" s="481" t="s">
        <v>359</v>
      </c>
      <c r="D418" s="479" t="s">
        <v>95</v>
      </c>
      <c r="E418" s="479" t="s">
        <v>1909</v>
      </c>
      <c r="F418" s="479" t="s">
        <v>1910</v>
      </c>
      <c r="G418" s="489"/>
      <c r="H418" s="726">
        <v>42430</v>
      </c>
      <c r="I418" s="727">
        <v>42485</v>
      </c>
      <c r="J418" s="533">
        <v>516.16999999999996</v>
      </c>
      <c r="K418" s="533"/>
    </row>
    <row r="419" spans="1:11" s="504" customFormat="1" hidden="1">
      <c r="A419" s="347"/>
      <c r="B419" s="481" t="s">
        <v>258</v>
      </c>
      <c r="C419" s="481" t="s">
        <v>250</v>
      </c>
      <c r="D419" s="479" t="s">
        <v>105</v>
      </c>
      <c r="E419" s="479" t="s">
        <v>1909</v>
      </c>
      <c r="F419" s="479" t="s">
        <v>1910</v>
      </c>
      <c r="G419" s="489"/>
      <c r="H419" s="726">
        <v>42430</v>
      </c>
      <c r="I419" s="727">
        <v>42485</v>
      </c>
      <c r="J419" s="533">
        <v>3231.36</v>
      </c>
      <c r="K419" s="533"/>
    </row>
    <row r="420" spans="1:11" s="504" customFormat="1" hidden="1">
      <c r="A420" s="347"/>
      <c r="B420" s="481" t="s">
        <v>258</v>
      </c>
      <c r="C420" s="481" t="s">
        <v>177</v>
      </c>
      <c r="D420" s="479" t="s">
        <v>6586</v>
      </c>
      <c r="E420" s="479" t="s">
        <v>1909</v>
      </c>
      <c r="F420" s="479" t="s">
        <v>2050</v>
      </c>
      <c r="G420" s="489"/>
      <c r="H420" s="726">
        <v>42430</v>
      </c>
      <c r="I420" s="727">
        <v>42485</v>
      </c>
      <c r="J420" s="533">
        <v>322.83</v>
      </c>
      <c r="K420" s="479"/>
    </row>
    <row r="421" spans="1:11" s="504" customFormat="1" hidden="1">
      <c r="A421" s="347"/>
      <c r="B421" s="481" t="s">
        <v>258</v>
      </c>
      <c r="C421" s="481" t="s">
        <v>178</v>
      </c>
      <c r="D421" s="479" t="s">
        <v>6584</v>
      </c>
      <c r="E421" s="479" t="s">
        <v>1909</v>
      </c>
      <c r="F421" s="479" t="s">
        <v>2050</v>
      </c>
      <c r="G421" s="489"/>
      <c r="H421" s="726">
        <v>42430</v>
      </c>
      <c r="I421" s="727">
        <v>42485</v>
      </c>
      <c r="J421" s="533">
        <v>204.7</v>
      </c>
      <c r="K421" s="479"/>
    </row>
    <row r="422" spans="1:11" s="504" customFormat="1" hidden="1">
      <c r="A422" s="347"/>
      <c r="B422" s="481" t="s">
        <v>258</v>
      </c>
      <c r="C422" s="481" t="s">
        <v>179</v>
      </c>
      <c r="D422" s="479" t="s">
        <v>6576</v>
      </c>
      <c r="E422" s="479" t="s">
        <v>1909</v>
      </c>
      <c r="F422" s="479" t="s">
        <v>2050</v>
      </c>
      <c r="G422" s="489"/>
      <c r="H422" s="726">
        <v>42430</v>
      </c>
      <c r="I422" s="727">
        <v>42485</v>
      </c>
      <c r="J422" s="533">
        <v>227.86</v>
      </c>
      <c r="K422" s="479">
        <v>1</v>
      </c>
    </row>
    <row r="423" spans="1:11" s="504" customFormat="1" hidden="1">
      <c r="A423" s="347"/>
      <c r="B423" s="481" t="s">
        <v>258</v>
      </c>
      <c r="C423" s="481" t="s">
        <v>180</v>
      </c>
      <c r="D423" s="479" t="s">
        <v>6587</v>
      </c>
      <c r="E423" s="479" t="s">
        <v>1909</v>
      </c>
      <c r="F423" s="479" t="s">
        <v>2050</v>
      </c>
      <c r="G423" s="489"/>
      <c r="H423" s="726">
        <v>42430</v>
      </c>
      <c r="I423" s="727">
        <v>42485</v>
      </c>
      <c r="J423" s="533">
        <v>235.48</v>
      </c>
      <c r="K423" s="479"/>
    </row>
    <row r="424" spans="1:11" s="504" customFormat="1" hidden="1">
      <c r="A424" s="347"/>
      <c r="B424" s="481"/>
      <c r="C424" s="481" t="s">
        <v>181</v>
      </c>
      <c r="D424" s="479" t="s">
        <v>91</v>
      </c>
      <c r="E424" s="479" t="s">
        <v>1909</v>
      </c>
      <c r="F424" s="479" t="s">
        <v>2050</v>
      </c>
      <c r="G424" s="489"/>
      <c r="H424" s="726">
        <v>42430</v>
      </c>
      <c r="I424" s="727">
        <v>42485</v>
      </c>
      <c r="J424" s="533">
        <v>329.86</v>
      </c>
      <c r="K424" s="479"/>
    </row>
    <row r="425" spans="1:11" s="504" customFormat="1" hidden="1">
      <c r="A425" s="347"/>
      <c r="B425" s="481" t="s">
        <v>258</v>
      </c>
      <c r="C425" s="481" t="s">
        <v>182</v>
      </c>
      <c r="D425" s="479" t="s">
        <v>6590</v>
      </c>
      <c r="E425" s="479" t="s">
        <v>1909</v>
      </c>
      <c r="F425" s="479" t="s">
        <v>2050</v>
      </c>
      <c r="G425" s="489"/>
      <c r="H425" s="726">
        <v>42430</v>
      </c>
      <c r="I425" s="727">
        <v>42485</v>
      </c>
      <c r="J425" s="533">
        <v>204.24</v>
      </c>
      <c r="K425" s="479"/>
    </row>
    <row r="426" spans="1:11" s="504" customFormat="1" hidden="1">
      <c r="A426" s="347"/>
      <c r="B426" s="481" t="s">
        <v>258</v>
      </c>
      <c r="C426" s="481" t="s">
        <v>183</v>
      </c>
      <c r="D426" s="479" t="s">
        <v>88</v>
      </c>
      <c r="E426" s="479" t="s">
        <v>1909</v>
      </c>
      <c r="F426" s="479" t="s">
        <v>2050</v>
      </c>
      <c r="G426" s="489"/>
      <c r="H426" s="726">
        <v>42430</v>
      </c>
      <c r="I426" s="727">
        <v>42485</v>
      </c>
      <c r="J426" s="533">
        <v>169.26</v>
      </c>
      <c r="K426" s="479"/>
    </row>
    <row r="427" spans="1:11" s="504" customFormat="1" hidden="1">
      <c r="A427" s="347"/>
      <c r="B427" s="481" t="s">
        <v>258</v>
      </c>
      <c r="C427" s="481" t="s">
        <v>184</v>
      </c>
      <c r="D427" s="479" t="s">
        <v>6579</v>
      </c>
      <c r="E427" s="479" t="s">
        <v>1909</v>
      </c>
      <c r="F427" s="479" t="s">
        <v>2050</v>
      </c>
      <c r="G427" s="489"/>
      <c r="H427" s="726">
        <v>42430</v>
      </c>
      <c r="I427" s="727">
        <v>42485</v>
      </c>
      <c r="J427" s="533">
        <v>183.56</v>
      </c>
      <c r="K427" s="479"/>
    </row>
    <row r="428" spans="1:11" s="504" customFormat="1" hidden="1">
      <c r="A428" s="347"/>
      <c r="B428" s="481" t="s">
        <v>258</v>
      </c>
      <c r="C428" s="481" t="s">
        <v>186</v>
      </c>
      <c r="D428" s="479" t="s">
        <v>6588</v>
      </c>
      <c r="E428" s="479" t="s">
        <v>1909</v>
      </c>
      <c r="F428" s="479" t="s">
        <v>2050</v>
      </c>
      <c r="G428" s="489"/>
      <c r="H428" s="726">
        <v>42430</v>
      </c>
      <c r="I428" s="727">
        <v>42485</v>
      </c>
      <c r="J428" s="533">
        <v>270.91000000000003</v>
      </c>
      <c r="K428" s="479"/>
    </row>
    <row r="429" spans="1:11" s="504" customFormat="1" hidden="1">
      <c r="A429" s="347"/>
      <c r="B429" s="481" t="s">
        <v>258</v>
      </c>
      <c r="C429" s="481" t="s">
        <v>188</v>
      </c>
      <c r="D429" s="479" t="s">
        <v>6577</v>
      </c>
      <c r="E429" s="479" t="s">
        <v>1909</v>
      </c>
      <c r="F429" s="479" t="s">
        <v>2050</v>
      </c>
      <c r="G429" s="489"/>
      <c r="H429" s="726">
        <v>42430</v>
      </c>
      <c r="I429" s="727">
        <v>42485</v>
      </c>
      <c r="J429" s="533">
        <v>316.92</v>
      </c>
      <c r="K429" s="479"/>
    </row>
    <row r="430" spans="1:11" s="504" customFormat="1" hidden="1">
      <c r="A430" s="347"/>
      <c r="B430" s="481" t="s">
        <v>258</v>
      </c>
      <c r="C430" s="481" t="s">
        <v>190</v>
      </c>
      <c r="D430" s="479" t="s">
        <v>6581</v>
      </c>
      <c r="E430" s="479" t="s">
        <v>1909</v>
      </c>
      <c r="F430" s="479" t="s">
        <v>2050</v>
      </c>
      <c r="G430" s="489"/>
      <c r="H430" s="726">
        <v>42430</v>
      </c>
      <c r="I430" s="727">
        <v>42485</v>
      </c>
      <c r="J430" s="533">
        <v>374.9</v>
      </c>
      <c r="K430" s="479"/>
    </row>
    <row r="431" spans="1:11" s="504" customFormat="1" hidden="1">
      <c r="A431" s="347"/>
      <c r="B431" s="481" t="s">
        <v>258</v>
      </c>
      <c r="C431" s="481" t="s">
        <v>192</v>
      </c>
      <c r="D431" s="479" t="s">
        <v>97</v>
      </c>
      <c r="E431" s="479" t="s">
        <v>1909</v>
      </c>
      <c r="F431" s="479" t="s">
        <v>2050</v>
      </c>
      <c r="G431" s="489"/>
      <c r="H431" s="726">
        <v>42430</v>
      </c>
      <c r="I431" s="727">
        <v>42485</v>
      </c>
      <c r="J431" s="533">
        <v>1149.25</v>
      </c>
      <c r="K431" s="479"/>
    </row>
    <row r="432" spans="1:11" s="504" customFormat="1" hidden="1">
      <c r="A432" s="347"/>
      <c r="B432" s="481"/>
      <c r="C432" s="481" t="s">
        <v>194</v>
      </c>
      <c r="D432" s="479" t="s">
        <v>6589</v>
      </c>
      <c r="E432" s="479" t="s">
        <v>1909</v>
      </c>
      <c r="F432" s="479" t="s">
        <v>2050</v>
      </c>
      <c r="G432" s="489"/>
      <c r="H432" s="726">
        <v>42430</v>
      </c>
      <c r="I432" s="727">
        <v>42485</v>
      </c>
      <c r="J432" s="533">
        <v>532.04</v>
      </c>
      <c r="K432" s="479"/>
    </row>
    <row r="433" spans="1:11" s="504" customFormat="1" hidden="1">
      <c r="A433" s="347"/>
      <c r="B433" s="481" t="s">
        <v>258</v>
      </c>
      <c r="C433" s="481" t="s">
        <v>196</v>
      </c>
      <c r="D433" s="479" t="s">
        <v>6585</v>
      </c>
      <c r="E433" s="479" t="s">
        <v>1909</v>
      </c>
      <c r="F433" s="479" t="s">
        <v>2050</v>
      </c>
      <c r="G433" s="489"/>
      <c r="H433" s="726">
        <v>42430</v>
      </c>
      <c r="I433" s="727">
        <v>42485</v>
      </c>
      <c r="J433" s="533">
        <v>401.42</v>
      </c>
      <c r="K433" s="479"/>
    </row>
    <row r="434" spans="1:11" s="504" customFormat="1" hidden="1">
      <c r="A434" s="347"/>
      <c r="B434" s="481" t="s">
        <v>258</v>
      </c>
      <c r="C434" s="481" t="s">
        <v>198</v>
      </c>
      <c r="D434" s="479" t="s">
        <v>99</v>
      </c>
      <c r="E434" s="479" t="s">
        <v>1909</v>
      </c>
      <c r="F434" s="479" t="s">
        <v>2050</v>
      </c>
      <c r="G434" s="489"/>
      <c r="H434" s="726">
        <v>42430</v>
      </c>
      <c r="I434" s="727">
        <v>42485</v>
      </c>
      <c r="J434" s="533">
        <v>550.61</v>
      </c>
      <c r="K434" s="479"/>
    </row>
    <row r="435" spans="1:11" s="504" customFormat="1" hidden="1">
      <c r="A435" s="347"/>
      <c r="B435" s="481" t="s">
        <v>258</v>
      </c>
      <c r="C435" s="481" t="s">
        <v>199</v>
      </c>
      <c r="D435" s="479" t="s">
        <v>98</v>
      </c>
      <c r="E435" s="479" t="s">
        <v>1909</v>
      </c>
      <c r="F435" s="479" t="s">
        <v>2050</v>
      </c>
      <c r="G435" s="489"/>
      <c r="H435" s="726">
        <v>42430</v>
      </c>
      <c r="I435" s="727">
        <v>42485</v>
      </c>
      <c r="J435" s="533">
        <v>1087.33</v>
      </c>
      <c r="K435" s="479"/>
    </row>
    <row r="436" spans="1:11" s="504" customFormat="1" hidden="1">
      <c r="A436" s="347"/>
      <c r="B436" s="481" t="s">
        <v>258</v>
      </c>
      <c r="C436" s="481" t="s">
        <v>200</v>
      </c>
      <c r="D436" s="479" t="s">
        <v>87</v>
      </c>
      <c r="E436" s="479" t="s">
        <v>1909</v>
      </c>
      <c r="F436" s="479" t="s">
        <v>2050</v>
      </c>
      <c r="G436" s="489"/>
      <c r="H436" s="726">
        <v>42430</v>
      </c>
      <c r="I436" s="727">
        <v>42485</v>
      </c>
      <c r="J436" s="533">
        <v>645.84</v>
      </c>
      <c r="K436" s="479">
        <v>60</v>
      </c>
    </row>
    <row r="437" spans="1:11" s="504" customFormat="1" hidden="1">
      <c r="A437" s="347"/>
      <c r="B437" s="481" t="s">
        <v>258</v>
      </c>
      <c r="C437" s="481" t="s">
        <v>201</v>
      </c>
      <c r="D437" s="479" t="s">
        <v>102</v>
      </c>
      <c r="E437" s="479" t="s">
        <v>1909</v>
      </c>
      <c r="F437" s="479" t="s">
        <v>2050</v>
      </c>
      <c r="G437" s="489"/>
      <c r="H437" s="726">
        <v>42430</v>
      </c>
      <c r="I437" s="727">
        <v>42485</v>
      </c>
      <c r="J437" s="533">
        <v>790.95</v>
      </c>
      <c r="K437" s="479"/>
    </row>
    <row r="438" spans="1:11" s="504" customFormat="1" hidden="1">
      <c r="A438" s="347"/>
      <c r="B438" s="481" t="s">
        <v>258</v>
      </c>
      <c r="C438" s="481" t="s">
        <v>202</v>
      </c>
      <c r="D438" s="479" t="s">
        <v>110</v>
      </c>
      <c r="E438" s="479" t="s">
        <v>1909</v>
      </c>
      <c r="F438" s="479" t="s">
        <v>2050</v>
      </c>
      <c r="G438" s="489"/>
      <c r="H438" s="726">
        <v>42430</v>
      </c>
      <c r="I438" s="727">
        <v>42485</v>
      </c>
      <c r="J438" s="533">
        <v>439</v>
      </c>
      <c r="K438" s="479"/>
    </row>
    <row r="439" spans="1:11" s="504" customFormat="1" hidden="1">
      <c r="A439" s="347"/>
      <c r="B439" s="481" t="s">
        <v>258</v>
      </c>
      <c r="C439" s="481" t="s">
        <v>203</v>
      </c>
      <c r="D439" s="479" t="s">
        <v>6609</v>
      </c>
      <c r="E439" s="479" t="s">
        <v>1909</v>
      </c>
      <c r="F439" s="479" t="s">
        <v>2050</v>
      </c>
      <c r="G439" s="489"/>
      <c r="H439" s="726">
        <v>42430</v>
      </c>
      <c r="I439" s="727">
        <v>42485</v>
      </c>
      <c r="J439" s="533">
        <v>870.52</v>
      </c>
      <c r="K439" s="479"/>
    </row>
    <row r="440" spans="1:11" s="504" customFormat="1" hidden="1">
      <c r="A440" s="347"/>
      <c r="B440" s="481" t="s">
        <v>258</v>
      </c>
      <c r="C440" s="481" t="s">
        <v>207</v>
      </c>
      <c r="D440" s="479" t="s">
        <v>1918</v>
      </c>
      <c r="E440" s="479" t="s">
        <v>1909</v>
      </c>
      <c r="F440" s="479" t="s">
        <v>2050</v>
      </c>
      <c r="G440" s="489"/>
      <c r="H440" s="726">
        <v>42430</v>
      </c>
      <c r="I440" s="727">
        <v>42485</v>
      </c>
      <c r="J440" s="533">
        <v>36.78</v>
      </c>
      <c r="K440" s="479"/>
    </row>
    <row r="441" spans="1:11" s="504" customFormat="1" hidden="1">
      <c r="A441" s="347"/>
      <c r="B441" s="481" t="s">
        <v>258</v>
      </c>
      <c r="C441" s="481" t="s">
        <v>208</v>
      </c>
      <c r="D441" s="479" t="s">
        <v>89</v>
      </c>
      <c r="E441" s="479" t="s">
        <v>1909</v>
      </c>
      <c r="F441" s="479" t="s">
        <v>2050</v>
      </c>
      <c r="G441" s="489"/>
      <c r="H441" s="726">
        <v>42430</v>
      </c>
      <c r="I441" s="727">
        <v>42485</v>
      </c>
      <c r="J441" s="533">
        <v>1448.54</v>
      </c>
      <c r="K441" s="479">
        <v>60</v>
      </c>
    </row>
    <row r="442" spans="1:11" s="504" customFormat="1" hidden="1">
      <c r="A442" s="347"/>
      <c r="B442" s="481" t="s">
        <v>258</v>
      </c>
      <c r="C442" s="481" t="s">
        <v>209</v>
      </c>
      <c r="D442" s="479" t="s">
        <v>101</v>
      </c>
      <c r="E442" s="479" t="s">
        <v>1909</v>
      </c>
      <c r="F442" s="479" t="s">
        <v>2050</v>
      </c>
      <c r="G442" s="489"/>
      <c r="H442" s="726">
        <v>42430</v>
      </c>
      <c r="I442" s="727">
        <v>42485</v>
      </c>
      <c r="J442" s="533">
        <v>2131.0100000000002</v>
      </c>
      <c r="K442" s="479"/>
    </row>
    <row r="443" spans="1:11" s="504" customFormat="1" hidden="1">
      <c r="A443" s="347"/>
      <c r="B443" s="481" t="s">
        <v>258</v>
      </c>
      <c r="C443" s="481" t="s">
        <v>210</v>
      </c>
      <c r="D443" s="479" t="s">
        <v>104</v>
      </c>
      <c r="E443" s="479" t="s">
        <v>1909</v>
      </c>
      <c r="F443" s="479" t="s">
        <v>2050</v>
      </c>
      <c r="G443" s="489"/>
      <c r="H443" s="726">
        <v>42430</v>
      </c>
      <c r="I443" s="727">
        <v>42485</v>
      </c>
      <c r="J443" s="533">
        <v>805.82</v>
      </c>
      <c r="K443" s="479"/>
    </row>
    <row r="444" spans="1:11" s="504" customFormat="1" hidden="1">
      <c r="A444" s="347"/>
      <c r="B444" s="481" t="s">
        <v>258</v>
      </c>
      <c r="C444" s="481" t="s">
        <v>211</v>
      </c>
      <c r="D444" s="479" t="s">
        <v>106</v>
      </c>
      <c r="E444" s="479" t="s">
        <v>1909</v>
      </c>
      <c r="F444" s="479" t="s">
        <v>2050</v>
      </c>
      <c r="G444" s="489"/>
      <c r="H444" s="726">
        <v>42430</v>
      </c>
      <c r="I444" s="727">
        <v>42485</v>
      </c>
      <c r="J444" s="533">
        <v>1995.58</v>
      </c>
      <c r="K444" s="479"/>
    </row>
    <row r="445" spans="1:11" s="504" customFormat="1" hidden="1">
      <c r="A445" s="347"/>
      <c r="B445" s="481" t="s">
        <v>258</v>
      </c>
      <c r="C445" s="481" t="s">
        <v>212</v>
      </c>
      <c r="D445" s="479" t="s">
        <v>96</v>
      </c>
      <c r="E445" s="479" t="s">
        <v>1909</v>
      </c>
      <c r="F445" s="479" t="s">
        <v>2050</v>
      </c>
      <c r="G445" s="489"/>
      <c r="H445" s="726">
        <v>42430</v>
      </c>
      <c r="I445" s="727">
        <v>42485</v>
      </c>
      <c r="J445" s="533">
        <v>1739.18</v>
      </c>
      <c r="K445" s="479"/>
    </row>
    <row r="446" spans="1:11" s="504" customFormat="1" hidden="1">
      <c r="A446" s="347"/>
      <c r="B446" s="481" t="s">
        <v>258</v>
      </c>
      <c r="C446" s="481" t="s">
        <v>213</v>
      </c>
      <c r="D446" s="479" t="s">
        <v>103</v>
      </c>
      <c r="E446" s="479" t="s">
        <v>1909</v>
      </c>
      <c r="F446" s="479" t="s">
        <v>2050</v>
      </c>
      <c r="G446" s="489"/>
      <c r="H446" s="726">
        <v>42430</v>
      </c>
      <c r="I446" s="727">
        <v>42485</v>
      </c>
      <c r="J446" s="533">
        <v>1354.11</v>
      </c>
      <c r="K446" s="479"/>
    </row>
    <row r="447" spans="1:11" s="504" customFormat="1" hidden="1">
      <c r="A447" s="347"/>
      <c r="B447" s="481" t="s">
        <v>258</v>
      </c>
      <c r="C447" s="481" t="s">
        <v>214</v>
      </c>
      <c r="D447" s="479" t="s">
        <v>94</v>
      </c>
      <c r="E447" s="479" t="s">
        <v>1909</v>
      </c>
      <c r="F447" s="479" t="s">
        <v>2050</v>
      </c>
      <c r="G447" s="489"/>
      <c r="H447" s="726">
        <v>42430</v>
      </c>
      <c r="I447" s="727">
        <v>42485</v>
      </c>
      <c r="J447" s="533">
        <v>1606.56</v>
      </c>
      <c r="K447" s="479"/>
    </row>
    <row r="448" spans="1:11" s="504" customFormat="1" hidden="1">
      <c r="A448" s="347"/>
      <c r="B448" s="481" t="s">
        <v>258</v>
      </c>
      <c r="C448" s="481" t="s">
        <v>215</v>
      </c>
      <c r="D448" s="479" t="s">
        <v>100</v>
      </c>
      <c r="E448" s="479" t="s">
        <v>1909</v>
      </c>
      <c r="F448" s="479" t="s">
        <v>2050</v>
      </c>
      <c r="G448" s="489"/>
      <c r="H448" s="726">
        <v>42430</v>
      </c>
      <c r="I448" s="727">
        <v>42485</v>
      </c>
      <c r="J448" s="533">
        <v>1116.2</v>
      </c>
      <c r="K448" s="479"/>
    </row>
    <row r="449" spans="1:11" s="504" customFormat="1" hidden="1">
      <c r="A449" s="347"/>
      <c r="B449" s="481" t="s">
        <v>258</v>
      </c>
      <c r="C449" s="481" t="s">
        <v>216</v>
      </c>
      <c r="D449" s="479" t="s">
        <v>90</v>
      </c>
      <c r="E449" s="479" t="s">
        <v>1909</v>
      </c>
      <c r="F449" s="479" t="s">
        <v>2050</v>
      </c>
      <c r="G449" s="489"/>
      <c r="H449" s="726">
        <v>42430</v>
      </c>
      <c r="I449" s="727">
        <v>42485</v>
      </c>
      <c r="J449" s="533">
        <v>754.03</v>
      </c>
      <c r="K449" s="479"/>
    </row>
    <row r="450" spans="1:11" s="504" customFormat="1" hidden="1">
      <c r="A450" s="347"/>
      <c r="B450" s="481" t="s">
        <v>258</v>
      </c>
      <c r="C450" s="481" t="s">
        <v>217</v>
      </c>
      <c r="D450" s="479" t="s">
        <v>107</v>
      </c>
      <c r="E450" s="479" t="s">
        <v>1909</v>
      </c>
      <c r="F450" s="479" t="s">
        <v>2050</v>
      </c>
      <c r="G450" s="489"/>
      <c r="H450" s="726">
        <v>42430</v>
      </c>
      <c r="I450" s="727">
        <v>42485</v>
      </c>
      <c r="J450" s="533">
        <v>279</v>
      </c>
      <c r="K450" s="479"/>
    </row>
    <row r="451" spans="1:11" s="504" customFormat="1" hidden="1">
      <c r="A451" s="347"/>
      <c r="B451" s="481" t="s">
        <v>258</v>
      </c>
      <c r="C451" s="481" t="s">
        <v>361</v>
      </c>
      <c r="D451" s="479" t="s">
        <v>6591</v>
      </c>
      <c r="E451" s="479" t="s">
        <v>1909</v>
      </c>
      <c r="F451" s="479" t="s">
        <v>2050</v>
      </c>
      <c r="G451" s="489"/>
      <c r="H451" s="726">
        <v>42430</v>
      </c>
      <c r="I451" s="727">
        <v>42485</v>
      </c>
      <c r="J451" s="533">
        <v>667.11</v>
      </c>
      <c r="K451" s="479"/>
    </row>
    <row r="452" spans="1:11" s="504" customFormat="1" hidden="1">
      <c r="A452" s="347"/>
      <c r="B452" s="481" t="s">
        <v>258</v>
      </c>
      <c r="C452" s="481" t="s">
        <v>220</v>
      </c>
      <c r="D452" s="479" t="s">
        <v>6592</v>
      </c>
      <c r="E452" s="479" t="s">
        <v>1909</v>
      </c>
      <c r="F452" s="479" t="s">
        <v>2050</v>
      </c>
      <c r="G452" s="489"/>
      <c r="H452" s="726">
        <v>42430</v>
      </c>
      <c r="I452" s="727">
        <v>42485</v>
      </c>
      <c r="J452" s="533">
        <v>207.81</v>
      </c>
      <c r="K452" s="479">
        <v>60</v>
      </c>
    </row>
    <row r="453" spans="1:11" s="504" customFormat="1" hidden="1">
      <c r="A453" s="347"/>
      <c r="B453" s="481" t="s">
        <v>258</v>
      </c>
      <c r="C453" s="481" t="s">
        <v>221</v>
      </c>
      <c r="D453" s="479" t="s">
        <v>6603</v>
      </c>
      <c r="E453" s="479" t="s">
        <v>1909</v>
      </c>
      <c r="F453" s="479" t="s">
        <v>2050</v>
      </c>
      <c r="G453" s="489"/>
      <c r="H453" s="726">
        <v>42430</v>
      </c>
      <c r="I453" s="727">
        <v>42485</v>
      </c>
      <c r="J453" s="533">
        <v>84.4</v>
      </c>
      <c r="K453" s="479"/>
    </row>
    <row r="454" spans="1:11" s="504" customFormat="1" hidden="1">
      <c r="A454" s="347"/>
      <c r="B454" s="481" t="s">
        <v>258</v>
      </c>
      <c r="C454" s="481" t="s">
        <v>222</v>
      </c>
      <c r="D454" s="479" t="s">
        <v>6601</v>
      </c>
      <c r="E454" s="479" t="s">
        <v>1909</v>
      </c>
      <c r="F454" s="479" t="s">
        <v>2050</v>
      </c>
      <c r="G454" s="489"/>
      <c r="H454" s="726">
        <v>42430</v>
      </c>
      <c r="I454" s="727">
        <v>42485</v>
      </c>
      <c r="J454" s="533">
        <v>157.91999999999999</v>
      </c>
      <c r="K454" s="479"/>
    </row>
    <row r="455" spans="1:11" s="504" customFormat="1" hidden="1">
      <c r="A455" s="347"/>
      <c r="B455" s="481" t="s">
        <v>258</v>
      </c>
      <c r="C455" s="481" t="s">
        <v>223</v>
      </c>
      <c r="D455" s="479" t="s">
        <v>6575</v>
      </c>
      <c r="E455" s="479" t="s">
        <v>1909</v>
      </c>
      <c r="F455" s="479" t="s">
        <v>2050</v>
      </c>
      <c r="G455" s="489"/>
      <c r="H455" s="726">
        <v>42430</v>
      </c>
      <c r="I455" s="727">
        <v>42485</v>
      </c>
      <c r="J455" s="533">
        <v>126.53</v>
      </c>
      <c r="K455" s="479">
        <v>1</v>
      </c>
    </row>
    <row r="456" spans="1:11" s="504" customFormat="1" hidden="1">
      <c r="A456" s="347"/>
      <c r="B456" s="481" t="s">
        <v>258</v>
      </c>
      <c r="C456" s="481" t="s">
        <v>224</v>
      </c>
      <c r="D456" s="479" t="s">
        <v>6593</v>
      </c>
      <c r="E456" s="479" t="s">
        <v>1909</v>
      </c>
      <c r="F456" s="479" t="s">
        <v>2050</v>
      </c>
      <c r="G456" s="489"/>
      <c r="H456" s="726">
        <v>42430</v>
      </c>
      <c r="I456" s="727">
        <v>42485</v>
      </c>
      <c r="J456" s="533">
        <v>121.39</v>
      </c>
      <c r="K456" s="479">
        <v>1</v>
      </c>
    </row>
    <row r="457" spans="1:11" s="504" customFormat="1" hidden="1">
      <c r="A457" s="347"/>
      <c r="B457" s="481" t="s">
        <v>258</v>
      </c>
      <c r="C457" s="481" t="s">
        <v>225</v>
      </c>
      <c r="D457" s="479" t="s">
        <v>6594</v>
      </c>
      <c r="E457" s="479" t="s">
        <v>1909</v>
      </c>
      <c r="F457" s="479" t="s">
        <v>2050</v>
      </c>
      <c r="G457" s="489"/>
      <c r="H457" s="726">
        <v>42430</v>
      </c>
      <c r="I457" s="727">
        <v>42485</v>
      </c>
      <c r="J457" s="533">
        <v>101.81</v>
      </c>
      <c r="K457" s="479"/>
    </row>
    <row r="458" spans="1:11" s="504" customFormat="1" hidden="1">
      <c r="A458" s="347"/>
      <c r="B458" s="481" t="s">
        <v>258</v>
      </c>
      <c r="C458" s="481" t="s">
        <v>226</v>
      </c>
      <c r="D458" s="479" t="s">
        <v>6612</v>
      </c>
      <c r="E458" s="479" t="s">
        <v>1909</v>
      </c>
      <c r="F458" s="479" t="s">
        <v>2050</v>
      </c>
      <c r="G458" s="489"/>
      <c r="H458" s="726">
        <v>42430</v>
      </c>
      <c r="I458" s="727">
        <v>42485</v>
      </c>
      <c r="J458" s="533">
        <v>123.72</v>
      </c>
      <c r="K458" s="479"/>
    </row>
    <row r="459" spans="1:11" s="504" customFormat="1" hidden="1">
      <c r="A459" s="347"/>
      <c r="B459" s="481" t="s">
        <v>258</v>
      </c>
      <c r="C459" s="481" t="s">
        <v>227</v>
      </c>
      <c r="D459" s="479" t="s">
        <v>6613</v>
      </c>
      <c r="E459" s="479" t="s">
        <v>1909</v>
      </c>
      <c r="F459" s="479" t="s">
        <v>2050</v>
      </c>
      <c r="G459" s="489"/>
      <c r="H459" s="726">
        <v>42430</v>
      </c>
      <c r="I459" s="727">
        <v>42485</v>
      </c>
      <c r="J459" s="533">
        <v>162.27000000000001</v>
      </c>
      <c r="K459" s="479"/>
    </row>
    <row r="460" spans="1:11" s="504" customFormat="1" hidden="1">
      <c r="A460" s="347"/>
      <c r="B460" s="481" t="s">
        <v>258</v>
      </c>
      <c r="C460" s="481" t="s">
        <v>228</v>
      </c>
      <c r="D460" s="479" t="s">
        <v>6578</v>
      </c>
      <c r="E460" s="479" t="s">
        <v>1909</v>
      </c>
      <c r="F460" s="479" t="s">
        <v>2050</v>
      </c>
      <c r="G460" s="489"/>
      <c r="H460" s="726">
        <v>42430</v>
      </c>
      <c r="I460" s="727">
        <v>42485</v>
      </c>
      <c r="J460" s="533">
        <v>139.72999999999999</v>
      </c>
      <c r="K460" s="479">
        <v>60</v>
      </c>
    </row>
    <row r="461" spans="1:11" s="504" customFormat="1" hidden="1">
      <c r="A461" s="347"/>
      <c r="B461" s="481" t="s">
        <v>258</v>
      </c>
      <c r="C461" s="481" t="s">
        <v>229</v>
      </c>
      <c r="D461" s="479" t="s">
        <v>6608</v>
      </c>
      <c r="E461" s="479" t="s">
        <v>1909</v>
      </c>
      <c r="F461" s="479" t="s">
        <v>2050</v>
      </c>
      <c r="G461" s="489"/>
      <c r="H461" s="726">
        <v>42430</v>
      </c>
      <c r="I461" s="727">
        <v>42485</v>
      </c>
      <c r="J461" s="533">
        <v>269.98</v>
      </c>
      <c r="K461" s="479"/>
    </row>
    <row r="462" spans="1:11" s="504" customFormat="1" hidden="1">
      <c r="A462" s="347"/>
      <c r="B462" s="481" t="s">
        <v>258</v>
      </c>
      <c r="C462" s="481" t="s">
        <v>230</v>
      </c>
      <c r="D462" s="479" t="s">
        <v>6595</v>
      </c>
      <c r="E462" s="479" t="s">
        <v>1909</v>
      </c>
      <c r="F462" s="479" t="s">
        <v>2050</v>
      </c>
      <c r="G462" s="489"/>
      <c r="H462" s="726">
        <v>42430</v>
      </c>
      <c r="I462" s="727">
        <v>42485</v>
      </c>
      <c r="J462" s="533">
        <v>151.08000000000001</v>
      </c>
      <c r="K462" s="479"/>
    </row>
    <row r="463" spans="1:11" s="504" customFormat="1" hidden="1">
      <c r="A463" s="347"/>
      <c r="B463" s="481" t="s">
        <v>258</v>
      </c>
      <c r="C463" s="481" t="s">
        <v>231</v>
      </c>
      <c r="D463" s="479" t="s">
        <v>92</v>
      </c>
      <c r="E463" s="479" t="s">
        <v>1909</v>
      </c>
      <c r="F463" s="479" t="s">
        <v>2050</v>
      </c>
      <c r="G463" s="489"/>
      <c r="H463" s="726">
        <v>42430</v>
      </c>
      <c r="I463" s="727">
        <v>42485</v>
      </c>
      <c r="J463" s="533">
        <v>263.87</v>
      </c>
      <c r="K463" s="479"/>
    </row>
    <row r="464" spans="1:11" s="504" customFormat="1" hidden="1">
      <c r="A464" s="347"/>
      <c r="B464" s="481" t="s">
        <v>258</v>
      </c>
      <c r="C464" s="481" t="s">
        <v>232</v>
      </c>
      <c r="D464" s="479" t="s">
        <v>93</v>
      </c>
      <c r="E464" s="479" t="s">
        <v>1909</v>
      </c>
      <c r="F464" s="479" t="s">
        <v>2050</v>
      </c>
      <c r="G464" s="489"/>
      <c r="H464" s="726">
        <v>42430</v>
      </c>
      <c r="I464" s="727">
        <v>42485</v>
      </c>
      <c r="J464" s="533">
        <v>200.66</v>
      </c>
      <c r="K464" s="479"/>
    </row>
    <row r="465" spans="1:11" s="504" customFormat="1" hidden="1">
      <c r="A465" s="347"/>
      <c r="B465" s="481" t="s">
        <v>258</v>
      </c>
      <c r="C465" s="481" t="s">
        <v>233</v>
      </c>
      <c r="D465" s="479" t="s">
        <v>6604</v>
      </c>
      <c r="E465" s="479" t="s">
        <v>1909</v>
      </c>
      <c r="F465" s="479" t="s">
        <v>2050</v>
      </c>
      <c r="G465" s="489"/>
      <c r="H465" s="726">
        <v>42430</v>
      </c>
      <c r="I465" s="727">
        <v>42485</v>
      </c>
      <c r="J465" s="533">
        <v>64.66</v>
      </c>
      <c r="K465" s="479"/>
    </row>
    <row r="466" spans="1:11" s="504" customFormat="1" hidden="1">
      <c r="A466" s="347"/>
      <c r="B466" s="481" t="s">
        <v>258</v>
      </c>
      <c r="C466" s="481" t="s">
        <v>234</v>
      </c>
      <c r="D466" s="479" t="s">
        <v>6580</v>
      </c>
      <c r="E466" s="479" t="s">
        <v>1909</v>
      </c>
      <c r="F466" s="479" t="s">
        <v>2050</v>
      </c>
      <c r="G466" s="489"/>
      <c r="H466" s="726">
        <v>42430</v>
      </c>
      <c r="I466" s="727">
        <v>42485</v>
      </c>
      <c r="J466" s="533">
        <v>83.16</v>
      </c>
      <c r="K466" s="479"/>
    </row>
    <row r="467" spans="1:11" s="504" customFormat="1" hidden="1">
      <c r="A467" s="347"/>
      <c r="B467" s="481" t="s">
        <v>258</v>
      </c>
      <c r="C467" s="481" t="s">
        <v>2724</v>
      </c>
      <c r="D467" s="479" t="s">
        <v>2720</v>
      </c>
      <c r="E467" s="479" t="s">
        <v>1909</v>
      </c>
      <c r="F467" s="479" t="s">
        <v>2050</v>
      </c>
      <c r="G467" s="489"/>
      <c r="H467" s="726">
        <v>42430</v>
      </c>
      <c r="I467" s="727">
        <v>42485</v>
      </c>
      <c r="J467" s="533">
        <v>143.31</v>
      </c>
      <c r="K467" s="479"/>
    </row>
    <row r="468" spans="1:11" s="504" customFormat="1" hidden="1">
      <c r="A468" s="347"/>
      <c r="B468" s="481" t="s">
        <v>258</v>
      </c>
      <c r="C468" s="481" t="s">
        <v>2725</v>
      </c>
      <c r="D468" s="479" t="s">
        <v>2721</v>
      </c>
      <c r="E468" s="479" t="s">
        <v>1909</v>
      </c>
      <c r="F468" s="479" t="s">
        <v>2050</v>
      </c>
      <c r="G468" s="489"/>
      <c r="H468" s="726">
        <v>42430</v>
      </c>
      <c r="I468" s="727">
        <v>42485</v>
      </c>
      <c r="J468" s="533">
        <v>174.86</v>
      </c>
      <c r="K468" s="479"/>
    </row>
    <row r="469" spans="1:11" s="504" customFormat="1" hidden="1">
      <c r="A469" s="347"/>
      <c r="B469" s="481" t="s">
        <v>258</v>
      </c>
      <c r="C469" s="481" t="s">
        <v>235</v>
      </c>
      <c r="D469" s="479" t="s">
        <v>6596</v>
      </c>
      <c r="E469" s="479" t="s">
        <v>1909</v>
      </c>
      <c r="F469" s="479" t="s">
        <v>2050</v>
      </c>
      <c r="G469" s="489"/>
      <c r="H469" s="726">
        <v>42430</v>
      </c>
      <c r="I469" s="727">
        <v>42485</v>
      </c>
      <c r="J469" s="533">
        <v>219.47</v>
      </c>
      <c r="K469" s="479"/>
    </row>
    <row r="470" spans="1:11" s="504" customFormat="1" hidden="1">
      <c r="A470" s="347"/>
      <c r="B470" s="481" t="s">
        <v>258</v>
      </c>
      <c r="C470" s="481" t="s">
        <v>236</v>
      </c>
      <c r="D470" s="479" t="s">
        <v>6597</v>
      </c>
      <c r="E470" s="479" t="s">
        <v>1909</v>
      </c>
      <c r="F470" s="479" t="s">
        <v>2050</v>
      </c>
      <c r="G470" s="489"/>
      <c r="H470" s="726">
        <v>42430</v>
      </c>
      <c r="I470" s="727">
        <v>42485</v>
      </c>
      <c r="J470" s="533">
        <v>149.63</v>
      </c>
      <c r="K470" s="479"/>
    </row>
    <row r="471" spans="1:11" s="504" customFormat="1" hidden="1">
      <c r="A471" s="347"/>
      <c r="B471" s="481" t="s">
        <v>258</v>
      </c>
      <c r="C471" s="481" t="s">
        <v>237</v>
      </c>
      <c r="D471" s="479" t="s">
        <v>6602</v>
      </c>
      <c r="E471" s="479" t="s">
        <v>1909</v>
      </c>
      <c r="F471" s="479" t="s">
        <v>2050</v>
      </c>
      <c r="G471" s="489"/>
      <c r="H471" s="726">
        <v>42430</v>
      </c>
      <c r="I471" s="727">
        <v>42485</v>
      </c>
      <c r="J471" s="533">
        <v>93.57</v>
      </c>
      <c r="K471" s="479"/>
    </row>
    <row r="472" spans="1:11" s="504" customFormat="1" hidden="1">
      <c r="A472" s="347"/>
      <c r="B472" s="481" t="s">
        <v>258</v>
      </c>
      <c r="C472" s="481" t="s">
        <v>238</v>
      </c>
      <c r="D472" s="479" t="s">
        <v>6614</v>
      </c>
      <c r="E472" s="479" t="s">
        <v>1909</v>
      </c>
      <c r="F472" s="479" t="s">
        <v>2050</v>
      </c>
      <c r="G472" s="489"/>
      <c r="H472" s="726">
        <v>42430</v>
      </c>
      <c r="I472" s="727">
        <v>42485</v>
      </c>
      <c r="J472" s="533">
        <v>187.91</v>
      </c>
      <c r="K472" s="479"/>
    </row>
    <row r="473" spans="1:11" s="504" customFormat="1" hidden="1">
      <c r="A473" s="347"/>
      <c r="B473" s="481" t="s">
        <v>258</v>
      </c>
      <c r="C473" s="481" t="s">
        <v>239</v>
      </c>
      <c r="D473" s="479" t="s">
        <v>6598</v>
      </c>
      <c r="E473" s="479" t="s">
        <v>1909</v>
      </c>
      <c r="F473" s="479" t="s">
        <v>2050</v>
      </c>
      <c r="G473" s="489"/>
      <c r="H473" s="726">
        <v>42430</v>
      </c>
      <c r="I473" s="727">
        <v>42485</v>
      </c>
      <c r="J473" s="533">
        <v>177.32</v>
      </c>
      <c r="K473" s="479"/>
    </row>
    <row r="474" spans="1:11" s="504" customFormat="1" hidden="1">
      <c r="A474" s="347"/>
      <c r="B474" s="481" t="s">
        <v>258</v>
      </c>
      <c r="C474" s="481" t="s">
        <v>240</v>
      </c>
      <c r="D474" s="479" t="s">
        <v>6583</v>
      </c>
      <c r="E474" s="479" t="s">
        <v>1909</v>
      </c>
      <c r="F474" s="479" t="s">
        <v>2050</v>
      </c>
      <c r="G474" s="489"/>
      <c r="H474" s="726">
        <v>42430</v>
      </c>
      <c r="I474" s="727">
        <v>42485</v>
      </c>
      <c r="J474" s="533">
        <v>113</v>
      </c>
      <c r="K474" s="479"/>
    </row>
    <row r="475" spans="1:11" s="504" customFormat="1" hidden="1">
      <c r="A475" s="347"/>
      <c r="B475" s="481" t="s">
        <v>258</v>
      </c>
      <c r="C475" s="481" t="s">
        <v>241</v>
      </c>
      <c r="D475" s="479" t="s">
        <v>6616</v>
      </c>
      <c r="E475" s="479" t="s">
        <v>1909</v>
      </c>
      <c r="F475" s="479" t="s">
        <v>2050</v>
      </c>
      <c r="G475" s="489"/>
      <c r="H475" s="726">
        <v>42430</v>
      </c>
      <c r="I475" s="727">
        <v>42485</v>
      </c>
      <c r="J475" s="533">
        <v>208.59</v>
      </c>
      <c r="K475" s="479"/>
    </row>
    <row r="476" spans="1:11" s="504" customFormat="1" hidden="1">
      <c r="A476" s="347"/>
      <c r="B476" s="481" t="s">
        <v>258</v>
      </c>
      <c r="C476" s="481" t="s">
        <v>242</v>
      </c>
      <c r="D476" s="479" t="s">
        <v>6599</v>
      </c>
      <c r="E476" s="479" t="s">
        <v>1909</v>
      </c>
      <c r="F476" s="479" t="s">
        <v>2050</v>
      </c>
      <c r="G476" s="489"/>
      <c r="H476" s="726">
        <v>42430</v>
      </c>
      <c r="I476" s="727">
        <v>42485</v>
      </c>
      <c r="J476" s="533">
        <v>122.17</v>
      </c>
      <c r="K476" s="479"/>
    </row>
    <row r="477" spans="1:11" s="504" customFormat="1" hidden="1">
      <c r="A477" s="347"/>
      <c r="B477" s="481" t="s">
        <v>258</v>
      </c>
      <c r="C477" s="481" t="s">
        <v>243</v>
      </c>
      <c r="D477" s="479" t="s">
        <v>6605</v>
      </c>
      <c r="E477" s="479" t="s">
        <v>1909</v>
      </c>
      <c r="F477" s="479" t="s">
        <v>2050</v>
      </c>
      <c r="G477" s="489"/>
      <c r="H477" s="726">
        <v>42430</v>
      </c>
      <c r="I477" s="727">
        <v>42485</v>
      </c>
      <c r="J477" s="533">
        <v>120.15</v>
      </c>
      <c r="K477" s="479"/>
    </row>
    <row r="478" spans="1:11" s="504" customFormat="1" hidden="1">
      <c r="A478" s="347"/>
      <c r="B478" s="481" t="s">
        <v>258</v>
      </c>
      <c r="C478" s="481" t="s">
        <v>244</v>
      </c>
      <c r="D478" s="479" t="s">
        <v>2719</v>
      </c>
      <c r="E478" s="479" t="s">
        <v>1909</v>
      </c>
      <c r="F478" s="479" t="s">
        <v>2050</v>
      </c>
      <c r="G478" s="489"/>
      <c r="H478" s="726">
        <v>42430</v>
      </c>
      <c r="I478" s="727">
        <v>42485</v>
      </c>
      <c r="J478" s="533">
        <v>218.69</v>
      </c>
      <c r="K478" s="479"/>
    </row>
    <row r="479" spans="1:11" s="504" customFormat="1" hidden="1">
      <c r="A479" s="347"/>
      <c r="B479" s="481" t="s">
        <v>258</v>
      </c>
      <c r="C479" s="481" t="s">
        <v>245</v>
      </c>
      <c r="D479" s="479" t="s">
        <v>6600</v>
      </c>
      <c r="E479" s="479" t="s">
        <v>1909</v>
      </c>
      <c r="F479" s="479" t="s">
        <v>2050</v>
      </c>
      <c r="G479" s="489"/>
      <c r="H479" s="726">
        <v>42430</v>
      </c>
      <c r="I479" s="727">
        <v>42485</v>
      </c>
      <c r="J479" s="533">
        <v>113.15</v>
      </c>
      <c r="K479" s="479"/>
    </row>
    <row r="480" spans="1:11" s="504" customFormat="1" hidden="1">
      <c r="A480" s="347"/>
      <c r="B480" s="481" t="s">
        <v>258</v>
      </c>
      <c r="C480" s="481" t="s">
        <v>246</v>
      </c>
      <c r="D480" s="479" t="s">
        <v>108</v>
      </c>
      <c r="E480" s="479" t="s">
        <v>1909</v>
      </c>
      <c r="F480" s="479" t="s">
        <v>2050</v>
      </c>
      <c r="G480" s="489"/>
      <c r="H480" s="726">
        <v>42430</v>
      </c>
      <c r="I480" s="727">
        <v>42485</v>
      </c>
      <c r="J480" s="533">
        <v>276.51</v>
      </c>
      <c r="K480" s="479"/>
    </row>
    <row r="481" spans="1:11" s="504" customFormat="1" hidden="1">
      <c r="A481" s="347"/>
      <c r="B481" s="481" t="s">
        <v>258</v>
      </c>
      <c r="C481" s="481" t="s">
        <v>247</v>
      </c>
      <c r="D481" s="479" t="s">
        <v>6607</v>
      </c>
      <c r="E481" s="479" t="s">
        <v>1909</v>
      </c>
      <c r="F481" s="479" t="s">
        <v>2050</v>
      </c>
      <c r="G481" s="489"/>
      <c r="H481" s="726">
        <v>42430</v>
      </c>
      <c r="I481" s="727">
        <v>42485</v>
      </c>
      <c r="J481" s="533">
        <v>135.69</v>
      </c>
      <c r="K481" s="479"/>
    </row>
    <row r="482" spans="1:11" s="504" customFormat="1" hidden="1">
      <c r="A482" s="347"/>
      <c r="B482" s="481" t="s">
        <v>258</v>
      </c>
      <c r="C482" s="481" t="s">
        <v>248</v>
      </c>
      <c r="D482" s="479" t="s">
        <v>6582</v>
      </c>
      <c r="E482" s="479" t="s">
        <v>1909</v>
      </c>
      <c r="F482" s="479" t="s">
        <v>2050</v>
      </c>
      <c r="G482" s="489"/>
      <c r="H482" s="726">
        <v>42430</v>
      </c>
      <c r="I482" s="727">
        <v>42485</v>
      </c>
      <c r="J482" s="533">
        <v>191.8</v>
      </c>
      <c r="K482" s="479"/>
    </row>
    <row r="483" spans="1:11" s="504" customFormat="1" hidden="1">
      <c r="A483" s="347"/>
      <c r="B483" s="481" t="s">
        <v>258</v>
      </c>
      <c r="C483" s="481" t="s">
        <v>249</v>
      </c>
      <c r="D483" s="479" t="s">
        <v>6606</v>
      </c>
      <c r="E483" s="479" t="s">
        <v>1909</v>
      </c>
      <c r="F483" s="479" t="s">
        <v>2050</v>
      </c>
      <c r="G483" s="489"/>
      <c r="H483" s="726">
        <v>42430</v>
      </c>
      <c r="I483" s="727">
        <v>42485</v>
      </c>
      <c r="J483" s="533">
        <v>83</v>
      </c>
      <c r="K483" s="479"/>
    </row>
    <row r="484" spans="1:11" s="504" customFormat="1" hidden="1">
      <c r="A484" s="347"/>
      <c r="B484" s="481" t="s">
        <v>258</v>
      </c>
      <c r="C484" s="481" t="s">
        <v>2088</v>
      </c>
      <c r="D484" s="479" t="s">
        <v>2204</v>
      </c>
      <c r="E484" s="479" t="s">
        <v>1909</v>
      </c>
      <c r="F484" s="479" t="s">
        <v>2050</v>
      </c>
      <c r="G484" s="489"/>
      <c r="H484" s="726">
        <v>42430</v>
      </c>
      <c r="I484" s="727">
        <v>42485</v>
      </c>
      <c r="J484" s="533">
        <v>145.16999999999999</v>
      </c>
      <c r="K484" s="479"/>
    </row>
    <row r="485" spans="1:11" s="504" customFormat="1" hidden="1">
      <c r="A485" s="347"/>
      <c r="B485" s="481" t="s">
        <v>258</v>
      </c>
      <c r="C485" s="481" t="s">
        <v>359</v>
      </c>
      <c r="D485" s="479" t="s">
        <v>95</v>
      </c>
      <c r="E485" s="479" t="s">
        <v>1909</v>
      </c>
      <c r="F485" s="479" t="s">
        <v>2050</v>
      </c>
      <c r="G485" s="489"/>
      <c r="H485" s="726">
        <v>42430</v>
      </c>
      <c r="I485" s="727">
        <v>42485</v>
      </c>
      <c r="J485" s="533">
        <v>112.07</v>
      </c>
      <c r="K485" s="479"/>
    </row>
    <row r="486" spans="1:11" s="504" customFormat="1" hidden="1">
      <c r="A486" s="347"/>
      <c r="B486" s="481" t="s">
        <v>258</v>
      </c>
      <c r="C486" s="481" t="s">
        <v>250</v>
      </c>
      <c r="D486" s="479" t="s">
        <v>105</v>
      </c>
      <c r="E486" s="479" t="s">
        <v>1909</v>
      </c>
      <c r="F486" s="479" t="s">
        <v>2050</v>
      </c>
      <c r="G486" s="489"/>
      <c r="H486" s="726">
        <v>42430</v>
      </c>
      <c r="I486" s="727">
        <v>42485</v>
      </c>
      <c r="J486" s="533">
        <v>701.55</v>
      </c>
      <c r="K486" s="479"/>
    </row>
    <row r="487" spans="1:11" s="479" customFormat="1" hidden="1">
      <c r="B487" s="481"/>
      <c r="C487" s="481"/>
      <c r="G487" s="489"/>
      <c r="H487" s="726"/>
      <c r="I487" s="728">
        <v>42485</v>
      </c>
      <c r="J487" s="533">
        <f>SUBTOTAL(9,J353:J486)</f>
        <v>163629.69999999998</v>
      </c>
      <c r="K487" s="533"/>
    </row>
    <row r="488" spans="1:11" s="479" customFormat="1" hidden="1">
      <c r="B488" s="481"/>
      <c r="C488" s="481"/>
      <c r="G488" s="489"/>
      <c r="H488" s="726"/>
      <c r="I488" s="727"/>
      <c r="J488" s="533"/>
      <c r="K488" s="533"/>
    </row>
    <row r="489" spans="1:11" s="479" customFormat="1" hidden="1">
      <c r="A489" s="460" t="s">
        <v>204</v>
      </c>
      <c r="B489" s="565">
        <v>112120801030</v>
      </c>
      <c r="C489" s="729" t="s">
        <v>205</v>
      </c>
      <c r="D489" s="479" t="s">
        <v>2197</v>
      </c>
      <c r="E489" s="730" t="s">
        <v>120</v>
      </c>
      <c r="F489" s="730" t="s">
        <v>121</v>
      </c>
      <c r="G489" s="731" t="s">
        <v>122</v>
      </c>
      <c r="H489" s="594">
        <v>42461</v>
      </c>
      <c r="I489" s="595">
        <v>42489</v>
      </c>
      <c r="J489" s="732">
        <v>3174.5</v>
      </c>
      <c r="K489" s="732"/>
    </row>
    <row r="490" spans="1:11" s="479" customFormat="1" hidden="1">
      <c r="A490" s="460"/>
      <c r="B490" s="565"/>
      <c r="C490" s="729"/>
      <c r="E490" s="730"/>
      <c r="F490" s="730"/>
      <c r="G490" s="731"/>
      <c r="H490" s="594"/>
      <c r="I490" s="738">
        <v>42489</v>
      </c>
      <c r="J490" s="732">
        <f>SUBTOTAL(9,J489:J489)</f>
        <v>3174.5</v>
      </c>
      <c r="K490" s="732"/>
    </row>
    <row r="491" spans="1:11" hidden="1"/>
    <row r="492" spans="1:11" hidden="1"/>
    <row r="493" spans="1:11" hidden="1"/>
    <row r="494" spans="1:11" hidden="1"/>
    <row r="495" spans="1:11" hidden="1"/>
    <row r="503" spans="2:9" ht="12.75">
      <c r="B503" s="579"/>
      <c r="C503" s="112"/>
      <c r="H503" s="112"/>
      <c r="I503" s="112"/>
    </row>
    <row r="504" spans="2:9" ht="12.75">
      <c r="B504" s="579"/>
      <c r="C504" s="112"/>
      <c r="H504" s="112"/>
      <c r="I504" s="112"/>
    </row>
    <row r="505" spans="2:9" ht="12.75">
      <c r="B505" s="579"/>
      <c r="C505" s="112"/>
      <c r="H505" s="112"/>
      <c r="I505" s="112"/>
    </row>
    <row r="506" spans="2:9" ht="12.75">
      <c r="B506" s="579"/>
      <c r="C506" s="112"/>
      <c r="H506" s="112"/>
      <c r="I506" s="112"/>
    </row>
    <row r="507" spans="2:9" ht="12.75">
      <c r="B507" s="579"/>
      <c r="C507" s="112"/>
      <c r="H507" s="112"/>
      <c r="I507" s="112"/>
    </row>
    <row r="508" spans="2:9" ht="12.75">
      <c r="B508" s="579"/>
      <c r="C508" s="112"/>
      <c r="H508" s="112"/>
      <c r="I508" s="112"/>
    </row>
    <row r="509" spans="2:9" ht="12.75">
      <c r="B509" s="579"/>
      <c r="C509" s="112"/>
      <c r="H509" s="112"/>
      <c r="I509" s="112"/>
    </row>
    <row r="510" spans="2:9" ht="12.75">
      <c r="B510" s="579"/>
      <c r="C510" s="112"/>
      <c r="H510" s="112"/>
      <c r="I510" s="112"/>
    </row>
    <row r="511" spans="2:9" ht="12.75">
      <c r="B511" s="579"/>
      <c r="C511" s="112"/>
      <c r="H511" s="112"/>
      <c r="I511" s="112"/>
    </row>
    <row r="512" spans="2:9" ht="12.75">
      <c r="B512" s="579"/>
      <c r="C512" s="112"/>
      <c r="H512" s="112"/>
      <c r="I512" s="112"/>
    </row>
    <row r="513" spans="2:9" ht="12.75">
      <c r="B513" s="579"/>
      <c r="C513" s="112"/>
      <c r="H513" s="112"/>
      <c r="I513" s="112"/>
    </row>
    <row r="514" spans="2:9" ht="12.75">
      <c r="B514" s="579"/>
      <c r="C514" s="112"/>
      <c r="H514" s="112"/>
      <c r="I514" s="112"/>
    </row>
  </sheetData>
  <sortState ref="A420:K486">
    <sortCondition ref="C420:C486"/>
  </sortState>
  <pageMargins left="0" right="0" top="0.59055118110236227" bottom="0.78740157480314965" header="0.31496062992125984" footer="0.59055118110236227"/>
  <pageSetup paperSize="9" scale="58" firstPageNumber="160" fitToHeight="100" orientation="landscape" useFirstPageNumber="1" r:id="rId1"/>
  <headerFooter>
    <oddFooter>Página &amp;P</oddFooter>
  </headerFooter>
  <rowBreaks count="4" manualBreakCount="4">
    <brk id="55" min="2" max="9" man="1"/>
    <brk id="105" min="2" max="9" man="1"/>
    <brk id="156" min="2" max="9" man="1"/>
    <brk id="207" min="2" max="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401"/>
  <sheetViews>
    <sheetView showGridLines="0" view="pageBreakPreview" topLeftCell="A415" zoomScale="80" zoomScaleNormal="50" zoomScaleSheetLayoutView="80" workbookViewId="0">
      <selection activeCell="E214" sqref="E214"/>
    </sheetView>
  </sheetViews>
  <sheetFormatPr defaultRowHeight="12.75"/>
  <cols>
    <col min="1" max="1" width="140.42578125" customWidth="1"/>
    <col min="2" max="2" width="38.5703125" customWidth="1"/>
    <col min="6" max="6" width="14.42578125" customWidth="1"/>
  </cols>
  <sheetData>
    <row r="1" spans="1:6" ht="33.75">
      <c r="A1" s="92" t="s">
        <v>2090</v>
      </c>
      <c r="B1" s="92"/>
    </row>
    <row r="2" spans="1:6" ht="30">
      <c r="A2" s="1120" t="s">
        <v>2089</v>
      </c>
      <c r="B2" s="1120"/>
      <c r="C2" s="1120"/>
      <c r="D2" s="1120"/>
      <c r="E2" s="1120"/>
      <c r="F2" s="1120"/>
    </row>
    <row r="3" spans="1:6" ht="30">
      <c r="A3" s="1121" t="str">
        <f>Resumo!E3</f>
        <v>Abril-16</v>
      </c>
      <c r="B3" s="1121"/>
      <c r="C3" s="1121"/>
      <c r="D3" s="1121"/>
      <c r="E3" s="1121"/>
      <c r="F3" s="1121"/>
    </row>
    <row r="6" spans="1:6" ht="23.25" customHeight="1"/>
    <row r="22" spans="1:2" ht="66" customHeight="1">
      <c r="A22" s="1116"/>
      <c r="B22" s="1116"/>
    </row>
    <row r="401" ht="12" customHeight="1"/>
  </sheetData>
  <mergeCells count="3">
    <mergeCell ref="A22:B22"/>
    <mergeCell ref="A2:F2"/>
    <mergeCell ref="A3:F3"/>
  </mergeCells>
  <printOptions horizontalCentered="1"/>
  <pageMargins left="0.78740157480314965" right="0.78740157480314965" top="0.59055118110236227" bottom="0.78740157480314965" header="0.51181102362204722" footer="0.59055118110236227"/>
  <pageSetup paperSize="9" scale="46" firstPageNumber="165" fitToHeight="3" orientation="landscape" useFirstPageNumber="1" r:id="rId1"/>
  <headerFooter alignWithMargins="0">
    <oddFooter>&amp;C&amp;12página &amp;P</oddFooter>
  </headerFooter>
  <rowBreaks count="3" manualBreakCount="3">
    <brk id="70" max="5" man="1"/>
    <brk id="142" max="5" man="1"/>
    <brk id="219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142"/>
  <sheetViews>
    <sheetView showGridLines="0" view="pageBreakPreview" topLeftCell="A118" zoomScale="80" zoomScaleNormal="50" zoomScaleSheetLayoutView="80" workbookViewId="0">
      <selection activeCell="F13" sqref="F13"/>
    </sheetView>
  </sheetViews>
  <sheetFormatPr defaultRowHeight="12.75"/>
  <cols>
    <col min="1" max="1" width="101.28515625" customWidth="1"/>
    <col min="2" max="2" width="38.5703125" customWidth="1"/>
    <col min="4" max="4" width="27.42578125" customWidth="1"/>
  </cols>
  <sheetData>
    <row r="1" spans="1:2" s="5" customFormat="1" ht="33.75">
      <c r="A1" s="486" t="s">
        <v>2092</v>
      </c>
      <c r="B1" s="486"/>
    </row>
    <row r="2" spans="1:2" s="5" customFormat="1" ht="29.25" customHeight="1">
      <c r="B2" s="487" t="str">
        <f>Resumo!E3</f>
        <v>Abril-16</v>
      </c>
    </row>
    <row r="5" spans="1:2" ht="23.25" customHeight="1"/>
    <row r="142" spans="1:2" ht="26.25">
      <c r="A142" s="1116"/>
      <c r="B142" s="1116"/>
    </row>
  </sheetData>
  <mergeCells count="1">
    <mergeCell ref="A142:B142"/>
  </mergeCells>
  <printOptions horizontalCentered="1"/>
  <pageMargins left="0.78740157480314965" right="0.78740157480314965" top="0.59055118110236227" bottom="0.78740157480314965" header="0.51181102362204722" footer="0.59055118110236227"/>
  <pageSetup paperSize="9" scale="48" firstPageNumber="171" fitToHeight="2" orientation="landscape" useFirstPageNumber="1" r:id="rId1"/>
  <headerFooter alignWithMargins="0">
    <oddFooter>&amp;C&amp;12página 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22"/>
  <sheetViews>
    <sheetView showGridLines="0" view="pageBreakPreview" topLeftCell="A85" zoomScale="80" zoomScaleNormal="70" zoomScaleSheetLayoutView="80" workbookViewId="0">
      <selection activeCell="F13" sqref="F13"/>
    </sheetView>
  </sheetViews>
  <sheetFormatPr defaultRowHeight="12.75"/>
  <cols>
    <col min="1" max="1" width="86.28515625" customWidth="1"/>
    <col min="2" max="2" width="40.5703125" customWidth="1"/>
    <col min="3" max="8" width="14.85546875" customWidth="1"/>
    <col min="12" max="12" width="14.42578125" customWidth="1"/>
  </cols>
  <sheetData>
    <row r="1" spans="1:2" s="5" customFormat="1" ht="33.75">
      <c r="A1" s="486" t="s">
        <v>2096</v>
      </c>
      <c r="B1" s="486"/>
    </row>
    <row r="2" spans="1:2" s="5" customFormat="1" ht="29.25" customHeight="1">
      <c r="B2" s="487" t="str">
        <f>Resumo!E3</f>
        <v>Abril-16</v>
      </c>
    </row>
    <row r="6" spans="1:2" ht="23.25" customHeight="1"/>
    <row r="22" spans="1:3" ht="66" customHeight="1">
      <c r="A22" s="1116"/>
      <c r="B22" s="1116"/>
      <c r="C22" s="1116"/>
    </row>
  </sheetData>
  <mergeCells count="1">
    <mergeCell ref="A22:C22"/>
  </mergeCells>
  <printOptions horizontalCentered="1"/>
  <pageMargins left="0.78740157480314965" right="0.78740157480314965" top="0.59055118110236227" bottom="0.78740157480314965" header="0.51181102362204722" footer="0.59055118110236227"/>
  <pageSetup paperSize="9" scale="48" firstPageNumber="173" fitToHeight="2" orientation="landscape" useFirstPageNumber="1" r:id="rId1"/>
  <headerFooter alignWithMargins="0">
    <oddFooter>&amp;C&amp;12página &amp;P</oddFooter>
  </headerFooter>
  <rowBreaks count="1" manualBreakCount="1">
    <brk id="66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4:C32"/>
  <sheetViews>
    <sheetView showGridLines="0" view="pageBreakPreview" topLeftCell="A7" zoomScale="80" zoomScaleNormal="110" zoomScaleSheetLayoutView="80" workbookViewId="0">
      <selection activeCell="F13" sqref="F13"/>
    </sheetView>
  </sheetViews>
  <sheetFormatPr defaultRowHeight="12.75"/>
  <cols>
    <col min="1" max="1" width="151.7109375" style="334" customWidth="1"/>
    <col min="2" max="2" width="13.7109375" style="334" bestFit="1" customWidth="1"/>
    <col min="3" max="16384" width="9.140625" style="12"/>
  </cols>
  <sheetData>
    <row r="4" spans="1:2" ht="26.25">
      <c r="A4" s="1088" t="s">
        <v>3</v>
      </c>
      <c r="B4" s="800"/>
    </row>
    <row r="5" spans="1:2" ht="18">
      <c r="A5" s="801"/>
      <c r="B5" s="801"/>
    </row>
    <row r="6" spans="1:2" ht="25.15" customHeight="1">
      <c r="A6" s="4" t="s">
        <v>4</v>
      </c>
      <c r="B6" s="802">
        <v>3</v>
      </c>
    </row>
    <row r="7" spans="1:2" ht="25.15" customHeight="1">
      <c r="A7" s="4" t="s">
        <v>5</v>
      </c>
      <c r="B7" s="802">
        <v>4</v>
      </c>
    </row>
    <row r="8" spans="1:2" ht="25.15" customHeight="1">
      <c r="A8" s="4" t="s">
        <v>2101</v>
      </c>
      <c r="B8" s="802" t="s">
        <v>6</v>
      </c>
    </row>
    <row r="9" spans="1:2" ht="25.15" customHeight="1">
      <c r="A9" s="4" t="s">
        <v>7</v>
      </c>
      <c r="B9" s="802" t="s">
        <v>2764</v>
      </c>
    </row>
    <row r="10" spans="1:2" ht="25.15" customHeight="1">
      <c r="A10" s="4" t="s">
        <v>2104</v>
      </c>
      <c r="B10" s="802" t="s">
        <v>7902</v>
      </c>
    </row>
    <row r="11" spans="1:2" ht="25.15" customHeight="1">
      <c r="A11" s="4" t="s">
        <v>2105</v>
      </c>
      <c r="B11" s="802" t="s">
        <v>7903</v>
      </c>
    </row>
    <row r="12" spans="1:2" ht="25.15" customHeight="1">
      <c r="A12" s="4" t="s">
        <v>8</v>
      </c>
      <c r="B12" s="802" t="s">
        <v>7904</v>
      </c>
    </row>
    <row r="13" spans="1:2" ht="25.15" customHeight="1">
      <c r="A13" s="4" t="s">
        <v>2106</v>
      </c>
      <c r="B13" s="802" t="s">
        <v>7905</v>
      </c>
    </row>
    <row r="14" spans="1:2" ht="25.15" customHeight="1">
      <c r="A14" s="4" t="s">
        <v>2107</v>
      </c>
      <c r="B14" s="802" t="s">
        <v>7906</v>
      </c>
    </row>
    <row r="15" spans="1:2" ht="25.15" customHeight="1">
      <c r="A15" s="4" t="s">
        <v>9</v>
      </c>
      <c r="B15" s="802" t="s">
        <v>7907</v>
      </c>
    </row>
    <row r="16" spans="1:2" ht="25.15" customHeight="1">
      <c r="A16" s="4" t="s">
        <v>10</v>
      </c>
      <c r="B16" s="802">
        <v>155</v>
      </c>
    </row>
    <row r="17" spans="1:3" ht="25.15" customHeight="1">
      <c r="A17" s="4" t="s">
        <v>11</v>
      </c>
      <c r="B17" s="802" t="s">
        <v>7908</v>
      </c>
    </row>
    <row r="18" spans="1:3" ht="25.15" customHeight="1">
      <c r="A18" s="4" t="s">
        <v>12</v>
      </c>
      <c r="B18" s="802" t="s">
        <v>7909</v>
      </c>
    </row>
    <row r="19" spans="1:3" ht="25.15" customHeight="1">
      <c r="A19" s="4" t="s">
        <v>13</v>
      </c>
      <c r="B19" s="802" t="s">
        <v>7910</v>
      </c>
    </row>
    <row r="20" spans="1:3" ht="25.15" customHeight="1">
      <c r="A20" s="4" t="s">
        <v>2102</v>
      </c>
      <c r="B20" s="802" t="s">
        <v>7911</v>
      </c>
    </row>
    <row r="21" spans="1:3" ht="25.15" customHeight="1">
      <c r="A21" s="4" t="s">
        <v>2103</v>
      </c>
      <c r="B21" s="802" t="s">
        <v>7912</v>
      </c>
    </row>
    <row r="22" spans="1:3" ht="25.15" customHeight="1">
      <c r="A22" s="4" t="s">
        <v>14</v>
      </c>
      <c r="B22" s="802" t="s">
        <v>7913</v>
      </c>
    </row>
    <row r="23" spans="1:3" ht="25.15" customHeight="1">
      <c r="A23" s="1089" t="s">
        <v>15</v>
      </c>
      <c r="B23" s="802">
        <v>177</v>
      </c>
    </row>
    <row r="24" spans="1:3" ht="25.15" customHeight="1">
      <c r="A24" s="4" t="s">
        <v>16</v>
      </c>
      <c r="B24" s="802" t="s">
        <v>7914</v>
      </c>
      <c r="C24" s="334"/>
    </row>
    <row r="25" spans="1:3" ht="25.15" customHeight="1">
      <c r="A25" s="4" t="s">
        <v>17</v>
      </c>
      <c r="B25" s="802" t="s">
        <v>7915</v>
      </c>
    </row>
    <row r="26" spans="1:3" ht="25.15" customHeight="1">
      <c r="A26" s="4" t="s">
        <v>18</v>
      </c>
      <c r="B26" s="802" t="s">
        <v>7916</v>
      </c>
    </row>
    <row r="27" spans="1:3" ht="25.15" customHeight="1">
      <c r="A27" s="4" t="s">
        <v>1937</v>
      </c>
      <c r="B27" s="802" t="s">
        <v>7917</v>
      </c>
    </row>
    <row r="28" spans="1:3" ht="25.15" customHeight="1">
      <c r="A28" s="4" t="s">
        <v>403</v>
      </c>
      <c r="B28" s="802" t="s">
        <v>7918</v>
      </c>
    </row>
    <row r="29" spans="1:3" ht="25.15" customHeight="1">
      <c r="A29" s="4" t="s">
        <v>19</v>
      </c>
      <c r="B29" s="802">
        <v>212</v>
      </c>
    </row>
    <row r="30" spans="1:3" ht="25.15" customHeight="1">
      <c r="A30" s="1089" t="s">
        <v>20</v>
      </c>
      <c r="B30" s="802">
        <v>213</v>
      </c>
    </row>
    <row r="31" spans="1:3" ht="25.15" customHeight="1">
      <c r="A31" s="4" t="s">
        <v>21</v>
      </c>
      <c r="B31" s="802">
        <v>214</v>
      </c>
    </row>
    <row r="32" spans="1:3" ht="25.15" customHeight="1">
      <c r="A32" s="4" t="s">
        <v>22</v>
      </c>
      <c r="B32" s="802">
        <v>215</v>
      </c>
    </row>
  </sheetData>
  <printOptions horizontalCentered="1"/>
  <pageMargins left="0.59055118110236227" right="0.59055118110236227" top="0.59055118110236227" bottom="0.59055118110236227" header="0.51181102362204722" footer="0.51181102362204722"/>
  <pageSetup paperSize="9" scale="60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R82"/>
  <sheetViews>
    <sheetView showGridLines="0" view="pageBreakPreview" topLeftCell="A42" zoomScale="80" zoomScaleNormal="70" zoomScaleSheetLayoutView="80" workbookViewId="0">
      <selection activeCell="F13" sqref="F13"/>
    </sheetView>
  </sheetViews>
  <sheetFormatPr defaultColWidth="9.28515625" defaultRowHeight="22.5"/>
  <cols>
    <col min="1" max="1" width="7" style="112" customWidth="1"/>
    <col min="2" max="2" width="4.7109375" style="699" customWidth="1"/>
    <col min="3" max="3" width="126.7109375" style="112" customWidth="1"/>
    <col min="4" max="6" width="30.5703125" style="112" customWidth="1"/>
    <col min="7" max="7" width="22.5703125" style="112" bestFit="1" customWidth="1"/>
    <col min="8" max="8" width="22.28515625" style="369" customWidth="1"/>
    <col min="9" max="9" width="19.28515625" style="112" bestFit="1" customWidth="1"/>
    <col min="10" max="10" width="11" style="112" customWidth="1"/>
    <col min="11" max="11" width="13.28515625" style="112" customWidth="1"/>
    <col min="12" max="16384" width="9.28515625" style="112"/>
  </cols>
  <sheetData>
    <row r="1" spans="1:10" ht="39" customHeight="1">
      <c r="A1" s="334"/>
      <c r="B1" s="239"/>
      <c r="C1" s="659"/>
      <c r="D1" s="660" t="s">
        <v>37</v>
      </c>
      <c r="E1" s="334"/>
      <c r="F1" s="334"/>
    </row>
    <row r="2" spans="1:10" ht="30">
      <c r="A2" s="661"/>
      <c r="B2" s="133"/>
      <c r="C2" s="662" t="s">
        <v>253</v>
      </c>
      <c r="D2" s="663" t="str">
        <f>Resumo!E3</f>
        <v>Abril-16</v>
      </c>
      <c r="E2" s="664"/>
      <c r="F2" s="664"/>
    </row>
    <row r="3" spans="1:10" ht="26.25" hidden="1" customHeight="1">
      <c r="A3" s="664"/>
      <c r="B3" s="133"/>
      <c r="C3" s="262"/>
      <c r="D3" s="262"/>
      <c r="E3" s="664"/>
      <c r="F3" s="664"/>
    </row>
    <row r="4" spans="1:10" s="669" customFormat="1" ht="23.25" thickBot="1">
      <c r="A4" s="665"/>
      <c r="B4" s="665"/>
      <c r="C4" s="666"/>
      <c r="D4" s="667"/>
      <c r="E4" s="667"/>
      <c r="F4" s="668" t="s">
        <v>30</v>
      </c>
      <c r="H4" s="670"/>
    </row>
    <row r="5" spans="1:10" ht="35.1" customHeight="1">
      <c r="A5" s="671" t="s">
        <v>254</v>
      </c>
      <c r="B5" s="672" t="s">
        <v>255</v>
      </c>
      <c r="C5" s="673"/>
      <c r="D5" s="654" t="s">
        <v>41</v>
      </c>
      <c r="E5" s="674" t="s">
        <v>42</v>
      </c>
      <c r="F5" s="656" t="s">
        <v>43</v>
      </c>
    </row>
    <row r="6" spans="1:10" ht="20.100000000000001" customHeight="1">
      <c r="A6" s="206"/>
      <c r="B6" s="128" t="s">
        <v>147</v>
      </c>
      <c r="C6" s="128" t="s">
        <v>45</v>
      </c>
      <c r="D6" s="36"/>
      <c r="E6" s="46"/>
      <c r="F6" s="30">
        <v>525682.19999999995</v>
      </c>
      <c r="G6" s="207"/>
      <c r="H6" s="366"/>
      <c r="I6" s="208"/>
      <c r="J6" s="208"/>
    </row>
    <row r="7" spans="1:10" ht="5.0999999999999996" customHeight="1">
      <c r="A7" s="109"/>
      <c r="B7" s="110"/>
      <c r="C7" s="111"/>
      <c r="D7" s="209"/>
      <c r="E7" s="33"/>
      <c r="F7" s="34"/>
      <c r="H7" s="367"/>
      <c r="I7" s="210"/>
    </row>
    <row r="8" spans="1:10" ht="20.100000000000001" customHeight="1">
      <c r="A8" s="211"/>
      <c r="B8" s="128" t="s">
        <v>46</v>
      </c>
      <c r="C8" s="128" t="s">
        <v>256</v>
      </c>
      <c r="D8" s="36">
        <f>'recebimentos CD'!F107</f>
        <v>1181776.711830006</v>
      </c>
      <c r="E8" s="46"/>
      <c r="F8" s="30"/>
      <c r="G8" s="212"/>
      <c r="H8" s="366"/>
      <c r="I8" s="208"/>
      <c r="J8" s="208"/>
    </row>
    <row r="9" spans="1:10" ht="5.0999999999999996" customHeight="1">
      <c r="A9" s="109"/>
      <c r="B9" s="110"/>
      <c r="C9" s="111"/>
      <c r="D9" s="209"/>
      <c r="E9" s="33"/>
      <c r="F9" s="34"/>
      <c r="H9" s="367"/>
      <c r="I9" s="210"/>
    </row>
    <row r="10" spans="1:10" ht="20.100000000000001" customHeight="1">
      <c r="A10" s="461"/>
      <c r="B10" s="128" t="s">
        <v>47</v>
      </c>
      <c r="C10" s="127" t="s">
        <v>257</v>
      </c>
      <c r="D10" s="116"/>
      <c r="E10" s="46">
        <v>659303.09999999974</v>
      </c>
      <c r="F10" s="30"/>
      <c r="G10" s="213"/>
      <c r="H10" s="368"/>
      <c r="I10" s="208"/>
      <c r="J10" s="208"/>
    </row>
    <row r="11" spans="1:10" ht="5.0999999999999996" customHeight="1">
      <c r="A11" s="109"/>
      <c r="B11" s="110"/>
      <c r="C11" s="111"/>
      <c r="D11" s="209"/>
      <c r="E11" s="33"/>
      <c r="F11" s="34"/>
      <c r="H11" s="367"/>
      <c r="I11" s="210"/>
    </row>
    <row r="12" spans="1:10">
      <c r="A12" s="211"/>
      <c r="B12" s="128" t="s">
        <v>49</v>
      </c>
      <c r="C12" s="127" t="s">
        <v>2054</v>
      </c>
      <c r="D12" s="36"/>
      <c r="E12" s="46">
        <f>D62</f>
        <v>1040000</v>
      </c>
      <c r="F12" s="30"/>
      <c r="H12" s="366"/>
      <c r="I12" s="208"/>
      <c r="J12" s="208"/>
    </row>
    <row r="13" spans="1:10" s="464" customFormat="1" ht="5.0999999999999996" customHeight="1">
      <c r="A13" s="521"/>
      <c r="B13" s="522"/>
      <c r="C13" s="111"/>
      <c r="D13" s="209"/>
      <c r="E13" s="33"/>
      <c r="F13" s="34"/>
      <c r="H13" s="523"/>
      <c r="I13" s="524"/>
    </row>
    <row r="14" spans="1:10" ht="27" customHeight="1">
      <c r="A14" s="211"/>
      <c r="B14" s="128" t="s">
        <v>51</v>
      </c>
      <c r="C14" s="127" t="s">
        <v>2055</v>
      </c>
      <c r="D14" s="36">
        <f>E64</f>
        <v>436000</v>
      </c>
      <c r="E14" s="46"/>
      <c r="F14" s="30"/>
      <c r="H14" s="366"/>
      <c r="I14" s="208"/>
      <c r="J14" s="208"/>
    </row>
    <row r="15" spans="1:10" ht="5.0999999999999996" customHeight="1">
      <c r="A15" s="109"/>
      <c r="B15" s="110"/>
      <c r="C15" s="111"/>
      <c r="D15" s="32"/>
      <c r="E15" s="33"/>
      <c r="F15" s="34"/>
      <c r="H15" s="367"/>
      <c r="I15" s="208"/>
    </row>
    <row r="16" spans="1:10" ht="27.75" customHeight="1">
      <c r="A16" s="211"/>
      <c r="B16" s="128" t="s">
        <v>53</v>
      </c>
      <c r="C16" s="119" t="s">
        <v>2517</v>
      </c>
      <c r="D16" s="120">
        <v>149.91</v>
      </c>
      <c r="E16" s="37"/>
      <c r="F16" s="30"/>
      <c r="H16" s="366"/>
      <c r="I16" s="208"/>
      <c r="J16" s="208"/>
    </row>
    <row r="17" spans="1:252" ht="5.0999999999999996" customHeight="1">
      <c r="A17" s="109"/>
      <c r="B17" s="110"/>
      <c r="C17" s="111"/>
      <c r="D17" s="209"/>
      <c r="E17" s="33"/>
      <c r="F17" s="34"/>
      <c r="H17" s="367"/>
      <c r="I17" s="208"/>
    </row>
    <row r="18" spans="1:252" ht="48" hidden="1" customHeight="1">
      <c r="A18" s="211"/>
      <c r="B18" s="128" t="s">
        <v>54</v>
      </c>
      <c r="C18" s="119" t="s">
        <v>2053</v>
      </c>
      <c r="D18" s="120"/>
      <c r="E18" s="37"/>
      <c r="F18" s="30"/>
      <c r="H18" s="366"/>
      <c r="I18" s="208"/>
      <c r="J18" s="372"/>
    </row>
    <row r="19" spans="1:252" ht="5.0999999999999996" hidden="1" customHeight="1">
      <c r="A19" s="109"/>
      <c r="B19" s="110"/>
      <c r="C19" s="111"/>
      <c r="D19" s="209"/>
      <c r="E19" s="33"/>
      <c r="F19" s="34"/>
      <c r="H19" s="367"/>
      <c r="I19" s="208"/>
    </row>
    <row r="20" spans="1:252" ht="48" hidden="1" customHeight="1">
      <c r="A20" s="211"/>
      <c r="B20" s="128" t="s">
        <v>57</v>
      </c>
      <c r="C20" s="119" t="s">
        <v>1921</v>
      </c>
      <c r="D20" s="120"/>
      <c r="E20" s="37"/>
      <c r="F20" s="30"/>
      <c r="H20" s="366"/>
      <c r="I20" s="208"/>
      <c r="J20" s="208"/>
    </row>
    <row r="21" spans="1:252" ht="5.0999999999999996" hidden="1" customHeight="1">
      <c r="A21" s="109"/>
      <c r="B21" s="110"/>
      <c r="C21" s="111"/>
      <c r="D21" s="209"/>
      <c r="E21" s="33"/>
      <c r="F21" s="34"/>
      <c r="H21" s="367"/>
      <c r="I21" s="208"/>
    </row>
    <row r="22" spans="1:252" ht="32.25" hidden="1" customHeight="1">
      <c r="A22" s="292"/>
      <c r="B22" s="293" t="s">
        <v>59</v>
      </c>
      <c r="C22" s="294" t="s">
        <v>1920</v>
      </c>
      <c r="D22" s="482"/>
      <c r="E22" s="295"/>
      <c r="F22" s="296"/>
      <c r="H22" s="366"/>
      <c r="I22" s="208"/>
      <c r="J22" s="208"/>
    </row>
    <row r="23" spans="1:252" ht="63" customHeight="1">
      <c r="A23" s="292"/>
      <c r="B23" s="1091" t="s">
        <v>54</v>
      </c>
      <c r="C23" s="935" t="s">
        <v>7791</v>
      </c>
      <c r="D23" s="120">
        <v>30000</v>
      </c>
      <c r="E23" s="295"/>
      <c r="F23" s="343"/>
      <c r="H23" s="366"/>
      <c r="I23" s="208"/>
      <c r="J23" s="372"/>
    </row>
    <row r="24" spans="1:252" ht="63" customHeight="1">
      <c r="A24" s="292"/>
      <c r="B24" s="1091" t="s">
        <v>57</v>
      </c>
      <c r="C24" s="294" t="s">
        <v>7792</v>
      </c>
      <c r="D24" s="482">
        <v>845.13</v>
      </c>
      <c r="E24" s="295"/>
      <c r="F24" s="343"/>
      <c r="H24" s="366"/>
      <c r="I24" s="208"/>
      <c r="J24" s="372"/>
    </row>
    <row r="25" spans="1:252" s="464" customFormat="1">
      <c r="A25" s="616" t="s">
        <v>258</v>
      </c>
      <c r="B25" s="128" t="s">
        <v>59</v>
      </c>
      <c r="C25" s="214" t="s">
        <v>7787</v>
      </c>
      <c r="D25" s="36"/>
      <c r="E25" s="46"/>
      <c r="F25" s="46"/>
      <c r="H25" s="515"/>
      <c r="I25" s="516"/>
      <c r="J25" s="516"/>
    </row>
    <row r="26" spans="1:252" s="464" customFormat="1" ht="20.100000000000001" customHeight="1">
      <c r="A26" s="614"/>
      <c r="B26" s="217"/>
      <c r="C26" s="129" t="s">
        <v>58</v>
      </c>
      <c r="D26" s="39"/>
      <c r="E26" s="39">
        <v>78131.81</v>
      </c>
      <c r="F26" s="40"/>
      <c r="G26" s="518"/>
      <c r="H26" s="519"/>
      <c r="I26" s="520"/>
      <c r="J26" s="520"/>
      <c r="K26" s="518"/>
      <c r="L26" s="518"/>
      <c r="M26" s="518"/>
      <c r="N26" s="518"/>
      <c r="O26" s="518"/>
      <c r="P26" s="518"/>
      <c r="Q26" s="518"/>
      <c r="R26" s="518"/>
      <c r="S26" s="518"/>
      <c r="T26" s="518"/>
      <c r="U26" s="518"/>
      <c r="V26" s="518"/>
      <c r="W26" s="518"/>
      <c r="X26" s="518"/>
      <c r="Y26" s="518"/>
      <c r="Z26" s="518"/>
      <c r="AA26" s="518"/>
      <c r="AB26" s="518"/>
      <c r="AC26" s="518"/>
      <c r="AD26" s="518"/>
      <c r="AE26" s="518"/>
      <c r="AF26" s="518"/>
      <c r="AG26" s="518"/>
      <c r="AH26" s="518"/>
      <c r="AI26" s="518"/>
      <c r="AJ26" s="518"/>
      <c r="AK26" s="518"/>
      <c r="AL26" s="518"/>
      <c r="AM26" s="518"/>
      <c r="AN26" s="518"/>
      <c r="AO26" s="518"/>
      <c r="AP26" s="518"/>
      <c r="AQ26" s="518"/>
      <c r="AR26" s="518"/>
      <c r="AS26" s="518"/>
      <c r="AT26" s="518"/>
      <c r="AU26" s="518"/>
      <c r="AV26" s="518"/>
      <c r="AW26" s="518"/>
      <c r="AX26" s="518"/>
      <c r="AY26" s="518"/>
      <c r="AZ26" s="518"/>
      <c r="BA26" s="518"/>
      <c r="BB26" s="518"/>
      <c r="BC26" s="518"/>
      <c r="BD26" s="518"/>
      <c r="BE26" s="518"/>
      <c r="BF26" s="518"/>
      <c r="BG26" s="518"/>
      <c r="BH26" s="518"/>
      <c r="BI26" s="518"/>
      <c r="BJ26" s="518"/>
      <c r="BK26" s="518"/>
      <c r="BL26" s="518"/>
      <c r="BM26" s="518"/>
      <c r="BN26" s="518"/>
      <c r="BO26" s="518"/>
      <c r="BP26" s="518"/>
      <c r="BQ26" s="518"/>
      <c r="BR26" s="518"/>
      <c r="BS26" s="518"/>
      <c r="BT26" s="518"/>
      <c r="BU26" s="518"/>
      <c r="BV26" s="518"/>
      <c r="BW26" s="518"/>
      <c r="BX26" s="518"/>
      <c r="BY26" s="518"/>
      <c r="BZ26" s="518"/>
      <c r="CA26" s="518"/>
      <c r="CB26" s="518"/>
      <c r="CC26" s="518"/>
      <c r="CD26" s="518"/>
      <c r="CE26" s="518"/>
      <c r="CF26" s="518"/>
      <c r="CG26" s="518"/>
      <c r="CH26" s="518"/>
      <c r="CI26" s="518"/>
      <c r="CJ26" s="518"/>
      <c r="CK26" s="518"/>
      <c r="CL26" s="518"/>
      <c r="CM26" s="518"/>
      <c r="CN26" s="518"/>
      <c r="CO26" s="518"/>
      <c r="CP26" s="518"/>
      <c r="CQ26" s="518"/>
      <c r="CR26" s="518"/>
      <c r="CS26" s="518"/>
      <c r="CT26" s="518"/>
      <c r="CU26" s="518"/>
      <c r="CV26" s="518"/>
      <c r="CW26" s="518"/>
      <c r="CX26" s="518"/>
      <c r="CY26" s="518"/>
      <c r="CZ26" s="518"/>
      <c r="DA26" s="518"/>
      <c r="DB26" s="518"/>
      <c r="DC26" s="518"/>
      <c r="DD26" s="518"/>
      <c r="DE26" s="518"/>
      <c r="DF26" s="518"/>
      <c r="DG26" s="518"/>
      <c r="DH26" s="518"/>
      <c r="DI26" s="518"/>
      <c r="DJ26" s="518"/>
      <c r="DK26" s="518"/>
      <c r="DL26" s="518"/>
      <c r="DM26" s="518"/>
      <c r="DN26" s="518"/>
      <c r="DO26" s="518"/>
      <c r="DP26" s="518"/>
      <c r="DQ26" s="518"/>
      <c r="DR26" s="518"/>
      <c r="DS26" s="518"/>
      <c r="DT26" s="518"/>
      <c r="DU26" s="518"/>
      <c r="DV26" s="518"/>
      <c r="DW26" s="518"/>
      <c r="DX26" s="518"/>
      <c r="DY26" s="518"/>
      <c r="DZ26" s="518"/>
      <c r="EA26" s="518"/>
      <c r="EB26" s="518"/>
      <c r="EC26" s="518"/>
      <c r="ED26" s="518"/>
      <c r="EE26" s="518"/>
      <c r="EF26" s="518"/>
      <c r="EG26" s="518"/>
      <c r="EH26" s="518"/>
      <c r="EI26" s="518"/>
      <c r="EJ26" s="518"/>
      <c r="EK26" s="518"/>
      <c r="EL26" s="518"/>
      <c r="EM26" s="518"/>
      <c r="EN26" s="518"/>
      <c r="EO26" s="518"/>
      <c r="EP26" s="518"/>
      <c r="EQ26" s="518"/>
      <c r="ER26" s="518"/>
      <c r="ES26" s="518"/>
      <c r="ET26" s="518"/>
      <c r="EU26" s="518"/>
      <c r="EV26" s="518"/>
      <c r="EW26" s="518"/>
      <c r="EX26" s="518"/>
      <c r="EY26" s="518"/>
      <c r="EZ26" s="518"/>
      <c r="FA26" s="518"/>
      <c r="FB26" s="518"/>
      <c r="FC26" s="518"/>
      <c r="FD26" s="518"/>
      <c r="FE26" s="518"/>
      <c r="FF26" s="518"/>
      <c r="FG26" s="518"/>
      <c r="FH26" s="518"/>
      <c r="FI26" s="518"/>
      <c r="FJ26" s="518"/>
      <c r="FK26" s="518"/>
      <c r="FL26" s="518"/>
      <c r="FM26" s="518"/>
      <c r="FN26" s="518"/>
      <c r="FO26" s="518"/>
      <c r="FP26" s="518"/>
      <c r="FQ26" s="518"/>
      <c r="FR26" s="518"/>
      <c r="FS26" s="518"/>
      <c r="FT26" s="518"/>
      <c r="FU26" s="518"/>
      <c r="FV26" s="518"/>
      <c r="FW26" s="518"/>
      <c r="FX26" s="518"/>
      <c r="FY26" s="518"/>
      <c r="FZ26" s="518"/>
      <c r="GA26" s="518"/>
      <c r="GB26" s="518"/>
      <c r="GC26" s="518"/>
      <c r="GD26" s="518"/>
      <c r="GE26" s="518"/>
      <c r="GF26" s="518"/>
      <c r="GG26" s="518"/>
      <c r="GH26" s="518"/>
      <c r="GI26" s="518"/>
      <c r="GJ26" s="518"/>
      <c r="GK26" s="518"/>
      <c r="GL26" s="518"/>
      <c r="GM26" s="518"/>
      <c r="GN26" s="518"/>
      <c r="GO26" s="518"/>
      <c r="GP26" s="518"/>
      <c r="GQ26" s="518"/>
      <c r="GR26" s="518"/>
      <c r="GS26" s="518"/>
      <c r="GT26" s="518"/>
      <c r="GU26" s="518"/>
      <c r="GV26" s="518"/>
      <c r="GW26" s="518"/>
      <c r="GX26" s="518"/>
      <c r="GY26" s="518"/>
      <c r="GZ26" s="518"/>
      <c r="HA26" s="518"/>
      <c r="HB26" s="518"/>
      <c r="HC26" s="518"/>
      <c r="HD26" s="518"/>
      <c r="HE26" s="518"/>
      <c r="HF26" s="518"/>
      <c r="HG26" s="518"/>
      <c r="HH26" s="518"/>
      <c r="HI26" s="518"/>
      <c r="HJ26" s="518"/>
      <c r="HK26" s="518"/>
      <c r="HL26" s="518"/>
      <c r="HM26" s="518"/>
      <c r="HN26" s="518"/>
      <c r="HO26" s="518"/>
      <c r="HP26" s="518"/>
      <c r="HQ26" s="518"/>
      <c r="HR26" s="518"/>
      <c r="HS26" s="518"/>
      <c r="HT26" s="518"/>
      <c r="HU26" s="518"/>
      <c r="HV26" s="518"/>
      <c r="HW26" s="518"/>
      <c r="HX26" s="518"/>
      <c r="HY26" s="518"/>
      <c r="HZ26" s="518"/>
      <c r="IA26" s="518"/>
      <c r="IB26" s="518"/>
      <c r="IC26" s="518"/>
      <c r="ID26" s="518"/>
      <c r="IE26" s="518"/>
      <c r="IF26" s="518"/>
      <c r="IG26" s="518"/>
      <c r="IH26" s="518"/>
      <c r="II26" s="518"/>
      <c r="IJ26" s="518"/>
      <c r="IK26" s="518"/>
      <c r="IL26" s="518"/>
      <c r="IM26" s="518"/>
      <c r="IN26" s="518"/>
      <c r="IO26" s="518"/>
      <c r="IP26" s="518"/>
      <c r="IQ26" s="518"/>
      <c r="IR26" s="518"/>
    </row>
    <row r="27" spans="1:252" s="464" customFormat="1" ht="20.100000000000001" customHeight="1">
      <c r="A27" s="617"/>
      <c r="B27" s="517"/>
      <c r="C27" s="218" t="s">
        <v>143</v>
      </c>
      <c r="D27" s="42"/>
      <c r="E27" s="43">
        <v>38073.26</v>
      </c>
      <c r="F27" s="43"/>
      <c r="G27" s="518"/>
      <c r="H27" s="519"/>
      <c r="I27" s="520"/>
      <c r="J27" s="520"/>
      <c r="K27" s="518"/>
      <c r="L27" s="518"/>
      <c r="M27" s="518"/>
      <c r="N27" s="518"/>
      <c r="O27" s="518"/>
      <c r="P27" s="518"/>
      <c r="Q27" s="518"/>
      <c r="R27" s="518"/>
      <c r="S27" s="518"/>
      <c r="T27" s="518"/>
      <c r="U27" s="518"/>
      <c r="V27" s="518"/>
      <c r="W27" s="518"/>
      <c r="X27" s="518"/>
      <c r="Y27" s="518"/>
      <c r="Z27" s="518"/>
      <c r="AA27" s="518"/>
      <c r="AB27" s="518"/>
      <c r="AC27" s="518"/>
      <c r="AD27" s="518"/>
      <c r="AE27" s="518"/>
      <c r="AF27" s="518"/>
      <c r="AG27" s="518"/>
      <c r="AH27" s="518"/>
      <c r="AI27" s="518"/>
      <c r="AJ27" s="518"/>
      <c r="AK27" s="518"/>
      <c r="AL27" s="518"/>
      <c r="AM27" s="518"/>
      <c r="AN27" s="518"/>
      <c r="AO27" s="518"/>
      <c r="AP27" s="518"/>
      <c r="AQ27" s="518"/>
      <c r="AR27" s="518"/>
      <c r="AS27" s="518"/>
      <c r="AT27" s="518"/>
      <c r="AU27" s="518"/>
      <c r="AV27" s="518"/>
      <c r="AW27" s="518"/>
      <c r="AX27" s="518"/>
      <c r="AY27" s="518"/>
      <c r="AZ27" s="518"/>
      <c r="BA27" s="518"/>
      <c r="BB27" s="518"/>
      <c r="BC27" s="518"/>
      <c r="BD27" s="518"/>
      <c r="BE27" s="518"/>
      <c r="BF27" s="518"/>
      <c r="BG27" s="518"/>
      <c r="BH27" s="518"/>
      <c r="BI27" s="518"/>
      <c r="BJ27" s="518"/>
      <c r="BK27" s="518"/>
      <c r="BL27" s="518"/>
      <c r="BM27" s="518"/>
      <c r="BN27" s="518"/>
      <c r="BO27" s="518"/>
      <c r="BP27" s="518"/>
      <c r="BQ27" s="518"/>
      <c r="BR27" s="518"/>
      <c r="BS27" s="518"/>
      <c r="BT27" s="518"/>
      <c r="BU27" s="518"/>
      <c r="BV27" s="518"/>
      <c r="BW27" s="518"/>
      <c r="BX27" s="518"/>
      <c r="BY27" s="518"/>
      <c r="BZ27" s="518"/>
      <c r="CA27" s="518"/>
      <c r="CB27" s="518"/>
      <c r="CC27" s="518"/>
      <c r="CD27" s="518"/>
      <c r="CE27" s="518"/>
      <c r="CF27" s="518"/>
      <c r="CG27" s="518"/>
      <c r="CH27" s="518"/>
      <c r="CI27" s="518"/>
      <c r="CJ27" s="518"/>
      <c r="CK27" s="518"/>
      <c r="CL27" s="518"/>
      <c r="CM27" s="518"/>
      <c r="CN27" s="518"/>
      <c r="CO27" s="518"/>
      <c r="CP27" s="518"/>
      <c r="CQ27" s="518"/>
      <c r="CR27" s="518"/>
      <c r="CS27" s="518"/>
      <c r="CT27" s="518"/>
      <c r="CU27" s="518"/>
      <c r="CV27" s="518"/>
      <c r="CW27" s="518"/>
      <c r="CX27" s="518"/>
      <c r="CY27" s="518"/>
      <c r="CZ27" s="518"/>
      <c r="DA27" s="518"/>
      <c r="DB27" s="518"/>
      <c r="DC27" s="518"/>
      <c r="DD27" s="518"/>
      <c r="DE27" s="518"/>
      <c r="DF27" s="518"/>
      <c r="DG27" s="518"/>
      <c r="DH27" s="518"/>
      <c r="DI27" s="518"/>
      <c r="DJ27" s="518"/>
      <c r="DK27" s="518"/>
      <c r="DL27" s="518"/>
      <c r="DM27" s="518"/>
      <c r="DN27" s="518"/>
      <c r="DO27" s="518"/>
      <c r="DP27" s="518"/>
      <c r="DQ27" s="518"/>
      <c r="DR27" s="518"/>
      <c r="DS27" s="518"/>
      <c r="DT27" s="518"/>
      <c r="DU27" s="518"/>
      <c r="DV27" s="518"/>
      <c r="DW27" s="518"/>
      <c r="DX27" s="518"/>
      <c r="DY27" s="518"/>
      <c r="DZ27" s="518"/>
      <c r="EA27" s="518"/>
      <c r="EB27" s="518"/>
      <c r="EC27" s="518"/>
      <c r="ED27" s="518"/>
      <c r="EE27" s="518"/>
      <c r="EF27" s="518"/>
      <c r="EG27" s="518"/>
      <c r="EH27" s="518"/>
      <c r="EI27" s="518"/>
      <c r="EJ27" s="518"/>
      <c r="EK27" s="518"/>
      <c r="EL27" s="518"/>
      <c r="EM27" s="518"/>
      <c r="EN27" s="518"/>
      <c r="EO27" s="518"/>
      <c r="EP27" s="518"/>
      <c r="EQ27" s="518"/>
      <c r="ER27" s="518"/>
      <c r="ES27" s="518"/>
      <c r="ET27" s="518"/>
      <c r="EU27" s="518"/>
      <c r="EV27" s="518"/>
      <c r="EW27" s="518"/>
      <c r="EX27" s="518"/>
      <c r="EY27" s="518"/>
      <c r="EZ27" s="518"/>
      <c r="FA27" s="518"/>
      <c r="FB27" s="518"/>
      <c r="FC27" s="518"/>
      <c r="FD27" s="518"/>
      <c r="FE27" s="518"/>
      <c r="FF27" s="518"/>
      <c r="FG27" s="518"/>
      <c r="FH27" s="518"/>
      <c r="FI27" s="518"/>
      <c r="FJ27" s="518"/>
      <c r="FK27" s="518"/>
      <c r="FL27" s="518"/>
      <c r="FM27" s="518"/>
      <c r="FN27" s="518"/>
      <c r="FO27" s="518"/>
      <c r="FP27" s="518"/>
      <c r="FQ27" s="518"/>
      <c r="FR27" s="518"/>
      <c r="FS27" s="518"/>
      <c r="FT27" s="518"/>
      <c r="FU27" s="518"/>
      <c r="FV27" s="518"/>
      <c r="FW27" s="518"/>
      <c r="FX27" s="518"/>
      <c r="FY27" s="518"/>
      <c r="FZ27" s="518"/>
      <c r="GA27" s="518"/>
      <c r="GB27" s="518"/>
      <c r="GC27" s="518"/>
      <c r="GD27" s="518"/>
      <c r="GE27" s="518"/>
      <c r="GF27" s="518"/>
      <c r="GG27" s="518"/>
      <c r="GH27" s="518"/>
      <c r="GI27" s="518"/>
      <c r="GJ27" s="518"/>
      <c r="GK27" s="518"/>
      <c r="GL27" s="518"/>
      <c r="GM27" s="518"/>
      <c r="GN27" s="518"/>
      <c r="GO27" s="518"/>
      <c r="GP27" s="518"/>
      <c r="GQ27" s="518"/>
      <c r="GR27" s="518"/>
      <c r="GS27" s="518"/>
      <c r="GT27" s="518"/>
      <c r="GU27" s="518"/>
      <c r="GV27" s="518"/>
      <c r="GW27" s="518"/>
      <c r="GX27" s="518"/>
      <c r="GY27" s="518"/>
      <c r="GZ27" s="518"/>
      <c r="HA27" s="518"/>
      <c r="HB27" s="518"/>
      <c r="HC27" s="518"/>
      <c r="HD27" s="518"/>
      <c r="HE27" s="518"/>
      <c r="HF27" s="518"/>
      <c r="HG27" s="518"/>
      <c r="HH27" s="518"/>
      <c r="HI27" s="518"/>
      <c r="HJ27" s="518"/>
      <c r="HK27" s="518"/>
      <c r="HL27" s="518"/>
      <c r="HM27" s="518"/>
      <c r="HN27" s="518"/>
      <c r="HO27" s="518"/>
      <c r="HP27" s="518"/>
      <c r="HQ27" s="518"/>
      <c r="HR27" s="518"/>
      <c r="HS27" s="518"/>
      <c r="HT27" s="518"/>
      <c r="HU27" s="518"/>
      <c r="HV27" s="518"/>
      <c r="HW27" s="518"/>
      <c r="HX27" s="518"/>
      <c r="HY27" s="518"/>
      <c r="HZ27" s="518"/>
      <c r="IA27" s="518"/>
      <c r="IB27" s="518"/>
      <c r="IC27" s="518"/>
      <c r="ID27" s="518"/>
      <c r="IE27" s="518"/>
      <c r="IF27" s="518"/>
      <c r="IG27" s="518"/>
      <c r="IH27" s="518"/>
      <c r="II27" s="518"/>
      <c r="IJ27" s="518"/>
      <c r="IK27" s="518"/>
      <c r="IL27" s="518"/>
      <c r="IM27" s="518"/>
      <c r="IN27" s="518"/>
      <c r="IO27" s="518"/>
      <c r="IP27" s="518"/>
      <c r="IQ27" s="518"/>
      <c r="IR27" s="518"/>
    </row>
    <row r="28" spans="1:252" s="464" customFormat="1" ht="5.0999999999999996" customHeight="1">
      <c r="A28" s="615"/>
      <c r="B28" s="110"/>
      <c r="C28" s="111"/>
      <c r="D28" s="209"/>
      <c r="E28" s="33"/>
      <c r="F28" s="33"/>
      <c r="H28" s="523"/>
      <c r="I28" s="524"/>
    </row>
    <row r="29" spans="1:252" s="464" customFormat="1">
      <c r="A29" s="612"/>
      <c r="B29" s="613" t="s">
        <v>60</v>
      </c>
      <c r="C29" s="219" t="s">
        <v>7786</v>
      </c>
      <c r="D29" s="107"/>
      <c r="E29" s="108"/>
      <c r="F29" s="108"/>
      <c r="H29" s="515"/>
      <c r="I29" s="516"/>
      <c r="J29" s="516"/>
    </row>
    <row r="30" spans="1:252" s="464" customFormat="1" ht="20.100000000000001" hidden="1" customHeight="1">
      <c r="A30" s="614"/>
      <c r="B30" s="217"/>
      <c r="C30" s="215" t="s">
        <v>55</v>
      </c>
      <c r="D30" s="42"/>
      <c r="E30" s="43"/>
      <c r="F30" s="43"/>
      <c r="G30" s="518"/>
      <c r="H30" s="519"/>
      <c r="I30" s="520"/>
      <c r="J30" s="520"/>
      <c r="K30" s="518"/>
      <c r="L30" s="518"/>
      <c r="M30" s="518"/>
      <c r="N30" s="518"/>
      <c r="O30" s="518"/>
      <c r="P30" s="518"/>
      <c r="Q30" s="518"/>
      <c r="R30" s="518"/>
      <c r="S30" s="518"/>
      <c r="T30" s="518"/>
      <c r="U30" s="518"/>
      <c r="V30" s="518"/>
      <c r="W30" s="518"/>
      <c r="X30" s="518"/>
      <c r="Y30" s="518"/>
      <c r="Z30" s="518"/>
      <c r="AA30" s="518"/>
      <c r="AB30" s="518"/>
      <c r="AC30" s="518"/>
      <c r="AD30" s="518"/>
      <c r="AE30" s="518"/>
      <c r="AF30" s="518"/>
      <c r="AG30" s="518"/>
      <c r="AH30" s="518"/>
      <c r="AI30" s="518"/>
      <c r="AJ30" s="518"/>
      <c r="AK30" s="518"/>
      <c r="AL30" s="518"/>
      <c r="AM30" s="518"/>
      <c r="AN30" s="518"/>
      <c r="AO30" s="518"/>
      <c r="AP30" s="518"/>
      <c r="AQ30" s="518"/>
      <c r="AR30" s="518"/>
      <c r="AS30" s="518"/>
      <c r="AT30" s="518"/>
      <c r="AU30" s="518"/>
      <c r="AV30" s="518"/>
      <c r="AW30" s="518"/>
      <c r="AX30" s="518"/>
      <c r="AY30" s="518"/>
      <c r="AZ30" s="518"/>
      <c r="BA30" s="518"/>
      <c r="BB30" s="518"/>
      <c r="BC30" s="518"/>
      <c r="BD30" s="518"/>
      <c r="BE30" s="518"/>
      <c r="BF30" s="518"/>
      <c r="BG30" s="518"/>
      <c r="BH30" s="518"/>
      <c r="BI30" s="518"/>
      <c r="BJ30" s="518"/>
      <c r="BK30" s="518"/>
      <c r="BL30" s="518"/>
      <c r="BM30" s="518"/>
      <c r="BN30" s="518"/>
      <c r="BO30" s="518"/>
      <c r="BP30" s="518"/>
      <c r="BQ30" s="518"/>
      <c r="BR30" s="518"/>
      <c r="BS30" s="518"/>
      <c r="BT30" s="518"/>
      <c r="BU30" s="518"/>
      <c r="BV30" s="518"/>
      <c r="BW30" s="518"/>
      <c r="BX30" s="518"/>
      <c r="BY30" s="518"/>
      <c r="BZ30" s="518"/>
      <c r="CA30" s="518"/>
      <c r="CB30" s="518"/>
      <c r="CC30" s="518"/>
      <c r="CD30" s="518"/>
      <c r="CE30" s="518"/>
      <c r="CF30" s="518"/>
      <c r="CG30" s="518"/>
      <c r="CH30" s="518"/>
      <c r="CI30" s="518"/>
      <c r="CJ30" s="518"/>
      <c r="CK30" s="518"/>
      <c r="CL30" s="518"/>
      <c r="CM30" s="518"/>
      <c r="CN30" s="518"/>
      <c r="CO30" s="518"/>
      <c r="CP30" s="518"/>
      <c r="CQ30" s="518"/>
      <c r="CR30" s="518"/>
      <c r="CS30" s="518"/>
      <c r="CT30" s="518"/>
      <c r="CU30" s="518"/>
      <c r="CV30" s="518"/>
      <c r="CW30" s="518"/>
      <c r="CX30" s="518"/>
      <c r="CY30" s="518"/>
      <c r="CZ30" s="518"/>
      <c r="DA30" s="518"/>
      <c r="DB30" s="518"/>
      <c r="DC30" s="518"/>
      <c r="DD30" s="518"/>
      <c r="DE30" s="518"/>
      <c r="DF30" s="518"/>
      <c r="DG30" s="518"/>
      <c r="DH30" s="518"/>
      <c r="DI30" s="518"/>
      <c r="DJ30" s="518"/>
      <c r="DK30" s="518"/>
      <c r="DL30" s="518"/>
      <c r="DM30" s="518"/>
      <c r="DN30" s="518"/>
      <c r="DO30" s="518"/>
      <c r="DP30" s="518"/>
      <c r="DQ30" s="518"/>
      <c r="DR30" s="518"/>
      <c r="DS30" s="518"/>
      <c r="DT30" s="518"/>
      <c r="DU30" s="518"/>
      <c r="DV30" s="518"/>
      <c r="DW30" s="518"/>
      <c r="DX30" s="518"/>
      <c r="DY30" s="518"/>
      <c r="DZ30" s="518"/>
      <c r="EA30" s="518"/>
      <c r="EB30" s="518"/>
      <c r="EC30" s="518"/>
      <c r="ED30" s="518"/>
      <c r="EE30" s="518"/>
      <c r="EF30" s="518"/>
      <c r="EG30" s="518"/>
      <c r="EH30" s="518"/>
      <c r="EI30" s="518"/>
      <c r="EJ30" s="518"/>
      <c r="EK30" s="518"/>
      <c r="EL30" s="518"/>
      <c r="EM30" s="518"/>
      <c r="EN30" s="518"/>
      <c r="EO30" s="518"/>
      <c r="EP30" s="518"/>
      <c r="EQ30" s="518"/>
      <c r="ER30" s="518"/>
      <c r="ES30" s="518"/>
      <c r="ET30" s="518"/>
      <c r="EU30" s="518"/>
      <c r="EV30" s="518"/>
      <c r="EW30" s="518"/>
      <c r="EX30" s="518"/>
      <c r="EY30" s="518"/>
      <c r="EZ30" s="518"/>
      <c r="FA30" s="518"/>
      <c r="FB30" s="518"/>
      <c r="FC30" s="518"/>
      <c r="FD30" s="518"/>
      <c r="FE30" s="518"/>
      <c r="FF30" s="518"/>
      <c r="FG30" s="518"/>
      <c r="FH30" s="518"/>
      <c r="FI30" s="518"/>
      <c r="FJ30" s="518"/>
      <c r="FK30" s="518"/>
      <c r="FL30" s="518"/>
      <c r="FM30" s="518"/>
      <c r="FN30" s="518"/>
      <c r="FO30" s="518"/>
      <c r="FP30" s="518"/>
      <c r="FQ30" s="518"/>
      <c r="FR30" s="518"/>
      <c r="FS30" s="518"/>
      <c r="FT30" s="518"/>
      <c r="FU30" s="518"/>
      <c r="FV30" s="518"/>
      <c r="FW30" s="518"/>
      <c r="FX30" s="518"/>
      <c r="FY30" s="518"/>
      <c r="FZ30" s="518"/>
      <c r="GA30" s="518"/>
      <c r="GB30" s="518"/>
      <c r="GC30" s="518"/>
      <c r="GD30" s="518"/>
      <c r="GE30" s="518"/>
      <c r="GF30" s="518"/>
      <c r="GG30" s="518"/>
      <c r="GH30" s="518"/>
      <c r="GI30" s="518"/>
      <c r="GJ30" s="518"/>
      <c r="GK30" s="518"/>
      <c r="GL30" s="518"/>
      <c r="GM30" s="518"/>
      <c r="GN30" s="518"/>
      <c r="GO30" s="518"/>
      <c r="GP30" s="518"/>
      <c r="GQ30" s="518"/>
      <c r="GR30" s="518"/>
      <c r="GS30" s="518"/>
      <c r="GT30" s="518"/>
      <c r="GU30" s="518"/>
      <c r="GV30" s="518"/>
      <c r="GW30" s="518"/>
      <c r="GX30" s="518"/>
      <c r="GY30" s="518"/>
      <c r="GZ30" s="518"/>
      <c r="HA30" s="518"/>
      <c r="HB30" s="518"/>
      <c r="HC30" s="518"/>
      <c r="HD30" s="518"/>
      <c r="HE30" s="518"/>
      <c r="HF30" s="518"/>
      <c r="HG30" s="518"/>
      <c r="HH30" s="518"/>
      <c r="HI30" s="518"/>
      <c r="HJ30" s="518"/>
      <c r="HK30" s="518"/>
      <c r="HL30" s="518"/>
      <c r="HM30" s="518"/>
      <c r="HN30" s="518"/>
      <c r="HO30" s="518"/>
      <c r="HP30" s="518"/>
      <c r="HQ30" s="518"/>
      <c r="HR30" s="518"/>
      <c r="HS30" s="518"/>
      <c r="HT30" s="518"/>
      <c r="HU30" s="518"/>
      <c r="HV30" s="518"/>
      <c r="HW30" s="518"/>
      <c r="HX30" s="518"/>
      <c r="HY30" s="518"/>
      <c r="HZ30" s="518"/>
      <c r="IA30" s="518"/>
      <c r="IB30" s="518"/>
      <c r="IC30" s="518"/>
      <c r="ID30" s="518"/>
      <c r="IE30" s="518"/>
      <c r="IF30" s="518"/>
      <c r="IG30" s="518"/>
      <c r="IH30" s="518"/>
      <c r="II30" s="518"/>
      <c r="IJ30" s="518"/>
      <c r="IK30" s="518"/>
      <c r="IL30" s="518"/>
      <c r="IM30" s="518"/>
      <c r="IN30" s="518"/>
      <c r="IO30" s="518"/>
      <c r="IP30" s="518"/>
      <c r="IQ30" s="518"/>
      <c r="IR30" s="518"/>
    </row>
    <row r="31" spans="1:252" s="464" customFormat="1" ht="20.100000000000001" customHeight="1">
      <c r="A31" s="614"/>
      <c r="B31" s="217"/>
      <c r="C31" s="129" t="s">
        <v>7855</v>
      </c>
      <c r="D31" s="40">
        <f>8835.47-143.65</f>
        <v>8691.82</v>
      </c>
      <c r="E31" s="40"/>
      <c r="F31" s="40"/>
      <c r="G31" s="518"/>
      <c r="H31" s="519"/>
      <c r="I31" s="520"/>
      <c r="J31" s="520"/>
      <c r="K31" s="518"/>
      <c r="L31" s="518"/>
      <c r="M31" s="518"/>
      <c r="N31" s="518"/>
      <c r="O31" s="518"/>
      <c r="P31" s="518"/>
      <c r="Q31" s="518"/>
      <c r="R31" s="518"/>
      <c r="S31" s="518"/>
      <c r="T31" s="518"/>
      <c r="U31" s="518"/>
      <c r="V31" s="518"/>
      <c r="W31" s="518"/>
      <c r="X31" s="518"/>
      <c r="Y31" s="518"/>
      <c r="Z31" s="518"/>
      <c r="AA31" s="518"/>
      <c r="AB31" s="518"/>
      <c r="AC31" s="518"/>
      <c r="AD31" s="518"/>
      <c r="AE31" s="518"/>
      <c r="AF31" s="518"/>
      <c r="AG31" s="518"/>
      <c r="AH31" s="518"/>
      <c r="AI31" s="518"/>
      <c r="AJ31" s="518"/>
      <c r="AK31" s="518"/>
      <c r="AL31" s="518"/>
      <c r="AM31" s="518"/>
      <c r="AN31" s="518"/>
      <c r="AO31" s="518"/>
      <c r="AP31" s="518"/>
      <c r="AQ31" s="518"/>
      <c r="AR31" s="518"/>
      <c r="AS31" s="518"/>
      <c r="AT31" s="518"/>
      <c r="AU31" s="518"/>
      <c r="AV31" s="518"/>
      <c r="AW31" s="518"/>
      <c r="AX31" s="518"/>
      <c r="AY31" s="518"/>
      <c r="AZ31" s="518"/>
      <c r="BA31" s="518"/>
      <c r="BB31" s="518"/>
      <c r="BC31" s="518"/>
      <c r="BD31" s="518"/>
      <c r="BE31" s="518"/>
      <c r="BF31" s="518"/>
      <c r="BG31" s="518"/>
      <c r="BH31" s="518"/>
      <c r="BI31" s="518"/>
      <c r="BJ31" s="518"/>
      <c r="BK31" s="518"/>
      <c r="BL31" s="518"/>
      <c r="BM31" s="518"/>
      <c r="BN31" s="518"/>
      <c r="BO31" s="518"/>
      <c r="BP31" s="518"/>
      <c r="BQ31" s="518"/>
      <c r="BR31" s="518"/>
      <c r="BS31" s="518"/>
      <c r="BT31" s="518"/>
      <c r="BU31" s="518"/>
      <c r="BV31" s="518"/>
      <c r="BW31" s="518"/>
      <c r="BX31" s="518"/>
      <c r="BY31" s="518"/>
      <c r="BZ31" s="518"/>
      <c r="CA31" s="518"/>
      <c r="CB31" s="518"/>
      <c r="CC31" s="518"/>
      <c r="CD31" s="518"/>
      <c r="CE31" s="518"/>
      <c r="CF31" s="518"/>
      <c r="CG31" s="518"/>
      <c r="CH31" s="518"/>
      <c r="CI31" s="518"/>
      <c r="CJ31" s="518"/>
      <c r="CK31" s="518"/>
      <c r="CL31" s="518"/>
      <c r="CM31" s="518"/>
      <c r="CN31" s="518"/>
      <c r="CO31" s="518"/>
      <c r="CP31" s="518"/>
      <c r="CQ31" s="518"/>
      <c r="CR31" s="518"/>
      <c r="CS31" s="518"/>
      <c r="CT31" s="518"/>
      <c r="CU31" s="518"/>
      <c r="CV31" s="518"/>
      <c r="CW31" s="518"/>
      <c r="CX31" s="518"/>
      <c r="CY31" s="518"/>
      <c r="CZ31" s="518"/>
      <c r="DA31" s="518"/>
      <c r="DB31" s="518"/>
      <c r="DC31" s="518"/>
      <c r="DD31" s="518"/>
      <c r="DE31" s="518"/>
      <c r="DF31" s="518"/>
      <c r="DG31" s="518"/>
      <c r="DH31" s="518"/>
      <c r="DI31" s="518"/>
      <c r="DJ31" s="518"/>
      <c r="DK31" s="518"/>
      <c r="DL31" s="518"/>
      <c r="DM31" s="518"/>
      <c r="DN31" s="518"/>
      <c r="DO31" s="518"/>
      <c r="DP31" s="518"/>
      <c r="DQ31" s="518"/>
      <c r="DR31" s="518"/>
      <c r="DS31" s="518"/>
      <c r="DT31" s="518"/>
      <c r="DU31" s="518"/>
      <c r="DV31" s="518"/>
      <c r="DW31" s="518"/>
      <c r="DX31" s="518"/>
      <c r="DY31" s="518"/>
      <c r="DZ31" s="518"/>
      <c r="EA31" s="518"/>
      <c r="EB31" s="518"/>
      <c r="EC31" s="518"/>
      <c r="ED31" s="518"/>
      <c r="EE31" s="518"/>
      <c r="EF31" s="518"/>
      <c r="EG31" s="518"/>
      <c r="EH31" s="518"/>
      <c r="EI31" s="518"/>
      <c r="EJ31" s="518"/>
      <c r="EK31" s="518"/>
      <c r="EL31" s="518"/>
      <c r="EM31" s="518"/>
      <c r="EN31" s="518"/>
      <c r="EO31" s="518"/>
      <c r="EP31" s="518"/>
      <c r="EQ31" s="518"/>
      <c r="ER31" s="518"/>
      <c r="ES31" s="518"/>
      <c r="ET31" s="518"/>
      <c r="EU31" s="518"/>
      <c r="EV31" s="518"/>
      <c r="EW31" s="518"/>
      <c r="EX31" s="518"/>
      <c r="EY31" s="518"/>
      <c r="EZ31" s="518"/>
      <c r="FA31" s="518"/>
      <c r="FB31" s="518"/>
      <c r="FC31" s="518"/>
      <c r="FD31" s="518"/>
      <c r="FE31" s="518"/>
      <c r="FF31" s="518"/>
      <c r="FG31" s="518"/>
      <c r="FH31" s="518"/>
      <c r="FI31" s="518"/>
      <c r="FJ31" s="518"/>
      <c r="FK31" s="518"/>
      <c r="FL31" s="518"/>
      <c r="FM31" s="518"/>
      <c r="FN31" s="518"/>
      <c r="FO31" s="518"/>
      <c r="FP31" s="518"/>
      <c r="FQ31" s="518"/>
      <c r="FR31" s="518"/>
      <c r="FS31" s="518"/>
      <c r="FT31" s="518"/>
      <c r="FU31" s="518"/>
      <c r="FV31" s="518"/>
      <c r="FW31" s="518"/>
      <c r="FX31" s="518"/>
      <c r="FY31" s="518"/>
      <c r="FZ31" s="518"/>
      <c r="GA31" s="518"/>
      <c r="GB31" s="518"/>
      <c r="GC31" s="518"/>
      <c r="GD31" s="518"/>
      <c r="GE31" s="518"/>
      <c r="GF31" s="518"/>
      <c r="GG31" s="518"/>
      <c r="GH31" s="518"/>
      <c r="GI31" s="518"/>
      <c r="GJ31" s="518"/>
      <c r="GK31" s="518"/>
      <c r="GL31" s="518"/>
      <c r="GM31" s="518"/>
      <c r="GN31" s="518"/>
      <c r="GO31" s="518"/>
      <c r="GP31" s="518"/>
      <c r="GQ31" s="518"/>
      <c r="GR31" s="518"/>
      <c r="GS31" s="518"/>
      <c r="GT31" s="518"/>
      <c r="GU31" s="518"/>
      <c r="GV31" s="518"/>
      <c r="GW31" s="518"/>
      <c r="GX31" s="518"/>
      <c r="GY31" s="518"/>
      <c r="GZ31" s="518"/>
      <c r="HA31" s="518"/>
      <c r="HB31" s="518"/>
      <c r="HC31" s="518"/>
      <c r="HD31" s="518"/>
      <c r="HE31" s="518"/>
      <c r="HF31" s="518"/>
      <c r="HG31" s="518"/>
      <c r="HH31" s="518"/>
      <c r="HI31" s="518"/>
      <c r="HJ31" s="518"/>
      <c r="HK31" s="518"/>
      <c r="HL31" s="518"/>
      <c r="HM31" s="518"/>
      <c r="HN31" s="518"/>
      <c r="HO31" s="518"/>
      <c r="HP31" s="518"/>
      <c r="HQ31" s="518"/>
      <c r="HR31" s="518"/>
      <c r="HS31" s="518"/>
      <c r="HT31" s="518"/>
      <c r="HU31" s="518"/>
      <c r="HV31" s="518"/>
      <c r="HW31" s="518"/>
      <c r="HX31" s="518"/>
      <c r="HY31" s="518"/>
      <c r="HZ31" s="518"/>
      <c r="IA31" s="518"/>
      <c r="IB31" s="518"/>
      <c r="IC31" s="518"/>
      <c r="ID31" s="518"/>
      <c r="IE31" s="518"/>
      <c r="IF31" s="518"/>
      <c r="IG31" s="518"/>
      <c r="IH31" s="518"/>
      <c r="II31" s="518"/>
      <c r="IJ31" s="518"/>
      <c r="IK31" s="518"/>
      <c r="IL31" s="518"/>
      <c r="IM31" s="518"/>
      <c r="IN31" s="518"/>
      <c r="IO31" s="518"/>
      <c r="IP31" s="518"/>
      <c r="IQ31" s="518"/>
      <c r="IR31" s="518"/>
    </row>
    <row r="32" spans="1:252" s="464" customFormat="1" ht="20.100000000000001" customHeight="1">
      <c r="A32" s="614"/>
      <c r="B32" s="217"/>
      <c r="C32" s="129" t="s">
        <v>55</v>
      </c>
      <c r="D32" s="40">
        <v>143.65</v>
      </c>
      <c r="E32" s="40"/>
      <c r="F32" s="40"/>
      <c r="G32" s="518"/>
      <c r="H32" s="519"/>
      <c r="I32" s="520"/>
      <c r="J32" s="520"/>
      <c r="K32" s="518"/>
      <c r="L32" s="518"/>
      <c r="M32" s="518"/>
      <c r="N32" s="518"/>
      <c r="O32" s="518"/>
      <c r="P32" s="518"/>
      <c r="Q32" s="518"/>
      <c r="R32" s="518"/>
      <c r="S32" s="518"/>
      <c r="T32" s="518"/>
      <c r="U32" s="518"/>
      <c r="V32" s="518"/>
      <c r="W32" s="518"/>
      <c r="X32" s="518"/>
      <c r="Y32" s="518"/>
      <c r="Z32" s="518"/>
      <c r="AA32" s="518"/>
      <c r="AB32" s="518"/>
      <c r="AC32" s="518"/>
      <c r="AD32" s="518"/>
      <c r="AE32" s="518"/>
      <c r="AF32" s="518"/>
      <c r="AG32" s="518"/>
      <c r="AH32" s="518"/>
      <c r="AI32" s="518"/>
      <c r="AJ32" s="518"/>
      <c r="AK32" s="518"/>
      <c r="AL32" s="518"/>
      <c r="AM32" s="518"/>
      <c r="AN32" s="518"/>
      <c r="AO32" s="518"/>
      <c r="AP32" s="518"/>
      <c r="AQ32" s="518"/>
      <c r="AR32" s="518"/>
      <c r="AS32" s="518"/>
      <c r="AT32" s="518"/>
      <c r="AU32" s="518"/>
      <c r="AV32" s="518"/>
      <c r="AW32" s="518"/>
      <c r="AX32" s="518"/>
      <c r="AY32" s="518"/>
      <c r="AZ32" s="518"/>
      <c r="BA32" s="518"/>
      <c r="BB32" s="518"/>
      <c r="BC32" s="518"/>
      <c r="BD32" s="518"/>
      <c r="BE32" s="518"/>
      <c r="BF32" s="518"/>
      <c r="BG32" s="518"/>
      <c r="BH32" s="518"/>
      <c r="BI32" s="518"/>
      <c r="BJ32" s="518"/>
      <c r="BK32" s="518"/>
      <c r="BL32" s="518"/>
      <c r="BM32" s="518"/>
      <c r="BN32" s="518"/>
      <c r="BO32" s="518"/>
      <c r="BP32" s="518"/>
      <c r="BQ32" s="518"/>
      <c r="BR32" s="518"/>
      <c r="BS32" s="518"/>
      <c r="BT32" s="518"/>
      <c r="BU32" s="518"/>
      <c r="BV32" s="518"/>
      <c r="BW32" s="518"/>
      <c r="BX32" s="518"/>
      <c r="BY32" s="518"/>
      <c r="BZ32" s="518"/>
      <c r="CA32" s="518"/>
      <c r="CB32" s="518"/>
      <c r="CC32" s="518"/>
      <c r="CD32" s="518"/>
      <c r="CE32" s="518"/>
      <c r="CF32" s="518"/>
      <c r="CG32" s="518"/>
      <c r="CH32" s="518"/>
      <c r="CI32" s="518"/>
      <c r="CJ32" s="518"/>
      <c r="CK32" s="518"/>
      <c r="CL32" s="518"/>
      <c r="CM32" s="518"/>
      <c r="CN32" s="518"/>
      <c r="CO32" s="518"/>
      <c r="CP32" s="518"/>
      <c r="CQ32" s="518"/>
      <c r="CR32" s="518"/>
      <c r="CS32" s="518"/>
      <c r="CT32" s="518"/>
      <c r="CU32" s="518"/>
      <c r="CV32" s="518"/>
      <c r="CW32" s="518"/>
      <c r="CX32" s="518"/>
      <c r="CY32" s="518"/>
      <c r="CZ32" s="518"/>
      <c r="DA32" s="518"/>
      <c r="DB32" s="518"/>
      <c r="DC32" s="518"/>
      <c r="DD32" s="518"/>
      <c r="DE32" s="518"/>
      <c r="DF32" s="518"/>
      <c r="DG32" s="518"/>
      <c r="DH32" s="518"/>
      <c r="DI32" s="518"/>
      <c r="DJ32" s="518"/>
      <c r="DK32" s="518"/>
      <c r="DL32" s="518"/>
      <c r="DM32" s="518"/>
      <c r="DN32" s="518"/>
      <c r="DO32" s="518"/>
      <c r="DP32" s="518"/>
      <c r="DQ32" s="518"/>
      <c r="DR32" s="518"/>
      <c r="DS32" s="518"/>
      <c r="DT32" s="518"/>
      <c r="DU32" s="518"/>
      <c r="DV32" s="518"/>
      <c r="DW32" s="518"/>
      <c r="DX32" s="518"/>
      <c r="DY32" s="518"/>
      <c r="DZ32" s="518"/>
      <c r="EA32" s="518"/>
      <c r="EB32" s="518"/>
      <c r="EC32" s="518"/>
      <c r="ED32" s="518"/>
      <c r="EE32" s="518"/>
      <c r="EF32" s="518"/>
      <c r="EG32" s="518"/>
      <c r="EH32" s="518"/>
      <c r="EI32" s="518"/>
      <c r="EJ32" s="518"/>
      <c r="EK32" s="518"/>
      <c r="EL32" s="518"/>
      <c r="EM32" s="518"/>
      <c r="EN32" s="518"/>
      <c r="EO32" s="518"/>
      <c r="EP32" s="518"/>
      <c r="EQ32" s="518"/>
      <c r="ER32" s="518"/>
      <c r="ES32" s="518"/>
      <c r="ET32" s="518"/>
      <c r="EU32" s="518"/>
      <c r="EV32" s="518"/>
      <c r="EW32" s="518"/>
      <c r="EX32" s="518"/>
      <c r="EY32" s="518"/>
      <c r="EZ32" s="518"/>
      <c r="FA32" s="518"/>
      <c r="FB32" s="518"/>
      <c r="FC32" s="518"/>
      <c r="FD32" s="518"/>
      <c r="FE32" s="518"/>
      <c r="FF32" s="518"/>
      <c r="FG32" s="518"/>
      <c r="FH32" s="518"/>
      <c r="FI32" s="518"/>
      <c r="FJ32" s="518"/>
      <c r="FK32" s="518"/>
      <c r="FL32" s="518"/>
      <c r="FM32" s="518"/>
      <c r="FN32" s="518"/>
      <c r="FO32" s="518"/>
      <c r="FP32" s="518"/>
      <c r="FQ32" s="518"/>
      <c r="FR32" s="518"/>
      <c r="FS32" s="518"/>
      <c r="FT32" s="518"/>
      <c r="FU32" s="518"/>
      <c r="FV32" s="518"/>
      <c r="FW32" s="518"/>
      <c r="FX32" s="518"/>
      <c r="FY32" s="518"/>
      <c r="FZ32" s="518"/>
      <c r="GA32" s="518"/>
      <c r="GB32" s="518"/>
      <c r="GC32" s="518"/>
      <c r="GD32" s="518"/>
      <c r="GE32" s="518"/>
      <c r="GF32" s="518"/>
      <c r="GG32" s="518"/>
      <c r="GH32" s="518"/>
      <c r="GI32" s="518"/>
      <c r="GJ32" s="518"/>
      <c r="GK32" s="518"/>
      <c r="GL32" s="518"/>
      <c r="GM32" s="518"/>
      <c r="GN32" s="518"/>
      <c r="GO32" s="518"/>
      <c r="GP32" s="518"/>
      <c r="GQ32" s="518"/>
      <c r="GR32" s="518"/>
      <c r="GS32" s="518"/>
      <c r="GT32" s="518"/>
      <c r="GU32" s="518"/>
      <c r="GV32" s="518"/>
      <c r="GW32" s="518"/>
      <c r="GX32" s="518"/>
      <c r="GY32" s="518"/>
      <c r="GZ32" s="518"/>
      <c r="HA32" s="518"/>
      <c r="HB32" s="518"/>
      <c r="HC32" s="518"/>
      <c r="HD32" s="518"/>
      <c r="HE32" s="518"/>
      <c r="HF32" s="518"/>
      <c r="HG32" s="518"/>
      <c r="HH32" s="518"/>
      <c r="HI32" s="518"/>
      <c r="HJ32" s="518"/>
      <c r="HK32" s="518"/>
      <c r="HL32" s="518"/>
      <c r="HM32" s="518"/>
      <c r="HN32" s="518"/>
      <c r="HO32" s="518"/>
      <c r="HP32" s="518"/>
      <c r="HQ32" s="518"/>
      <c r="HR32" s="518"/>
      <c r="HS32" s="518"/>
      <c r="HT32" s="518"/>
      <c r="HU32" s="518"/>
      <c r="HV32" s="518"/>
      <c r="HW32" s="518"/>
      <c r="HX32" s="518"/>
      <c r="HY32" s="518"/>
      <c r="HZ32" s="518"/>
      <c r="IA32" s="518"/>
      <c r="IB32" s="518"/>
      <c r="IC32" s="518"/>
      <c r="ID32" s="518"/>
      <c r="IE32" s="518"/>
      <c r="IF32" s="518"/>
      <c r="IG32" s="518"/>
      <c r="IH32" s="518"/>
      <c r="II32" s="518"/>
      <c r="IJ32" s="518"/>
      <c r="IK32" s="518"/>
      <c r="IL32" s="518"/>
      <c r="IM32" s="518"/>
      <c r="IN32" s="518"/>
      <c r="IO32" s="518"/>
      <c r="IP32" s="518"/>
      <c r="IQ32" s="518"/>
      <c r="IR32" s="518"/>
    </row>
    <row r="33" spans="1:252" s="464" customFormat="1">
      <c r="A33" s="1090"/>
      <c r="B33" s="934"/>
      <c r="C33" s="215" t="s">
        <v>144</v>
      </c>
      <c r="D33" s="39">
        <v>89.8</v>
      </c>
      <c r="E33" s="40"/>
      <c r="F33" s="40"/>
      <c r="H33" s="515"/>
      <c r="I33" s="516"/>
      <c r="J33" s="516"/>
    </row>
    <row r="34" spans="1:252" s="464" customFormat="1">
      <c r="A34" s="211"/>
      <c r="B34" s="128" t="s">
        <v>145</v>
      </c>
      <c r="C34" s="219" t="s">
        <v>7789</v>
      </c>
      <c r="D34" s="107"/>
      <c r="E34" s="108"/>
      <c r="F34" s="48"/>
      <c r="H34" s="515"/>
      <c r="I34" s="516"/>
      <c r="J34" s="516"/>
    </row>
    <row r="35" spans="1:252" s="464" customFormat="1" ht="20.100000000000001" hidden="1" customHeight="1">
      <c r="A35" s="216"/>
      <c r="B35" s="217"/>
      <c r="C35" s="215" t="s">
        <v>55</v>
      </c>
      <c r="D35" s="42"/>
      <c r="E35" s="43"/>
      <c r="F35" s="44"/>
      <c r="G35" s="518"/>
      <c r="H35" s="519"/>
      <c r="I35" s="520"/>
      <c r="J35" s="520"/>
      <c r="K35" s="518"/>
      <c r="L35" s="518"/>
      <c r="M35" s="518"/>
      <c r="N35" s="518"/>
      <c r="O35" s="518"/>
      <c r="P35" s="518"/>
      <c r="Q35" s="518"/>
      <c r="R35" s="518"/>
      <c r="S35" s="518"/>
      <c r="T35" s="518"/>
      <c r="U35" s="518"/>
      <c r="V35" s="518"/>
      <c r="W35" s="518"/>
      <c r="X35" s="518"/>
      <c r="Y35" s="518"/>
      <c r="Z35" s="518"/>
      <c r="AA35" s="518"/>
      <c r="AB35" s="518"/>
      <c r="AC35" s="518"/>
      <c r="AD35" s="518"/>
      <c r="AE35" s="518"/>
      <c r="AF35" s="518"/>
      <c r="AG35" s="518"/>
      <c r="AH35" s="518"/>
      <c r="AI35" s="518"/>
      <c r="AJ35" s="518"/>
      <c r="AK35" s="518"/>
      <c r="AL35" s="518"/>
      <c r="AM35" s="518"/>
      <c r="AN35" s="518"/>
      <c r="AO35" s="518"/>
      <c r="AP35" s="518"/>
      <c r="AQ35" s="518"/>
      <c r="AR35" s="518"/>
      <c r="AS35" s="518"/>
      <c r="AT35" s="518"/>
      <c r="AU35" s="518"/>
      <c r="AV35" s="518"/>
      <c r="AW35" s="518"/>
      <c r="AX35" s="518"/>
      <c r="AY35" s="518"/>
      <c r="AZ35" s="518"/>
      <c r="BA35" s="518"/>
      <c r="BB35" s="518"/>
      <c r="BC35" s="518"/>
      <c r="BD35" s="518"/>
      <c r="BE35" s="518"/>
      <c r="BF35" s="518"/>
      <c r="BG35" s="518"/>
      <c r="BH35" s="518"/>
      <c r="BI35" s="518"/>
      <c r="BJ35" s="518"/>
      <c r="BK35" s="518"/>
      <c r="BL35" s="518"/>
      <c r="BM35" s="518"/>
      <c r="BN35" s="518"/>
      <c r="BO35" s="518"/>
      <c r="BP35" s="518"/>
      <c r="BQ35" s="518"/>
      <c r="BR35" s="518"/>
      <c r="BS35" s="518"/>
      <c r="BT35" s="518"/>
      <c r="BU35" s="518"/>
      <c r="BV35" s="518"/>
      <c r="BW35" s="518"/>
      <c r="BX35" s="518"/>
      <c r="BY35" s="518"/>
      <c r="BZ35" s="518"/>
      <c r="CA35" s="518"/>
      <c r="CB35" s="518"/>
      <c r="CC35" s="518"/>
      <c r="CD35" s="518"/>
      <c r="CE35" s="518"/>
      <c r="CF35" s="518"/>
      <c r="CG35" s="518"/>
      <c r="CH35" s="518"/>
      <c r="CI35" s="518"/>
      <c r="CJ35" s="518"/>
      <c r="CK35" s="518"/>
      <c r="CL35" s="518"/>
      <c r="CM35" s="518"/>
      <c r="CN35" s="518"/>
      <c r="CO35" s="518"/>
      <c r="CP35" s="518"/>
      <c r="CQ35" s="518"/>
      <c r="CR35" s="518"/>
      <c r="CS35" s="518"/>
      <c r="CT35" s="518"/>
      <c r="CU35" s="518"/>
      <c r="CV35" s="518"/>
      <c r="CW35" s="518"/>
      <c r="CX35" s="518"/>
      <c r="CY35" s="518"/>
      <c r="CZ35" s="518"/>
      <c r="DA35" s="518"/>
      <c r="DB35" s="518"/>
      <c r="DC35" s="518"/>
      <c r="DD35" s="518"/>
      <c r="DE35" s="518"/>
      <c r="DF35" s="518"/>
      <c r="DG35" s="518"/>
      <c r="DH35" s="518"/>
      <c r="DI35" s="518"/>
      <c r="DJ35" s="518"/>
      <c r="DK35" s="518"/>
      <c r="DL35" s="518"/>
      <c r="DM35" s="518"/>
      <c r="DN35" s="518"/>
      <c r="DO35" s="518"/>
      <c r="DP35" s="518"/>
      <c r="DQ35" s="518"/>
      <c r="DR35" s="518"/>
      <c r="DS35" s="518"/>
      <c r="DT35" s="518"/>
      <c r="DU35" s="518"/>
      <c r="DV35" s="518"/>
      <c r="DW35" s="518"/>
      <c r="DX35" s="518"/>
      <c r="DY35" s="518"/>
      <c r="DZ35" s="518"/>
      <c r="EA35" s="518"/>
      <c r="EB35" s="518"/>
      <c r="EC35" s="518"/>
      <c r="ED35" s="518"/>
      <c r="EE35" s="518"/>
      <c r="EF35" s="518"/>
      <c r="EG35" s="518"/>
      <c r="EH35" s="518"/>
      <c r="EI35" s="518"/>
      <c r="EJ35" s="518"/>
      <c r="EK35" s="518"/>
      <c r="EL35" s="518"/>
      <c r="EM35" s="518"/>
      <c r="EN35" s="518"/>
      <c r="EO35" s="518"/>
      <c r="EP35" s="518"/>
      <c r="EQ35" s="518"/>
      <c r="ER35" s="518"/>
      <c r="ES35" s="518"/>
      <c r="ET35" s="518"/>
      <c r="EU35" s="518"/>
      <c r="EV35" s="518"/>
      <c r="EW35" s="518"/>
      <c r="EX35" s="518"/>
      <c r="EY35" s="518"/>
      <c r="EZ35" s="518"/>
      <c r="FA35" s="518"/>
      <c r="FB35" s="518"/>
      <c r="FC35" s="518"/>
      <c r="FD35" s="518"/>
      <c r="FE35" s="518"/>
      <c r="FF35" s="518"/>
      <c r="FG35" s="518"/>
      <c r="FH35" s="518"/>
      <c r="FI35" s="518"/>
      <c r="FJ35" s="518"/>
      <c r="FK35" s="518"/>
      <c r="FL35" s="518"/>
      <c r="FM35" s="518"/>
      <c r="FN35" s="518"/>
      <c r="FO35" s="518"/>
      <c r="FP35" s="518"/>
      <c r="FQ35" s="518"/>
      <c r="FR35" s="518"/>
      <c r="FS35" s="518"/>
      <c r="FT35" s="518"/>
      <c r="FU35" s="518"/>
      <c r="FV35" s="518"/>
      <c r="FW35" s="518"/>
      <c r="FX35" s="518"/>
      <c r="FY35" s="518"/>
      <c r="FZ35" s="518"/>
      <c r="GA35" s="518"/>
      <c r="GB35" s="518"/>
      <c r="GC35" s="518"/>
      <c r="GD35" s="518"/>
      <c r="GE35" s="518"/>
      <c r="GF35" s="518"/>
      <c r="GG35" s="518"/>
      <c r="GH35" s="518"/>
      <c r="GI35" s="518"/>
      <c r="GJ35" s="518"/>
      <c r="GK35" s="518"/>
      <c r="GL35" s="518"/>
      <c r="GM35" s="518"/>
      <c r="GN35" s="518"/>
      <c r="GO35" s="518"/>
      <c r="GP35" s="518"/>
      <c r="GQ35" s="518"/>
      <c r="GR35" s="518"/>
      <c r="GS35" s="518"/>
      <c r="GT35" s="518"/>
      <c r="GU35" s="518"/>
      <c r="GV35" s="518"/>
      <c r="GW35" s="518"/>
      <c r="GX35" s="518"/>
      <c r="GY35" s="518"/>
      <c r="GZ35" s="518"/>
      <c r="HA35" s="518"/>
      <c r="HB35" s="518"/>
      <c r="HC35" s="518"/>
      <c r="HD35" s="518"/>
      <c r="HE35" s="518"/>
      <c r="HF35" s="518"/>
      <c r="HG35" s="518"/>
      <c r="HH35" s="518"/>
      <c r="HI35" s="518"/>
      <c r="HJ35" s="518"/>
      <c r="HK35" s="518"/>
      <c r="HL35" s="518"/>
      <c r="HM35" s="518"/>
      <c r="HN35" s="518"/>
      <c r="HO35" s="518"/>
      <c r="HP35" s="518"/>
      <c r="HQ35" s="518"/>
      <c r="HR35" s="518"/>
      <c r="HS35" s="518"/>
      <c r="HT35" s="518"/>
      <c r="HU35" s="518"/>
      <c r="HV35" s="518"/>
      <c r="HW35" s="518"/>
      <c r="HX35" s="518"/>
      <c r="HY35" s="518"/>
      <c r="HZ35" s="518"/>
      <c r="IA35" s="518"/>
      <c r="IB35" s="518"/>
      <c r="IC35" s="518"/>
      <c r="ID35" s="518"/>
      <c r="IE35" s="518"/>
      <c r="IF35" s="518"/>
      <c r="IG35" s="518"/>
      <c r="IH35" s="518"/>
      <c r="II35" s="518"/>
      <c r="IJ35" s="518"/>
      <c r="IK35" s="518"/>
      <c r="IL35" s="518"/>
      <c r="IM35" s="518"/>
      <c r="IN35" s="518"/>
      <c r="IO35" s="518"/>
      <c r="IP35" s="518"/>
      <c r="IQ35" s="518"/>
      <c r="IR35" s="518"/>
    </row>
    <row r="36" spans="1:252" s="464" customFormat="1" ht="20.100000000000001" customHeight="1">
      <c r="A36" s="216"/>
      <c r="B36" s="217"/>
      <c r="C36" s="215" t="s">
        <v>144</v>
      </c>
      <c r="D36" s="39"/>
      <c r="E36" s="40">
        <v>3928.72</v>
      </c>
      <c r="F36" s="41"/>
      <c r="G36" s="518"/>
      <c r="H36" s="519"/>
      <c r="I36" s="520"/>
      <c r="J36" s="520"/>
      <c r="K36" s="518"/>
      <c r="L36" s="518"/>
      <c r="M36" s="518"/>
      <c r="N36" s="518"/>
      <c r="O36" s="518"/>
      <c r="P36" s="518"/>
      <c r="Q36" s="518"/>
      <c r="R36" s="518"/>
      <c r="S36" s="518"/>
      <c r="T36" s="518"/>
      <c r="U36" s="518"/>
      <c r="V36" s="518"/>
      <c r="W36" s="518"/>
      <c r="X36" s="518"/>
      <c r="Y36" s="518"/>
      <c r="Z36" s="518"/>
      <c r="AA36" s="518"/>
      <c r="AB36" s="518"/>
      <c r="AC36" s="518"/>
      <c r="AD36" s="518"/>
      <c r="AE36" s="518"/>
      <c r="AF36" s="518"/>
      <c r="AG36" s="518"/>
      <c r="AH36" s="518"/>
      <c r="AI36" s="518"/>
      <c r="AJ36" s="518"/>
      <c r="AK36" s="518"/>
      <c r="AL36" s="518"/>
      <c r="AM36" s="518"/>
      <c r="AN36" s="518"/>
      <c r="AO36" s="518"/>
      <c r="AP36" s="518"/>
      <c r="AQ36" s="518"/>
      <c r="AR36" s="518"/>
      <c r="AS36" s="518"/>
      <c r="AT36" s="518"/>
      <c r="AU36" s="518"/>
      <c r="AV36" s="518"/>
      <c r="AW36" s="518"/>
      <c r="AX36" s="518"/>
      <c r="AY36" s="518"/>
      <c r="AZ36" s="518"/>
      <c r="BA36" s="518"/>
      <c r="BB36" s="518"/>
      <c r="BC36" s="518"/>
      <c r="BD36" s="518"/>
      <c r="BE36" s="518"/>
      <c r="BF36" s="518"/>
      <c r="BG36" s="518"/>
      <c r="BH36" s="518"/>
      <c r="BI36" s="518"/>
      <c r="BJ36" s="518"/>
      <c r="BK36" s="518"/>
      <c r="BL36" s="518"/>
      <c r="BM36" s="518"/>
      <c r="BN36" s="518"/>
      <c r="BO36" s="518"/>
      <c r="BP36" s="518"/>
      <c r="BQ36" s="518"/>
      <c r="BR36" s="518"/>
      <c r="BS36" s="518"/>
      <c r="BT36" s="518"/>
      <c r="BU36" s="518"/>
      <c r="BV36" s="518"/>
      <c r="BW36" s="518"/>
      <c r="BX36" s="518"/>
      <c r="BY36" s="518"/>
      <c r="BZ36" s="518"/>
      <c r="CA36" s="518"/>
      <c r="CB36" s="518"/>
      <c r="CC36" s="518"/>
      <c r="CD36" s="518"/>
      <c r="CE36" s="518"/>
      <c r="CF36" s="518"/>
      <c r="CG36" s="518"/>
      <c r="CH36" s="518"/>
      <c r="CI36" s="518"/>
      <c r="CJ36" s="518"/>
      <c r="CK36" s="518"/>
      <c r="CL36" s="518"/>
      <c r="CM36" s="518"/>
      <c r="CN36" s="518"/>
      <c r="CO36" s="518"/>
      <c r="CP36" s="518"/>
      <c r="CQ36" s="518"/>
      <c r="CR36" s="518"/>
      <c r="CS36" s="518"/>
      <c r="CT36" s="518"/>
      <c r="CU36" s="518"/>
      <c r="CV36" s="518"/>
      <c r="CW36" s="518"/>
      <c r="CX36" s="518"/>
      <c r="CY36" s="518"/>
      <c r="CZ36" s="518"/>
      <c r="DA36" s="518"/>
      <c r="DB36" s="518"/>
      <c r="DC36" s="518"/>
      <c r="DD36" s="518"/>
      <c r="DE36" s="518"/>
      <c r="DF36" s="518"/>
      <c r="DG36" s="518"/>
      <c r="DH36" s="518"/>
      <c r="DI36" s="518"/>
      <c r="DJ36" s="518"/>
      <c r="DK36" s="518"/>
      <c r="DL36" s="518"/>
      <c r="DM36" s="518"/>
      <c r="DN36" s="518"/>
      <c r="DO36" s="518"/>
      <c r="DP36" s="518"/>
      <c r="DQ36" s="518"/>
      <c r="DR36" s="518"/>
      <c r="DS36" s="518"/>
      <c r="DT36" s="518"/>
      <c r="DU36" s="518"/>
      <c r="DV36" s="518"/>
      <c r="DW36" s="518"/>
      <c r="DX36" s="518"/>
      <c r="DY36" s="518"/>
      <c r="DZ36" s="518"/>
      <c r="EA36" s="518"/>
      <c r="EB36" s="518"/>
      <c r="EC36" s="518"/>
      <c r="ED36" s="518"/>
      <c r="EE36" s="518"/>
      <c r="EF36" s="518"/>
      <c r="EG36" s="518"/>
      <c r="EH36" s="518"/>
      <c r="EI36" s="518"/>
      <c r="EJ36" s="518"/>
      <c r="EK36" s="518"/>
      <c r="EL36" s="518"/>
      <c r="EM36" s="518"/>
      <c r="EN36" s="518"/>
      <c r="EO36" s="518"/>
      <c r="EP36" s="518"/>
      <c r="EQ36" s="518"/>
      <c r="ER36" s="518"/>
      <c r="ES36" s="518"/>
      <c r="ET36" s="518"/>
      <c r="EU36" s="518"/>
      <c r="EV36" s="518"/>
      <c r="EW36" s="518"/>
      <c r="EX36" s="518"/>
      <c r="EY36" s="518"/>
      <c r="EZ36" s="518"/>
      <c r="FA36" s="518"/>
      <c r="FB36" s="518"/>
      <c r="FC36" s="518"/>
      <c r="FD36" s="518"/>
      <c r="FE36" s="518"/>
      <c r="FF36" s="518"/>
      <c r="FG36" s="518"/>
      <c r="FH36" s="518"/>
      <c r="FI36" s="518"/>
      <c r="FJ36" s="518"/>
      <c r="FK36" s="518"/>
      <c r="FL36" s="518"/>
      <c r="FM36" s="518"/>
      <c r="FN36" s="518"/>
      <c r="FO36" s="518"/>
      <c r="FP36" s="518"/>
      <c r="FQ36" s="518"/>
      <c r="FR36" s="518"/>
      <c r="FS36" s="518"/>
      <c r="FT36" s="518"/>
      <c r="FU36" s="518"/>
      <c r="FV36" s="518"/>
      <c r="FW36" s="518"/>
      <c r="FX36" s="518"/>
      <c r="FY36" s="518"/>
      <c r="FZ36" s="518"/>
      <c r="GA36" s="518"/>
      <c r="GB36" s="518"/>
      <c r="GC36" s="518"/>
      <c r="GD36" s="518"/>
      <c r="GE36" s="518"/>
      <c r="GF36" s="518"/>
      <c r="GG36" s="518"/>
      <c r="GH36" s="518"/>
      <c r="GI36" s="518"/>
      <c r="GJ36" s="518"/>
      <c r="GK36" s="518"/>
      <c r="GL36" s="518"/>
      <c r="GM36" s="518"/>
      <c r="GN36" s="518"/>
      <c r="GO36" s="518"/>
      <c r="GP36" s="518"/>
      <c r="GQ36" s="518"/>
      <c r="GR36" s="518"/>
      <c r="GS36" s="518"/>
      <c r="GT36" s="518"/>
      <c r="GU36" s="518"/>
      <c r="GV36" s="518"/>
      <c r="GW36" s="518"/>
      <c r="GX36" s="518"/>
      <c r="GY36" s="518"/>
      <c r="GZ36" s="518"/>
      <c r="HA36" s="518"/>
      <c r="HB36" s="518"/>
      <c r="HC36" s="518"/>
      <c r="HD36" s="518"/>
      <c r="HE36" s="518"/>
      <c r="HF36" s="518"/>
      <c r="HG36" s="518"/>
      <c r="HH36" s="518"/>
      <c r="HI36" s="518"/>
      <c r="HJ36" s="518"/>
      <c r="HK36" s="518"/>
      <c r="HL36" s="518"/>
      <c r="HM36" s="518"/>
      <c r="HN36" s="518"/>
      <c r="HO36" s="518"/>
      <c r="HP36" s="518"/>
      <c r="HQ36" s="518"/>
      <c r="HR36" s="518"/>
      <c r="HS36" s="518"/>
      <c r="HT36" s="518"/>
      <c r="HU36" s="518"/>
      <c r="HV36" s="518"/>
      <c r="HW36" s="518"/>
      <c r="HX36" s="518"/>
      <c r="HY36" s="518"/>
      <c r="HZ36" s="518"/>
      <c r="IA36" s="518"/>
      <c r="IB36" s="518"/>
      <c r="IC36" s="518"/>
      <c r="ID36" s="518"/>
      <c r="IE36" s="518"/>
      <c r="IF36" s="518"/>
      <c r="IG36" s="518"/>
      <c r="IH36" s="518"/>
      <c r="II36" s="518"/>
      <c r="IJ36" s="518"/>
      <c r="IK36" s="518"/>
      <c r="IL36" s="518"/>
      <c r="IM36" s="518"/>
      <c r="IN36" s="518"/>
      <c r="IO36" s="518"/>
      <c r="IP36" s="518"/>
      <c r="IQ36" s="518"/>
      <c r="IR36" s="518"/>
    </row>
    <row r="37" spans="1:252" s="464" customFormat="1">
      <c r="A37" s="211"/>
      <c r="B37" s="128"/>
      <c r="C37" s="129" t="s">
        <v>55</v>
      </c>
      <c r="D37" s="39"/>
      <c r="E37" s="40">
        <v>852.49</v>
      </c>
      <c r="F37" s="41"/>
      <c r="H37" s="515"/>
      <c r="I37" s="516"/>
      <c r="J37" s="516"/>
    </row>
    <row r="38" spans="1:252" s="464" customFormat="1" ht="5.0999999999999996" customHeight="1">
      <c r="A38" s="109"/>
      <c r="B38" s="110"/>
      <c r="C38" s="111"/>
      <c r="D38" s="209"/>
      <c r="E38" s="33"/>
      <c r="F38" s="34"/>
      <c r="H38" s="523"/>
      <c r="I38" s="524"/>
    </row>
    <row r="39" spans="1:252" s="464" customFormat="1">
      <c r="A39" s="220" t="s">
        <v>258</v>
      </c>
      <c r="B39" s="128" t="s">
        <v>2746</v>
      </c>
      <c r="C39" s="214" t="s">
        <v>7788</v>
      </c>
      <c r="D39" s="36"/>
      <c r="E39" s="46"/>
      <c r="F39" s="30"/>
      <c r="H39" s="515"/>
      <c r="I39" s="516"/>
      <c r="J39" s="516"/>
    </row>
    <row r="40" spans="1:252" s="464" customFormat="1" ht="20.100000000000001" customHeight="1">
      <c r="A40" s="216"/>
      <c r="B40" s="217"/>
      <c r="C40" s="129" t="s">
        <v>58</v>
      </c>
      <c r="D40" s="39">
        <v>48341.19</v>
      </c>
      <c r="E40" s="40"/>
      <c r="F40" s="41"/>
      <c r="G40" s="518"/>
      <c r="H40" s="519"/>
      <c r="I40" s="520"/>
      <c r="J40" s="520"/>
      <c r="K40" s="518"/>
      <c r="L40" s="518"/>
      <c r="M40" s="518"/>
      <c r="N40" s="518"/>
      <c r="O40" s="518"/>
      <c r="P40" s="518"/>
      <c r="Q40" s="518"/>
      <c r="R40" s="518"/>
      <c r="S40" s="518"/>
      <c r="T40" s="518"/>
      <c r="U40" s="518"/>
      <c r="V40" s="518"/>
      <c r="W40" s="518"/>
      <c r="X40" s="518"/>
      <c r="Y40" s="518"/>
      <c r="Z40" s="518"/>
      <c r="AA40" s="518"/>
      <c r="AB40" s="518"/>
      <c r="AC40" s="518"/>
      <c r="AD40" s="518"/>
      <c r="AE40" s="518"/>
      <c r="AF40" s="518"/>
      <c r="AG40" s="518"/>
      <c r="AH40" s="518"/>
      <c r="AI40" s="518"/>
      <c r="AJ40" s="518"/>
      <c r="AK40" s="518"/>
      <c r="AL40" s="518"/>
      <c r="AM40" s="518"/>
      <c r="AN40" s="518"/>
      <c r="AO40" s="518"/>
      <c r="AP40" s="518"/>
      <c r="AQ40" s="518"/>
      <c r="AR40" s="518"/>
      <c r="AS40" s="518"/>
      <c r="AT40" s="518"/>
      <c r="AU40" s="518"/>
      <c r="AV40" s="518"/>
      <c r="AW40" s="518"/>
      <c r="AX40" s="518"/>
      <c r="AY40" s="518"/>
      <c r="AZ40" s="518"/>
      <c r="BA40" s="518"/>
      <c r="BB40" s="518"/>
      <c r="BC40" s="518"/>
      <c r="BD40" s="518"/>
      <c r="BE40" s="518"/>
      <c r="BF40" s="518"/>
      <c r="BG40" s="518"/>
      <c r="BH40" s="518"/>
      <c r="BI40" s="518"/>
      <c r="BJ40" s="518"/>
      <c r="BK40" s="518"/>
      <c r="BL40" s="518"/>
      <c r="BM40" s="518"/>
      <c r="BN40" s="518"/>
      <c r="BO40" s="518"/>
      <c r="BP40" s="518"/>
      <c r="BQ40" s="518"/>
      <c r="BR40" s="518"/>
      <c r="BS40" s="518"/>
      <c r="BT40" s="518"/>
      <c r="BU40" s="518"/>
      <c r="BV40" s="518"/>
      <c r="BW40" s="518"/>
      <c r="BX40" s="518"/>
      <c r="BY40" s="518"/>
      <c r="BZ40" s="518"/>
      <c r="CA40" s="518"/>
      <c r="CB40" s="518"/>
      <c r="CC40" s="518"/>
      <c r="CD40" s="518"/>
      <c r="CE40" s="518"/>
      <c r="CF40" s="518"/>
      <c r="CG40" s="518"/>
      <c r="CH40" s="518"/>
      <c r="CI40" s="518"/>
      <c r="CJ40" s="518"/>
      <c r="CK40" s="518"/>
      <c r="CL40" s="518"/>
      <c r="CM40" s="518"/>
      <c r="CN40" s="518"/>
      <c r="CO40" s="518"/>
      <c r="CP40" s="518"/>
      <c r="CQ40" s="518"/>
      <c r="CR40" s="518"/>
      <c r="CS40" s="518"/>
      <c r="CT40" s="518"/>
      <c r="CU40" s="518"/>
      <c r="CV40" s="518"/>
      <c r="CW40" s="518"/>
      <c r="CX40" s="518"/>
      <c r="CY40" s="518"/>
      <c r="CZ40" s="518"/>
      <c r="DA40" s="518"/>
      <c r="DB40" s="518"/>
      <c r="DC40" s="518"/>
      <c r="DD40" s="518"/>
      <c r="DE40" s="518"/>
      <c r="DF40" s="518"/>
      <c r="DG40" s="518"/>
      <c r="DH40" s="518"/>
      <c r="DI40" s="518"/>
      <c r="DJ40" s="518"/>
      <c r="DK40" s="518"/>
      <c r="DL40" s="518"/>
      <c r="DM40" s="518"/>
      <c r="DN40" s="518"/>
      <c r="DO40" s="518"/>
      <c r="DP40" s="518"/>
      <c r="DQ40" s="518"/>
      <c r="DR40" s="518"/>
      <c r="DS40" s="518"/>
      <c r="DT40" s="518"/>
      <c r="DU40" s="518"/>
      <c r="DV40" s="518"/>
      <c r="DW40" s="518"/>
      <c r="DX40" s="518"/>
      <c r="DY40" s="518"/>
      <c r="DZ40" s="518"/>
      <c r="EA40" s="518"/>
      <c r="EB40" s="518"/>
      <c r="EC40" s="518"/>
      <c r="ED40" s="518"/>
      <c r="EE40" s="518"/>
      <c r="EF40" s="518"/>
      <c r="EG40" s="518"/>
      <c r="EH40" s="518"/>
      <c r="EI40" s="518"/>
      <c r="EJ40" s="518"/>
      <c r="EK40" s="518"/>
      <c r="EL40" s="518"/>
      <c r="EM40" s="518"/>
      <c r="EN40" s="518"/>
      <c r="EO40" s="518"/>
      <c r="EP40" s="518"/>
      <c r="EQ40" s="518"/>
      <c r="ER40" s="518"/>
      <c r="ES40" s="518"/>
      <c r="ET40" s="518"/>
      <c r="EU40" s="518"/>
      <c r="EV40" s="518"/>
      <c r="EW40" s="518"/>
      <c r="EX40" s="518"/>
      <c r="EY40" s="518"/>
      <c r="EZ40" s="518"/>
      <c r="FA40" s="518"/>
      <c r="FB40" s="518"/>
      <c r="FC40" s="518"/>
      <c r="FD40" s="518"/>
      <c r="FE40" s="518"/>
      <c r="FF40" s="518"/>
      <c r="FG40" s="518"/>
      <c r="FH40" s="518"/>
      <c r="FI40" s="518"/>
      <c r="FJ40" s="518"/>
      <c r="FK40" s="518"/>
      <c r="FL40" s="518"/>
      <c r="FM40" s="518"/>
      <c r="FN40" s="518"/>
      <c r="FO40" s="518"/>
      <c r="FP40" s="518"/>
      <c r="FQ40" s="518"/>
      <c r="FR40" s="518"/>
      <c r="FS40" s="518"/>
      <c r="FT40" s="518"/>
      <c r="FU40" s="518"/>
      <c r="FV40" s="518"/>
      <c r="FW40" s="518"/>
      <c r="FX40" s="518"/>
      <c r="FY40" s="518"/>
      <c r="FZ40" s="518"/>
      <c r="GA40" s="518"/>
      <c r="GB40" s="518"/>
      <c r="GC40" s="518"/>
      <c r="GD40" s="518"/>
      <c r="GE40" s="518"/>
      <c r="GF40" s="518"/>
      <c r="GG40" s="518"/>
      <c r="GH40" s="518"/>
      <c r="GI40" s="518"/>
      <c r="GJ40" s="518"/>
      <c r="GK40" s="518"/>
      <c r="GL40" s="518"/>
      <c r="GM40" s="518"/>
      <c r="GN40" s="518"/>
      <c r="GO40" s="518"/>
      <c r="GP40" s="518"/>
      <c r="GQ40" s="518"/>
      <c r="GR40" s="518"/>
      <c r="GS40" s="518"/>
      <c r="GT40" s="518"/>
      <c r="GU40" s="518"/>
      <c r="GV40" s="518"/>
      <c r="GW40" s="518"/>
      <c r="GX40" s="518"/>
      <c r="GY40" s="518"/>
      <c r="GZ40" s="518"/>
      <c r="HA40" s="518"/>
      <c r="HB40" s="518"/>
      <c r="HC40" s="518"/>
      <c r="HD40" s="518"/>
      <c r="HE40" s="518"/>
      <c r="HF40" s="518"/>
      <c r="HG40" s="518"/>
      <c r="HH40" s="518"/>
      <c r="HI40" s="518"/>
      <c r="HJ40" s="518"/>
      <c r="HK40" s="518"/>
      <c r="HL40" s="518"/>
      <c r="HM40" s="518"/>
      <c r="HN40" s="518"/>
      <c r="HO40" s="518"/>
      <c r="HP40" s="518"/>
      <c r="HQ40" s="518"/>
      <c r="HR40" s="518"/>
      <c r="HS40" s="518"/>
      <c r="HT40" s="518"/>
      <c r="HU40" s="518"/>
      <c r="HV40" s="518"/>
      <c r="HW40" s="518"/>
      <c r="HX40" s="518"/>
      <c r="HY40" s="518"/>
      <c r="HZ40" s="518"/>
      <c r="IA40" s="518"/>
      <c r="IB40" s="518"/>
      <c r="IC40" s="518"/>
      <c r="ID40" s="518"/>
      <c r="IE40" s="518"/>
      <c r="IF40" s="518"/>
      <c r="IG40" s="518"/>
      <c r="IH40" s="518"/>
      <c r="II40" s="518"/>
      <c r="IJ40" s="518"/>
      <c r="IK40" s="518"/>
      <c r="IL40" s="518"/>
      <c r="IM40" s="518"/>
      <c r="IN40" s="518"/>
      <c r="IO40" s="518"/>
      <c r="IP40" s="518"/>
      <c r="IQ40" s="518"/>
      <c r="IR40" s="518"/>
    </row>
    <row r="41" spans="1:252" s="464" customFormat="1" ht="20.100000000000001" customHeight="1">
      <c r="A41" s="216"/>
      <c r="B41" s="217"/>
      <c r="C41" s="611" t="s">
        <v>143</v>
      </c>
      <c r="D41" s="1054">
        <v>61868.32</v>
      </c>
      <c r="E41" s="46"/>
      <c r="F41" s="30"/>
      <c r="G41" s="518"/>
      <c r="H41" s="519"/>
      <c r="I41" s="520"/>
      <c r="J41" s="520"/>
      <c r="K41" s="518"/>
      <c r="L41" s="518"/>
      <c r="M41" s="518"/>
      <c r="N41" s="518"/>
      <c r="O41" s="518"/>
      <c r="P41" s="518"/>
      <c r="Q41" s="518"/>
      <c r="R41" s="518"/>
      <c r="S41" s="518"/>
      <c r="T41" s="518"/>
      <c r="U41" s="518"/>
      <c r="V41" s="518"/>
      <c r="W41" s="518"/>
      <c r="X41" s="518"/>
      <c r="Y41" s="518"/>
      <c r="Z41" s="518"/>
      <c r="AA41" s="518"/>
      <c r="AB41" s="518"/>
      <c r="AC41" s="518"/>
      <c r="AD41" s="518"/>
      <c r="AE41" s="518"/>
      <c r="AF41" s="518"/>
      <c r="AG41" s="518"/>
      <c r="AH41" s="518"/>
      <c r="AI41" s="518"/>
      <c r="AJ41" s="518"/>
      <c r="AK41" s="518"/>
      <c r="AL41" s="518"/>
      <c r="AM41" s="518"/>
      <c r="AN41" s="518"/>
      <c r="AO41" s="518"/>
      <c r="AP41" s="518"/>
      <c r="AQ41" s="518"/>
      <c r="AR41" s="518"/>
      <c r="AS41" s="518"/>
      <c r="AT41" s="518"/>
      <c r="AU41" s="518"/>
      <c r="AV41" s="518"/>
      <c r="AW41" s="518"/>
      <c r="AX41" s="518"/>
      <c r="AY41" s="518"/>
      <c r="AZ41" s="518"/>
      <c r="BA41" s="518"/>
      <c r="BB41" s="518"/>
      <c r="BC41" s="518"/>
      <c r="BD41" s="518"/>
      <c r="BE41" s="518"/>
      <c r="BF41" s="518"/>
      <c r="BG41" s="518"/>
      <c r="BH41" s="518"/>
      <c r="BI41" s="518"/>
      <c r="BJ41" s="518"/>
      <c r="BK41" s="518"/>
      <c r="BL41" s="518"/>
      <c r="BM41" s="518"/>
      <c r="BN41" s="518"/>
      <c r="BO41" s="518"/>
      <c r="BP41" s="518"/>
      <c r="BQ41" s="518"/>
      <c r="BR41" s="518"/>
      <c r="BS41" s="518"/>
      <c r="BT41" s="518"/>
      <c r="BU41" s="518"/>
      <c r="BV41" s="518"/>
      <c r="BW41" s="518"/>
      <c r="BX41" s="518"/>
      <c r="BY41" s="518"/>
      <c r="BZ41" s="518"/>
      <c r="CA41" s="518"/>
      <c r="CB41" s="518"/>
      <c r="CC41" s="518"/>
      <c r="CD41" s="518"/>
      <c r="CE41" s="518"/>
      <c r="CF41" s="518"/>
      <c r="CG41" s="518"/>
      <c r="CH41" s="518"/>
      <c r="CI41" s="518"/>
      <c r="CJ41" s="518"/>
      <c r="CK41" s="518"/>
      <c r="CL41" s="518"/>
      <c r="CM41" s="518"/>
      <c r="CN41" s="518"/>
      <c r="CO41" s="518"/>
      <c r="CP41" s="518"/>
      <c r="CQ41" s="518"/>
      <c r="CR41" s="518"/>
      <c r="CS41" s="518"/>
      <c r="CT41" s="518"/>
      <c r="CU41" s="518"/>
      <c r="CV41" s="518"/>
      <c r="CW41" s="518"/>
      <c r="CX41" s="518"/>
      <c r="CY41" s="518"/>
      <c r="CZ41" s="518"/>
      <c r="DA41" s="518"/>
      <c r="DB41" s="518"/>
      <c r="DC41" s="518"/>
      <c r="DD41" s="518"/>
      <c r="DE41" s="518"/>
      <c r="DF41" s="518"/>
      <c r="DG41" s="518"/>
      <c r="DH41" s="518"/>
      <c r="DI41" s="518"/>
      <c r="DJ41" s="518"/>
      <c r="DK41" s="518"/>
      <c r="DL41" s="518"/>
      <c r="DM41" s="518"/>
      <c r="DN41" s="518"/>
      <c r="DO41" s="518"/>
      <c r="DP41" s="518"/>
      <c r="DQ41" s="518"/>
      <c r="DR41" s="518"/>
      <c r="DS41" s="518"/>
      <c r="DT41" s="518"/>
      <c r="DU41" s="518"/>
      <c r="DV41" s="518"/>
      <c r="DW41" s="518"/>
      <c r="DX41" s="518"/>
      <c r="DY41" s="518"/>
      <c r="DZ41" s="518"/>
      <c r="EA41" s="518"/>
      <c r="EB41" s="518"/>
      <c r="EC41" s="518"/>
      <c r="ED41" s="518"/>
      <c r="EE41" s="518"/>
      <c r="EF41" s="518"/>
      <c r="EG41" s="518"/>
      <c r="EH41" s="518"/>
      <c r="EI41" s="518"/>
      <c r="EJ41" s="518"/>
      <c r="EK41" s="518"/>
      <c r="EL41" s="518"/>
      <c r="EM41" s="518"/>
      <c r="EN41" s="518"/>
      <c r="EO41" s="518"/>
      <c r="EP41" s="518"/>
      <c r="EQ41" s="518"/>
      <c r="ER41" s="518"/>
      <c r="ES41" s="518"/>
      <c r="ET41" s="518"/>
      <c r="EU41" s="518"/>
      <c r="EV41" s="518"/>
      <c r="EW41" s="518"/>
      <c r="EX41" s="518"/>
      <c r="EY41" s="518"/>
      <c r="EZ41" s="518"/>
      <c r="FA41" s="518"/>
      <c r="FB41" s="518"/>
      <c r="FC41" s="518"/>
      <c r="FD41" s="518"/>
      <c r="FE41" s="518"/>
      <c r="FF41" s="518"/>
      <c r="FG41" s="518"/>
      <c r="FH41" s="518"/>
      <c r="FI41" s="518"/>
      <c r="FJ41" s="518"/>
      <c r="FK41" s="518"/>
      <c r="FL41" s="518"/>
      <c r="FM41" s="518"/>
      <c r="FN41" s="518"/>
      <c r="FO41" s="518"/>
      <c r="FP41" s="518"/>
      <c r="FQ41" s="518"/>
      <c r="FR41" s="518"/>
      <c r="FS41" s="518"/>
      <c r="FT41" s="518"/>
      <c r="FU41" s="518"/>
      <c r="FV41" s="518"/>
      <c r="FW41" s="518"/>
      <c r="FX41" s="518"/>
      <c r="FY41" s="518"/>
      <c r="FZ41" s="518"/>
      <c r="GA41" s="518"/>
      <c r="GB41" s="518"/>
      <c r="GC41" s="518"/>
      <c r="GD41" s="518"/>
      <c r="GE41" s="518"/>
      <c r="GF41" s="518"/>
      <c r="GG41" s="518"/>
      <c r="GH41" s="518"/>
      <c r="GI41" s="518"/>
      <c r="GJ41" s="518"/>
      <c r="GK41" s="518"/>
      <c r="GL41" s="518"/>
      <c r="GM41" s="518"/>
      <c r="GN41" s="518"/>
      <c r="GO41" s="518"/>
      <c r="GP41" s="518"/>
      <c r="GQ41" s="518"/>
      <c r="GR41" s="518"/>
      <c r="GS41" s="518"/>
      <c r="GT41" s="518"/>
      <c r="GU41" s="518"/>
      <c r="GV41" s="518"/>
      <c r="GW41" s="518"/>
      <c r="GX41" s="518"/>
      <c r="GY41" s="518"/>
      <c r="GZ41" s="518"/>
      <c r="HA41" s="518"/>
      <c r="HB41" s="518"/>
      <c r="HC41" s="518"/>
      <c r="HD41" s="518"/>
      <c r="HE41" s="518"/>
      <c r="HF41" s="518"/>
      <c r="HG41" s="518"/>
      <c r="HH41" s="518"/>
      <c r="HI41" s="518"/>
      <c r="HJ41" s="518"/>
      <c r="HK41" s="518"/>
      <c r="HL41" s="518"/>
      <c r="HM41" s="518"/>
      <c r="HN41" s="518"/>
      <c r="HO41" s="518"/>
      <c r="HP41" s="518"/>
      <c r="HQ41" s="518"/>
      <c r="HR41" s="518"/>
      <c r="HS41" s="518"/>
      <c r="HT41" s="518"/>
      <c r="HU41" s="518"/>
      <c r="HV41" s="518"/>
      <c r="HW41" s="518"/>
      <c r="HX41" s="518"/>
      <c r="HY41" s="518"/>
      <c r="HZ41" s="518"/>
      <c r="IA41" s="518"/>
      <c r="IB41" s="518"/>
      <c r="IC41" s="518"/>
      <c r="ID41" s="518"/>
      <c r="IE41" s="518"/>
      <c r="IF41" s="518"/>
      <c r="IG41" s="518"/>
      <c r="IH41" s="518"/>
      <c r="II41" s="518"/>
      <c r="IJ41" s="518"/>
      <c r="IK41" s="518"/>
      <c r="IL41" s="518"/>
      <c r="IM41" s="518"/>
      <c r="IN41" s="518"/>
      <c r="IO41" s="518"/>
      <c r="IP41" s="518"/>
      <c r="IQ41" s="518"/>
      <c r="IR41" s="518"/>
    </row>
    <row r="42" spans="1:252" ht="5.0999999999999996" customHeight="1">
      <c r="A42" s="615"/>
      <c r="B42" s="110"/>
      <c r="C42" s="111"/>
      <c r="D42" s="209"/>
      <c r="E42" s="33"/>
      <c r="F42" s="33"/>
      <c r="H42" s="367"/>
      <c r="I42" s="210"/>
    </row>
    <row r="43" spans="1:252" ht="35.1" customHeight="1" thickBot="1">
      <c r="A43" s="675" t="s">
        <v>62</v>
      </c>
      <c r="B43" s="676"/>
      <c r="C43" s="676"/>
      <c r="D43" s="677">
        <f>SUM(D8:D41)</f>
        <v>1767906.5318300058</v>
      </c>
      <c r="E43" s="677">
        <f>SUM(E8:E38)</f>
        <v>1820289.3799999997</v>
      </c>
      <c r="F43" s="678">
        <f>F6+D43-E43</f>
        <v>473299.35183000588</v>
      </c>
      <c r="G43" s="757"/>
      <c r="H43" s="366"/>
      <c r="I43" s="208"/>
      <c r="J43" s="208"/>
    </row>
    <row r="44" spans="1:252" ht="35.1" customHeight="1">
      <c r="A44" s="679"/>
      <c r="B44" s="679"/>
      <c r="C44" s="679"/>
      <c r="D44" s="680"/>
      <c r="E44" s="680"/>
      <c r="F44" s="680"/>
      <c r="G44" s="221"/>
      <c r="H44" s="366"/>
      <c r="I44" s="208"/>
      <c r="J44" s="208"/>
    </row>
    <row r="45" spans="1:252" ht="23.25" thickBot="1">
      <c r="A45" s="133"/>
      <c r="B45" s="334"/>
      <c r="C45" s="334"/>
      <c r="D45" s="681"/>
      <c r="E45" s="681"/>
      <c r="F45" s="936">
        <f>F43-473299.35</f>
        <v>1.8300059018656611E-3</v>
      </c>
      <c r="G45" s="682"/>
    </row>
    <row r="46" spans="1:252" ht="35.1" customHeight="1">
      <c r="A46" s="671" t="s">
        <v>259</v>
      </c>
      <c r="B46" s="683" t="s">
        <v>2756</v>
      </c>
      <c r="C46" s="673"/>
      <c r="D46" s="654" t="s">
        <v>41</v>
      </c>
      <c r="E46" s="674" t="s">
        <v>42</v>
      </c>
      <c r="F46" s="656" t="s">
        <v>43</v>
      </c>
    </row>
    <row r="47" spans="1:252" ht="20.100000000000001" customHeight="1">
      <c r="A47" s="684"/>
      <c r="B47" s="685" t="s">
        <v>147</v>
      </c>
      <c r="C47" s="686" t="s">
        <v>45</v>
      </c>
      <c r="D47" s="36"/>
      <c r="E47" s="46"/>
      <c r="F47" s="30">
        <v>54878618.600000001</v>
      </c>
      <c r="G47" s="223"/>
    </row>
    <row r="48" spans="1:252" ht="5.0999999999999996" customHeight="1">
      <c r="A48" s="143"/>
      <c r="B48" s="144"/>
      <c r="C48" s="145"/>
      <c r="D48" s="209"/>
      <c r="E48" s="33"/>
      <c r="F48" s="34"/>
      <c r="G48" s="223"/>
      <c r="H48" s="367"/>
      <c r="I48" s="210"/>
    </row>
    <row r="49" spans="1:9" ht="20.100000000000001" customHeight="1">
      <c r="A49" s="687"/>
      <c r="B49" s="685" t="s">
        <v>46</v>
      </c>
      <c r="C49" s="686" t="s">
        <v>65</v>
      </c>
      <c r="D49" s="36">
        <v>0</v>
      </c>
      <c r="E49" s="46"/>
      <c r="F49" s="30"/>
      <c r="G49" s="223"/>
    </row>
    <row r="50" spans="1:9" ht="5.0999999999999996" customHeight="1">
      <c r="A50" s="143"/>
      <c r="B50" s="144"/>
      <c r="C50" s="145"/>
      <c r="D50" s="209"/>
      <c r="E50" s="33"/>
      <c r="F50" s="34"/>
      <c r="H50" s="367"/>
      <c r="I50" s="210"/>
    </row>
    <row r="51" spans="1:9" ht="20.100000000000001" customHeight="1">
      <c r="A51" s="687"/>
      <c r="B51" s="685" t="s">
        <v>47</v>
      </c>
      <c r="C51" s="686" t="s">
        <v>71</v>
      </c>
      <c r="D51" s="36"/>
      <c r="E51" s="46">
        <v>0</v>
      </c>
      <c r="F51" s="30"/>
      <c r="G51" s="223"/>
    </row>
    <row r="52" spans="1:9" ht="5.0999999999999996" customHeight="1">
      <c r="A52" s="143"/>
      <c r="B52" s="144"/>
      <c r="C52" s="145"/>
      <c r="D52" s="209"/>
      <c r="E52" s="33"/>
      <c r="F52" s="34"/>
      <c r="H52" s="367"/>
      <c r="I52" s="210"/>
    </row>
    <row r="53" spans="1:9" ht="20.100000000000001" customHeight="1">
      <c r="A53" s="687"/>
      <c r="B53" s="685" t="s">
        <v>49</v>
      </c>
      <c r="C53" s="686" t="s">
        <v>68</v>
      </c>
      <c r="D53" s="36">
        <v>616687.25</v>
      </c>
      <c r="E53" s="46"/>
      <c r="F53" s="30"/>
      <c r="G53" s="224"/>
    </row>
    <row r="54" spans="1:9" ht="5.0999999999999996" customHeight="1">
      <c r="A54" s="143"/>
      <c r="B54" s="144"/>
      <c r="C54" s="145"/>
      <c r="D54" s="209"/>
      <c r="E54" s="33"/>
      <c r="F54" s="34"/>
      <c r="G54" s="224"/>
      <c r="H54" s="367"/>
      <c r="I54" s="210"/>
    </row>
    <row r="55" spans="1:9" ht="20.100000000000001" customHeight="1">
      <c r="A55" s="687"/>
      <c r="B55" s="685"/>
      <c r="C55" s="686"/>
      <c r="D55" s="36"/>
      <c r="E55" s="46"/>
      <c r="F55" s="30"/>
      <c r="G55" s="224"/>
    </row>
    <row r="56" spans="1:9" ht="5.0999999999999996" customHeight="1" thickBot="1">
      <c r="A56" s="687"/>
      <c r="B56" s="149"/>
      <c r="C56" s="688"/>
      <c r="D56" s="150"/>
      <c r="E56" s="151"/>
      <c r="F56" s="226"/>
      <c r="G56" s="224"/>
    </row>
    <row r="57" spans="1:9" ht="35.1" customHeight="1" thickBot="1">
      <c r="A57" s="689" t="s">
        <v>69</v>
      </c>
      <c r="B57" s="690"/>
      <c r="C57" s="690"/>
      <c r="D57" s="657">
        <f>SUM(D49:D56)</f>
        <v>616687.25</v>
      </c>
      <c r="E57" s="658">
        <f>SUM(E49:E56)</f>
        <v>0</v>
      </c>
      <c r="F57" s="653">
        <f>F47+D57-E57</f>
        <v>55495305.850000001</v>
      </c>
      <c r="G57" s="691"/>
      <c r="H57" s="692"/>
    </row>
    <row r="58" spans="1:9" s="163" customFormat="1" ht="23.25" thickBot="1">
      <c r="A58" s="162"/>
      <c r="B58" s="227"/>
      <c r="C58" s="227"/>
      <c r="D58" s="228"/>
      <c r="E58" s="229"/>
      <c r="F58" s="230"/>
      <c r="G58" s="231"/>
      <c r="H58" s="370"/>
    </row>
    <row r="59" spans="1:9" s="163" customFormat="1" ht="35.1" customHeight="1">
      <c r="A59" s="671" t="s">
        <v>260</v>
      </c>
      <c r="B59" s="683" t="s">
        <v>2060</v>
      </c>
      <c r="C59" s="693"/>
      <c r="D59" s="654" t="s">
        <v>41</v>
      </c>
      <c r="E59" s="694" t="s">
        <v>42</v>
      </c>
      <c r="F59" s="656" t="s">
        <v>43</v>
      </c>
      <c r="G59" s="166"/>
      <c r="H59" s="371"/>
    </row>
    <row r="60" spans="1:9" s="163" customFormat="1" ht="20.100000000000001" customHeight="1">
      <c r="A60" s="695"/>
      <c r="B60" s="128" t="s">
        <v>44</v>
      </c>
      <c r="C60" s="610" t="s">
        <v>45</v>
      </c>
      <c r="D60" s="36"/>
      <c r="E60" s="46"/>
      <c r="F60" s="48">
        <v>3041614.72</v>
      </c>
      <c r="G60" s="231"/>
      <c r="H60" s="696"/>
    </row>
    <row r="61" spans="1:9" s="163" customFormat="1" ht="5.0999999999999996" customHeight="1">
      <c r="A61" s="161"/>
      <c r="B61" s="110"/>
      <c r="C61" s="111"/>
      <c r="D61" s="32"/>
      <c r="E61" s="33"/>
      <c r="F61" s="34"/>
      <c r="G61" s="162"/>
      <c r="H61" s="367"/>
      <c r="I61" s="210"/>
    </row>
    <row r="62" spans="1:9" s="163" customFormat="1">
      <c r="A62" s="697"/>
      <c r="B62" s="128" t="s">
        <v>64</v>
      </c>
      <c r="C62" s="698" t="s">
        <v>2770</v>
      </c>
      <c r="D62" s="36">
        <v>1040000</v>
      </c>
      <c r="E62" s="46"/>
      <c r="F62" s="30"/>
      <c r="G62" s="162"/>
      <c r="H62" s="371"/>
      <c r="I62" s="374"/>
    </row>
    <row r="63" spans="1:9" s="163" customFormat="1" ht="5.0999999999999996" customHeight="1">
      <c r="A63" s="161"/>
      <c r="B63" s="110"/>
      <c r="C63" s="111"/>
      <c r="D63" s="32"/>
      <c r="E63" s="33"/>
      <c r="F63" s="34"/>
      <c r="G63" s="162"/>
      <c r="H63" s="367"/>
      <c r="I63" s="373"/>
    </row>
    <row r="64" spans="1:9" s="163" customFormat="1" ht="20.100000000000001" customHeight="1">
      <c r="A64" s="697"/>
      <c r="B64" s="128" t="s">
        <v>66</v>
      </c>
      <c r="C64" s="610" t="s">
        <v>67</v>
      </c>
      <c r="D64" s="36"/>
      <c r="E64" s="46">
        <v>436000</v>
      </c>
      <c r="F64" s="30"/>
      <c r="G64" s="162"/>
      <c r="H64" s="371"/>
      <c r="I64" s="374"/>
    </row>
    <row r="65" spans="1:9" s="163" customFormat="1" ht="5.0999999999999996" customHeight="1">
      <c r="A65" s="161"/>
      <c r="B65" s="110"/>
      <c r="C65" s="111"/>
      <c r="D65" s="32"/>
      <c r="E65" s="33"/>
      <c r="F65" s="34"/>
      <c r="G65" s="162"/>
      <c r="H65" s="367"/>
      <c r="I65" s="373"/>
    </row>
    <row r="66" spans="1:9" s="163" customFormat="1" ht="20.100000000000001" customHeight="1">
      <c r="A66" s="697"/>
      <c r="B66" s="128" t="s">
        <v>49</v>
      </c>
      <c r="C66" s="610" t="s">
        <v>72</v>
      </c>
      <c r="D66" s="36">
        <v>35764.25</v>
      </c>
      <c r="E66" s="46"/>
      <c r="F66" s="30"/>
      <c r="G66" s="162"/>
      <c r="H66" s="371"/>
      <c r="I66" s="374"/>
    </row>
    <row r="67" spans="1:9" s="163" customFormat="1" ht="5.0999999999999996" customHeight="1" thickBot="1">
      <c r="A67" s="161"/>
      <c r="B67" s="110"/>
      <c r="C67" s="111"/>
      <c r="D67" s="32"/>
      <c r="E67" s="33"/>
      <c r="F67" s="34"/>
      <c r="G67" s="162"/>
      <c r="H67" s="367"/>
      <c r="I67" s="373"/>
    </row>
    <row r="68" spans="1:9" s="163" customFormat="1" ht="35.1" customHeight="1" thickBot="1">
      <c r="A68" s="689" t="s">
        <v>73</v>
      </c>
      <c r="B68" s="690"/>
      <c r="C68" s="690"/>
      <c r="D68" s="657">
        <f>SUM(D62:D67)</f>
        <v>1075764.25</v>
      </c>
      <c r="E68" s="658">
        <f>SUM(E62:E67)</f>
        <v>436000</v>
      </c>
      <c r="F68" s="653">
        <f>F60+D68-E68</f>
        <v>3681378.97</v>
      </c>
      <c r="G68" s="165"/>
      <c r="H68" s="597"/>
      <c r="I68" s="374"/>
    </row>
    <row r="69" spans="1:9" s="163" customFormat="1" ht="23.25" thickBot="1">
      <c r="A69" s="166"/>
      <c r="B69" s="167"/>
      <c r="C69" s="167"/>
      <c r="D69" s="51"/>
      <c r="E69" s="52"/>
      <c r="F69" s="230"/>
      <c r="G69" s="168"/>
      <c r="H69" s="370"/>
    </row>
    <row r="70" spans="1:9" s="163" customFormat="1" ht="35.1" customHeight="1" thickBot="1">
      <c r="A70" s="689" t="s">
        <v>150</v>
      </c>
      <c r="B70" s="690"/>
      <c r="C70" s="690"/>
      <c r="D70" s="657">
        <f>D43+D57+D68</f>
        <v>3460358.0318300058</v>
      </c>
      <c r="E70" s="652">
        <f>E43+E57+E68</f>
        <v>2256289.38</v>
      </c>
      <c r="F70" s="653">
        <f>F43+F57+F68</f>
        <v>59649984.171830006</v>
      </c>
      <c r="G70" s="162"/>
      <c r="H70" s="371"/>
    </row>
    <row r="71" spans="1:9">
      <c r="D71" s="208"/>
      <c r="F71" s="700"/>
    </row>
    <row r="72" spans="1:9" ht="19.5" customHeight="1">
      <c r="E72" s="208"/>
      <c r="F72" s="212"/>
    </row>
    <row r="73" spans="1:9" ht="30">
      <c r="F73" s="701"/>
    </row>
    <row r="74" spans="1:9">
      <c r="E74" s="213"/>
      <c r="F74" s="212"/>
    </row>
    <row r="77" spans="1:9" ht="23.25">
      <c r="C77" s="349"/>
      <c r="D77" s="349"/>
      <c r="E77" s="350"/>
      <c r="F77" s="349"/>
    </row>
    <row r="78" spans="1:9" ht="23.25">
      <c r="C78" s="349"/>
      <c r="D78" s="349"/>
      <c r="E78" s="349"/>
      <c r="F78" s="349"/>
    </row>
    <row r="79" spans="1:9" ht="23.25">
      <c r="C79" s="349"/>
      <c r="D79" s="349"/>
      <c r="E79" s="351"/>
      <c r="F79" s="349"/>
    </row>
    <row r="80" spans="1:9" ht="23.25">
      <c r="C80" s="349"/>
      <c r="D80" s="349"/>
      <c r="E80" s="349"/>
      <c r="F80" s="349"/>
    </row>
    <row r="81" spans="3:6" ht="23.25">
      <c r="C81" s="349"/>
      <c r="D81" s="349"/>
      <c r="E81" s="350"/>
      <c r="F81" s="349"/>
    </row>
    <row r="82" spans="3:6" ht="23.25">
      <c r="C82" s="349"/>
      <c r="D82" s="349"/>
      <c r="E82" s="349"/>
      <c r="F82" s="349"/>
    </row>
  </sheetData>
  <printOptions horizontalCentered="1"/>
  <pageMargins left="0.39370078740157483" right="0.39370078740157483" top="0.59055118110236227" bottom="0.78740157480314965" header="0.15748031496062992" footer="0.59055118110236227"/>
  <pageSetup paperSize="9" scale="60" firstPageNumber="175" fitToHeight="2" orientation="landscape" useFirstPageNumber="1" r:id="rId1"/>
  <headerFooter alignWithMargins="0">
    <oddFooter>&amp;CPágina &amp;P</oddFooter>
  </headerFooter>
  <rowBreaks count="1" manualBreakCount="1">
    <brk id="44" max="5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D55"/>
  <sheetViews>
    <sheetView showGridLines="0" view="pageBreakPreview" topLeftCell="A31" zoomScale="80" zoomScaleNormal="80" zoomScaleSheetLayoutView="80" workbookViewId="0">
      <selection activeCell="F13" sqref="F13"/>
    </sheetView>
  </sheetViews>
  <sheetFormatPr defaultRowHeight="12.75"/>
  <cols>
    <col min="1" max="1" width="23.7109375" bestFit="1" customWidth="1"/>
    <col min="2" max="2" width="21.7109375" bestFit="1" customWidth="1"/>
    <col min="3" max="3" width="19.5703125" style="5" customWidth="1"/>
    <col min="4" max="4" width="118.5703125" style="5" customWidth="1"/>
  </cols>
  <sheetData>
    <row r="1" spans="1:4" ht="33.75">
      <c r="A1" s="54"/>
      <c r="B1" s="54"/>
      <c r="C1" s="792" t="s">
        <v>151</v>
      </c>
      <c r="D1" s="786"/>
    </row>
    <row r="2" spans="1:4" ht="30">
      <c r="A2" s="20"/>
      <c r="B2" s="20"/>
      <c r="C2" s="786" t="s">
        <v>7761</v>
      </c>
      <c r="D2" s="786"/>
    </row>
    <row r="3" spans="1:4" ht="27.75">
      <c r="A3" s="57"/>
      <c r="B3" s="57"/>
      <c r="C3" s="787"/>
      <c r="D3" s="793" t="str">
        <f>Resumo!E3</f>
        <v>Abril-16</v>
      </c>
    </row>
    <row r="4" spans="1:4" ht="25.5">
      <c r="D4" s="788"/>
    </row>
    <row r="5" spans="1:4" ht="31.5">
      <c r="A5" s="60" t="s">
        <v>76</v>
      </c>
      <c r="B5" s="60" t="s">
        <v>77</v>
      </c>
      <c r="C5" s="355" t="s">
        <v>78</v>
      </c>
      <c r="D5" s="355" t="s">
        <v>401</v>
      </c>
    </row>
    <row r="6" spans="1:4" ht="18" customHeight="1">
      <c r="A6" s="62" t="s">
        <v>2081</v>
      </c>
      <c r="B6" s="62" t="s">
        <v>82</v>
      </c>
      <c r="C6" s="269">
        <v>453.23</v>
      </c>
      <c r="D6" s="352" t="s">
        <v>7779</v>
      </c>
    </row>
    <row r="7" spans="1:4" ht="18" customHeight="1">
      <c r="A7" s="62" t="s">
        <v>2081</v>
      </c>
      <c r="B7" s="62" t="s">
        <v>82</v>
      </c>
      <c r="C7" s="269">
        <v>3351.88</v>
      </c>
      <c r="D7" s="352" t="s">
        <v>7801</v>
      </c>
    </row>
    <row r="8" spans="1:4" ht="18" customHeight="1">
      <c r="A8" s="62" t="s">
        <v>2081</v>
      </c>
      <c r="B8" s="62" t="s">
        <v>82</v>
      </c>
      <c r="C8" s="269">
        <v>41.2</v>
      </c>
      <c r="D8" s="352" t="s">
        <v>4354</v>
      </c>
    </row>
    <row r="9" spans="1:4" ht="18" customHeight="1">
      <c r="A9" s="62" t="s">
        <v>2081</v>
      </c>
      <c r="B9" s="62" t="s">
        <v>82</v>
      </c>
      <c r="C9" s="269">
        <v>82.41</v>
      </c>
      <c r="D9" s="352" t="s">
        <v>7780</v>
      </c>
    </row>
    <row r="10" spans="1:4" ht="22.15" customHeight="1">
      <c r="A10" s="64" t="s">
        <v>81</v>
      </c>
      <c r="B10" s="65"/>
      <c r="C10" s="353">
        <f>SUM(C6:C9)</f>
        <v>3928.72</v>
      </c>
      <c r="D10" s="354"/>
    </row>
    <row r="11" spans="1:4" ht="13.7" customHeight="1">
      <c r="A11" s="1094"/>
      <c r="B11" s="1095"/>
      <c r="C11" s="1095"/>
      <c r="D11" s="1096"/>
    </row>
    <row r="12" spans="1:4" ht="31.7" customHeight="1">
      <c r="A12" s="355" t="s">
        <v>76</v>
      </c>
      <c r="B12" s="355" t="s">
        <v>77</v>
      </c>
      <c r="C12" s="355" t="s">
        <v>78</v>
      </c>
      <c r="D12" s="355" t="s">
        <v>399</v>
      </c>
    </row>
    <row r="13" spans="1:4" ht="18" customHeight="1">
      <c r="A13" s="62" t="s">
        <v>82</v>
      </c>
      <c r="B13" s="62" t="s">
        <v>80</v>
      </c>
      <c r="C13" s="269">
        <v>29152.48</v>
      </c>
      <c r="D13" s="352" t="s">
        <v>7762</v>
      </c>
    </row>
    <row r="14" spans="1:4" ht="18" customHeight="1">
      <c r="A14" s="62" t="s">
        <v>82</v>
      </c>
      <c r="B14" s="62" t="s">
        <v>80</v>
      </c>
      <c r="C14" s="269">
        <v>3300.57</v>
      </c>
      <c r="D14" s="352" t="s">
        <v>7763</v>
      </c>
    </row>
    <row r="15" spans="1:4" ht="18" customHeight="1">
      <c r="A15" s="62" t="s">
        <v>82</v>
      </c>
      <c r="B15" s="62" t="s">
        <v>80</v>
      </c>
      <c r="C15" s="269">
        <v>3667.71</v>
      </c>
      <c r="D15" s="352" t="s">
        <v>2755</v>
      </c>
    </row>
    <row r="16" spans="1:4" ht="18" customHeight="1">
      <c r="A16" s="62" t="s">
        <v>82</v>
      </c>
      <c r="B16" s="62" t="s">
        <v>80</v>
      </c>
      <c r="C16" s="269">
        <v>2962.04</v>
      </c>
      <c r="D16" s="352" t="s">
        <v>7764</v>
      </c>
    </row>
    <row r="17" spans="1:4" ht="18" customHeight="1">
      <c r="A17" s="62" t="s">
        <v>82</v>
      </c>
      <c r="B17" s="62" t="s">
        <v>80</v>
      </c>
      <c r="C17" s="269">
        <v>1875</v>
      </c>
      <c r="D17" s="352" t="s">
        <v>7765</v>
      </c>
    </row>
    <row r="18" spans="1:4" ht="18" customHeight="1">
      <c r="A18" s="62" t="s">
        <v>82</v>
      </c>
      <c r="B18" s="62" t="s">
        <v>80</v>
      </c>
      <c r="C18" s="269">
        <v>1593.15</v>
      </c>
      <c r="D18" s="352" t="s">
        <v>7766</v>
      </c>
    </row>
    <row r="19" spans="1:4" ht="18" customHeight="1">
      <c r="A19" s="62" t="s">
        <v>82</v>
      </c>
      <c r="B19" s="62" t="s">
        <v>80</v>
      </c>
      <c r="C19" s="269">
        <v>1470.58</v>
      </c>
      <c r="D19" s="352" t="s">
        <v>7767</v>
      </c>
    </row>
    <row r="20" spans="1:4" ht="18" customHeight="1">
      <c r="A20" s="62" t="s">
        <v>82</v>
      </c>
      <c r="B20" s="62" t="s">
        <v>80</v>
      </c>
      <c r="C20" s="269">
        <v>980.39</v>
      </c>
      <c r="D20" s="352" t="s">
        <v>7768</v>
      </c>
    </row>
    <row r="21" spans="1:4" ht="18" customHeight="1">
      <c r="A21" s="62" t="s">
        <v>82</v>
      </c>
      <c r="B21" s="62" t="s">
        <v>80</v>
      </c>
      <c r="C21" s="269">
        <v>938.73</v>
      </c>
      <c r="D21" s="352" t="s">
        <v>7769</v>
      </c>
    </row>
    <row r="22" spans="1:4" ht="18" customHeight="1">
      <c r="A22" s="62" t="s">
        <v>82</v>
      </c>
      <c r="B22" s="62" t="s">
        <v>80</v>
      </c>
      <c r="C22" s="269">
        <v>612.77</v>
      </c>
      <c r="D22" s="352" t="s">
        <v>7770</v>
      </c>
    </row>
    <row r="23" spans="1:4" ht="18" customHeight="1">
      <c r="A23" s="62" t="s">
        <v>82</v>
      </c>
      <c r="B23" s="62" t="s">
        <v>80</v>
      </c>
      <c r="C23" s="269">
        <v>490.2</v>
      </c>
      <c r="D23" s="352" t="s">
        <v>7771</v>
      </c>
    </row>
    <row r="24" spans="1:4" ht="18" customHeight="1">
      <c r="A24" s="62" t="s">
        <v>82</v>
      </c>
      <c r="B24" s="62" t="s">
        <v>80</v>
      </c>
      <c r="C24" s="269">
        <v>434.71</v>
      </c>
      <c r="D24" s="352" t="s">
        <v>7772</v>
      </c>
    </row>
    <row r="25" spans="1:4" ht="18" customHeight="1">
      <c r="A25" s="62" t="s">
        <v>82</v>
      </c>
      <c r="B25" s="62" t="s">
        <v>80</v>
      </c>
      <c r="C25" s="269">
        <v>367.65</v>
      </c>
      <c r="D25" s="352" t="s">
        <v>7773</v>
      </c>
    </row>
    <row r="26" spans="1:4" ht="18" customHeight="1">
      <c r="A26" s="62" t="s">
        <v>82</v>
      </c>
      <c r="B26" s="62" t="s">
        <v>80</v>
      </c>
      <c r="C26" s="269">
        <v>318.63</v>
      </c>
      <c r="D26" s="352" t="s">
        <v>7774</v>
      </c>
    </row>
    <row r="27" spans="1:4" ht="18" customHeight="1">
      <c r="A27" s="62" t="s">
        <v>82</v>
      </c>
      <c r="B27" s="62" t="s">
        <v>80</v>
      </c>
      <c r="C27" s="269">
        <v>80.83</v>
      </c>
      <c r="D27" s="352" t="s">
        <v>7775</v>
      </c>
    </row>
    <row r="28" spans="1:4" ht="18" customHeight="1">
      <c r="A28" s="62" t="s">
        <v>82</v>
      </c>
      <c r="B28" s="62" t="s">
        <v>80</v>
      </c>
      <c r="C28" s="269">
        <v>42.42</v>
      </c>
      <c r="D28" s="352" t="s">
        <v>7778</v>
      </c>
    </row>
    <row r="29" spans="1:4" ht="18" customHeight="1">
      <c r="A29" s="62" t="s">
        <v>82</v>
      </c>
      <c r="B29" s="62" t="s">
        <v>80</v>
      </c>
      <c r="C29" s="269">
        <v>29.25</v>
      </c>
      <c r="D29" s="352" t="s">
        <v>7776</v>
      </c>
    </row>
    <row r="30" spans="1:4" ht="18" customHeight="1">
      <c r="A30" s="62" t="s">
        <v>82</v>
      </c>
      <c r="B30" s="62" t="s">
        <v>80</v>
      </c>
      <c r="C30" s="269">
        <v>24.08</v>
      </c>
      <c r="D30" s="352" t="s">
        <v>7777</v>
      </c>
    </row>
    <row r="31" spans="1:4" ht="18.600000000000001" customHeight="1">
      <c r="A31" s="64" t="s">
        <v>81</v>
      </c>
      <c r="B31" s="65"/>
      <c r="C31" s="353">
        <f>SUM(C13:C30)</f>
        <v>48341.19</v>
      </c>
      <c r="D31" s="354"/>
    </row>
    <row r="32" spans="1:4" ht="13.7" customHeight="1">
      <c r="A32" s="1094"/>
      <c r="B32" s="1095"/>
      <c r="C32" s="1095"/>
      <c r="D32" s="1096"/>
    </row>
    <row r="33" spans="1:4" ht="31.5">
      <c r="A33" s="355" t="s">
        <v>76</v>
      </c>
      <c r="B33" s="355" t="s">
        <v>77</v>
      </c>
      <c r="C33" s="355" t="s">
        <v>78</v>
      </c>
      <c r="D33" s="355" t="s">
        <v>397</v>
      </c>
    </row>
    <row r="34" spans="1:4" ht="18" customHeight="1">
      <c r="A34" s="62" t="s">
        <v>82</v>
      </c>
      <c r="B34" s="62" t="s">
        <v>79</v>
      </c>
      <c r="C34" s="269">
        <v>28774.45</v>
      </c>
      <c r="D34" s="352" t="s">
        <v>7751</v>
      </c>
    </row>
    <row r="35" spans="1:4" ht="18" customHeight="1">
      <c r="A35" s="62" t="s">
        <v>82</v>
      </c>
      <c r="B35" s="62" t="s">
        <v>79</v>
      </c>
      <c r="C35" s="269">
        <v>26951.69</v>
      </c>
      <c r="D35" s="352" t="s">
        <v>7752</v>
      </c>
    </row>
    <row r="36" spans="1:4" ht="18" customHeight="1">
      <c r="A36" s="62" t="s">
        <v>82</v>
      </c>
      <c r="B36" s="62" t="s">
        <v>79</v>
      </c>
      <c r="C36" s="269">
        <v>2643.26</v>
      </c>
      <c r="D36" s="352" t="s">
        <v>7800</v>
      </c>
    </row>
    <row r="37" spans="1:4" ht="18" customHeight="1">
      <c r="A37" s="62" t="s">
        <v>82</v>
      </c>
      <c r="B37" s="62" t="s">
        <v>79</v>
      </c>
      <c r="C37" s="269">
        <v>1507.02</v>
      </c>
      <c r="D37" s="352" t="s">
        <v>7802</v>
      </c>
    </row>
    <row r="38" spans="1:4" ht="18" customHeight="1">
      <c r="A38" s="62" t="s">
        <v>82</v>
      </c>
      <c r="B38" s="62" t="s">
        <v>79</v>
      </c>
      <c r="C38" s="269">
        <v>1248.43</v>
      </c>
      <c r="D38" s="352" t="s">
        <v>7799</v>
      </c>
    </row>
    <row r="39" spans="1:4" ht="18" customHeight="1">
      <c r="A39" s="62" t="s">
        <v>82</v>
      </c>
      <c r="B39" s="62" t="s">
        <v>79</v>
      </c>
      <c r="C39" s="269">
        <v>366.42</v>
      </c>
      <c r="D39" s="352" t="s">
        <v>7803</v>
      </c>
    </row>
    <row r="40" spans="1:4" ht="18" customHeight="1">
      <c r="A40" s="62" t="s">
        <v>82</v>
      </c>
      <c r="B40" s="62" t="s">
        <v>79</v>
      </c>
      <c r="C40" s="269">
        <v>133.24</v>
      </c>
      <c r="D40" s="352" t="s">
        <v>7753</v>
      </c>
    </row>
    <row r="41" spans="1:4" ht="18" customHeight="1">
      <c r="A41" s="62" t="s">
        <v>82</v>
      </c>
      <c r="B41" s="62" t="s">
        <v>79</v>
      </c>
      <c r="C41" s="269">
        <v>70.45</v>
      </c>
      <c r="D41" s="352" t="s">
        <v>7754</v>
      </c>
    </row>
    <row r="42" spans="1:4" ht="18" customHeight="1">
      <c r="A42" s="62" t="s">
        <v>82</v>
      </c>
      <c r="B42" s="62" t="s">
        <v>79</v>
      </c>
      <c r="C42" s="269">
        <v>68.599999999999994</v>
      </c>
      <c r="D42" s="352" t="s">
        <v>7755</v>
      </c>
    </row>
    <row r="43" spans="1:4" ht="18" customHeight="1">
      <c r="A43" s="62" t="s">
        <v>82</v>
      </c>
      <c r="B43" s="62" t="s">
        <v>79</v>
      </c>
      <c r="C43" s="269">
        <v>46.35</v>
      </c>
      <c r="D43" s="352" t="s">
        <v>7756</v>
      </c>
    </row>
    <row r="44" spans="1:4" ht="18" customHeight="1">
      <c r="A44" s="62" t="s">
        <v>82</v>
      </c>
      <c r="B44" s="62" t="s">
        <v>79</v>
      </c>
      <c r="C44" s="269">
        <v>33.31</v>
      </c>
      <c r="D44" s="352" t="s">
        <v>7468</v>
      </c>
    </row>
    <row r="45" spans="1:4" ht="18" customHeight="1">
      <c r="A45" s="62" t="s">
        <v>82</v>
      </c>
      <c r="B45" s="62" t="s">
        <v>79</v>
      </c>
      <c r="C45" s="269">
        <v>17.34</v>
      </c>
      <c r="D45" s="352" t="s">
        <v>7757</v>
      </c>
    </row>
    <row r="46" spans="1:4" ht="18" customHeight="1">
      <c r="A46" s="62" t="s">
        <v>82</v>
      </c>
      <c r="B46" s="62" t="s">
        <v>79</v>
      </c>
      <c r="C46" s="269">
        <v>2.93</v>
      </c>
      <c r="D46" s="352" t="s">
        <v>7758</v>
      </c>
    </row>
    <row r="47" spans="1:4" ht="18" customHeight="1">
      <c r="A47" s="62" t="s">
        <v>82</v>
      </c>
      <c r="B47" s="62" t="s">
        <v>79</v>
      </c>
      <c r="C47" s="269">
        <v>2.88</v>
      </c>
      <c r="D47" s="352" t="s">
        <v>7759</v>
      </c>
    </row>
    <row r="48" spans="1:4" ht="18" customHeight="1">
      <c r="A48" s="62" t="s">
        <v>82</v>
      </c>
      <c r="B48" s="62" t="s">
        <v>79</v>
      </c>
      <c r="C48" s="269">
        <v>1.95</v>
      </c>
      <c r="D48" s="352" t="s">
        <v>7760</v>
      </c>
    </row>
    <row r="49" spans="1:4" ht="24" customHeight="1">
      <c r="A49" s="64" t="s">
        <v>81</v>
      </c>
      <c r="B49" s="65"/>
      <c r="C49" s="353">
        <f>SUM(C34:C48)</f>
        <v>61868.319999999978</v>
      </c>
      <c r="D49" s="789"/>
    </row>
    <row r="50" spans="1:4" ht="13.7" customHeight="1">
      <c r="A50" s="1094"/>
      <c r="B50" s="1095"/>
      <c r="C50" s="1095"/>
      <c r="D50" s="1096"/>
    </row>
    <row r="51" spans="1:4" ht="31.5">
      <c r="A51" s="355" t="s">
        <v>76</v>
      </c>
      <c r="B51" s="355" t="s">
        <v>77</v>
      </c>
      <c r="C51" s="355" t="s">
        <v>78</v>
      </c>
      <c r="D51" s="355" t="s">
        <v>397</v>
      </c>
    </row>
    <row r="52" spans="1:4" ht="14.25">
      <c r="A52" s="62" t="s">
        <v>80</v>
      </c>
      <c r="B52" s="70" t="s">
        <v>82</v>
      </c>
      <c r="C52" s="269">
        <v>776.4</v>
      </c>
      <c r="D52" s="352" t="s">
        <v>7781</v>
      </c>
    </row>
    <row r="53" spans="1:4" ht="14.25">
      <c r="A53" s="62" t="s">
        <v>80</v>
      </c>
      <c r="B53" s="70" t="s">
        <v>82</v>
      </c>
      <c r="C53" s="269">
        <v>76.09</v>
      </c>
      <c r="D53" s="352" t="s">
        <v>7782</v>
      </c>
    </row>
    <row r="54" spans="1:4" ht="24" customHeight="1">
      <c r="A54" s="64" t="s">
        <v>81</v>
      </c>
      <c r="B54" s="65"/>
      <c r="C54" s="353">
        <f>SUM(C52:C53)</f>
        <v>852.49</v>
      </c>
      <c r="D54" s="797">
        <f>C10+C31+C49+C54</f>
        <v>114990.71999999999</v>
      </c>
    </row>
    <row r="55" spans="1:4" ht="41.25" customHeight="1">
      <c r="A55" s="1093" t="s">
        <v>84</v>
      </c>
      <c r="B55" s="1093"/>
      <c r="C55" s="1093"/>
      <c r="D55" s="1093"/>
    </row>
  </sheetData>
  <mergeCells count="4">
    <mergeCell ref="A11:D11"/>
    <mergeCell ref="A55:D55"/>
    <mergeCell ref="A50:D50"/>
    <mergeCell ref="A32:D32"/>
  </mergeCells>
  <printOptions horizontalCentered="1"/>
  <pageMargins left="0.39370078740157483" right="0.39370078740157483" top="0.19685039370078741" bottom="0.59055118110236227" header="0.51181102362204722" footer="0.59055118110236227"/>
  <pageSetup paperSize="9" scale="48" firstPageNumber="177" orientation="landscape" useFirstPageNumber="1" r:id="rId1"/>
  <headerFooter alignWithMargins="0">
    <oddFooter>Página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8572"/>
  <sheetViews>
    <sheetView showGridLines="0" view="pageBreakPreview" topLeftCell="A89" zoomScale="80" zoomScaleNormal="80" zoomScaleSheetLayoutView="80" workbookViewId="0">
      <selection activeCell="F35" sqref="F35"/>
    </sheetView>
  </sheetViews>
  <sheetFormatPr defaultRowHeight="15" outlineLevelRow="2"/>
  <cols>
    <col min="1" max="1" width="42.42578125" style="631" customWidth="1"/>
    <col min="2" max="2" width="75.140625" style="631" customWidth="1"/>
    <col min="3" max="3" width="31.42578125" style="632" customWidth="1"/>
    <col min="4" max="4" width="16.7109375" style="636" customWidth="1"/>
    <col min="5" max="5" width="19.85546875" style="648" customWidth="1"/>
    <col min="6" max="6" width="24.85546875" style="629" bestFit="1" customWidth="1"/>
    <col min="7" max="7" width="16.85546875" style="628" bestFit="1" customWidth="1"/>
    <col min="8" max="8" width="17" style="630" bestFit="1" customWidth="1"/>
    <col min="9" max="9" width="11.7109375" style="628" customWidth="1"/>
    <col min="10" max="252" width="9.140625" style="628"/>
    <col min="253" max="253" width="42.42578125" style="628" customWidth="1"/>
    <col min="254" max="254" width="75.140625" style="628" customWidth="1"/>
    <col min="255" max="255" width="31.42578125" style="628" customWidth="1"/>
    <col min="256" max="256" width="16.7109375" style="628" customWidth="1"/>
    <col min="257" max="257" width="19.85546875" style="628" customWidth="1"/>
    <col min="258" max="258" width="24.85546875" style="628" bestFit="1" customWidth="1"/>
    <col min="259" max="259" width="31.28515625" style="628" customWidth="1"/>
    <col min="260" max="260" width="9" style="628" customWidth="1"/>
    <col min="261" max="261" width="24.42578125" style="628" customWidth="1"/>
    <col min="262" max="262" width="9.85546875" style="628" customWidth="1"/>
    <col min="263" max="263" width="16.85546875" style="628" bestFit="1" customWidth="1"/>
    <col min="264" max="264" width="17" style="628" bestFit="1" customWidth="1"/>
    <col min="265" max="265" width="11.7109375" style="628" customWidth="1"/>
    <col min="266" max="508" width="9.140625" style="628"/>
    <col min="509" max="509" width="42.42578125" style="628" customWidth="1"/>
    <col min="510" max="510" width="75.140625" style="628" customWidth="1"/>
    <col min="511" max="511" width="31.42578125" style="628" customWidth="1"/>
    <col min="512" max="512" width="16.7109375" style="628" customWidth="1"/>
    <col min="513" max="513" width="19.85546875" style="628" customWidth="1"/>
    <col min="514" max="514" width="24.85546875" style="628" bestFit="1" customWidth="1"/>
    <col min="515" max="515" width="31.28515625" style="628" customWidth="1"/>
    <col min="516" max="516" width="9" style="628" customWidth="1"/>
    <col min="517" max="517" width="24.42578125" style="628" customWidth="1"/>
    <col min="518" max="518" width="9.85546875" style="628" customWidth="1"/>
    <col min="519" max="519" width="16.85546875" style="628" bestFit="1" customWidth="1"/>
    <col min="520" max="520" width="17" style="628" bestFit="1" customWidth="1"/>
    <col min="521" max="521" width="11.7109375" style="628" customWidth="1"/>
    <col min="522" max="764" width="9.140625" style="628"/>
    <col min="765" max="765" width="42.42578125" style="628" customWidth="1"/>
    <col min="766" max="766" width="75.140625" style="628" customWidth="1"/>
    <col min="767" max="767" width="31.42578125" style="628" customWidth="1"/>
    <col min="768" max="768" width="16.7109375" style="628" customWidth="1"/>
    <col min="769" max="769" width="19.85546875" style="628" customWidth="1"/>
    <col min="770" max="770" width="24.85546875" style="628" bestFit="1" customWidth="1"/>
    <col min="771" max="771" width="31.28515625" style="628" customWidth="1"/>
    <col min="772" max="772" width="9" style="628" customWidth="1"/>
    <col min="773" max="773" width="24.42578125" style="628" customWidth="1"/>
    <col min="774" max="774" width="9.85546875" style="628" customWidth="1"/>
    <col min="775" max="775" width="16.85546875" style="628" bestFit="1" customWidth="1"/>
    <col min="776" max="776" width="17" style="628" bestFit="1" customWidth="1"/>
    <col min="777" max="777" width="11.7109375" style="628" customWidth="1"/>
    <col min="778" max="1020" width="9.140625" style="628"/>
    <col min="1021" max="1021" width="42.42578125" style="628" customWidth="1"/>
    <col min="1022" max="1022" width="75.140625" style="628" customWidth="1"/>
    <col min="1023" max="1023" width="31.42578125" style="628" customWidth="1"/>
    <col min="1024" max="1024" width="16.7109375" style="628" customWidth="1"/>
    <col min="1025" max="1025" width="19.85546875" style="628" customWidth="1"/>
    <col min="1026" max="1026" width="24.85546875" style="628" bestFit="1" customWidth="1"/>
    <col min="1027" max="1027" width="31.28515625" style="628" customWidth="1"/>
    <col min="1028" max="1028" width="9" style="628" customWidth="1"/>
    <col min="1029" max="1029" width="24.42578125" style="628" customWidth="1"/>
    <col min="1030" max="1030" width="9.85546875" style="628" customWidth="1"/>
    <col min="1031" max="1031" width="16.85546875" style="628" bestFit="1" customWidth="1"/>
    <col min="1032" max="1032" width="17" style="628" bestFit="1" customWidth="1"/>
    <col min="1033" max="1033" width="11.7109375" style="628" customWidth="1"/>
    <col min="1034" max="1276" width="9.140625" style="628"/>
    <col min="1277" max="1277" width="42.42578125" style="628" customWidth="1"/>
    <col min="1278" max="1278" width="75.140625" style="628" customWidth="1"/>
    <col min="1279" max="1279" width="31.42578125" style="628" customWidth="1"/>
    <col min="1280" max="1280" width="16.7109375" style="628" customWidth="1"/>
    <col min="1281" max="1281" width="19.85546875" style="628" customWidth="1"/>
    <col min="1282" max="1282" width="24.85546875" style="628" bestFit="1" customWidth="1"/>
    <col min="1283" max="1283" width="31.28515625" style="628" customWidth="1"/>
    <col min="1284" max="1284" width="9" style="628" customWidth="1"/>
    <col min="1285" max="1285" width="24.42578125" style="628" customWidth="1"/>
    <col min="1286" max="1286" width="9.85546875" style="628" customWidth="1"/>
    <col min="1287" max="1287" width="16.85546875" style="628" bestFit="1" customWidth="1"/>
    <col min="1288" max="1288" width="17" style="628" bestFit="1" customWidth="1"/>
    <col min="1289" max="1289" width="11.7109375" style="628" customWidth="1"/>
    <col min="1290" max="1532" width="9.140625" style="628"/>
    <col min="1533" max="1533" width="42.42578125" style="628" customWidth="1"/>
    <col min="1534" max="1534" width="75.140625" style="628" customWidth="1"/>
    <col min="1535" max="1535" width="31.42578125" style="628" customWidth="1"/>
    <col min="1536" max="1536" width="16.7109375" style="628" customWidth="1"/>
    <col min="1537" max="1537" width="19.85546875" style="628" customWidth="1"/>
    <col min="1538" max="1538" width="24.85546875" style="628" bestFit="1" customWidth="1"/>
    <col min="1539" max="1539" width="31.28515625" style="628" customWidth="1"/>
    <col min="1540" max="1540" width="9" style="628" customWidth="1"/>
    <col min="1541" max="1541" width="24.42578125" style="628" customWidth="1"/>
    <col min="1542" max="1542" width="9.85546875" style="628" customWidth="1"/>
    <col min="1543" max="1543" width="16.85546875" style="628" bestFit="1" customWidth="1"/>
    <col min="1544" max="1544" width="17" style="628" bestFit="1" customWidth="1"/>
    <col min="1545" max="1545" width="11.7109375" style="628" customWidth="1"/>
    <col min="1546" max="1788" width="9.140625" style="628"/>
    <col min="1789" max="1789" width="42.42578125" style="628" customWidth="1"/>
    <col min="1790" max="1790" width="75.140625" style="628" customWidth="1"/>
    <col min="1791" max="1791" width="31.42578125" style="628" customWidth="1"/>
    <col min="1792" max="1792" width="16.7109375" style="628" customWidth="1"/>
    <col min="1793" max="1793" width="19.85546875" style="628" customWidth="1"/>
    <col min="1794" max="1794" width="24.85546875" style="628" bestFit="1" customWidth="1"/>
    <col min="1795" max="1795" width="31.28515625" style="628" customWidth="1"/>
    <col min="1796" max="1796" width="9" style="628" customWidth="1"/>
    <col min="1797" max="1797" width="24.42578125" style="628" customWidth="1"/>
    <col min="1798" max="1798" width="9.85546875" style="628" customWidth="1"/>
    <col min="1799" max="1799" width="16.85546875" style="628" bestFit="1" customWidth="1"/>
    <col min="1800" max="1800" width="17" style="628" bestFit="1" customWidth="1"/>
    <col min="1801" max="1801" width="11.7109375" style="628" customWidth="1"/>
    <col min="1802" max="2044" width="9.140625" style="628"/>
    <col min="2045" max="2045" width="42.42578125" style="628" customWidth="1"/>
    <col min="2046" max="2046" width="75.140625" style="628" customWidth="1"/>
    <col min="2047" max="2047" width="31.42578125" style="628" customWidth="1"/>
    <col min="2048" max="2048" width="16.7109375" style="628" customWidth="1"/>
    <col min="2049" max="2049" width="19.85546875" style="628" customWidth="1"/>
    <col min="2050" max="2050" width="24.85546875" style="628" bestFit="1" customWidth="1"/>
    <col min="2051" max="2051" width="31.28515625" style="628" customWidth="1"/>
    <col min="2052" max="2052" width="9" style="628" customWidth="1"/>
    <col min="2053" max="2053" width="24.42578125" style="628" customWidth="1"/>
    <col min="2054" max="2054" width="9.85546875" style="628" customWidth="1"/>
    <col min="2055" max="2055" width="16.85546875" style="628" bestFit="1" customWidth="1"/>
    <col min="2056" max="2056" width="17" style="628" bestFit="1" customWidth="1"/>
    <col min="2057" max="2057" width="11.7109375" style="628" customWidth="1"/>
    <col min="2058" max="2300" width="9.140625" style="628"/>
    <col min="2301" max="2301" width="42.42578125" style="628" customWidth="1"/>
    <col min="2302" max="2302" width="75.140625" style="628" customWidth="1"/>
    <col min="2303" max="2303" width="31.42578125" style="628" customWidth="1"/>
    <col min="2304" max="2304" width="16.7109375" style="628" customWidth="1"/>
    <col min="2305" max="2305" width="19.85546875" style="628" customWidth="1"/>
    <col min="2306" max="2306" width="24.85546875" style="628" bestFit="1" customWidth="1"/>
    <col min="2307" max="2307" width="31.28515625" style="628" customWidth="1"/>
    <col min="2308" max="2308" width="9" style="628" customWidth="1"/>
    <col min="2309" max="2309" width="24.42578125" style="628" customWidth="1"/>
    <col min="2310" max="2310" width="9.85546875" style="628" customWidth="1"/>
    <col min="2311" max="2311" width="16.85546875" style="628" bestFit="1" customWidth="1"/>
    <col min="2312" max="2312" width="17" style="628" bestFit="1" customWidth="1"/>
    <col min="2313" max="2313" width="11.7109375" style="628" customWidth="1"/>
    <col min="2314" max="2556" width="9.140625" style="628"/>
    <col min="2557" max="2557" width="42.42578125" style="628" customWidth="1"/>
    <col min="2558" max="2558" width="75.140625" style="628" customWidth="1"/>
    <col min="2559" max="2559" width="31.42578125" style="628" customWidth="1"/>
    <col min="2560" max="2560" width="16.7109375" style="628" customWidth="1"/>
    <col min="2561" max="2561" width="19.85546875" style="628" customWidth="1"/>
    <col min="2562" max="2562" width="24.85546875" style="628" bestFit="1" customWidth="1"/>
    <col min="2563" max="2563" width="31.28515625" style="628" customWidth="1"/>
    <col min="2564" max="2564" width="9" style="628" customWidth="1"/>
    <col min="2565" max="2565" width="24.42578125" style="628" customWidth="1"/>
    <col min="2566" max="2566" width="9.85546875" style="628" customWidth="1"/>
    <col min="2567" max="2567" width="16.85546875" style="628" bestFit="1" customWidth="1"/>
    <col min="2568" max="2568" width="17" style="628" bestFit="1" customWidth="1"/>
    <col min="2569" max="2569" width="11.7109375" style="628" customWidth="1"/>
    <col min="2570" max="2812" width="9.140625" style="628"/>
    <col min="2813" max="2813" width="42.42578125" style="628" customWidth="1"/>
    <col min="2814" max="2814" width="75.140625" style="628" customWidth="1"/>
    <col min="2815" max="2815" width="31.42578125" style="628" customWidth="1"/>
    <col min="2816" max="2816" width="16.7109375" style="628" customWidth="1"/>
    <col min="2817" max="2817" width="19.85546875" style="628" customWidth="1"/>
    <col min="2818" max="2818" width="24.85546875" style="628" bestFit="1" customWidth="1"/>
    <col min="2819" max="2819" width="31.28515625" style="628" customWidth="1"/>
    <col min="2820" max="2820" width="9" style="628" customWidth="1"/>
    <col min="2821" max="2821" width="24.42578125" style="628" customWidth="1"/>
    <col min="2822" max="2822" width="9.85546875" style="628" customWidth="1"/>
    <col min="2823" max="2823" width="16.85546875" style="628" bestFit="1" customWidth="1"/>
    <col min="2824" max="2824" width="17" style="628" bestFit="1" customWidth="1"/>
    <col min="2825" max="2825" width="11.7109375" style="628" customWidth="1"/>
    <col min="2826" max="3068" width="9.140625" style="628"/>
    <col min="3069" max="3069" width="42.42578125" style="628" customWidth="1"/>
    <col min="3070" max="3070" width="75.140625" style="628" customWidth="1"/>
    <col min="3071" max="3071" width="31.42578125" style="628" customWidth="1"/>
    <col min="3072" max="3072" width="16.7109375" style="628" customWidth="1"/>
    <col min="3073" max="3073" width="19.85546875" style="628" customWidth="1"/>
    <col min="3074" max="3074" width="24.85546875" style="628" bestFit="1" customWidth="1"/>
    <col min="3075" max="3075" width="31.28515625" style="628" customWidth="1"/>
    <col min="3076" max="3076" width="9" style="628" customWidth="1"/>
    <col min="3077" max="3077" width="24.42578125" style="628" customWidth="1"/>
    <col min="3078" max="3078" width="9.85546875" style="628" customWidth="1"/>
    <col min="3079" max="3079" width="16.85546875" style="628" bestFit="1" customWidth="1"/>
    <col min="3080" max="3080" width="17" style="628" bestFit="1" customWidth="1"/>
    <col min="3081" max="3081" width="11.7109375" style="628" customWidth="1"/>
    <col min="3082" max="3324" width="9.140625" style="628"/>
    <col min="3325" max="3325" width="42.42578125" style="628" customWidth="1"/>
    <col min="3326" max="3326" width="75.140625" style="628" customWidth="1"/>
    <col min="3327" max="3327" width="31.42578125" style="628" customWidth="1"/>
    <col min="3328" max="3328" width="16.7109375" style="628" customWidth="1"/>
    <col min="3329" max="3329" width="19.85546875" style="628" customWidth="1"/>
    <col min="3330" max="3330" width="24.85546875" style="628" bestFit="1" customWidth="1"/>
    <col min="3331" max="3331" width="31.28515625" style="628" customWidth="1"/>
    <col min="3332" max="3332" width="9" style="628" customWidth="1"/>
    <col min="3333" max="3333" width="24.42578125" style="628" customWidth="1"/>
    <col min="3334" max="3334" width="9.85546875" style="628" customWidth="1"/>
    <col min="3335" max="3335" width="16.85546875" style="628" bestFit="1" customWidth="1"/>
    <col min="3336" max="3336" width="17" style="628" bestFit="1" customWidth="1"/>
    <col min="3337" max="3337" width="11.7109375" style="628" customWidth="1"/>
    <col min="3338" max="3580" width="9.140625" style="628"/>
    <col min="3581" max="3581" width="42.42578125" style="628" customWidth="1"/>
    <col min="3582" max="3582" width="75.140625" style="628" customWidth="1"/>
    <col min="3583" max="3583" width="31.42578125" style="628" customWidth="1"/>
    <col min="3584" max="3584" width="16.7109375" style="628" customWidth="1"/>
    <col min="3585" max="3585" width="19.85546875" style="628" customWidth="1"/>
    <col min="3586" max="3586" width="24.85546875" style="628" bestFit="1" customWidth="1"/>
    <col min="3587" max="3587" width="31.28515625" style="628" customWidth="1"/>
    <col min="3588" max="3588" width="9" style="628" customWidth="1"/>
    <col min="3589" max="3589" width="24.42578125" style="628" customWidth="1"/>
    <col min="3590" max="3590" width="9.85546875" style="628" customWidth="1"/>
    <col min="3591" max="3591" width="16.85546875" style="628" bestFit="1" customWidth="1"/>
    <col min="3592" max="3592" width="17" style="628" bestFit="1" customWidth="1"/>
    <col min="3593" max="3593" width="11.7109375" style="628" customWidth="1"/>
    <col min="3594" max="3836" width="9.140625" style="628"/>
    <col min="3837" max="3837" width="42.42578125" style="628" customWidth="1"/>
    <col min="3838" max="3838" width="75.140625" style="628" customWidth="1"/>
    <col min="3839" max="3839" width="31.42578125" style="628" customWidth="1"/>
    <col min="3840" max="3840" width="16.7109375" style="628" customWidth="1"/>
    <col min="3841" max="3841" width="19.85546875" style="628" customWidth="1"/>
    <col min="3842" max="3842" width="24.85546875" style="628" bestFit="1" customWidth="1"/>
    <col min="3843" max="3843" width="31.28515625" style="628" customWidth="1"/>
    <col min="3844" max="3844" width="9" style="628" customWidth="1"/>
    <col min="3845" max="3845" width="24.42578125" style="628" customWidth="1"/>
    <col min="3846" max="3846" width="9.85546875" style="628" customWidth="1"/>
    <col min="3847" max="3847" width="16.85546875" style="628" bestFit="1" customWidth="1"/>
    <col min="3848" max="3848" width="17" style="628" bestFit="1" customWidth="1"/>
    <col min="3849" max="3849" width="11.7109375" style="628" customWidth="1"/>
    <col min="3850" max="4092" width="9.140625" style="628"/>
    <col min="4093" max="4093" width="42.42578125" style="628" customWidth="1"/>
    <col min="4094" max="4094" width="75.140625" style="628" customWidth="1"/>
    <col min="4095" max="4095" width="31.42578125" style="628" customWidth="1"/>
    <col min="4096" max="4096" width="16.7109375" style="628" customWidth="1"/>
    <col min="4097" max="4097" width="19.85546875" style="628" customWidth="1"/>
    <col min="4098" max="4098" width="24.85546875" style="628" bestFit="1" customWidth="1"/>
    <col min="4099" max="4099" width="31.28515625" style="628" customWidth="1"/>
    <col min="4100" max="4100" width="9" style="628" customWidth="1"/>
    <col min="4101" max="4101" width="24.42578125" style="628" customWidth="1"/>
    <col min="4102" max="4102" width="9.85546875" style="628" customWidth="1"/>
    <col min="4103" max="4103" width="16.85546875" style="628" bestFit="1" customWidth="1"/>
    <col min="4104" max="4104" width="17" style="628" bestFit="1" customWidth="1"/>
    <col min="4105" max="4105" width="11.7109375" style="628" customWidth="1"/>
    <col min="4106" max="4348" width="9.140625" style="628"/>
    <col min="4349" max="4349" width="42.42578125" style="628" customWidth="1"/>
    <col min="4350" max="4350" width="75.140625" style="628" customWidth="1"/>
    <col min="4351" max="4351" width="31.42578125" style="628" customWidth="1"/>
    <col min="4352" max="4352" width="16.7109375" style="628" customWidth="1"/>
    <col min="4353" max="4353" width="19.85546875" style="628" customWidth="1"/>
    <col min="4354" max="4354" width="24.85546875" style="628" bestFit="1" customWidth="1"/>
    <col min="4355" max="4355" width="31.28515625" style="628" customWidth="1"/>
    <col min="4356" max="4356" width="9" style="628" customWidth="1"/>
    <col min="4357" max="4357" width="24.42578125" style="628" customWidth="1"/>
    <col min="4358" max="4358" width="9.85546875" style="628" customWidth="1"/>
    <col min="4359" max="4359" width="16.85546875" style="628" bestFit="1" customWidth="1"/>
    <col min="4360" max="4360" width="17" style="628" bestFit="1" customWidth="1"/>
    <col min="4361" max="4361" width="11.7109375" style="628" customWidth="1"/>
    <col min="4362" max="4604" width="9.140625" style="628"/>
    <col min="4605" max="4605" width="42.42578125" style="628" customWidth="1"/>
    <col min="4606" max="4606" width="75.140625" style="628" customWidth="1"/>
    <col min="4607" max="4607" width="31.42578125" style="628" customWidth="1"/>
    <col min="4608" max="4608" width="16.7109375" style="628" customWidth="1"/>
    <col min="4609" max="4609" width="19.85546875" style="628" customWidth="1"/>
    <col min="4610" max="4610" width="24.85546875" style="628" bestFit="1" customWidth="1"/>
    <col min="4611" max="4611" width="31.28515625" style="628" customWidth="1"/>
    <col min="4612" max="4612" width="9" style="628" customWidth="1"/>
    <col min="4613" max="4613" width="24.42578125" style="628" customWidth="1"/>
    <col min="4614" max="4614" width="9.85546875" style="628" customWidth="1"/>
    <col min="4615" max="4615" width="16.85546875" style="628" bestFit="1" customWidth="1"/>
    <col min="4616" max="4616" width="17" style="628" bestFit="1" customWidth="1"/>
    <col min="4617" max="4617" width="11.7109375" style="628" customWidth="1"/>
    <col min="4618" max="4860" width="9.140625" style="628"/>
    <col min="4861" max="4861" width="42.42578125" style="628" customWidth="1"/>
    <col min="4862" max="4862" width="75.140625" style="628" customWidth="1"/>
    <col min="4863" max="4863" width="31.42578125" style="628" customWidth="1"/>
    <col min="4864" max="4864" width="16.7109375" style="628" customWidth="1"/>
    <col min="4865" max="4865" width="19.85546875" style="628" customWidth="1"/>
    <col min="4866" max="4866" width="24.85546875" style="628" bestFit="1" customWidth="1"/>
    <col min="4867" max="4867" width="31.28515625" style="628" customWidth="1"/>
    <col min="4868" max="4868" width="9" style="628" customWidth="1"/>
    <col min="4869" max="4869" width="24.42578125" style="628" customWidth="1"/>
    <col min="4870" max="4870" width="9.85546875" style="628" customWidth="1"/>
    <col min="4871" max="4871" width="16.85546875" style="628" bestFit="1" customWidth="1"/>
    <col min="4872" max="4872" width="17" style="628" bestFit="1" customWidth="1"/>
    <col min="4873" max="4873" width="11.7109375" style="628" customWidth="1"/>
    <col min="4874" max="5116" width="9.140625" style="628"/>
    <col min="5117" max="5117" width="42.42578125" style="628" customWidth="1"/>
    <col min="5118" max="5118" width="75.140625" style="628" customWidth="1"/>
    <col min="5119" max="5119" width="31.42578125" style="628" customWidth="1"/>
    <col min="5120" max="5120" width="16.7109375" style="628" customWidth="1"/>
    <col min="5121" max="5121" width="19.85546875" style="628" customWidth="1"/>
    <col min="5122" max="5122" width="24.85546875" style="628" bestFit="1" customWidth="1"/>
    <col min="5123" max="5123" width="31.28515625" style="628" customWidth="1"/>
    <col min="5124" max="5124" width="9" style="628" customWidth="1"/>
    <col min="5125" max="5125" width="24.42578125" style="628" customWidth="1"/>
    <col min="5126" max="5126" width="9.85546875" style="628" customWidth="1"/>
    <col min="5127" max="5127" width="16.85546875" style="628" bestFit="1" customWidth="1"/>
    <col min="5128" max="5128" width="17" style="628" bestFit="1" customWidth="1"/>
    <col min="5129" max="5129" width="11.7109375" style="628" customWidth="1"/>
    <col min="5130" max="5372" width="9.140625" style="628"/>
    <col min="5373" max="5373" width="42.42578125" style="628" customWidth="1"/>
    <col min="5374" max="5374" width="75.140625" style="628" customWidth="1"/>
    <col min="5375" max="5375" width="31.42578125" style="628" customWidth="1"/>
    <col min="5376" max="5376" width="16.7109375" style="628" customWidth="1"/>
    <col min="5377" max="5377" width="19.85546875" style="628" customWidth="1"/>
    <col min="5378" max="5378" width="24.85546875" style="628" bestFit="1" customWidth="1"/>
    <col min="5379" max="5379" width="31.28515625" style="628" customWidth="1"/>
    <col min="5380" max="5380" width="9" style="628" customWidth="1"/>
    <col min="5381" max="5381" width="24.42578125" style="628" customWidth="1"/>
    <col min="5382" max="5382" width="9.85546875" style="628" customWidth="1"/>
    <col min="5383" max="5383" width="16.85546875" style="628" bestFit="1" customWidth="1"/>
    <col min="5384" max="5384" width="17" style="628" bestFit="1" customWidth="1"/>
    <col min="5385" max="5385" width="11.7109375" style="628" customWidth="1"/>
    <col min="5386" max="5628" width="9.140625" style="628"/>
    <col min="5629" max="5629" width="42.42578125" style="628" customWidth="1"/>
    <col min="5630" max="5630" width="75.140625" style="628" customWidth="1"/>
    <col min="5631" max="5631" width="31.42578125" style="628" customWidth="1"/>
    <col min="5632" max="5632" width="16.7109375" style="628" customWidth="1"/>
    <col min="5633" max="5633" width="19.85546875" style="628" customWidth="1"/>
    <col min="5634" max="5634" width="24.85546875" style="628" bestFit="1" customWidth="1"/>
    <col min="5635" max="5635" width="31.28515625" style="628" customWidth="1"/>
    <col min="5636" max="5636" width="9" style="628" customWidth="1"/>
    <col min="5637" max="5637" width="24.42578125" style="628" customWidth="1"/>
    <col min="5638" max="5638" width="9.85546875" style="628" customWidth="1"/>
    <col min="5639" max="5639" width="16.85546875" style="628" bestFit="1" customWidth="1"/>
    <col min="5640" max="5640" width="17" style="628" bestFit="1" customWidth="1"/>
    <col min="5641" max="5641" width="11.7109375" style="628" customWidth="1"/>
    <col min="5642" max="5884" width="9.140625" style="628"/>
    <col min="5885" max="5885" width="42.42578125" style="628" customWidth="1"/>
    <col min="5886" max="5886" width="75.140625" style="628" customWidth="1"/>
    <col min="5887" max="5887" width="31.42578125" style="628" customWidth="1"/>
    <col min="5888" max="5888" width="16.7109375" style="628" customWidth="1"/>
    <col min="5889" max="5889" width="19.85546875" style="628" customWidth="1"/>
    <col min="5890" max="5890" width="24.85546875" style="628" bestFit="1" customWidth="1"/>
    <col min="5891" max="5891" width="31.28515625" style="628" customWidth="1"/>
    <col min="5892" max="5892" width="9" style="628" customWidth="1"/>
    <col min="5893" max="5893" width="24.42578125" style="628" customWidth="1"/>
    <col min="5894" max="5894" width="9.85546875" style="628" customWidth="1"/>
    <col min="5895" max="5895" width="16.85546875" style="628" bestFit="1" customWidth="1"/>
    <col min="5896" max="5896" width="17" style="628" bestFit="1" customWidth="1"/>
    <col min="5897" max="5897" width="11.7109375" style="628" customWidth="1"/>
    <col min="5898" max="6140" width="9.140625" style="628"/>
    <col min="6141" max="6141" width="42.42578125" style="628" customWidth="1"/>
    <col min="6142" max="6142" width="75.140625" style="628" customWidth="1"/>
    <col min="6143" max="6143" width="31.42578125" style="628" customWidth="1"/>
    <col min="6144" max="6144" width="16.7109375" style="628" customWidth="1"/>
    <col min="6145" max="6145" width="19.85546875" style="628" customWidth="1"/>
    <col min="6146" max="6146" width="24.85546875" style="628" bestFit="1" customWidth="1"/>
    <col min="6147" max="6147" width="31.28515625" style="628" customWidth="1"/>
    <col min="6148" max="6148" width="9" style="628" customWidth="1"/>
    <col min="6149" max="6149" width="24.42578125" style="628" customWidth="1"/>
    <col min="6150" max="6150" width="9.85546875" style="628" customWidth="1"/>
    <col min="6151" max="6151" width="16.85546875" style="628" bestFit="1" customWidth="1"/>
    <col min="6152" max="6152" width="17" style="628" bestFit="1" customWidth="1"/>
    <col min="6153" max="6153" width="11.7109375" style="628" customWidth="1"/>
    <col min="6154" max="6396" width="9.140625" style="628"/>
    <col min="6397" max="6397" width="42.42578125" style="628" customWidth="1"/>
    <col min="6398" max="6398" width="75.140625" style="628" customWidth="1"/>
    <col min="6399" max="6399" width="31.42578125" style="628" customWidth="1"/>
    <col min="6400" max="6400" width="16.7109375" style="628" customWidth="1"/>
    <col min="6401" max="6401" width="19.85546875" style="628" customWidth="1"/>
    <col min="6402" max="6402" width="24.85546875" style="628" bestFit="1" customWidth="1"/>
    <col min="6403" max="6403" width="31.28515625" style="628" customWidth="1"/>
    <col min="6404" max="6404" width="9" style="628" customWidth="1"/>
    <col min="6405" max="6405" width="24.42578125" style="628" customWidth="1"/>
    <col min="6406" max="6406" width="9.85546875" style="628" customWidth="1"/>
    <col min="6407" max="6407" width="16.85546875" style="628" bestFit="1" customWidth="1"/>
    <col min="6408" max="6408" width="17" style="628" bestFit="1" customWidth="1"/>
    <col min="6409" max="6409" width="11.7109375" style="628" customWidth="1"/>
    <col min="6410" max="6652" width="9.140625" style="628"/>
    <col min="6653" max="6653" width="42.42578125" style="628" customWidth="1"/>
    <col min="6654" max="6654" width="75.140625" style="628" customWidth="1"/>
    <col min="6655" max="6655" width="31.42578125" style="628" customWidth="1"/>
    <col min="6656" max="6656" width="16.7109375" style="628" customWidth="1"/>
    <col min="6657" max="6657" width="19.85546875" style="628" customWidth="1"/>
    <col min="6658" max="6658" width="24.85546875" style="628" bestFit="1" customWidth="1"/>
    <col min="6659" max="6659" width="31.28515625" style="628" customWidth="1"/>
    <col min="6660" max="6660" width="9" style="628" customWidth="1"/>
    <col min="6661" max="6661" width="24.42578125" style="628" customWidth="1"/>
    <col min="6662" max="6662" width="9.85546875" style="628" customWidth="1"/>
    <col min="6663" max="6663" width="16.85546875" style="628" bestFit="1" customWidth="1"/>
    <col min="6664" max="6664" width="17" style="628" bestFit="1" customWidth="1"/>
    <col min="6665" max="6665" width="11.7109375" style="628" customWidth="1"/>
    <col min="6666" max="6908" width="9.140625" style="628"/>
    <col min="6909" max="6909" width="42.42578125" style="628" customWidth="1"/>
    <col min="6910" max="6910" width="75.140625" style="628" customWidth="1"/>
    <col min="6911" max="6911" width="31.42578125" style="628" customWidth="1"/>
    <col min="6912" max="6912" width="16.7109375" style="628" customWidth="1"/>
    <col min="6913" max="6913" width="19.85546875" style="628" customWidth="1"/>
    <col min="6914" max="6914" width="24.85546875" style="628" bestFit="1" customWidth="1"/>
    <col min="6915" max="6915" width="31.28515625" style="628" customWidth="1"/>
    <col min="6916" max="6916" width="9" style="628" customWidth="1"/>
    <col min="6917" max="6917" width="24.42578125" style="628" customWidth="1"/>
    <col min="6918" max="6918" width="9.85546875" style="628" customWidth="1"/>
    <col min="6919" max="6919" width="16.85546875" style="628" bestFit="1" customWidth="1"/>
    <col min="6920" max="6920" width="17" style="628" bestFit="1" customWidth="1"/>
    <col min="6921" max="6921" width="11.7109375" style="628" customWidth="1"/>
    <col min="6922" max="7164" width="9.140625" style="628"/>
    <col min="7165" max="7165" width="42.42578125" style="628" customWidth="1"/>
    <col min="7166" max="7166" width="75.140625" style="628" customWidth="1"/>
    <col min="7167" max="7167" width="31.42578125" style="628" customWidth="1"/>
    <col min="7168" max="7168" width="16.7109375" style="628" customWidth="1"/>
    <col min="7169" max="7169" width="19.85546875" style="628" customWidth="1"/>
    <col min="7170" max="7170" width="24.85546875" style="628" bestFit="1" customWidth="1"/>
    <col min="7171" max="7171" width="31.28515625" style="628" customWidth="1"/>
    <col min="7172" max="7172" width="9" style="628" customWidth="1"/>
    <col min="7173" max="7173" width="24.42578125" style="628" customWidth="1"/>
    <col min="7174" max="7174" width="9.85546875" style="628" customWidth="1"/>
    <col min="7175" max="7175" width="16.85546875" style="628" bestFit="1" customWidth="1"/>
    <col min="7176" max="7176" width="17" style="628" bestFit="1" customWidth="1"/>
    <col min="7177" max="7177" width="11.7109375" style="628" customWidth="1"/>
    <col min="7178" max="7420" width="9.140625" style="628"/>
    <col min="7421" max="7421" width="42.42578125" style="628" customWidth="1"/>
    <col min="7422" max="7422" width="75.140625" style="628" customWidth="1"/>
    <col min="7423" max="7423" width="31.42578125" style="628" customWidth="1"/>
    <col min="7424" max="7424" width="16.7109375" style="628" customWidth="1"/>
    <col min="7425" max="7425" width="19.85546875" style="628" customWidth="1"/>
    <col min="7426" max="7426" width="24.85546875" style="628" bestFit="1" customWidth="1"/>
    <col min="7427" max="7427" width="31.28515625" style="628" customWidth="1"/>
    <col min="7428" max="7428" width="9" style="628" customWidth="1"/>
    <col min="7429" max="7429" width="24.42578125" style="628" customWidth="1"/>
    <col min="7430" max="7430" width="9.85546875" style="628" customWidth="1"/>
    <col min="7431" max="7431" width="16.85546875" style="628" bestFit="1" customWidth="1"/>
    <col min="7432" max="7432" width="17" style="628" bestFit="1" customWidth="1"/>
    <col min="7433" max="7433" width="11.7109375" style="628" customWidth="1"/>
    <col min="7434" max="7676" width="9.140625" style="628"/>
    <col min="7677" max="7677" width="42.42578125" style="628" customWidth="1"/>
    <col min="7678" max="7678" width="75.140625" style="628" customWidth="1"/>
    <col min="7679" max="7679" width="31.42578125" style="628" customWidth="1"/>
    <col min="7680" max="7680" width="16.7109375" style="628" customWidth="1"/>
    <col min="7681" max="7681" width="19.85546875" style="628" customWidth="1"/>
    <col min="7682" max="7682" width="24.85546875" style="628" bestFit="1" customWidth="1"/>
    <col min="7683" max="7683" width="31.28515625" style="628" customWidth="1"/>
    <col min="7684" max="7684" width="9" style="628" customWidth="1"/>
    <col min="7685" max="7685" width="24.42578125" style="628" customWidth="1"/>
    <col min="7686" max="7686" width="9.85546875" style="628" customWidth="1"/>
    <col min="7687" max="7687" width="16.85546875" style="628" bestFit="1" customWidth="1"/>
    <col min="7688" max="7688" width="17" style="628" bestFit="1" customWidth="1"/>
    <col min="7689" max="7689" width="11.7109375" style="628" customWidth="1"/>
    <col min="7690" max="7932" width="9.140625" style="628"/>
    <col min="7933" max="7933" width="42.42578125" style="628" customWidth="1"/>
    <col min="7934" max="7934" width="75.140625" style="628" customWidth="1"/>
    <col min="7935" max="7935" width="31.42578125" style="628" customWidth="1"/>
    <col min="7936" max="7936" width="16.7109375" style="628" customWidth="1"/>
    <col min="7937" max="7937" width="19.85546875" style="628" customWidth="1"/>
    <col min="7938" max="7938" width="24.85546875" style="628" bestFit="1" customWidth="1"/>
    <col min="7939" max="7939" width="31.28515625" style="628" customWidth="1"/>
    <col min="7940" max="7940" width="9" style="628" customWidth="1"/>
    <col min="7941" max="7941" width="24.42578125" style="628" customWidth="1"/>
    <col min="7942" max="7942" width="9.85546875" style="628" customWidth="1"/>
    <col min="7943" max="7943" width="16.85546875" style="628" bestFit="1" customWidth="1"/>
    <col min="7944" max="7944" width="17" style="628" bestFit="1" customWidth="1"/>
    <col min="7945" max="7945" width="11.7109375" style="628" customWidth="1"/>
    <col min="7946" max="8188" width="9.140625" style="628"/>
    <col min="8189" max="8189" width="42.42578125" style="628" customWidth="1"/>
    <col min="8190" max="8190" width="75.140625" style="628" customWidth="1"/>
    <col min="8191" max="8191" width="31.42578125" style="628" customWidth="1"/>
    <col min="8192" max="8192" width="16.7109375" style="628" customWidth="1"/>
    <col min="8193" max="8193" width="19.85546875" style="628" customWidth="1"/>
    <col min="8194" max="8194" width="24.85546875" style="628" bestFit="1" customWidth="1"/>
    <col min="8195" max="8195" width="31.28515625" style="628" customWidth="1"/>
    <col min="8196" max="8196" width="9" style="628" customWidth="1"/>
    <col min="8197" max="8197" width="24.42578125" style="628" customWidth="1"/>
    <col min="8198" max="8198" width="9.85546875" style="628" customWidth="1"/>
    <col min="8199" max="8199" width="16.85546875" style="628" bestFit="1" customWidth="1"/>
    <col min="8200" max="8200" width="17" style="628" bestFit="1" customWidth="1"/>
    <col min="8201" max="8201" width="11.7109375" style="628" customWidth="1"/>
    <col min="8202" max="8444" width="9.140625" style="628"/>
    <col min="8445" max="8445" width="42.42578125" style="628" customWidth="1"/>
    <col min="8446" max="8446" width="75.140625" style="628" customWidth="1"/>
    <col min="8447" max="8447" width="31.42578125" style="628" customWidth="1"/>
    <col min="8448" max="8448" width="16.7109375" style="628" customWidth="1"/>
    <col min="8449" max="8449" width="19.85546875" style="628" customWidth="1"/>
    <col min="8450" max="8450" width="24.85546875" style="628" bestFit="1" customWidth="1"/>
    <col min="8451" max="8451" width="31.28515625" style="628" customWidth="1"/>
    <col min="8452" max="8452" width="9" style="628" customWidth="1"/>
    <col min="8453" max="8453" width="24.42578125" style="628" customWidth="1"/>
    <col min="8454" max="8454" width="9.85546875" style="628" customWidth="1"/>
    <col min="8455" max="8455" width="16.85546875" style="628" bestFit="1" customWidth="1"/>
    <col min="8456" max="8456" width="17" style="628" bestFit="1" customWidth="1"/>
    <col min="8457" max="8457" width="11.7109375" style="628" customWidth="1"/>
    <col min="8458" max="8700" width="9.140625" style="628"/>
    <col min="8701" max="8701" width="42.42578125" style="628" customWidth="1"/>
    <col min="8702" max="8702" width="75.140625" style="628" customWidth="1"/>
    <col min="8703" max="8703" width="31.42578125" style="628" customWidth="1"/>
    <col min="8704" max="8704" width="16.7109375" style="628" customWidth="1"/>
    <col min="8705" max="8705" width="19.85546875" style="628" customWidth="1"/>
    <col min="8706" max="8706" width="24.85546875" style="628" bestFit="1" customWidth="1"/>
    <col min="8707" max="8707" width="31.28515625" style="628" customWidth="1"/>
    <col min="8708" max="8708" width="9" style="628" customWidth="1"/>
    <col min="8709" max="8709" width="24.42578125" style="628" customWidth="1"/>
    <col min="8710" max="8710" width="9.85546875" style="628" customWidth="1"/>
    <col min="8711" max="8711" width="16.85546875" style="628" bestFit="1" customWidth="1"/>
    <col min="8712" max="8712" width="17" style="628" bestFit="1" customWidth="1"/>
    <col min="8713" max="8713" width="11.7109375" style="628" customWidth="1"/>
    <col min="8714" max="8956" width="9.140625" style="628"/>
    <col min="8957" max="8957" width="42.42578125" style="628" customWidth="1"/>
    <col min="8958" max="8958" width="75.140625" style="628" customWidth="1"/>
    <col min="8959" max="8959" width="31.42578125" style="628" customWidth="1"/>
    <col min="8960" max="8960" width="16.7109375" style="628" customWidth="1"/>
    <col min="8961" max="8961" width="19.85546875" style="628" customWidth="1"/>
    <col min="8962" max="8962" width="24.85546875" style="628" bestFit="1" customWidth="1"/>
    <col min="8963" max="8963" width="31.28515625" style="628" customWidth="1"/>
    <col min="8964" max="8964" width="9" style="628" customWidth="1"/>
    <col min="8965" max="8965" width="24.42578125" style="628" customWidth="1"/>
    <col min="8966" max="8966" width="9.85546875" style="628" customWidth="1"/>
    <col min="8967" max="8967" width="16.85546875" style="628" bestFit="1" customWidth="1"/>
    <col min="8968" max="8968" width="17" style="628" bestFit="1" customWidth="1"/>
    <col min="8969" max="8969" width="11.7109375" style="628" customWidth="1"/>
    <col min="8970" max="9212" width="9.140625" style="628"/>
    <col min="9213" max="9213" width="42.42578125" style="628" customWidth="1"/>
    <col min="9214" max="9214" width="75.140625" style="628" customWidth="1"/>
    <col min="9215" max="9215" width="31.42578125" style="628" customWidth="1"/>
    <col min="9216" max="9216" width="16.7109375" style="628" customWidth="1"/>
    <col min="9217" max="9217" width="19.85546875" style="628" customWidth="1"/>
    <col min="9218" max="9218" width="24.85546875" style="628" bestFit="1" customWidth="1"/>
    <col min="9219" max="9219" width="31.28515625" style="628" customWidth="1"/>
    <col min="9220" max="9220" width="9" style="628" customWidth="1"/>
    <col min="9221" max="9221" width="24.42578125" style="628" customWidth="1"/>
    <col min="9222" max="9222" width="9.85546875" style="628" customWidth="1"/>
    <col min="9223" max="9223" width="16.85546875" style="628" bestFit="1" customWidth="1"/>
    <col min="9224" max="9224" width="17" style="628" bestFit="1" customWidth="1"/>
    <col min="9225" max="9225" width="11.7109375" style="628" customWidth="1"/>
    <col min="9226" max="9468" width="9.140625" style="628"/>
    <col min="9469" max="9469" width="42.42578125" style="628" customWidth="1"/>
    <col min="9470" max="9470" width="75.140625" style="628" customWidth="1"/>
    <col min="9471" max="9471" width="31.42578125" style="628" customWidth="1"/>
    <col min="9472" max="9472" width="16.7109375" style="628" customWidth="1"/>
    <col min="9473" max="9473" width="19.85546875" style="628" customWidth="1"/>
    <col min="9474" max="9474" width="24.85546875" style="628" bestFit="1" customWidth="1"/>
    <col min="9475" max="9475" width="31.28515625" style="628" customWidth="1"/>
    <col min="9476" max="9476" width="9" style="628" customWidth="1"/>
    <col min="9477" max="9477" width="24.42578125" style="628" customWidth="1"/>
    <col min="9478" max="9478" width="9.85546875" style="628" customWidth="1"/>
    <col min="9479" max="9479" width="16.85546875" style="628" bestFit="1" customWidth="1"/>
    <col min="9480" max="9480" width="17" style="628" bestFit="1" customWidth="1"/>
    <col min="9481" max="9481" width="11.7109375" style="628" customWidth="1"/>
    <col min="9482" max="9724" width="9.140625" style="628"/>
    <col min="9725" max="9725" width="42.42578125" style="628" customWidth="1"/>
    <col min="9726" max="9726" width="75.140625" style="628" customWidth="1"/>
    <col min="9727" max="9727" width="31.42578125" style="628" customWidth="1"/>
    <col min="9728" max="9728" width="16.7109375" style="628" customWidth="1"/>
    <col min="9729" max="9729" width="19.85546875" style="628" customWidth="1"/>
    <col min="9730" max="9730" width="24.85546875" style="628" bestFit="1" customWidth="1"/>
    <col min="9731" max="9731" width="31.28515625" style="628" customWidth="1"/>
    <col min="9732" max="9732" width="9" style="628" customWidth="1"/>
    <col min="9733" max="9733" width="24.42578125" style="628" customWidth="1"/>
    <col min="9734" max="9734" width="9.85546875" style="628" customWidth="1"/>
    <col min="9735" max="9735" width="16.85546875" style="628" bestFit="1" customWidth="1"/>
    <col min="9736" max="9736" width="17" style="628" bestFit="1" customWidth="1"/>
    <col min="9737" max="9737" width="11.7109375" style="628" customWidth="1"/>
    <col min="9738" max="9980" width="9.140625" style="628"/>
    <col min="9981" max="9981" width="42.42578125" style="628" customWidth="1"/>
    <col min="9982" max="9982" width="75.140625" style="628" customWidth="1"/>
    <col min="9983" max="9983" width="31.42578125" style="628" customWidth="1"/>
    <col min="9984" max="9984" width="16.7109375" style="628" customWidth="1"/>
    <col min="9985" max="9985" width="19.85546875" style="628" customWidth="1"/>
    <col min="9986" max="9986" width="24.85546875" style="628" bestFit="1" customWidth="1"/>
    <col min="9987" max="9987" width="31.28515625" style="628" customWidth="1"/>
    <col min="9988" max="9988" width="9" style="628" customWidth="1"/>
    <col min="9989" max="9989" width="24.42578125" style="628" customWidth="1"/>
    <col min="9990" max="9990" width="9.85546875" style="628" customWidth="1"/>
    <col min="9991" max="9991" width="16.85546875" style="628" bestFit="1" customWidth="1"/>
    <col min="9992" max="9992" width="17" style="628" bestFit="1" customWidth="1"/>
    <col min="9993" max="9993" width="11.7109375" style="628" customWidth="1"/>
    <col min="9994" max="10236" width="9.140625" style="628"/>
    <col min="10237" max="10237" width="42.42578125" style="628" customWidth="1"/>
    <col min="10238" max="10238" width="75.140625" style="628" customWidth="1"/>
    <col min="10239" max="10239" width="31.42578125" style="628" customWidth="1"/>
    <col min="10240" max="10240" width="16.7109375" style="628" customWidth="1"/>
    <col min="10241" max="10241" width="19.85546875" style="628" customWidth="1"/>
    <col min="10242" max="10242" width="24.85546875" style="628" bestFit="1" customWidth="1"/>
    <col min="10243" max="10243" width="31.28515625" style="628" customWidth="1"/>
    <col min="10244" max="10244" width="9" style="628" customWidth="1"/>
    <col min="10245" max="10245" width="24.42578125" style="628" customWidth="1"/>
    <col min="10246" max="10246" width="9.85546875" style="628" customWidth="1"/>
    <col min="10247" max="10247" width="16.85546875" style="628" bestFit="1" customWidth="1"/>
    <col min="10248" max="10248" width="17" style="628" bestFit="1" customWidth="1"/>
    <col min="10249" max="10249" width="11.7109375" style="628" customWidth="1"/>
    <col min="10250" max="10492" width="9.140625" style="628"/>
    <col min="10493" max="10493" width="42.42578125" style="628" customWidth="1"/>
    <col min="10494" max="10494" width="75.140625" style="628" customWidth="1"/>
    <col min="10495" max="10495" width="31.42578125" style="628" customWidth="1"/>
    <col min="10496" max="10496" width="16.7109375" style="628" customWidth="1"/>
    <col min="10497" max="10497" width="19.85546875" style="628" customWidth="1"/>
    <col min="10498" max="10498" width="24.85546875" style="628" bestFit="1" customWidth="1"/>
    <col min="10499" max="10499" width="31.28515625" style="628" customWidth="1"/>
    <col min="10500" max="10500" width="9" style="628" customWidth="1"/>
    <col min="10501" max="10501" width="24.42578125" style="628" customWidth="1"/>
    <col min="10502" max="10502" width="9.85546875" style="628" customWidth="1"/>
    <col min="10503" max="10503" width="16.85546875" style="628" bestFit="1" customWidth="1"/>
    <col min="10504" max="10504" width="17" style="628" bestFit="1" customWidth="1"/>
    <col min="10505" max="10505" width="11.7109375" style="628" customWidth="1"/>
    <col min="10506" max="10748" width="9.140625" style="628"/>
    <col min="10749" max="10749" width="42.42578125" style="628" customWidth="1"/>
    <col min="10750" max="10750" width="75.140625" style="628" customWidth="1"/>
    <col min="10751" max="10751" width="31.42578125" style="628" customWidth="1"/>
    <col min="10752" max="10752" width="16.7109375" style="628" customWidth="1"/>
    <col min="10753" max="10753" width="19.85546875" style="628" customWidth="1"/>
    <col min="10754" max="10754" width="24.85546875" style="628" bestFit="1" customWidth="1"/>
    <col min="10755" max="10755" width="31.28515625" style="628" customWidth="1"/>
    <col min="10756" max="10756" width="9" style="628" customWidth="1"/>
    <col min="10757" max="10757" width="24.42578125" style="628" customWidth="1"/>
    <col min="10758" max="10758" width="9.85546875" style="628" customWidth="1"/>
    <col min="10759" max="10759" width="16.85546875" style="628" bestFit="1" customWidth="1"/>
    <col min="10760" max="10760" width="17" style="628" bestFit="1" customWidth="1"/>
    <col min="10761" max="10761" width="11.7109375" style="628" customWidth="1"/>
    <col min="10762" max="11004" width="9.140625" style="628"/>
    <col min="11005" max="11005" width="42.42578125" style="628" customWidth="1"/>
    <col min="11006" max="11006" width="75.140625" style="628" customWidth="1"/>
    <col min="11007" max="11007" width="31.42578125" style="628" customWidth="1"/>
    <col min="11008" max="11008" width="16.7109375" style="628" customWidth="1"/>
    <col min="11009" max="11009" width="19.85546875" style="628" customWidth="1"/>
    <col min="11010" max="11010" width="24.85546875" style="628" bestFit="1" customWidth="1"/>
    <col min="11011" max="11011" width="31.28515625" style="628" customWidth="1"/>
    <col min="11012" max="11012" width="9" style="628" customWidth="1"/>
    <col min="11013" max="11013" width="24.42578125" style="628" customWidth="1"/>
    <col min="11014" max="11014" width="9.85546875" style="628" customWidth="1"/>
    <col min="11015" max="11015" width="16.85546875" style="628" bestFit="1" customWidth="1"/>
    <col min="11016" max="11016" width="17" style="628" bestFit="1" customWidth="1"/>
    <col min="11017" max="11017" width="11.7109375" style="628" customWidth="1"/>
    <col min="11018" max="11260" width="9.140625" style="628"/>
    <col min="11261" max="11261" width="42.42578125" style="628" customWidth="1"/>
    <col min="11262" max="11262" width="75.140625" style="628" customWidth="1"/>
    <col min="11263" max="11263" width="31.42578125" style="628" customWidth="1"/>
    <col min="11264" max="11264" width="16.7109375" style="628" customWidth="1"/>
    <col min="11265" max="11265" width="19.85546875" style="628" customWidth="1"/>
    <col min="11266" max="11266" width="24.85546875" style="628" bestFit="1" customWidth="1"/>
    <col min="11267" max="11267" width="31.28515625" style="628" customWidth="1"/>
    <col min="11268" max="11268" width="9" style="628" customWidth="1"/>
    <col min="11269" max="11269" width="24.42578125" style="628" customWidth="1"/>
    <col min="11270" max="11270" width="9.85546875" style="628" customWidth="1"/>
    <col min="11271" max="11271" width="16.85546875" style="628" bestFit="1" customWidth="1"/>
    <col min="11272" max="11272" width="17" style="628" bestFit="1" customWidth="1"/>
    <col min="11273" max="11273" width="11.7109375" style="628" customWidth="1"/>
    <col min="11274" max="11516" width="9.140625" style="628"/>
    <col min="11517" max="11517" width="42.42578125" style="628" customWidth="1"/>
    <col min="11518" max="11518" width="75.140625" style="628" customWidth="1"/>
    <col min="11519" max="11519" width="31.42578125" style="628" customWidth="1"/>
    <col min="11520" max="11520" width="16.7109375" style="628" customWidth="1"/>
    <col min="11521" max="11521" width="19.85546875" style="628" customWidth="1"/>
    <col min="11522" max="11522" width="24.85546875" style="628" bestFit="1" customWidth="1"/>
    <col min="11523" max="11523" width="31.28515625" style="628" customWidth="1"/>
    <col min="11524" max="11524" width="9" style="628" customWidth="1"/>
    <col min="11525" max="11525" width="24.42578125" style="628" customWidth="1"/>
    <col min="11526" max="11526" width="9.85546875" style="628" customWidth="1"/>
    <col min="11527" max="11527" width="16.85546875" style="628" bestFit="1" customWidth="1"/>
    <col min="11528" max="11528" width="17" style="628" bestFit="1" customWidth="1"/>
    <col min="11529" max="11529" width="11.7109375" style="628" customWidth="1"/>
    <col min="11530" max="11772" width="9.140625" style="628"/>
    <col min="11773" max="11773" width="42.42578125" style="628" customWidth="1"/>
    <col min="11774" max="11774" width="75.140625" style="628" customWidth="1"/>
    <col min="11775" max="11775" width="31.42578125" style="628" customWidth="1"/>
    <col min="11776" max="11776" width="16.7109375" style="628" customWidth="1"/>
    <col min="11777" max="11777" width="19.85546875" style="628" customWidth="1"/>
    <col min="11778" max="11778" width="24.85546875" style="628" bestFit="1" customWidth="1"/>
    <col min="11779" max="11779" width="31.28515625" style="628" customWidth="1"/>
    <col min="11780" max="11780" width="9" style="628" customWidth="1"/>
    <col min="11781" max="11781" width="24.42578125" style="628" customWidth="1"/>
    <col min="11782" max="11782" width="9.85546875" style="628" customWidth="1"/>
    <col min="11783" max="11783" width="16.85546875" style="628" bestFit="1" customWidth="1"/>
    <col min="11784" max="11784" width="17" style="628" bestFit="1" customWidth="1"/>
    <col min="11785" max="11785" width="11.7109375" style="628" customWidth="1"/>
    <col min="11786" max="12028" width="9.140625" style="628"/>
    <col min="12029" max="12029" width="42.42578125" style="628" customWidth="1"/>
    <col min="12030" max="12030" width="75.140625" style="628" customWidth="1"/>
    <col min="12031" max="12031" width="31.42578125" style="628" customWidth="1"/>
    <col min="12032" max="12032" width="16.7109375" style="628" customWidth="1"/>
    <col min="12033" max="12033" width="19.85546875" style="628" customWidth="1"/>
    <col min="12034" max="12034" width="24.85546875" style="628" bestFit="1" customWidth="1"/>
    <col min="12035" max="12035" width="31.28515625" style="628" customWidth="1"/>
    <col min="12036" max="12036" width="9" style="628" customWidth="1"/>
    <col min="12037" max="12037" width="24.42578125" style="628" customWidth="1"/>
    <col min="12038" max="12038" width="9.85546875" style="628" customWidth="1"/>
    <col min="12039" max="12039" width="16.85546875" style="628" bestFit="1" customWidth="1"/>
    <col min="12040" max="12040" width="17" style="628" bestFit="1" customWidth="1"/>
    <col min="12041" max="12041" width="11.7109375" style="628" customWidth="1"/>
    <col min="12042" max="12284" width="9.140625" style="628"/>
    <col min="12285" max="12285" width="42.42578125" style="628" customWidth="1"/>
    <col min="12286" max="12286" width="75.140625" style="628" customWidth="1"/>
    <col min="12287" max="12287" width="31.42578125" style="628" customWidth="1"/>
    <col min="12288" max="12288" width="16.7109375" style="628" customWidth="1"/>
    <col min="12289" max="12289" width="19.85546875" style="628" customWidth="1"/>
    <col min="12290" max="12290" width="24.85546875" style="628" bestFit="1" customWidth="1"/>
    <col min="12291" max="12291" width="31.28515625" style="628" customWidth="1"/>
    <col min="12292" max="12292" width="9" style="628" customWidth="1"/>
    <col min="12293" max="12293" width="24.42578125" style="628" customWidth="1"/>
    <col min="12294" max="12294" width="9.85546875" style="628" customWidth="1"/>
    <col min="12295" max="12295" width="16.85546875" style="628" bestFit="1" customWidth="1"/>
    <col min="12296" max="12296" width="17" style="628" bestFit="1" customWidth="1"/>
    <col min="12297" max="12297" width="11.7109375" style="628" customWidth="1"/>
    <col min="12298" max="12540" width="9.140625" style="628"/>
    <col min="12541" max="12541" width="42.42578125" style="628" customWidth="1"/>
    <col min="12542" max="12542" width="75.140625" style="628" customWidth="1"/>
    <col min="12543" max="12543" width="31.42578125" style="628" customWidth="1"/>
    <col min="12544" max="12544" width="16.7109375" style="628" customWidth="1"/>
    <col min="12545" max="12545" width="19.85546875" style="628" customWidth="1"/>
    <col min="12546" max="12546" width="24.85546875" style="628" bestFit="1" customWidth="1"/>
    <col min="12547" max="12547" width="31.28515625" style="628" customWidth="1"/>
    <col min="12548" max="12548" width="9" style="628" customWidth="1"/>
    <col min="12549" max="12549" width="24.42578125" style="628" customWidth="1"/>
    <col min="12550" max="12550" width="9.85546875" style="628" customWidth="1"/>
    <col min="12551" max="12551" width="16.85546875" style="628" bestFit="1" customWidth="1"/>
    <col min="12552" max="12552" width="17" style="628" bestFit="1" customWidth="1"/>
    <col min="12553" max="12553" width="11.7109375" style="628" customWidth="1"/>
    <col min="12554" max="12796" width="9.140625" style="628"/>
    <col min="12797" max="12797" width="42.42578125" style="628" customWidth="1"/>
    <col min="12798" max="12798" width="75.140625" style="628" customWidth="1"/>
    <col min="12799" max="12799" width="31.42578125" style="628" customWidth="1"/>
    <col min="12800" max="12800" width="16.7109375" style="628" customWidth="1"/>
    <col min="12801" max="12801" width="19.85546875" style="628" customWidth="1"/>
    <col min="12802" max="12802" width="24.85546875" style="628" bestFit="1" customWidth="1"/>
    <col min="12803" max="12803" width="31.28515625" style="628" customWidth="1"/>
    <col min="12804" max="12804" width="9" style="628" customWidth="1"/>
    <col min="12805" max="12805" width="24.42578125" style="628" customWidth="1"/>
    <col min="12806" max="12806" width="9.85546875" style="628" customWidth="1"/>
    <col min="12807" max="12807" width="16.85546875" style="628" bestFit="1" customWidth="1"/>
    <col min="12808" max="12808" width="17" style="628" bestFit="1" customWidth="1"/>
    <col min="12809" max="12809" width="11.7109375" style="628" customWidth="1"/>
    <col min="12810" max="13052" width="9.140625" style="628"/>
    <col min="13053" max="13053" width="42.42578125" style="628" customWidth="1"/>
    <col min="13054" max="13054" width="75.140625" style="628" customWidth="1"/>
    <col min="13055" max="13055" width="31.42578125" style="628" customWidth="1"/>
    <col min="13056" max="13056" width="16.7109375" style="628" customWidth="1"/>
    <col min="13057" max="13057" width="19.85546875" style="628" customWidth="1"/>
    <col min="13058" max="13058" width="24.85546875" style="628" bestFit="1" customWidth="1"/>
    <col min="13059" max="13059" width="31.28515625" style="628" customWidth="1"/>
    <col min="13060" max="13060" width="9" style="628" customWidth="1"/>
    <col min="13061" max="13061" width="24.42578125" style="628" customWidth="1"/>
    <col min="13062" max="13062" width="9.85546875" style="628" customWidth="1"/>
    <col min="13063" max="13063" width="16.85546875" style="628" bestFit="1" customWidth="1"/>
    <col min="13064" max="13064" width="17" style="628" bestFit="1" customWidth="1"/>
    <col min="13065" max="13065" width="11.7109375" style="628" customWidth="1"/>
    <col min="13066" max="13308" width="9.140625" style="628"/>
    <col min="13309" max="13309" width="42.42578125" style="628" customWidth="1"/>
    <col min="13310" max="13310" width="75.140625" style="628" customWidth="1"/>
    <col min="13311" max="13311" width="31.42578125" style="628" customWidth="1"/>
    <col min="13312" max="13312" width="16.7109375" style="628" customWidth="1"/>
    <col min="13313" max="13313" width="19.85546875" style="628" customWidth="1"/>
    <col min="13314" max="13314" width="24.85546875" style="628" bestFit="1" customWidth="1"/>
    <col min="13315" max="13315" width="31.28515625" style="628" customWidth="1"/>
    <col min="13316" max="13316" width="9" style="628" customWidth="1"/>
    <col min="13317" max="13317" width="24.42578125" style="628" customWidth="1"/>
    <col min="13318" max="13318" width="9.85546875" style="628" customWidth="1"/>
    <col min="13319" max="13319" width="16.85546875" style="628" bestFit="1" customWidth="1"/>
    <col min="13320" max="13320" width="17" style="628" bestFit="1" customWidth="1"/>
    <col min="13321" max="13321" width="11.7109375" style="628" customWidth="1"/>
    <col min="13322" max="13564" width="9.140625" style="628"/>
    <col min="13565" max="13565" width="42.42578125" style="628" customWidth="1"/>
    <col min="13566" max="13566" width="75.140625" style="628" customWidth="1"/>
    <col min="13567" max="13567" width="31.42578125" style="628" customWidth="1"/>
    <col min="13568" max="13568" width="16.7109375" style="628" customWidth="1"/>
    <col min="13569" max="13569" width="19.85546875" style="628" customWidth="1"/>
    <col min="13570" max="13570" width="24.85546875" style="628" bestFit="1" customWidth="1"/>
    <col min="13571" max="13571" width="31.28515625" style="628" customWidth="1"/>
    <col min="13572" max="13572" width="9" style="628" customWidth="1"/>
    <col min="13573" max="13573" width="24.42578125" style="628" customWidth="1"/>
    <col min="13574" max="13574" width="9.85546875" style="628" customWidth="1"/>
    <col min="13575" max="13575" width="16.85546875" style="628" bestFit="1" customWidth="1"/>
    <col min="13576" max="13576" width="17" style="628" bestFit="1" customWidth="1"/>
    <col min="13577" max="13577" width="11.7109375" style="628" customWidth="1"/>
    <col min="13578" max="13820" width="9.140625" style="628"/>
    <col min="13821" max="13821" width="42.42578125" style="628" customWidth="1"/>
    <col min="13822" max="13822" width="75.140625" style="628" customWidth="1"/>
    <col min="13823" max="13823" width="31.42578125" style="628" customWidth="1"/>
    <col min="13824" max="13824" width="16.7109375" style="628" customWidth="1"/>
    <col min="13825" max="13825" width="19.85546875" style="628" customWidth="1"/>
    <col min="13826" max="13826" width="24.85546875" style="628" bestFit="1" customWidth="1"/>
    <col min="13827" max="13827" width="31.28515625" style="628" customWidth="1"/>
    <col min="13828" max="13828" width="9" style="628" customWidth="1"/>
    <col min="13829" max="13829" width="24.42578125" style="628" customWidth="1"/>
    <col min="13830" max="13830" width="9.85546875" style="628" customWidth="1"/>
    <col min="13831" max="13831" width="16.85546875" style="628" bestFit="1" customWidth="1"/>
    <col min="13832" max="13832" width="17" style="628" bestFit="1" customWidth="1"/>
    <col min="13833" max="13833" width="11.7109375" style="628" customWidth="1"/>
    <col min="13834" max="14076" width="9.140625" style="628"/>
    <col min="14077" max="14077" width="42.42578125" style="628" customWidth="1"/>
    <col min="14078" max="14078" width="75.140625" style="628" customWidth="1"/>
    <col min="14079" max="14079" width="31.42578125" style="628" customWidth="1"/>
    <col min="14080" max="14080" width="16.7109375" style="628" customWidth="1"/>
    <col min="14081" max="14081" width="19.85546875" style="628" customWidth="1"/>
    <col min="14082" max="14082" width="24.85546875" style="628" bestFit="1" customWidth="1"/>
    <col min="14083" max="14083" width="31.28515625" style="628" customWidth="1"/>
    <col min="14084" max="14084" width="9" style="628" customWidth="1"/>
    <col min="14085" max="14085" width="24.42578125" style="628" customWidth="1"/>
    <col min="14086" max="14086" width="9.85546875" style="628" customWidth="1"/>
    <col min="14087" max="14087" width="16.85546875" style="628" bestFit="1" customWidth="1"/>
    <col min="14088" max="14088" width="17" style="628" bestFit="1" customWidth="1"/>
    <col min="14089" max="14089" width="11.7109375" style="628" customWidth="1"/>
    <col min="14090" max="14332" width="9.140625" style="628"/>
    <col min="14333" max="14333" width="42.42578125" style="628" customWidth="1"/>
    <col min="14334" max="14334" width="75.140625" style="628" customWidth="1"/>
    <col min="14335" max="14335" width="31.42578125" style="628" customWidth="1"/>
    <col min="14336" max="14336" width="16.7109375" style="628" customWidth="1"/>
    <col min="14337" max="14337" width="19.85546875" style="628" customWidth="1"/>
    <col min="14338" max="14338" width="24.85546875" style="628" bestFit="1" customWidth="1"/>
    <col min="14339" max="14339" width="31.28515625" style="628" customWidth="1"/>
    <col min="14340" max="14340" width="9" style="628" customWidth="1"/>
    <col min="14341" max="14341" width="24.42578125" style="628" customWidth="1"/>
    <col min="14342" max="14342" width="9.85546875" style="628" customWidth="1"/>
    <col min="14343" max="14343" width="16.85546875" style="628" bestFit="1" customWidth="1"/>
    <col min="14344" max="14344" width="17" style="628" bestFit="1" customWidth="1"/>
    <col min="14345" max="14345" width="11.7109375" style="628" customWidth="1"/>
    <col min="14346" max="14588" width="9.140625" style="628"/>
    <col min="14589" max="14589" width="42.42578125" style="628" customWidth="1"/>
    <col min="14590" max="14590" width="75.140625" style="628" customWidth="1"/>
    <col min="14591" max="14591" width="31.42578125" style="628" customWidth="1"/>
    <col min="14592" max="14592" width="16.7109375" style="628" customWidth="1"/>
    <col min="14593" max="14593" width="19.85546875" style="628" customWidth="1"/>
    <col min="14594" max="14594" width="24.85546875" style="628" bestFit="1" customWidth="1"/>
    <col min="14595" max="14595" width="31.28515625" style="628" customWidth="1"/>
    <col min="14596" max="14596" width="9" style="628" customWidth="1"/>
    <col min="14597" max="14597" width="24.42578125" style="628" customWidth="1"/>
    <col min="14598" max="14598" width="9.85546875" style="628" customWidth="1"/>
    <col min="14599" max="14599" width="16.85546875" style="628" bestFit="1" customWidth="1"/>
    <col min="14600" max="14600" width="17" style="628" bestFit="1" customWidth="1"/>
    <col min="14601" max="14601" width="11.7109375" style="628" customWidth="1"/>
    <col min="14602" max="14844" width="9.140625" style="628"/>
    <col min="14845" max="14845" width="42.42578125" style="628" customWidth="1"/>
    <col min="14846" max="14846" width="75.140625" style="628" customWidth="1"/>
    <col min="14847" max="14847" width="31.42578125" style="628" customWidth="1"/>
    <col min="14848" max="14848" width="16.7109375" style="628" customWidth="1"/>
    <col min="14849" max="14849" width="19.85546875" style="628" customWidth="1"/>
    <col min="14850" max="14850" width="24.85546875" style="628" bestFit="1" customWidth="1"/>
    <col min="14851" max="14851" width="31.28515625" style="628" customWidth="1"/>
    <col min="14852" max="14852" width="9" style="628" customWidth="1"/>
    <col min="14853" max="14853" width="24.42578125" style="628" customWidth="1"/>
    <col min="14854" max="14854" width="9.85546875" style="628" customWidth="1"/>
    <col min="14855" max="14855" width="16.85546875" style="628" bestFit="1" customWidth="1"/>
    <col min="14856" max="14856" width="17" style="628" bestFit="1" customWidth="1"/>
    <col min="14857" max="14857" width="11.7109375" style="628" customWidth="1"/>
    <col min="14858" max="15100" width="9.140625" style="628"/>
    <col min="15101" max="15101" width="42.42578125" style="628" customWidth="1"/>
    <col min="15102" max="15102" width="75.140625" style="628" customWidth="1"/>
    <col min="15103" max="15103" width="31.42578125" style="628" customWidth="1"/>
    <col min="15104" max="15104" width="16.7109375" style="628" customWidth="1"/>
    <col min="15105" max="15105" width="19.85546875" style="628" customWidth="1"/>
    <col min="15106" max="15106" width="24.85546875" style="628" bestFit="1" customWidth="1"/>
    <col min="15107" max="15107" width="31.28515625" style="628" customWidth="1"/>
    <col min="15108" max="15108" width="9" style="628" customWidth="1"/>
    <col min="15109" max="15109" width="24.42578125" style="628" customWidth="1"/>
    <col min="15110" max="15110" width="9.85546875" style="628" customWidth="1"/>
    <col min="15111" max="15111" width="16.85546875" style="628" bestFit="1" customWidth="1"/>
    <col min="15112" max="15112" width="17" style="628" bestFit="1" customWidth="1"/>
    <col min="15113" max="15113" width="11.7109375" style="628" customWidth="1"/>
    <col min="15114" max="15356" width="9.140625" style="628"/>
    <col min="15357" max="15357" width="42.42578125" style="628" customWidth="1"/>
    <col min="15358" max="15358" width="75.140625" style="628" customWidth="1"/>
    <col min="15359" max="15359" width="31.42578125" style="628" customWidth="1"/>
    <col min="15360" max="15360" width="16.7109375" style="628" customWidth="1"/>
    <col min="15361" max="15361" width="19.85546875" style="628" customWidth="1"/>
    <col min="15362" max="15362" width="24.85546875" style="628" bestFit="1" customWidth="1"/>
    <col min="15363" max="15363" width="31.28515625" style="628" customWidth="1"/>
    <col min="15364" max="15364" width="9" style="628" customWidth="1"/>
    <col min="15365" max="15365" width="24.42578125" style="628" customWidth="1"/>
    <col min="15366" max="15366" width="9.85546875" style="628" customWidth="1"/>
    <col min="15367" max="15367" width="16.85546875" style="628" bestFit="1" customWidth="1"/>
    <col min="15368" max="15368" width="17" style="628" bestFit="1" customWidth="1"/>
    <col min="15369" max="15369" width="11.7109375" style="628" customWidth="1"/>
    <col min="15370" max="15612" width="9.140625" style="628"/>
    <col min="15613" max="15613" width="42.42578125" style="628" customWidth="1"/>
    <col min="15614" max="15614" width="75.140625" style="628" customWidth="1"/>
    <col min="15615" max="15615" width="31.42578125" style="628" customWidth="1"/>
    <col min="15616" max="15616" width="16.7109375" style="628" customWidth="1"/>
    <col min="15617" max="15617" width="19.85546875" style="628" customWidth="1"/>
    <col min="15618" max="15618" width="24.85546875" style="628" bestFit="1" customWidth="1"/>
    <col min="15619" max="15619" width="31.28515625" style="628" customWidth="1"/>
    <col min="15620" max="15620" width="9" style="628" customWidth="1"/>
    <col min="15621" max="15621" width="24.42578125" style="628" customWidth="1"/>
    <col min="15622" max="15622" width="9.85546875" style="628" customWidth="1"/>
    <col min="15623" max="15623" width="16.85546875" style="628" bestFit="1" customWidth="1"/>
    <col min="15624" max="15624" width="17" style="628" bestFit="1" customWidth="1"/>
    <col min="15625" max="15625" width="11.7109375" style="628" customWidth="1"/>
    <col min="15626" max="15868" width="9.140625" style="628"/>
    <col min="15869" max="15869" width="42.42578125" style="628" customWidth="1"/>
    <col min="15870" max="15870" width="75.140625" style="628" customWidth="1"/>
    <col min="15871" max="15871" width="31.42578125" style="628" customWidth="1"/>
    <col min="15872" max="15872" width="16.7109375" style="628" customWidth="1"/>
    <col min="15873" max="15873" width="19.85546875" style="628" customWidth="1"/>
    <col min="15874" max="15874" width="24.85546875" style="628" bestFit="1" customWidth="1"/>
    <col min="15875" max="15875" width="31.28515625" style="628" customWidth="1"/>
    <col min="15876" max="15876" width="9" style="628" customWidth="1"/>
    <col min="15877" max="15877" width="24.42578125" style="628" customWidth="1"/>
    <col min="15878" max="15878" width="9.85546875" style="628" customWidth="1"/>
    <col min="15879" max="15879" width="16.85546875" style="628" bestFit="1" customWidth="1"/>
    <col min="15880" max="15880" width="17" style="628" bestFit="1" customWidth="1"/>
    <col min="15881" max="15881" width="11.7109375" style="628" customWidth="1"/>
    <col min="15882" max="16124" width="9.140625" style="628"/>
    <col min="16125" max="16125" width="42.42578125" style="628" customWidth="1"/>
    <col min="16126" max="16126" width="75.140625" style="628" customWidth="1"/>
    <col min="16127" max="16127" width="31.42578125" style="628" customWidth="1"/>
    <col min="16128" max="16128" width="16.7109375" style="628" customWidth="1"/>
    <col min="16129" max="16129" width="19.85546875" style="628" customWidth="1"/>
    <col min="16130" max="16130" width="24.85546875" style="628" bestFit="1" customWidth="1"/>
    <col min="16131" max="16131" width="31.28515625" style="628" customWidth="1"/>
    <col min="16132" max="16132" width="9" style="628" customWidth="1"/>
    <col min="16133" max="16133" width="24.42578125" style="628" customWidth="1"/>
    <col min="16134" max="16134" width="9.85546875" style="628" customWidth="1"/>
    <col min="16135" max="16135" width="16.85546875" style="628" bestFit="1" customWidth="1"/>
    <col min="16136" max="16136" width="17" style="628" bestFit="1" customWidth="1"/>
    <col min="16137" max="16137" width="11.7109375" style="628" customWidth="1"/>
    <col min="16138" max="16384" width="9.140625" style="628"/>
  </cols>
  <sheetData>
    <row r="1" spans="1:8" s="619" customFormat="1" ht="23.25">
      <c r="A1" s="1122" t="s">
        <v>111</v>
      </c>
      <c r="B1" s="1122"/>
      <c r="C1" s="1122"/>
      <c r="D1" s="1122"/>
      <c r="E1" s="1122"/>
      <c r="F1" s="1122"/>
      <c r="H1" s="620"/>
    </row>
    <row r="2" spans="1:8" s="619" customFormat="1" ht="23.25">
      <c r="A2" s="1122" t="s">
        <v>2748</v>
      </c>
      <c r="B2" s="1122"/>
      <c r="C2" s="1122"/>
      <c r="D2" s="1122"/>
      <c r="E2" s="1122"/>
      <c r="F2" s="1122"/>
      <c r="H2" s="620"/>
    </row>
    <row r="3" spans="1:8" s="619" customFormat="1" ht="23.25">
      <c r="A3" s="1123" t="s">
        <v>2767</v>
      </c>
      <c r="B3" s="1123"/>
      <c r="C3" s="804" t="s">
        <v>2766</v>
      </c>
      <c r="D3" s="803"/>
      <c r="E3" s="803"/>
      <c r="F3" s="803"/>
      <c r="H3" s="620"/>
    </row>
    <row r="4" spans="1:8" s="619" customFormat="1" ht="18" customHeight="1">
      <c r="A4" s="621"/>
      <c r="B4" s="621"/>
      <c r="C4" s="622"/>
      <c r="D4" s="623"/>
      <c r="E4" s="624"/>
      <c r="F4" s="618"/>
      <c r="H4" s="620"/>
    </row>
    <row r="5" spans="1:8" s="620" customFormat="1" ht="54">
      <c r="A5" s="495" t="s">
        <v>154</v>
      </c>
      <c r="B5" s="495" t="s">
        <v>155</v>
      </c>
      <c r="C5" s="496" t="s">
        <v>261</v>
      </c>
      <c r="D5" s="497" t="s">
        <v>262</v>
      </c>
      <c r="E5" s="497" t="s">
        <v>263</v>
      </c>
      <c r="F5" s="497" t="s">
        <v>264</v>
      </c>
    </row>
    <row r="6" spans="1:8" s="503" customFormat="1" ht="33" customHeight="1" outlineLevel="2">
      <c r="A6" s="498" t="s">
        <v>87</v>
      </c>
      <c r="B6" s="352" t="s">
        <v>1929</v>
      </c>
      <c r="C6" s="499">
        <v>6789</v>
      </c>
      <c r="D6" s="500">
        <v>42460</v>
      </c>
      <c r="E6" s="500">
        <v>42489</v>
      </c>
      <c r="F6" s="502">
        <v>2999.7812105997214</v>
      </c>
    </row>
    <row r="7" spans="1:8" s="503" customFormat="1" ht="33" customHeight="1" outlineLevel="1">
      <c r="A7" s="888" t="s">
        <v>2116</v>
      </c>
      <c r="B7" s="542"/>
      <c r="C7" s="543"/>
      <c r="D7" s="544"/>
      <c r="E7" s="544"/>
      <c r="F7" s="625">
        <f>SUBTOTAL(9,F6:F6)</f>
        <v>2999.7812105997214</v>
      </c>
    </row>
    <row r="8" spans="1:8" s="503" customFormat="1" ht="33" customHeight="1" outlineLevel="2">
      <c r="A8" s="498" t="s">
        <v>88</v>
      </c>
      <c r="B8" s="352" t="s">
        <v>1929</v>
      </c>
      <c r="C8" s="499">
        <v>6790</v>
      </c>
      <c r="D8" s="500">
        <v>42460</v>
      </c>
      <c r="E8" s="500">
        <v>42489</v>
      </c>
      <c r="F8" s="502">
        <v>3881.4331982025051</v>
      </c>
    </row>
    <row r="9" spans="1:8" s="503" customFormat="1" ht="33" customHeight="1" outlineLevel="1">
      <c r="A9" s="541" t="s">
        <v>2117</v>
      </c>
      <c r="B9" s="542"/>
      <c r="C9" s="543"/>
      <c r="D9" s="544"/>
      <c r="E9" s="544"/>
      <c r="F9" s="625">
        <f>SUBTOTAL(9,F8:F8)</f>
        <v>3881.4331982025051</v>
      </c>
    </row>
    <row r="10" spans="1:8" s="503" customFormat="1" ht="33" customHeight="1" outlineLevel="2">
      <c r="A10" s="498" t="s">
        <v>89</v>
      </c>
      <c r="B10" s="352" t="s">
        <v>7737</v>
      </c>
      <c r="C10" s="499">
        <v>6660</v>
      </c>
      <c r="D10" s="500">
        <v>42429</v>
      </c>
      <c r="E10" s="500">
        <v>42461</v>
      </c>
      <c r="F10" s="502">
        <v>20362.04</v>
      </c>
    </row>
    <row r="11" spans="1:8" s="503" customFormat="1" ht="33" customHeight="1" outlineLevel="2">
      <c r="A11" s="498" t="s">
        <v>89</v>
      </c>
      <c r="B11" s="352" t="s">
        <v>7738</v>
      </c>
      <c r="C11" s="499">
        <v>4439</v>
      </c>
      <c r="D11" s="500">
        <v>41880</v>
      </c>
      <c r="E11" s="500">
        <v>42473</v>
      </c>
      <c r="F11" s="502">
        <v>16063.01</v>
      </c>
    </row>
    <row r="12" spans="1:8" s="503" customFormat="1" ht="33" customHeight="1" outlineLevel="2">
      <c r="A12" s="498" t="s">
        <v>89</v>
      </c>
      <c r="B12" s="352" t="s">
        <v>7738</v>
      </c>
      <c r="C12" s="499">
        <v>4541</v>
      </c>
      <c r="D12" s="500">
        <v>41912</v>
      </c>
      <c r="E12" s="500">
        <v>42473</v>
      </c>
      <c r="F12" s="502">
        <v>19220.14</v>
      </c>
    </row>
    <row r="13" spans="1:8" s="503" customFormat="1" ht="33" customHeight="1" outlineLevel="2">
      <c r="A13" s="498" t="s">
        <v>89</v>
      </c>
      <c r="B13" s="352" t="s">
        <v>7738</v>
      </c>
      <c r="C13" s="499">
        <v>4643</v>
      </c>
      <c r="D13" s="500">
        <v>41943</v>
      </c>
      <c r="E13" s="500">
        <v>42489</v>
      </c>
      <c r="F13" s="502">
        <v>19165.39</v>
      </c>
    </row>
    <row r="14" spans="1:8" s="503" customFormat="1" ht="33" customHeight="1" outlineLevel="2">
      <c r="A14" s="498" t="s">
        <v>89</v>
      </c>
      <c r="B14" s="352" t="s">
        <v>7738</v>
      </c>
      <c r="C14" s="499">
        <v>4745</v>
      </c>
      <c r="D14" s="500">
        <v>41971</v>
      </c>
      <c r="E14" s="500">
        <v>42489</v>
      </c>
      <c r="F14" s="502">
        <v>19988.27</v>
      </c>
    </row>
    <row r="15" spans="1:8" s="503" customFormat="1" ht="33" customHeight="1" outlineLevel="2">
      <c r="A15" s="498" t="s">
        <v>89</v>
      </c>
      <c r="B15" s="352" t="s">
        <v>7738</v>
      </c>
      <c r="C15" s="499">
        <v>4878</v>
      </c>
      <c r="D15" s="500">
        <v>42004</v>
      </c>
      <c r="E15" s="500">
        <v>42489</v>
      </c>
      <c r="F15" s="502">
        <v>17976.849999999999</v>
      </c>
    </row>
    <row r="16" spans="1:8" s="503" customFormat="1" ht="33" customHeight="1" outlineLevel="2">
      <c r="A16" s="498" t="s">
        <v>89</v>
      </c>
      <c r="B16" s="352" t="s">
        <v>7738</v>
      </c>
      <c r="C16" s="499">
        <v>4979</v>
      </c>
      <c r="D16" s="500">
        <v>42034</v>
      </c>
      <c r="E16" s="500">
        <v>42489</v>
      </c>
      <c r="F16" s="502">
        <v>18269.43</v>
      </c>
    </row>
    <row r="17" spans="1:6" s="503" customFormat="1" ht="33" customHeight="1" outlineLevel="2">
      <c r="A17" s="498" t="s">
        <v>89</v>
      </c>
      <c r="B17" s="352" t="s">
        <v>7738</v>
      </c>
      <c r="C17" s="499">
        <v>5082</v>
      </c>
      <c r="D17" s="500">
        <v>42062</v>
      </c>
      <c r="E17" s="500">
        <v>42489</v>
      </c>
      <c r="F17" s="502">
        <v>18650.22</v>
      </c>
    </row>
    <row r="18" spans="1:6" s="503" customFormat="1" ht="33" customHeight="1" outlineLevel="2">
      <c r="A18" s="498" t="s">
        <v>89</v>
      </c>
      <c r="B18" s="352" t="s">
        <v>7738</v>
      </c>
      <c r="C18" s="499">
        <v>5196</v>
      </c>
      <c r="D18" s="500">
        <v>42094</v>
      </c>
      <c r="E18" s="500">
        <v>42489</v>
      </c>
      <c r="F18" s="502">
        <v>20148.14</v>
      </c>
    </row>
    <row r="19" spans="1:6" s="503" customFormat="1" ht="33" customHeight="1" outlineLevel="2">
      <c r="A19" s="498" t="s">
        <v>89</v>
      </c>
      <c r="B19" s="352" t="s">
        <v>7738</v>
      </c>
      <c r="C19" s="499">
        <v>5310</v>
      </c>
      <c r="D19" s="500">
        <v>42124</v>
      </c>
      <c r="E19" s="500">
        <v>42489</v>
      </c>
      <c r="F19" s="502">
        <v>20618.45</v>
      </c>
    </row>
    <row r="20" spans="1:6" s="503" customFormat="1" ht="33" customHeight="1" outlineLevel="2">
      <c r="A20" s="498" t="s">
        <v>89</v>
      </c>
      <c r="B20" s="352" t="s">
        <v>7738</v>
      </c>
      <c r="C20" s="499">
        <v>5425</v>
      </c>
      <c r="D20" s="500">
        <v>42153</v>
      </c>
      <c r="E20" s="500">
        <v>42489</v>
      </c>
      <c r="F20" s="502">
        <v>16605.18</v>
      </c>
    </row>
    <row r="21" spans="1:6" s="503" customFormat="1" ht="33" customHeight="1" outlineLevel="1">
      <c r="A21" s="541" t="s">
        <v>2119</v>
      </c>
      <c r="B21" s="542"/>
      <c r="C21" s="543"/>
      <c r="D21" s="544"/>
      <c r="E21" s="544"/>
      <c r="F21" s="625">
        <f>SUBTOTAL(9,F10:F20)</f>
        <v>207067.12</v>
      </c>
    </row>
    <row r="22" spans="1:6" s="503" customFormat="1" ht="33" customHeight="1" outlineLevel="2">
      <c r="A22" s="498" t="s">
        <v>90</v>
      </c>
      <c r="B22" s="352" t="s">
        <v>1929</v>
      </c>
      <c r="C22" s="499">
        <v>6787</v>
      </c>
      <c r="D22" s="500">
        <v>42460</v>
      </c>
      <c r="E22" s="500">
        <v>42489</v>
      </c>
      <c r="F22" s="502">
        <v>2320.0556173237337</v>
      </c>
    </row>
    <row r="23" spans="1:6" s="503" customFormat="1" ht="33" customHeight="1" outlineLevel="2">
      <c r="A23" s="498" t="s">
        <v>90</v>
      </c>
      <c r="B23" s="352" t="s">
        <v>1933</v>
      </c>
      <c r="C23" s="499">
        <v>6804</v>
      </c>
      <c r="D23" s="500">
        <v>42460</v>
      </c>
      <c r="E23" s="500">
        <v>42489</v>
      </c>
      <c r="F23" s="502">
        <v>1703.7172916935201</v>
      </c>
    </row>
    <row r="24" spans="1:6" s="503" customFormat="1" ht="33" customHeight="1" outlineLevel="2">
      <c r="A24" s="498" t="s">
        <v>90</v>
      </c>
      <c r="B24" s="352" t="s">
        <v>1932</v>
      </c>
      <c r="C24" s="499">
        <v>6730</v>
      </c>
      <c r="D24" s="500">
        <v>42460</v>
      </c>
      <c r="E24" s="500">
        <v>42489</v>
      </c>
      <c r="F24" s="502">
        <v>3678</v>
      </c>
    </row>
    <row r="25" spans="1:6" s="503" customFormat="1" ht="33" customHeight="1" outlineLevel="2">
      <c r="A25" s="498" t="s">
        <v>90</v>
      </c>
      <c r="B25" s="352" t="s">
        <v>7737</v>
      </c>
      <c r="C25" s="499">
        <v>6659</v>
      </c>
      <c r="D25" s="500">
        <v>42429</v>
      </c>
      <c r="E25" s="500">
        <v>42461</v>
      </c>
      <c r="F25" s="502">
        <v>11269.31</v>
      </c>
    </row>
    <row r="26" spans="1:6" s="503" customFormat="1" ht="33" customHeight="1" outlineLevel="2">
      <c r="A26" s="498" t="s">
        <v>90</v>
      </c>
      <c r="B26" s="352" t="s">
        <v>7738</v>
      </c>
      <c r="C26" s="499">
        <v>4877</v>
      </c>
      <c r="D26" s="500">
        <v>42004</v>
      </c>
      <c r="E26" s="500">
        <v>42473</v>
      </c>
      <c r="F26" s="502">
        <v>9239.49</v>
      </c>
    </row>
    <row r="27" spans="1:6" s="503" customFormat="1" ht="33" customHeight="1" outlineLevel="2">
      <c r="A27" s="498" t="s">
        <v>90</v>
      </c>
      <c r="B27" s="352" t="s">
        <v>7738</v>
      </c>
      <c r="C27" s="499">
        <v>4978</v>
      </c>
      <c r="D27" s="500">
        <v>42034</v>
      </c>
      <c r="E27" s="500">
        <v>42473</v>
      </c>
      <c r="F27" s="502">
        <v>9171.93</v>
      </c>
    </row>
    <row r="28" spans="1:6" s="503" customFormat="1" ht="33" customHeight="1" outlineLevel="2">
      <c r="A28" s="498" t="s">
        <v>90</v>
      </c>
      <c r="B28" s="352" t="s">
        <v>7738</v>
      </c>
      <c r="C28" s="499">
        <v>5081</v>
      </c>
      <c r="D28" s="500">
        <v>42062</v>
      </c>
      <c r="E28" s="500">
        <v>42473</v>
      </c>
      <c r="F28" s="502">
        <v>8028.2</v>
      </c>
    </row>
    <row r="29" spans="1:6" s="503" customFormat="1" ht="33" customHeight="1" outlineLevel="2">
      <c r="A29" s="498" t="s">
        <v>90</v>
      </c>
      <c r="B29" s="352" t="s">
        <v>7738</v>
      </c>
      <c r="C29" s="499">
        <v>5195</v>
      </c>
      <c r="D29" s="500">
        <v>42094</v>
      </c>
      <c r="E29" s="500">
        <v>42473</v>
      </c>
      <c r="F29" s="502">
        <v>8201.9599999999991</v>
      </c>
    </row>
    <row r="30" spans="1:6" s="503" customFormat="1" ht="33" customHeight="1" outlineLevel="2">
      <c r="A30" s="498" t="s">
        <v>90</v>
      </c>
      <c r="B30" s="352" t="s">
        <v>7738</v>
      </c>
      <c r="C30" s="499">
        <v>5309</v>
      </c>
      <c r="D30" s="500">
        <v>42124</v>
      </c>
      <c r="E30" s="500">
        <v>42473</v>
      </c>
      <c r="F30" s="502">
        <v>9509.24</v>
      </c>
    </row>
    <row r="31" spans="1:6" s="503" customFormat="1" ht="33" customHeight="1" outlineLevel="2">
      <c r="A31" s="498" t="s">
        <v>90</v>
      </c>
      <c r="B31" s="352" t="s">
        <v>7738</v>
      </c>
      <c r="C31" s="499">
        <v>5424</v>
      </c>
      <c r="D31" s="500">
        <v>42153</v>
      </c>
      <c r="E31" s="500">
        <v>42473</v>
      </c>
      <c r="F31" s="502">
        <v>6855.3</v>
      </c>
    </row>
    <row r="32" spans="1:6" s="503" customFormat="1" ht="33" customHeight="1" outlineLevel="2">
      <c r="A32" s="498" t="s">
        <v>90</v>
      </c>
      <c r="B32" s="352" t="s">
        <v>7738</v>
      </c>
      <c r="C32" s="499">
        <v>5546</v>
      </c>
      <c r="D32" s="500">
        <v>42185</v>
      </c>
      <c r="E32" s="500">
        <v>42473</v>
      </c>
      <c r="F32" s="502">
        <v>8164.33</v>
      </c>
    </row>
    <row r="33" spans="1:6" s="503" customFormat="1" ht="33" customHeight="1" outlineLevel="2">
      <c r="A33" s="498" t="s">
        <v>90</v>
      </c>
      <c r="B33" s="352" t="s">
        <v>7738</v>
      </c>
      <c r="C33" s="499">
        <v>5662</v>
      </c>
      <c r="D33" s="500">
        <v>42216</v>
      </c>
      <c r="E33" s="500">
        <v>42473</v>
      </c>
      <c r="F33" s="502">
        <v>8951.0300000000007</v>
      </c>
    </row>
    <row r="34" spans="1:6" s="503" customFormat="1" ht="33" customHeight="1" outlineLevel="2">
      <c r="A34" s="498" t="s">
        <v>90</v>
      </c>
      <c r="B34" s="352" t="s">
        <v>7738</v>
      </c>
      <c r="C34" s="499">
        <v>5773</v>
      </c>
      <c r="D34" s="500">
        <v>42247</v>
      </c>
      <c r="E34" s="500">
        <v>42473</v>
      </c>
      <c r="F34" s="502">
        <v>8948.18</v>
      </c>
    </row>
    <row r="35" spans="1:6" s="503" customFormat="1" ht="33" customHeight="1" outlineLevel="2">
      <c r="A35" s="498" t="s">
        <v>90</v>
      </c>
      <c r="B35" s="352" t="s">
        <v>7738</v>
      </c>
      <c r="C35" s="499">
        <v>5885</v>
      </c>
      <c r="D35" s="500">
        <v>42277</v>
      </c>
      <c r="E35" s="500">
        <v>42473</v>
      </c>
      <c r="F35" s="502">
        <v>9186.6200000000008</v>
      </c>
    </row>
    <row r="36" spans="1:6" s="503" customFormat="1" ht="33" customHeight="1" outlineLevel="2">
      <c r="A36" s="498" t="s">
        <v>90</v>
      </c>
      <c r="B36" s="352" t="s">
        <v>7738</v>
      </c>
      <c r="C36" s="499">
        <v>5997</v>
      </c>
      <c r="D36" s="500">
        <v>42307</v>
      </c>
      <c r="E36" s="500">
        <v>42473</v>
      </c>
      <c r="F36" s="502">
        <v>10705.93</v>
      </c>
    </row>
    <row r="37" spans="1:6" s="503" customFormat="1" ht="33" customHeight="1" outlineLevel="2">
      <c r="A37" s="498" t="s">
        <v>90</v>
      </c>
      <c r="B37" s="352" t="s">
        <v>7738</v>
      </c>
      <c r="C37" s="499">
        <v>6123</v>
      </c>
      <c r="D37" s="500">
        <v>42338</v>
      </c>
      <c r="E37" s="500">
        <v>42473</v>
      </c>
      <c r="F37" s="502">
        <v>10047.549999999999</v>
      </c>
    </row>
    <row r="38" spans="1:6" s="503" customFormat="1" ht="33" customHeight="1" outlineLevel="2">
      <c r="A38" s="498" t="s">
        <v>90</v>
      </c>
      <c r="B38" s="352" t="s">
        <v>7738</v>
      </c>
      <c r="C38" s="499">
        <v>6248</v>
      </c>
      <c r="D38" s="500">
        <v>42369</v>
      </c>
      <c r="E38" s="500">
        <v>42473</v>
      </c>
      <c r="F38" s="502">
        <v>10399.69</v>
      </c>
    </row>
    <row r="39" spans="1:6" s="503" customFormat="1" ht="33" customHeight="1" outlineLevel="2">
      <c r="A39" s="498" t="s">
        <v>90</v>
      </c>
      <c r="B39" s="352" t="s">
        <v>7738</v>
      </c>
      <c r="C39" s="499">
        <v>6505</v>
      </c>
      <c r="D39" s="500">
        <v>42400</v>
      </c>
      <c r="E39" s="500">
        <v>42473</v>
      </c>
      <c r="F39" s="502">
        <v>11562.85</v>
      </c>
    </row>
    <row r="40" spans="1:6" s="503" customFormat="1" ht="33" customHeight="1" outlineLevel="1">
      <c r="A40" s="541" t="s">
        <v>2115</v>
      </c>
      <c r="B40" s="542"/>
      <c r="C40" s="543"/>
      <c r="D40" s="544"/>
      <c r="E40" s="544"/>
      <c r="F40" s="625">
        <f>SUBTOTAL(9,F22:F39)</f>
        <v>147943.38290901724</v>
      </c>
    </row>
    <row r="41" spans="1:6" s="503" customFormat="1" ht="33" customHeight="1" outlineLevel="2">
      <c r="A41" s="498" t="s">
        <v>1924</v>
      </c>
      <c r="B41" s="352" t="s">
        <v>1922</v>
      </c>
      <c r="C41" s="499">
        <v>6745</v>
      </c>
      <c r="D41" s="500">
        <v>42460</v>
      </c>
      <c r="E41" s="500">
        <v>42489</v>
      </c>
      <c r="F41" s="502">
        <v>15008.33</v>
      </c>
    </row>
    <row r="42" spans="1:6" s="503" customFormat="1" ht="33" customHeight="1" outlineLevel="2">
      <c r="A42" s="498" t="s">
        <v>1924</v>
      </c>
      <c r="B42" s="352" t="s">
        <v>1923</v>
      </c>
      <c r="C42" s="499">
        <v>6641</v>
      </c>
      <c r="D42" s="500">
        <v>42429</v>
      </c>
      <c r="E42" s="500">
        <v>42464</v>
      </c>
      <c r="F42" s="502">
        <v>57904.29</v>
      </c>
    </row>
    <row r="43" spans="1:6" s="503" customFormat="1" ht="33" customHeight="1" outlineLevel="1">
      <c r="A43" s="541" t="s">
        <v>2124</v>
      </c>
      <c r="B43" s="542"/>
      <c r="C43" s="543"/>
      <c r="D43" s="544"/>
      <c r="E43" s="544"/>
      <c r="F43" s="625">
        <f>SUBTOTAL(9,F41:F42)</f>
        <v>72912.62</v>
      </c>
    </row>
    <row r="44" spans="1:6" s="503" customFormat="1" ht="33" customHeight="1" outlineLevel="2">
      <c r="A44" s="498" t="s">
        <v>92</v>
      </c>
      <c r="B44" s="352" t="s">
        <v>1922</v>
      </c>
      <c r="C44" s="499">
        <v>6746</v>
      </c>
      <c r="D44" s="500">
        <v>42460</v>
      </c>
      <c r="E44" s="500">
        <v>42489</v>
      </c>
      <c r="F44" s="502">
        <v>11361.99</v>
      </c>
    </row>
    <row r="45" spans="1:6" s="503" customFormat="1" ht="33" customHeight="1" outlineLevel="1">
      <c r="A45" s="541" t="s">
        <v>2125</v>
      </c>
      <c r="B45" s="542"/>
      <c r="C45" s="543"/>
      <c r="D45" s="544"/>
      <c r="E45" s="544"/>
      <c r="F45" s="625">
        <f>SUBTOTAL(9,F44:F44)</f>
        <v>11361.99</v>
      </c>
    </row>
    <row r="46" spans="1:6" s="503" customFormat="1" ht="33" customHeight="1" outlineLevel="2">
      <c r="A46" s="498" t="s">
        <v>93</v>
      </c>
      <c r="B46" s="352" t="s">
        <v>1923</v>
      </c>
      <c r="C46" s="499">
        <v>6642</v>
      </c>
      <c r="D46" s="500">
        <v>42429</v>
      </c>
      <c r="E46" s="500">
        <v>42464</v>
      </c>
      <c r="F46" s="502">
        <v>44920.02</v>
      </c>
    </row>
    <row r="47" spans="1:6" s="503" customFormat="1" ht="33" customHeight="1" outlineLevel="1">
      <c r="A47" s="541" t="s">
        <v>2131</v>
      </c>
      <c r="B47" s="542"/>
      <c r="C47" s="543"/>
      <c r="D47" s="544"/>
      <c r="E47" s="544"/>
      <c r="F47" s="625">
        <f>SUBTOTAL(9,F46:F46)</f>
        <v>44920.02</v>
      </c>
    </row>
    <row r="48" spans="1:6" s="503" customFormat="1" ht="33" customHeight="1" outlineLevel="2">
      <c r="A48" s="498" t="s">
        <v>94</v>
      </c>
      <c r="B48" s="352" t="s">
        <v>2109</v>
      </c>
      <c r="C48" s="499">
        <v>6806</v>
      </c>
      <c r="D48" s="500">
        <v>42460</v>
      </c>
      <c r="E48" s="500">
        <v>42489</v>
      </c>
      <c r="F48" s="502">
        <v>6499.9993419383072</v>
      </c>
    </row>
    <row r="49" spans="1:6" s="503" customFormat="1" ht="33" customHeight="1" outlineLevel="2">
      <c r="A49" s="498" t="s">
        <v>94</v>
      </c>
      <c r="B49" s="352" t="s">
        <v>2110</v>
      </c>
      <c r="C49" s="499">
        <v>6582</v>
      </c>
      <c r="D49" s="500">
        <v>42429</v>
      </c>
      <c r="E49" s="500">
        <v>42461</v>
      </c>
      <c r="F49" s="502">
        <v>9849.2900000000009</v>
      </c>
    </row>
    <row r="50" spans="1:6" s="503" customFormat="1" ht="33" customHeight="1" outlineLevel="2">
      <c r="A50" s="498" t="s">
        <v>94</v>
      </c>
      <c r="B50" s="352" t="s">
        <v>1923</v>
      </c>
      <c r="C50" s="499">
        <v>6636</v>
      </c>
      <c r="D50" s="500">
        <v>42429</v>
      </c>
      <c r="E50" s="500">
        <v>42465</v>
      </c>
      <c r="F50" s="502">
        <v>70942.87</v>
      </c>
    </row>
    <row r="51" spans="1:6" s="503" customFormat="1" ht="33" customHeight="1" outlineLevel="2">
      <c r="A51" s="498" t="s">
        <v>94</v>
      </c>
      <c r="B51" s="352" t="s">
        <v>2109</v>
      </c>
      <c r="C51" s="499">
        <v>6651</v>
      </c>
      <c r="D51" s="500">
        <v>42429</v>
      </c>
      <c r="E51" s="500">
        <v>42489</v>
      </c>
      <c r="F51" s="502">
        <v>100</v>
      </c>
    </row>
    <row r="52" spans="1:6" s="503" customFormat="1" ht="33" customHeight="1" outlineLevel="1">
      <c r="A52" s="541" t="s">
        <v>2128</v>
      </c>
      <c r="B52" s="542"/>
      <c r="C52" s="543"/>
      <c r="D52" s="544"/>
      <c r="E52" s="544"/>
      <c r="F52" s="625">
        <f>SUBTOTAL(9,F48:F51)</f>
        <v>87392.159341938299</v>
      </c>
    </row>
    <row r="53" spans="1:6" s="503" customFormat="1" ht="33" customHeight="1" outlineLevel="2">
      <c r="A53" s="498" t="s">
        <v>96</v>
      </c>
      <c r="B53" s="352" t="s">
        <v>1927</v>
      </c>
      <c r="C53" s="499">
        <v>6785</v>
      </c>
      <c r="D53" s="500">
        <v>42460</v>
      </c>
      <c r="E53" s="500">
        <v>42487</v>
      </c>
      <c r="F53" s="502">
        <v>2514.8000000000002</v>
      </c>
    </row>
    <row r="54" spans="1:6" s="503" customFormat="1" ht="33" customHeight="1" outlineLevel="2">
      <c r="A54" s="498" t="s">
        <v>96</v>
      </c>
      <c r="B54" s="352" t="s">
        <v>2108</v>
      </c>
      <c r="C54" s="499">
        <v>6783</v>
      </c>
      <c r="D54" s="500">
        <v>42460</v>
      </c>
      <c r="E54" s="500">
        <v>42489</v>
      </c>
      <c r="F54" s="502">
        <v>8100</v>
      </c>
    </row>
    <row r="55" spans="1:6" s="503" customFormat="1" ht="33" customHeight="1" outlineLevel="2">
      <c r="A55" s="498" t="s">
        <v>96</v>
      </c>
      <c r="B55" s="352" t="s">
        <v>2749</v>
      </c>
      <c r="C55" s="499">
        <v>6775</v>
      </c>
      <c r="D55" s="500">
        <v>42460</v>
      </c>
      <c r="E55" s="500">
        <v>42489</v>
      </c>
      <c r="F55" s="502">
        <v>154.56104311846053</v>
      </c>
    </row>
    <row r="56" spans="1:6" s="503" customFormat="1" ht="33" customHeight="1" outlineLevel="2">
      <c r="A56" s="498" t="s">
        <v>96</v>
      </c>
      <c r="B56" s="352" t="s">
        <v>1932</v>
      </c>
      <c r="C56" s="499">
        <v>6727</v>
      </c>
      <c r="D56" s="500">
        <v>42460</v>
      </c>
      <c r="E56" s="500">
        <v>42489</v>
      </c>
      <c r="F56" s="502">
        <v>13548.79</v>
      </c>
    </row>
    <row r="57" spans="1:6" s="503" customFormat="1" ht="33" customHeight="1" outlineLevel="2">
      <c r="A57" s="498" t="s">
        <v>96</v>
      </c>
      <c r="B57" s="352" t="s">
        <v>1909</v>
      </c>
      <c r="C57" s="499">
        <v>6647</v>
      </c>
      <c r="D57" s="500">
        <v>42429</v>
      </c>
      <c r="E57" s="500">
        <v>42461</v>
      </c>
      <c r="F57" s="502">
        <v>35651.040000000001</v>
      </c>
    </row>
    <row r="58" spans="1:6" s="503" customFormat="1" ht="33" customHeight="1" outlineLevel="2">
      <c r="A58" s="498" t="s">
        <v>96</v>
      </c>
      <c r="B58" s="352" t="s">
        <v>2110</v>
      </c>
      <c r="C58" s="499">
        <v>6580</v>
      </c>
      <c r="D58" s="500">
        <v>42429</v>
      </c>
      <c r="E58" s="500">
        <v>42461</v>
      </c>
      <c r="F58" s="502">
        <v>5330.97</v>
      </c>
    </row>
    <row r="59" spans="1:6" s="503" customFormat="1" ht="33" customHeight="1" outlineLevel="2">
      <c r="A59" s="498" t="s">
        <v>96</v>
      </c>
      <c r="B59" s="352" t="s">
        <v>1923</v>
      </c>
      <c r="C59" s="499">
        <v>6639</v>
      </c>
      <c r="D59" s="500">
        <v>42429</v>
      </c>
      <c r="E59" s="500">
        <v>42465</v>
      </c>
      <c r="F59" s="502">
        <v>65545.490000000005</v>
      </c>
    </row>
    <row r="60" spans="1:6" s="503" customFormat="1" ht="33" customHeight="1" outlineLevel="1">
      <c r="A60" s="541" t="s">
        <v>2112</v>
      </c>
      <c r="B60" s="542"/>
      <c r="C60" s="543"/>
      <c r="D60" s="544"/>
      <c r="E60" s="544"/>
      <c r="F60" s="625">
        <f>SUBTOTAL(9,F53:F59)</f>
        <v>130845.65104311847</v>
      </c>
    </row>
    <row r="61" spans="1:6" s="503" customFormat="1" ht="33" customHeight="1" outlineLevel="2">
      <c r="A61" s="498" t="s">
        <v>1917</v>
      </c>
      <c r="B61" s="352" t="s">
        <v>1934</v>
      </c>
      <c r="C61" s="499">
        <v>6808</v>
      </c>
      <c r="D61" s="500">
        <v>42460</v>
      </c>
      <c r="E61" s="500">
        <v>42489</v>
      </c>
      <c r="F61" s="502">
        <v>22039.78727258616</v>
      </c>
    </row>
    <row r="62" spans="1:6" s="503" customFormat="1" ht="33" customHeight="1" outlineLevel="1">
      <c r="A62" s="541" t="s">
        <v>2120</v>
      </c>
      <c r="B62" s="542"/>
      <c r="C62" s="543"/>
      <c r="D62" s="544"/>
      <c r="E62" s="544"/>
      <c r="F62" s="625">
        <f>SUBTOTAL(9,F61:F61)</f>
        <v>22039.78727258616</v>
      </c>
    </row>
    <row r="63" spans="1:6" s="503" customFormat="1" ht="33" customHeight="1" outlineLevel="2">
      <c r="A63" s="498" t="s">
        <v>97</v>
      </c>
      <c r="B63" s="352" t="s">
        <v>1923</v>
      </c>
      <c r="C63" s="499">
        <v>6640</v>
      </c>
      <c r="D63" s="500">
        <v>42429</v>
      </c>
      <c r="E63" s="500">
        <v>42465</v>
      </c>
      <c r="F63" s="502">
        <v>83556.22</v>
      </c>
    </row>
    <row r="64" spans="1:6" s="503" customFormat="1" ht="33" customHeight="1" outlineLevel="1">
      <c r="A64" s="541" t="s">
        <v>2129</v>
      </c>
      <c r="B64" s="542"/>
      <c r="C64" s="543"/>
      <c r="D64" s="544"/>
      <c r="E64" s="544"/>
      <c r="F64" s="625">
        <f>SUBTOTAL(9,F63:F63)</f>
        <v>83556.22</v>
      </c>
    </row>
    <row r="65" spans="1:6" s="503" customFormat="1" ht="33" customHeight="1" outlineLevel="2">
      <c r="A65" s="498" t="s">
        <v>98</v>
      </c>
      <c r="B65" s="352" t="s">
        <v>1922</v>
      </c>
      <c r="C65" s="499">
        <v>6741</v>
      </c>
      <c r="D65" s="500">
        <v>42460</v>
      </c>
      <c r="E65" s="500">
        <v>42489</v>
      </c>
      <c r="F65" s="502">
        <v>25387.55</v>
      </c>
    </row>
    <row r="66" spans="1:6" s="503" customFormat="1" ht="33" customHeight="1" outlineLevel="2">
      <c r="A66" s="498" t="s">
        <v>98</v>
      </c>
      <c r="B66" s="352" t="s">
        <v>1923</v>
      </c>
      <c r="C66" s="499">
        <v>6638</v>
      </c>
      <c r="D66" s="500">
        <v>42429</v>
      </c>
      <c r="E66" s="500">
        <v>42465</v>
      </c>
      <c r="F66" s="502">
        <v>71368.17</v>
      </c>
    </row>
    <row r="67" spans="1:6" s="503" customFormat="1" ht="33" customHeight="1" outlineLevel="1">
      <c r="A67" s="541" t="s">
        <v>2123</v>
      </c>
      <c r="B67" s="542"/>
      <c r="C67" s="543"/>
      <c r="D67" s="544"/>
      <c r="E67" s="544"/>
      <c r="F67" s="625">
        <f>SUBTOTAL(9,F65:F66)</f>
        <v>96755.72</v>
      </c>
    </row>
    <row r="68" spans="1:6" s="503" customFormat="1" ht="33" customHeight="1" outlineLevel="2">
      <c r="A68" s="498" t="s">
        <v>99</v>
      </c>
      <c r="B68" s="352" t="s">
        <v>1926</v>
      </c>
      <c r="C68" s="499">
        <v>6809</v>
      </c>
      <c r="D68" s="500">
        <v>42460</v>
      </c>
      <c r="E68" s="500">
        <v>42489</v>
      </c>
      <c r="F68" s="502">
        <v>20742.730047543584</v>
      </c>
    </row>
    <row r="69" spans="1:6" s="503" customFormat="1" ht="33" customHeight="1" outlineLevel="1">
      <c r="A69" s="541" t="s">
        <v>2114</v>
      </c>
      <c r="B69" s="542"/>
      <c r="C69" s="543"/>
      <c r="D69" s="544"/>
      <c r="E69" s="544"/>
      <c r="F69" s="625">
        <f>SUBTOTAL(9,F68:F68)</f>
        <v>20742.730047543584</v>
      </c>
    </row>
    <row r="70" spans="1:6" s="503" customFormat="1" ht="33" customHeight="1" outlineLevel="2">
      <c r="A70" s="498" t="s">
        <v>2719</v>
      </c>
      <c r="B70" s="352" t="s">
        <v>1922</v>
      </c>
      <c r="C70" s="499">
        <v>6748</v>
      </c>
      <c r="D70" s="500">
        <v>42460</v>
      </c>
      <c r="E70" s="500">
        <v>42489</v>
      </c>
      <c r="F70" s="502">
        <v>4278.1499999999996</v>
      </c>
    </row>
    <row r="71" spans="1:6" s="503" customFormat="1" ht="33" customHeight="1" outlineLevel="1">
      <c r="A71" s="541" t="s">
        <v>2750</v>
      </c>
      <c r="B71" s="542"/>
      <c r="C71" s="543"/>
      <c r="D71" s="544"/>
      <c r="E71" s="544"/>
      <c r="F71" s="625">
        <f>SUBTOTAL(9,F70:F70)</f>
        <v>4278.1499999999996</v>
      </c>
    </row>
    <row r="72" spans="1:6" s="503" customFormat="1" ht="33" customHeight="1" outlineLevel="2">
      <c r="A72" s="498" t="s">
        <v>1931</v>
      </c>
      <c r="B72" s="352" t="s">
        <v>1932</v>
      </c>
      <c r="C72" s="499">
        <v>6729</v>
      </c>
      <c r="D72" s="500">
        <v>42460</v>
      </c>
      <c r="E72" s="500">
        <v>42489</v>
      </c>
      <c r="F72" s="502">
        <v>3662</v>
      </c>
    </row>
    <row r="73" spans="1:6" s="503" customFormat="1" ht="33" customHeight="1" outlineLevel="1">
      <c r="A73" s="541" t="s">
        <v>2130</v>
      </c>
      <c r="B73" s="542"/>
      <c r="C73" s="543"/>
      <c r="D73" s="544"/>
      <c r="E73" s="544"/>
      <c r="F73" s="625">
        <f>SUBTOTAL(9,F72:F72)</f>
        <v>3662</v>
      </c>
    </row>
    <row r="74" spans="1:6" s="503" customFormat="1" ht="33" customHeight="1" outlineLevel="2">
      <c r="A74" s="498" t="s">
        <v>101</v>
      </c>
      <c r="B74" s="352" t="s">
        <v>1927</v>
      </c>
      <c r="C74" s="499">
        <v>6784</v>
      </c>
      <c r="D74" s="500">
        <v>42460</v>
      </c>
      <c r="E74" s="500">
        <v>42487</v>
      </c>
      <c r="F74" s="502">
        <v>4694.43</v>
      </c>
    </row>
    <row r="75" spans="1:6" s="503" customFormat="1" ht="33" customHeight="1" outlineLevel="2">
      <c r="A75" s="498" t="s">
        <v>101</v>
      </c>
      <c r="B75" s="352" t="s">
        <v>1929</v>
      </c>
      <c r="C75" s="499">
        <v>6788</v>
      </c>
      <c r="D75" s="500">
        <v>42460</v>
      </c>
      <c r="E75" s="500">
        <v>42489</v>
      </c>
      <c r="F75" s="502">
        <v>9057.18</v>
      </c>
    </row>
    <row r="76" spans="1:6" s="503" customFormat="1" ht="33" customHeight="1" outlineLevel="2">
      <c r="A76" s="498" t="s">
        <v>101</v>
      </c>
      <c r="B76" s="352" t="s">
        <v>2108</v>
      </c>
      <c r="C76" s="499">
        <v>6781</v>
      </c>
      <c r="D76" s="500">
        <v>42460</v>
      </c>
      <c r="E76" s="500">
        <v>42489</v>
      </c>
      <c r="F76" s="502">
        <v>10800</v>
      </c>
    </row>
    <row r="77" spans="1:6" s="503" customFormat="1" ht="33" customHeight="1" outlineLevel="2">
      <c r="A77" s="498" t="s">
        <v>101</v>
      </c>
      <c r="B77" s="352" t="s">
        <v>1932</v>
      </c>
      <c r="C77" s="499">
        <v>6725</v>
      </c>
      <c r="D77" s="500">
        <v>42460</v>
      </c>
      <c r="E77" s="500">
        <v>42489</v>
      </c>
      <c r="F77" s="502">
        <v>37873.49</v>
      </c>
    </row>
    <row r="78" spans="1:6" s="503" customFormat="1" ht="33" customHeight="1" outlineLevel="2">
      <c r="A78" s="498" t="s">
        <v>101</v>
      </c>
      <c r="B78" s="352" t="s">
        <v>2110</v>
      </c>
      <c r="C78" s="499">
        <v>6578</v>
      </c>
      <c r="D78" s="500">
        <v>42429</v>
      </c>
      <c r="E78" s="500">
        <v>42461</v>
      </c>
      <c r="F78" s="502">
        <v>16772.22</v>
      </c>
    </row>
    <row r="79" spans="1:6" s="503" customFormat="1" ht="33" customHeight="1" outlineLevel="1">
      <c r="A79" s="541" t="s">
        <v>2111</v>
      </c>
      <c r="B79" s="542"/>
      <c r="C79" s="543"/>
      <c r="D79" s="544"/>
      <c r="E79" s="544"/>
      <c r="F79" s="625">
        <f>SUBTOTAL(9,F74:F78)</f>
        <v>79197.320000000007</v>
      </c>
    </row>
    <row r="80" spans="1:6" s="503" customFormat="1" ht="33" customHeight="1" outlineLevel="2">
      <c r="A80" s="498" t="s">
        <v>103</v>
      </c>
      <c r="B80" s="352" t="s">
        <v>1927</v>
      </c>
      <c r="C80" s="499">
        <v>6786</v>
      </c>
      <c r="D80" s="500">
        <v>42460</v>
      </c>
      <c r="E80" s="500">
        <v>42487</v>
      </c>
      <c r="F80" s="502">
        <v>2864.3668017378777</v>
      </c>
    </row>
    <row r="81" spans="1:6" s="503" customFormat="1" ht="33" customHeight="1" outlineLevel="2">
      <c r="A81" s="498" t="s">
        <v>103</v>
      </c>
      <c r="B81" s="352" t="s">
        <v>1928</v>
      </c>
      <c r="C81" s="499">
        <v>6803</v>
      </c>
      <c r="D81" s="500">
        <v>42460</v>
      </c>
      <c r="E81" s="500">
        <v>42489</v>
      </c>
      <c r="F81" s="502">
        <v>8893.7051439589104</v>
      </c>
    </row>
    <row r="82" spans="1:6" s="503" customFormat="1" ht="33" customHeight="1" outlineLevel="2">
      <c r="A82" s="498" t="s">
        <v>103</v>
      </c>
      <c r="B82" s="352" t="s">
        <v>1930</v>
      </c>
      <c r="C82" s="499">
        <v>6811</v>
      </c>
      <c r="D82" s="500">
        <v>42460</v>
      </c>
      <c r="E82" s="500">
        <v>42489</v>
      </c>
      <c r="F82" s="502">
        <v>675.09109970962163</v>
      </c>
    </row>
    <row r="83" spans="1:6" s="503" customFormat="1" ht="33" customHeight="1" outlineLevel="2">
      <c r="A83" s="498" t="s">
        <v>103</v>
      </c>
      <c r="B83" s="352" t="s">
        <v>1932</v>
      </c>
      <c r="C83" s="499">
        <v>6728</v>
      </c>
      <c r="D83" s="500">
        <v>42460</v>
      </c>
      <c r="E83" s="500">
        <v>42489</v>
      </c>
      <c r="F83" s="502">
        <v>11782.86</v>
      </c>
    </row>
    <row r="84" spans="1:6" s="503" customFormat="1" ht="33" customHeight="1" outlineLevel="2">
      <c r="A84" s="498" t="s">
        <v>103</v>
      </c>
      <c r="B84" s="352" t="s">
        <v>2110</v>
      </c>
      <c r="C84" s="499">
        <v>6581</v>
      </c>
      <c r="D84" s="500">
        <v>42429</v>
      </c>
      <c r="E84" s="500">
        <v>42461</v>
      </c>
      <c r="F84" s="502">
        <v>2954.12</v>
      </c>
    </row>
    <row r="85" spans="1:6" s="503" customFormat="1" ht="33" customHeight="1" outlineLevel="2">
      <c r="A85" s="498" t="s">
        <v>103</v>
      </c>
      <c r="B85" s="352" t="s">
        <v>1923</v>
      </c>
      <c r="C85" s="499">
        <v>6637</v>
      </c>
      <c r="D85" s="500">
        <v>42429</v>
      </c>
      <c r="E85" s="500">
        <v>42465</v>
      </c>
      <c r="F85" s="502">
        <v>53687.94</v>
      </c>
    </row>
    <row r="86" spans="1:6" s="503" customFormat="1" ht="33" customHeight="1" outlineLevel="1">
      <c r="A86" s="541" t="s">
        <v>2113</v>
      </c>
      <c r="B86" s="542"/>
      <c r="C86" s="543"/>
      <c r="D86" s="544"/>
      <c r="E86" s="544"/>
      <c r="F86" s="625">
        <f>SUBTOTAL(9,F80:F85)</f>
        <v>80858.083045406413</v>
      </c>
    </row>
    <row r="87" spans="1:6" s="503" customFormat="1" ht="33" customHeight="1" outlineLevel="2">
      <c r="A87" s="498" t="s">
        <v>105</v>
      </c>
      <c r="B87" s="352" t="s">
        <v>1925</v>
      </c>
      <c r="C87" s="499">
        <v>6812</v>
      </c>
      <c r="D87" s="500">
        <v>42460</v>
      </c>
      <c r="E87" s="500">
        <v>42489</v>
      </c>
      <c r="F87" s="502">
        <v>3563.9337615939148</v>
      </c>
    </row>
    <row r="88" spans="1:6" s="503" customFormat="1" ht="33" customHeight="1" outlineLevel="1">
      <c r="A88" s="541" t="s">
        <v>2121</v>
      </c>
      <c r="B88" s="542"/>
      <c r="C88" s="543"/>
      <c r="D88" s="544"/>
      <c r="E88" s="544"/>
      <c r="F88" s="625">
        <f>SUBTOTAL(9,F87:F87)</f>
        <v>3563.9337615939148</v>
      </c>
    </row>
    <row r="89" spans="1:6" s="503" customFormat="1" ht="33" customHeight="1" outlineLevel="2">
      <c r="A89" s="498" t="s">
        <v>104</v>
      </c>
      <c r="B89" s="352" t="s">
        <v>1922</v>
      </c>
      <c r="C89" s="499">
        <v>6737</v>
      </c>
      <c r="D89" s="500">
        <v>42460</v>
      </c>
      <c r="E89" s="500">
        <v>42489</v>
      </c>
      <c r="F89" s="502">
        <v>7610.96</v>
      </c>
    </row>
    <row r="90" spans="1:6" s="503" customFormat="1" ht="33" customHeight="1" outlineLevel="2">
      <c r="A90" s="498" t="s">
        <v>104</v>
      </c>
      <c r="B90" s="352" t="s">
        <v>2047</v>
      </c>
      <c r="C90" s="642">
        <v>5193</v>
      </c>
      <c r="D90" s="500">
        <v>42124</v>
      </c>
      <c r="E90" s="500">
        <v>42461</v>
      </c>
      <c r="F90" s="502">
        <f>6537.81-2107.11-2454.43</f>
        <v>1976.2700000000009</v>
      </c>
    </row>
    <row r="91" spans="1:6" s="503" customFormat="1" ht="33" customHeight="1" outlineLevel="2">
      <c r="A91" s="498" t="s">
        <v>104</v>
      </c>
      <c r="B91" s="352" t="s">
        <v>2047</v>
      </c>
      <c r="C91" s="642">
        <v>6246</v>
      </c>
      <c r="D91" s="500">
        <v>42398</v>
      </c>
      <c r="E91" s="500">
        <v>42461</v>
      </c>
      <c r="F91" s="502">
        <f>9446.1-1976.27-2908.29</f>
        <v>4561.54</v>
      </c>
    </row>
    <row r="92" spans="1:6" s="503" customFormat="1" ht="33" customHeight="1" outlineLevel="2">
      <c r="A92" s="498" t="s">
        <v>104</v>
      </c>
      <c r="B92" s="352" t="s">
        <v>2110</v>
      </c>
      <c r="C92" s="499">
        <v>6579</v>
      </c>
      <c r="D92" s="500">
        <v>42429</v>
      </c>
      <c r="E92" s="500">
        <v>42461</v>
      </c>
      <c r="F92" s="502">
        <v>10572.89</v>
      </c>
    </row>
    <row r="93" spans="1:6" s="503" customFormat="1" ht="33" customHeight="1" outlineLevel="2">
      <c r="A93" s="498" t="s">
        <v>104</v>
      </c>
      <c r="B93" s="352" t="s">
        <v>2047</v>
      </c>
      <c r="C93" s="499">
        <v>6246</v>
      </c>
      <c r="D93" s="500">
        <v>42369</v>
      </c>
      <c r="E93" s="500">
        <v>42468</v>
      </c>
      <c r="F93" s="502">
        <f>9446.1</f>
        <v>9446.1</v>
      </c>
    </row>
    <row r="94" spans="1:6" s="503" customFormat="1" ht="33" customHeight="1" outlineLevel="1">
      <c r="A94" s="541" t="s">
        <v>2122</v>
      </c>
      <c r="B94" s="542"/>
      <c r="C94" s="543"/>
      <c r="D94" s="544"/>
      <c r="E94" s="544"/>
      <c r="F94" s="625">
        <f>SUBTOTAL(9,F89:F93)</f>
        <v>34167.760000000002</v>
      </c>
    </row>
    <row r="95" spans="1:6" s="503" customFormat="1" ht="33" customHeight="1" outlineLevel="2">
      <c r="A95" s="498" t="s">
        <v>106</v>
      </c>
      <c r="B95" s="352" t="s">
        <v>2108</v>
      </c>
      <c r="C95" s="499">
        <v>6782</v>
      </c>
      <c r="D95" s="500">
        <v>42460</v>
      </c>
      <c r="E95" s="500">
        <v>42489</v>
      </c>
      <c r="F95" s="502">
        <v>11100</v>
      </c>
    </row>
    <row r="96" spans="1:6" s="503" customFormat="1" ht="33" customHeight="1" outlineLevel="2">
      <c r="A96" s="498" t="s">
        <v>106</v>
      </c>
      <c r="B96" s="352" t="s">
        <v>1922</v>
      </c>
      <c r="C96" s="499">
        <v>6738</v>
      </c>
      <c r="D96" s="500">
        <v>42460</v>
      </c>
      <c r="E96" s="500">
        <v>42489</v>
      </c>
      <c r="F96" s="502">
        <v>12310.18</v>
      </c>
    </row>
    <row r="97" spans="1:8" s="503" customFormat="1" ht="33" customHeight="1" outlineLevel="2">
      <c r="A97" s="498" t="s">
        <v>106</v>
      </c>
      <c r="B97" s="352" t="s">
        <v>1932</v>
      </c>
      <c r="C97" s="499">
        <v>6726</v>
      </c>
      <c r="D97" s="500">
        <v>42460</v>
      </c>
      <c r="E97" s="500">
        <v>42489</v>
      </c>
      <c r="F97" s="502">
        <v>14028.1</v>
      </c>
    </row>
    <row r="98" spans="1:8" s="503" customFormat="1" ht="33" customHeight="1" outlineLevel="1">
      <c r="A98" s="541" t="s">
        <v>2118</v>
      </c>
      <c r="B98" s="542"/>
      <c r="C98" s="543"/>
      <c r="D98" s="544"/>
      <c r="E98" s="544"/>
      <c r="F98" s="625">
        <f>SUBTOTAL(9,F95:F97)</f>
        <v>37438.28</v>
      </c>
    </row>
    <row r="99" spans="1:8" s="503" customFormat="1" ht="33" customHeight="1" outlineLevel="2">
      <c r="A99" s="498" t="s">
        <v>108</v>
      </c>
      <c r="B99" s="352" t="s">
        <v>1922</v>
      </c>
      <c r="C99" s="499">
        <v>6749</v>
      </c>
      <c r="D99" s="500">
        <v>42460</v>
      </c>
      <c r="E99" s="500">
        <v>42489</v>
      </c>
      <c r="F99" s="502">
        <v>5892.93</v>
      </c>
    </row>
    <row r="100" spans="1:8" s="503" customFormat="1" ht="33" customHeight="1" outlineLevel="1">
      <c r="A100" s="889" t="s">
        <v>2126</v>
      </c>
      <c r="B100" s="890"/>
      <c r="C100" s="891"/>
      <c r="D100" s="892"/>
      <c r="E100" s="892"/>
      <c r="F100" s="893">
        <f>SUBTOTAL(9,F99:F99)</f>
        <v>5892.93</v>
      </c>
    </row>
    <row r="101" spans="1:8" s="503" customFormat="1" ht="33" customHeight="1">
      <c r="A101" s="545" t="s">
        <v>2516</v>
      </c>
      <c r="B101" s="546"/>
      <c r="C101" s="547"/>
      <c r="D101" s="548"/>
      <c r="E101" s="548"/>
      <c r="F101" s="549">
        <f>SUM(F100,F98,F94,F88,F86,F79,F73,F71,F69,F67,F64,F62,F60,F52,F47,F45,F43,F40,F21,F9,F7)</f>
        <v>1181477.0718300061</v>
      </c>
    </row>
    <row r="102" spans="1:8" s="503" customFormat="1" ht="33" customHeight="1">
      <c r="A102" s="498" t="s">
        <v>2048</v>
      </c>
      <c r="B102" s="352" t="s">
        <v>2049</v>
      </c>
      <c r="C102" s="499"/>
      <c r="D102" s="500"/>
      <c r="E102" s="501"/>
      <c r="F102" s="502">
        <v>31.88</v>
      </c>
    </row>
    <row r="103" spans="1:8" s="503" customFormat="1" ht="33" customHeight="1">
      <c r="A103" s="498" t="s">
        <v>2048</v>
      </c>
      <c r="B103" s="352" t="s">
        <v>2049</v>
      </c>
      <c r="C103" s="499"/>
      <c r="D103" s="500"/>
      <c r="E103" s="501"/>
      <c r="F103" s="502">
        <f>31.88</f>
        <v>31.88</v>
      </c>
    </row>
    <row r="104" spans="1:8" s="503" customFormat="1" ht="33" customHeight="1">
      <c r="A104" s="498" t="s">
        <v>2048</v>
      </c>
      <c r="B104" s="352" t="s">
        <v>2049</v>
      </c>
      <c r="C104" s="499"/>
      <c r="D104" s="500"/>
      <c r="E104" s="501"/>
      <c r="F104" s="502">
        <f>235.88</f>
        <v>235.88</v>
      </c>
    </row>
    <row r="105" spans="1:8" s="626" customFormat="1" ht="27" customHeight="1">
      <c r="A105" s="545" t="s">
        <v>2515</v>
      </c>
      <c r="B105" s="546"/>
      <c r="C105" s="547"/>
      <c r="D105" s="548"/>
      <c r="E105" s="548"/>
      <c r="F105" s="549">
        <f>SUM(F102:F104)</f>
        <v>299.64</v>
      </c>
      <c r="H105" s="627"/>
    </row>
    <row r="106" spans="1:8" ht="18" customHeight="1">
      <c r="A106" s="550"/>
      <c r="B106" s="187"/>
      <c r="C106" s="200"/>
      <c r="D106" s="551"/>
      <c r="E106" s="628"/>
      <c r="F106" s="233"/>
    </row>
    <row r="107" spans="1:8" s="626" customFormat="1" ht="27" customHeight="1">
      <c r="A107" s="545" t="s">
        <v>2747</v>
      </c>
      <c r="B107" s="546"/>
      <c r="C107" s="547"/>
      <c r="D107" s="548"/>
      <c r="E107" s="548"/>
      <c r="F107" s="549">
        <f>F101+F105</f>
        <v>1181776.711830006</v>
      </c>
      <c r="H107" s="627"/>
    </row>
    <row r="108" spans="1:8" ht="18" hidden="1" customHeight="1">
      <c r="D108" s="631"/>
      <c r="E108" s="633"/>
      <c r="F108" s="634">
        <v>1251142.96</v>
      </c>
    </row>
    <row r="109" spans="1:8" s="629" customFormat="1" ht="18" hidden="1" customHeight="1">
      <c r="A109" s="631"/>
      <c r="B109" s="631"/>
      <c r="C109" s="632"/>
      <c r="D109" s="631"/>
      <c r="E109" s="633"/>
      <c r="F109" s="634">
        <f>F108-F101</f>
        <v>69665.888169993879</v>
      </c>
      <c r="H109" s="635"/>
    </row>
    <row r="110" spans="1:8" s="629" customFormat="1" ht="18" hidden="1" customHeight="1">
      <c r="A110" s="631"/>
      <c r="B110" s="631"/>
      <c r="C110" s="632"/>
      <c r="D110" s="636"/>
      <c r="E110" s="637"/>
      <c r="F110" s="638"/>
      <c r="H110" s="635"/>
    </row>
    <row r="111" spans="1:8" s="639" customFormat="1" ht="18" customHeight="1">
      <c r="B111" s="640"/>
      <c r="C111" s="641"/>
      <c r="D111" s="642"/>
      <c r="H111" s="643"/>
    </row>
    <row r="112" spans="1:8" s="639" customFormat="1" ht="18" customHeight="1">
      <c r="B112" s="640"/>
      <c r="C112" s="641"/>
      <c r="D112" s="642"/>
      <c r="E112" s="644"/>
      <c r="F112" s="645"/>
      <c r="H112" s="643"/>
    </row>
    <row r="113" spans="1:8" s="629" customFormat="1">
      <c r="A113" s="631"/>
      <c r="B113" s="631"/>
      <c r="C113" s="641"/>
      <c r="D113" s="642"/>
      <c r="E113" s="646"/>
      <c r="F113" s="647"/>
      <c r="H113" s="635"/>
    </row>
    <row r="114" spans="1:8" ht="18" customHeight="1">
      <c r="C114" s="631"/>
      <c r="D114" s="642"/>
      <c r="E114" s="633"/>
      <c r="F114" s="634"/>
    </row>
    <row r="115" spans="1:8" ht="18" customHeight="1">
      <c r="C115" s="631"/>
      <c r="D115" s="642"/>
      <c r="E115" s="633"/>
      <c r="F115" s="634"/>
    </row>
    <row r="116" spans="1:8" ht="18" customHeight="1">
      <c r="C116" s="631"/>
      <c r="D116" s="642"/>
      <c r="E116" s="633"/>
      <c r="F116" s="634"/>
    </row>
    <row r="117" spans="1:8" ht="18" customHeight="1">
      <c r="C117" s="631"/>
      <c r="D117" s="642"/>
      <c r="E117" s="633"/>
      <c r="F117" s="634"/>
    </row>
    <row r="118" spans="1:8" ht="18" customHeight="1">
      <c r="C118" s="631"/>
      <c r="D118" s="642"/>
    </row>
    <row r="119" spans="1:8" ht="18" customHeight="1">
      <c r="C119" s="631"/>
      <c r="D119" s="642"/>
      <c r="E119" s="633"/>
      <c r="F119" s="634"/>
    </row>
    <row r="120" spans="1:8" ht="18" customHeight="1">
      <c r="C120" s="631"/>
      <c r="D120" s="642"/>
      <c r="E120" s="645"/>
      <c r="F120" s="649"/>
    </row>
    <row r="121" spans="1:8" ht="18" customHeight="1">
      <c r="C121" s="631"/>
      <c r="D121" s="631"/>
      <c r="E121" s="633"/>
      <c r="F121" s="634"/>
    </row>
    <row r="122" spans="1:8" ht="18" customHeight="1">
      <c r="C122" s="631"/>
      <c r="D122" s="631"/>
      <c r="E122" s="633"/>
      <c r="F122" s="634"/>
    </row>
    <row r="123" spans="1:8" ht="18" customHeight="1">
      <c r="C123" s="631"/>
      <c r="D123" s="631"/>
      <c r="E123" s="633"/>
      <c r="F123" s="634"/>
    </row>
    <row r="124" spans="1:8" ht="18" customHeight="1">
      <c r="C124" s="631"/>
      <c r="D124" s="631"/>
      <c r="E124" s="633"/>
      <c r="F124" s="634"/>
    </row>
    <row r="125" spans="1:8" ht="18" customHeight="1">
      <c r="C125" s="631"/>
      <c r="D125" s="631"/>
      <c r="E125" s="633"/>
      <c r="F125" s="650"/>
    </row>
    <row r="126" spans="1:8" ht="18" customHeight="1">
      <c r="C126" s="631"/>
      <c r="D126" s="631"/>
      <c r="E126" s="633"/>
      <c r="F126" s="650"/>
    </row>
    <row r="127" spans="1:8" ht="18" customHeight="1">
      <c r="C127" s="631"/>
      <c r="D127" s="631"/>
      <c r="E127" s="633"/>
      <c r="F127" s="650"/>
    </row>
    <row r="128" spans="1:8" ht="18" customHeight="1">
      <c r="C128" s="631"/>
      <c r="D128" s="631"/>
      <c r="E128" s="633"/>
      <c r="F128" s="650"/>
    </row>
    <row r="129" spans="3:6" ht="18" customHeight="1">
      <c r="C129" s="631"/>
      <c r="D129" s="631"/>
      <c r="E129" s="633"/>
      <c r="F129" s="650"/>
    </row>
    <row r="130" spans="3:6" ht="18" customHeight="1">
      <c r="C130" s="631"/>
      <c r="D130" s="631"/>
      <c r="E130" s="633"/>
      <c r="F130" s="650"/>
    </row>
    <row r="131" spans="3:6" ht="18" customHeight="1">
      <c r="C131" s="631"/>
      <c r="D131" s="631"/>
      <c r="E131" s="633"/>
      <c r="F131" s="650"/>
    </row>
    <row r="132" spans="3:6" ht="18" customHeight="1">
      <c r="C132" s="631"/>
      <c r="D132" s="631"/>
      <c r="E132" s="633"/>
      <c r="F132" s="650"/>
    </row>
    <row r="133" spans="3:6" ht="18" customHeight="1">
      <c r="C133" s="631"/>
      <c r="D133" s="631"/>
      <c r="E133" s="633"/>
      <c r="F133" s="650"/>
    </row>
    <row r="134" spans="3:6" ht="18" customHeight="1">
      <c r="C134" s="631"/>
      <c r="D134" s="631"/>
      <c r="E134" s="633"/>
      <c r="F134" s="650"/>
    </row>
    <row r="135" spans="3:6" ht="18" customHeight="1">
      <c r="C135" s="631"/>
      <c r="D135" s="631"/>
      <c r="E135" s="633"/>
      <c r="F135" s="650"/>
    </row>
    <row r="136" spans="3:6" ht="18" customHeight="1">
      <c r="C136" s="631"/>
      <c r="D136" s="631"/>
      <c r="E136" s="633"/>
      <c r="F136" s="650"/>
    </row>
    <row r="137" spans="3:6" ht="18" customHeight="1">
      <c r="C137" s="631"/>
      <c r="D137" s="631"/>
      <c r="E137" s="633"/>
      <c r="F137" s="650"/>
    </row>
    <row r="138" spans="3:6" ht="18" customHeight="1">
      <c r="C138" s="631"/>
      <c r="D138" s="631"/>
      <c r="E138" s="633"/>
      <c r="F138" s="650"/>
    </row>
    <row r="139" spans="3:6" ht="18" customHeight="1">
      <c r="C139" s="631"/>
      <c r="D139" s="631"/>
      <c r="E139" s="633"/>
      <c r="F139" s="650"/>
    </row>
    <row r="140" spans="3:6" ht="18" customHeight="1">
      <c r="C140" s="631"/>
      <c r="D140" s="631"/>
      <c r="E140" s="633"/>
      <c r="F140" s="650"/>
    </row>
    <row r="141" spans="3:6" ht="18" customHeight="1">
      <c r="C141" s="631"/>
      <c r="D141" s="631"/>
      <c r="E141" s="633"/>
      <c r="F141" s="650"/>
    </row>
    <row r="142" spans="3:6" ht="18" customHeight="1">
      <c r="C142" s="631"/>
      <c r="D142" s="631"/>
      <c r="E142" s="633"/>
      <c r="F142" s="650"/>
    </row>
    <row r="143" spans="3:6" ht="18" customHeight="1">
      <c r="C143" s="631"/>
      <c r="D143" s="631"/>
      <c r="E143" s="633"/>
      <c r="F143" s="650"/>
    </row>
    <row r="144" spans="3:6" ht="18" customHeight="1">
      <c r="C144" s="631"/>
      <c r="D144" s="631"/>
      <c r="E144" s="633"/>
      <c r="F144" s="650"/>
    </row>
    <row r="145" spans="3:6" ht="18" customHeight="1">
      <c r="C145" s="631"/>
      <c r="D145" s="631"/>
      <c r="E145" s="633"/>
      <c r="F145" s="650"/>
    </row>
    <row r="146" spans="3:6" ht="18" customHeight="1">
      <c r="C146" s="631"/>
      <c r="D146" s="631"/>
      <c r="E146" s="633"/>
      <c r="F146" s="650"/>
    </row>
    <row r="147" spans="3:6" ht="18" customHeight="1">
      <c r="C147" s="631"/>
      <c r="D147" s="631"/>
      <c r="E147" s="633"/>
      <c r="F147" s="650"/>
    </row>
    <row r="148" spans="3:6" ht="18" customHeight="1">
      <c r="C148" s="631"/>
      <c r="D148" s="631"/>
      <c r="E148" s="633"/>
      <c r="F148" s="650"/>
    </row>
    <row r="149" spans="3:6" ht="18" customHeight="1">
      <c r="C149" s="631"/>
      <c r="D149" s="631"/>
      <c r="E149" s="633"/>
      <c r="F149" s="650"/>
    </row>
    <row r="150" spans="3:6" ht="18" customHeight="1">
      <c r="C150" s="631"/>
      <c r="D150" s="631"/>
      <c r="E150" s="633"/>
      <c r="F150" s="650"/>
    </row>
    <row r="151" spans="3:6" ht="18" customHeight="1">
      <c r="C151" s="631"/>
      <c r="D151" s="631"/>
      <c r="E151" s="633"/>
      <c r="F151" s="650"/>
    </row>
    <row r="152" spans="3:6" ht="18" customHeight="1">
      <c r="C152" s="631"/>
      <c r="D152" s="631"/>
      <c r="E152" s="633"/>
      <c r="F152" s="650"/>
    </row>
    <row r="153" spans="3:6" ht="18" customHeight="1">
      <c r="C153" s="631"/>
      <c r="D153" s="631"/>
      <c r="E153" s="633"/>
      <c r="F153" s="650"/>
    </row>
    <row r="154" spans="3:6" ht="18" customHeight="1">
      <c r="C154" s="631"/>
      <c r="D154" s="631"/>
      <c r="E154" s="633"/>
      <c r="F154" s="650"/>
    </row>
    <row r="155" spans="3:6" ht="18" customHeight="1">
      <c r="C155" s="631"/>
      <c r="D155" s="631"/>
      <c r="E155" s="633"/>
      <c r="F155" s="650"/>
    </row>
    <row r="156" spans="3:6" ht="18" customHeight="1">
      <c r="C156" s="631"/>
      <c r="D156" s="631"/>
      <c r="E156" s="633"/>
      <c r="F156" s="650"/>
    </row>
    <row r="157" spans="3:6" ht="18" customHeight="1">
      <c r="C157" s="631"/>
      <c r="D157" s="631"/>
      <c r="E157" s="633"/>
      <c r="F157" s="650"/>
    </row>
    <row r="158" spans="3:6" ht="18" customHeight="1">
      <c r="C158" s="631"/>
      <c r="D158" s="631"/>
      <c r="E158" s="633"/>
      <c r="F158" s="650"/>
    </row>
    <row r="159" spans="3:6" ht="18" customHeight="1">
      <c r="C159" s="631"/>
      <c r="D159" s="631"/>
      <c r="E159" s="633"/>
      <c r="F159" s="650"/>
    </row>
    <row r="160" spans="3:6" ht="18" customHeight="1">
      <c r="C160" s="631"/>
      <c r="D160" s="631"/>
      <c r="E160" s="633"/>
      <c r="F160" s="650"/>
    </row>
    <row r="161" spans="3:6" ht="18" customHeight="1">
      <c r="C161" s="631"/>
      <c r="D161" s="631"/>
      <c r="E161" s="633"/>
      <c r="F161" s="650"/>
    </row>
    <row r="162" spans="3:6" ht="18" customHeight="1">
      <c r="C162" s="631"/>
      <c r="D162" s="631"/>
      <c r="E162" s="633"/>
      <c r="F162" s="650"/>
    </row>
    <row r="163" spans="3:6" ht="18" customHeight="1">
      <c r="C163" s="631"/>
      <c r="D163" s="631"/>
      <c r="E163" s="633"/>
      <c r="F163" s="650"/>
    </row>
    <row r="164" spans="3:6" ht="18" customHeight="1">
      <c r="C164" s="631"/>
      <c r="D164" s="631"/>
      <c r="E164" s="633"/>
      <c r="F164" s="650"/>
    </row>
    <row r="165" spans="3:6" ht="18" customHeight="1">
      <c r="C165" s="631"/>
      <c r="D165" s="631"/>
      <c r="E165" s="633"/>
      <c r="F165" s="650"/>
    </row>
    <row r="166" spans="3:6" ht="18" customHeight="1">
      <c r="C166" s="631"/>
      <c r="D166" s="631"/>
      <c r="E166" s="633"/>
      <c r="F166" s="650"/>
    </row>
    <row r="167" spans="3:6" ht="18" customHeight="1">
      <c r="C167" s="631"/>
      <c r="D167" s="631"/>
      <c r="E167" s="633"/>
      <c r="F167" s="650"/>
    </row>
    <row r="168" spans="3:6" ht="18" customHeight="1">
      <c r="C168" s="631"/>
      <c r="D168" s="631"/>
      <c r="E168" s="633"/>
      <c r="F168" s="650"/>
    </row>
    <row r="169" spans="3:6" ht="18" customHeight="1">
      <c r="C169" s="631"/>
      <c r="D169" s="631"/>
      <c r="E169" s="633"/>
      <c r="F169" s="650"/>
    </row>
    <row r="170" spans="3:6" ht="18" customHeight="1">
      <c r="C170" s="631"/>
      <c r="D170" s="631"/>
      <c r="E170" s="633"/>
      <c r="F170" s="650"/>
    </row>
    <row r="171" spans="3:6" ht="18" customHeight="1">
      <c r="C171" s="631"/>
      <c r="D171" s="631"/>
      <c r="E171" s="633"/>
      <c r="F171" s="650"/>
    </row>
    <row r="172" spans="3:6" ht="18" customHeight="1">
      <c r="C172" s="631"/>
      <c r="D172" s="631"/>
      <c r="E172" s="633"/>
      <c r="F172" s="650"/>
    </row>
    <row r="173" spans="3:6" ht="18" customHeight="1">
      <c r="C173" s="631"/>
      <c r="D173" s="631"/>
      <c r="E173" s="633"/>
      <c r="F173" s="650"/>
    </row>
    <row r="174" spans="3:6" ht="18" customHeight="1">
      <c r="C174" s="631"/>
      <c r="D174" s="631"/>
      <c r="E174" s="633"/>
      <c r="F174" s="650"/>
    </row>
    <row r="175" spans="3:6" ht="18" customHeight="1">
      <c r="C175" s="631"/>
      <c r="D175" s="631"/>
      <c r="E175" s="633"/>
      <c r="F175" s="650"/>
    </row>
    <row r="176" spans="3:6" ht="18" customHeight="1">
      <c r="C176" s="631"/>
      <c r="D176" s="631"/>
      <c r="E176" s="633"/>
      <c r="F176" s="650"/>
    </row>
    <row r="177" spans="3:6" ht="18" customHeight="1">
      <c r="C177" s="631"/>
      <c r="D177" s="631"/>
      <c r="E177" s="633"/>
      <c r="F177" s="650"/>
    </row>
    <row r="178" spans="3:6" ht="18" customHeight="1">
      <c r="C178" s="631"/>
      <c r="D178" s="631"/>
      <c r="E178" s="633"/>
      <c r="F178" s="650"/>
    </row>
    <row r="179" spans="3:6" ht="18" customHeight="1">
      <c r="C179" s="631"/>
      <c r="D179" s="631"/>
      <c r="E179" s="633"/>
      <c r="F179" s="650"/>
    </row>
    <row r="180" spans="3:6" ht="18" customHeight="1">
      <c r="C180" s="631"/>
      <c r="D180" s="631"/>
      <c r="E180" s="633"/>
      <c r="F180" s="650"/>
    </row>
    <row r="181" spans="3:6" ht="18" customHeight="1">
      <c r="C181" s="631"/>
      <c r="D181" s="631"/>
      <c r="E181" s="633"/>
      <c r="F181" s="650"/>
    </row>
    <row r="182" spans="3:6" ht="18" customHeight="1">
      <c r="C182" s="631"/>
      <c r="D182" s="631"/>
      <c r="E182" s="633"/>
      <c r="F182" s="650"/>
    </row>
    <row r="183" spans="3:6" ht="18" customHeight="1">
      <c r="C183" s="631"/>
      <c r="D183" s="631"/>
      <c r="E183" s="633"/>
      <c r="F183" s="650"/>
    </row>
    <row r="184" spans="3:6" ht="18" customHeight="1">
      <c r="C184" s="631"/>
      <c r="D184" s="631"/>
      <c r="E184" s="633"/>
      <c r="F184" s="650"/>
    </row>
    <row r="185" spans="3:6" ht="18" customHeight="1">
      <c r="C185" s="631"/>
      <c r="D185" s="631"/>
      <c r="E185" s="633"/>
      <c r="F185" s="650"/>
    </row>
    <row r="186" spans="3:6" ht="18" customHeight="1">
      <c r="C186" s="631"/>
      <c r="D186" s="631"/>
      <c r="E186" s="633"/>
      <c r="F186" s="650"/>
    </row>
    <row r="187" spans="3:6" ht="18" customHeight="1">
      <c r="C187" s="631"/>
      <c r="D187" s="631"/>
      <c r="E187" s="633"/>
      <c r="F187" s="650"/>
    </row>
    <row r="188" spans="3:6" ht="18" customHeight="1">
      <c r="C188" s="631"/>
      <c r="D188" s="631"/>
      <c r="E188" s="633"/>
      <c r="F188" s="650"/>
    </row>
    <row r="189" spans="3:6" ht="18" customHeight="1">
      <c r="C189" s="631"/>
      <c r="D189" s="631"/>
      <c r="E189" s="633"/>
      <c r="F189" s="650"/>
    </row>
    <row r="190" spans="3:6" ht="18" customHeight="1">
      <c r="C190" s="631"/>
      <c r="D190" s="631"/>
      <c r="E190" s="633"/>
      <c r="F190" s="650"/>
    </row>
    <row r="191" spans="3:6" ht="18" customHeight="1">
      <c r="C191" s="631"/>
      <c r="D191" s="631"/>
      <c r="E191" s="633"/>
      <c r="F191" s="650"/>
    </row>
    <row r="192" spans="3:6" ht="18" customHeight="1">
      <c r="C192" s="631"/>
      <c r="D192" s="631"/>
      <c r="E192" s="633"/>
      <c r="F192" s="650"/>
    </row>
    <row r="193" spans="3:6" ht="18" customHeight="1">
      <c r="C193" s="631"/>
      <c r="D193" s="631"/>
      <c r="E193" s="633"/>
      <c r="F193" s="650"/>
    </row>
    <row r="194" spans="3:6" ht="18" customHeight="1">
      <c r="C194" s="631"/>
      <c r="D194" s="631"/>
      <c r="E194" s="633"/>
      <c r="F194" s="650"/>
    </row>
    <row r="195" spans="3:6" ht="18" customHeight="1">
      <c r="C195" s="631"/>
      <c r="D195" s="631"/>
      <c r="E195" s="633"/>
      <c r="F195" s="650"/>
    </row>
    <row r="196" spans="3:6" ht="18" customHeight="1">
      <c r="C196" s="631"/>
      <c r="D196" s="631"/>
      <c r="E196" s="633"/>
      <c r="F196" s="650"/>
    </row>
    <row r="197" spans="3:6" ht="18" customHeight="1">
      <c r="C197" s="631"/>
      <c r="D197" s="631"/>
      <c r="E197" s="633"/>
      <c r="F197" s="650"/>
    </row>
    <row r="198" spans="3:6" ht="18" customHeight="1">
      <c r="C198" s="631"/>
      <c r="D198" s="631"/>
      <c r="E198" s="633"/>
      <c r="F198" s="650"/>
    </row>
    <row r="199" spans="3:6" ht="18" customHeight="1">
      <c r="C199" s="631"/>
      <c r="D199" s="631"/>
      <c r="E199" s="633"/>
      <c r="F199" s="650"/>
    </row>
    <row r="200" spans="3:6" ht="18" customHeight="1">
      <c r="C200" s="631"/>
      <c r="D200" s="631"/>
      <c r="E200" s="633"/>
      <c r="F200" s="650"/>
    </row>
    <row r="201" spans="3:6" ht="18" customHeight="1">
      <c r="C201" s="631"/>
      <c r="D201" s="631"/>
      <c r="E201" s="633"/>
      <c r="F201" s="650"/>
    </row>
    <row r="202" spans="3:6" ht="18" customHeight="1">
      <c r="C202" s="631"/>
      <c r="D202" s="631"/>
      <c r="E202" s="633"/>
      <c r="F202" s="650"/>
    </row>
    <row r="203" spans="3:6" ht="18" customHeight="1">
      <c r="C203" s="631"/>
      <c r="D203" s="631"/>
      <c r="E203" s="633"/>
      <c r="F203" s="650"/>
    </row>
    <row r="204" spans="3:6" ht="18" customHeight="1">
      <c r="C204" s="631"/>
      <c r="D204" s="631"/>
      <c r="E204" s="633"/>
      <c r="F204" s="650"/>
    </row>
    <row r="205" spans="3:6" ht="18" customHeight="1">
      <c r="C205" s="631"/>
      <c r="D205" s="631"/>
      <c r="E205" s="633"/>
      <c r="F205" s="650"/>
    </row>
    <row r="206" spans="3:6" ht="18" customHeight="1">
      <c r="C206" s="631"/>
      <c r="D206" s="631"/>
      <c r="E206" s="633"/>
      <c r="F206" s="650"/>
    </row>
    <row r="207" spans="3:6" ht="18" customHeight="1">
      <c r="C207" s="631"/>
      <c r="D207" s="631"/>
      <c r="E207" s="633"/>
      <c r="F207" s="650"/>
    </row>
    <row r="208" spans="3:6" ht="18" customHeight="1">
      <c r="C208" s="631"/>
      <c r="D208" s="631"/>
      <c r="E208" s="633"/>
      <c r="F208" s="650"/>
    </row>
    <row r="209" spans="3:6" ht="18" customHeight="1">
      <c r="C209" s="631"/>
      <c r="D209" s="631"/>
      <c r="E209" s="633"/>
      <c r="F209" s="650"/>
    </row>
    <row r="210" spans="3:6" ht="18" customHeight="1">
      <c r="C210" s="631"/>
      <c r="D210" s="631"/>
      <c r="E210" s="633"/>
      <c r="F210" s="650"/>
    </row>
    <row r="211" spans="3:6" ht="18" customHeight="1">
      <c r="C211" s="631"/>
      <c r="D211" s="631"/>
      <c r="E211" s="633"/>
      <c r="F211" s="650"/>
    </row>
    <row r="212" spans="3:6" ht="18" customHeight="1">
      <c r="C212" s="631"/>
      <c r="D212" s="631"/>
      <c r="E212" s="633"/>
      <c r="F212" s="650"/>
    </row>
    <row r="213" spans="3:6" ht="18" customHeight="1">
      <c r="C213" s="631"/>
      <c r="D213" s="631"/>
      <c r="E213" s="633"/>
      <c r="F213" s="650"/>
    </row>
    <row r="214" spans="3:6" ht="18" customHeight="1">
      <c r="C214" s="631"/>
      <c r="D214" s="631"/>
      <c r="E214" s="633"/>
      <c r="F214" s="650"/>
    </row>
    <row r="215" spans="3:6" ht="18" customHeight="1">
      <c r="C215" s="631"/>
      <c r="D215" s="631"/>
      <c r="E215" s="633"/>
      <c r="F215" s="650"/>
    </row>
    <row r="216" spans="3:6" ht="18" customHeight="1">
      <c r="C216" s="631"/>
      <c r="D216" s="631"/>
      <c r="E216" s="633"/>
      <c r="F216" s="650"/>
    </row>
    <row r="217" spans="3:6" ht="18" customHeight="1">
      <c r="C217" s="631"/>
      <c r="D217" s="631"/>
      <c r="E217" s="633"/>
      <c r="F217" s="650"/>
    </row>
    <row r="218" spans="3:6" ht="18" customHeight="1">
      <c r="C218" s="631"/>
      <c r="D218" s="631"/>
      <c r="E218" s="633"/>
      <c r="F218" s="650"/>
    </row>
    <row r="219" spans="3:6" ht="18" customHeight="1">
      <c r="C219" s="631"/>
      <c r="D219" s="631"/>
      <c r="E219" s="633"/>
      <c r="F219" s="650"/>
    </row>
    <row r="220" spans="3:6" ht="18" customHeight="1">
      <c r="C220" s="631"/>
      <c r="D220" s="631"/>
      <c r="E220" s="633"/>
      <c r="F220" s="650"/>
    </row>
    <row r="221" spans="3:6" ht="18" customHeight="1">
      <c r="C221" s="631"/>
      <c r="D221" s="631"/>
      <c r="E221" s="633"/>
      <c r="F221" s="650"/>
    </row>
    <row r="222" spans="3:6" ht="18" customHeight="1">
      <c r="C222" s="631"/>
      <c r="D222" s="631"/>
      <c r="E222" s="633"/>
      <c r="F222" s="650"/>
    </row>
    <row r="223" spans="3:6" ht="18" customHeight="1">
      <c r="C223" s="631"/>
      <c r="D223" s="631"/>
      <c r="E223" s="633"/>
      <c r="F223" s="650"/>
    </row>
    <row r="224" spans="3:6" ht="18" customHeight="1">
      <c r="C224" s="631"/>
      <c r="D224" s="631"/>
      <c r="E224" s="633"/>
      <c r="F224" s="650"/>
    </row>
    <row r="225" spans="3:6" ht="18" customHeight="1">
      <c r="C225" s="631"/>
      <c r="D225" s="631"/>
      <c r="E225" s="633"/>
      <c r="F225" s="650"/>
    </row>
    <row r="226" spans="3:6" ht="18" customHeight="1">
      <c r="C226" s="631"/>
      <c r="D226" s="631"/>
      <c r="E226" s="633"/>
      <c r="F226" s="650"/>
    </row>
    <row r="227" spans="3:6" ht="18" customHeight="1">
      <c r="C227" s="631"/>
      <c r="D227" s="631"/>
      <c r="E227" s="633"/>
      <c r="F227" s="650"/>
    </row>
    <row r="228" spans="3:6" ht="18" customHeight="1">
      <c r="C228" s="631"/>
      <c r="D228" s="631"/>
      <c r="E228" s="633"/>
      <c r="F228" s="650"/>
    </row>
    <row r="229" spans="3:6" ht="18" customHeight="1">
      <c r="C229" s="631"/>
      <c r="D229" s="631"/>
      <c r="E229" s="633"/>
      <c r="F229" s="650"/>
    </row>
    <row r="230" spans="3:6" ht="18" customHeight="1">
      <c r="C230" s="631"/>
      <c r="D230" s="631"/>
      <c r="E230" s="633"/>
      <c r="F230" s="650"/>
    </row>
    <row r="231" spans="3:6" ht="18" customHeight="1">
      <c r="C231" s="631"/>
      <c r="D231" s="631"/>
      <c r="E231" s="633"/>
      <c r="F231" s="650"/>
    </row>
    <row r="232" spans="3:6" ht="18" customHeight="1">
      <c r="C232" s="631"/>
      <c r="D232" s="631"/>
      <c r="E232" s="633"/>
      <c r="F232" s="650"/>
    </row>
    <row r="233" spans="3:6" ht="18" customHeight="1">
      <c r="C233" s="631"/>
      <c r="D233" s="631"/>
      <c r="E233" s="633"/>
      <c r="F233" s="650"/>
    </row>
    <row r="234" spans="3:6" ht="18" customHeight="1">
      <c r="C234" s="631"/>
      <c r="D234" s="631"/>
      <c r="E234" s="633"/>
      <c r="F234" s="650"/>
    </row>
    <row r="235" spans="3:6" ht="18" customHeight="1">
      <c r="C235" s="631"/>
      <c r="D235" s="631"/>
      <c r="E235" s="633"/>
      <c r="F235" s="650"/>
    </row>
    <row r="236" spans="3:6" ht="18" customHeight="1">
      <c r="C236" s="631"/>
      <c r="D236" s="631"/>
      <c r="E236" s="633"/>
      <c r="F236" s="650"/>
    </row>
    <row r="237" spans="3:6" ht="18" customHeight="1">
      <c r="C237" s="631"/>
      <c r="D237" s="631"/>
      <c r="E237" s="633"/>
      <c r="F237" s="650"/>
    </row>
    <row r="238" spans="3:6" ht="18" customHeight="1">
      <c r="C238" s="631"/>
      <c r="D238" s="631"/>
      <c r="E238" s="633"/>
      <c r="F238" s="650"/>
    </row>
    <row r="239" spans="3:6" ht="18" customHeight="1">
      <c r="C239" s="631"/>
      <c r="D239" s="631"/>
      <c r="E239" s="633"/>
      <c r="F239" s="650"/>
    </row>
    <row r="240" spans="3:6" ht="18" customHeight="1">
      <c r="C240" s="631"/>
      <c r="D240" s="631"/>
      <c r="E240" s="633"/>
      <c r="F240" s="650"/>
    </row>
    <row r="241" spans="3:6" ht="18" customHeight="1">
      <c r="C241" s="631"/>
      <c r="D241" s="631"/>
      <c r="E241" s="633"/>
      <c r="F241" s="650"/>
    </row>
    <row r="242" spans="3:6" ht="18" customHeight="1">
      <c r="C242" s="631"/>
      <c r="D242" s="631"/>
      <c r="E242" s="633"/>
      <c r="F242" s="650"/>
    </row>
    <row r="243" spans="3:6" ht="18" customHeight="1">
      <c r="C243" s="631"/>
      <c r="D243" s="631"/>
      <c r="E243" s="633"/>
      <c r="F243" s="650"/>
    </row>
    <row r="244" spans="3:6" ht="18" customHeight="1">
      <c r="C244" s="631"/>
      <c r="D244" s="631"/>
      <c r="E244" s="633"/>
      <c r="F244" s="650"/>
    </row>
    <row r="245" spans="3:6" ht="18" customHeight="1">
      <c r="C245" s="631"/>
      <c r="D245" s="631"/>
      <c r="E245" s="633"/>
      <c r="F245" s="650"/>
    </row>
    <row r="246" spans="3:6" ht="18" customHeight="1">
      <c r="C246" s="631"/>
      <c r="D246" s="631"/>
      <c r="E246" s="633"/>
      <c r="F246" s="650"/>
    </row>
    <row r="247" spans="3:6" ht="18" customHeight="1">
      <c r="C247" s="631"/>
      <c r="D247" s="631"/>
      <c r="E247" s="633"/>
      <c r="F247" s="650"/>
    </row>
    <row r="248" spans="3:6" ht="18" customHeight="1">
      <c r="C248" s="631"/>
      <c r="D248" s="631"/>
      <c r="E248" s="633"/>
      <c r="F248" s="650"/>
    </row>
    <row r="249" spans="3:6" ht="18" customHeight="1">
      <c r="C249" s="631"/>
      <c r="D249" s="631"/>
      <c r="E249" s="633"/>
      <c r="F249" s="650"/>
    </row>
    <row r="250" spans="3:6" ht="18" customHeight="1">
      <c r="C250" s="631"/>
      <c r="D250" s="631"/>
      <c r="E250" s="633"/>
      <c r="F250" s="650"/>
    </row>
    <row r="251" spans="3:6" ht="18" customHeight="1">
      <c r="C251" s="631"/>
      <c r="D251" s="631"/>
      <c r="E251" s="633"/>
      <c r="F251" s="650"/>
    </row>
    <row r="252" spans="3:6" ht="18" customHeight="1">
      <c r="C252" s="631"/>
      <c r="D252" s="631"/>
      <c r="E252" s="633"/>
      <c r="F252" s="650"/>
    </row>
    <row r="253" spans="3:6" ht="18" customHeight="1">
      <c r="C253" s="631"/>
      <c r="D253" s="631"/>
      <c r="E253" s="633"/>
      <c r="F253" s="650"/>
    </row>
    <row r="254" spans="3:6" ht="18" customHeight="1">
      <c r="C254" s="631"/>
      <c r="D254" s="631"/>
      <c r="E254" s="633"/>
      <c r="F254" s="650"/>
    </row>
    <row r="255" spans="3:6" ht="18" customHeight="1">
      <c r="C255" s="631"/>
      <c r="D255" s="631"/>
      <c r="E255" s="633"/>
      <c r="F255" s="650"/>
    </row>
    <row r="256" spans="3:6" ht="18" customHeight="1">
      <c r="C256" s="631"/>
      <c r="D256" s="631"/>
      <c r="E256" s="633"/>
      <c r="F256" s="650"/>
    </row>
    <row r="257" spans="3:6" ht="18" customHeight="1">
      <c r="C257" s="631"/>
      <c r="D257" s="631"/>
      <c r="E257" s="633"/>
      <c r="F257" s="650"/>
    </row>
    <row r="258" spans="3:6" ht="18" customHeight="1">
      <c r="C258" s="631"/>
      <c r="D258" s="631"/>
      <c r="E258" s="633"/>
      <c r="F258" s="650"/>
    </row>
    <row r="259" spans="3:6" ht="18" customHeight="1">
      <c r="C259" s="631"/>
      <c r="D259" s="631"/>
      <c r="E259" s="633"/>
      <c r="F259" s="650"/>
    </row>
    <row r="260" spans="3:6" ht="18" customHeight="1">
      <c r="C260" s="631"/>
      <c r="D260" s="631"/>
      <c r="E260" s="633"/>
      <c r="F260" s="650"/>
    </row>
    <row r="261" spans="3:6" ht="18" customHeight="1">
      <c r="C261" s="631"/>
      <c r="D261" s="631"/>
      <c r="E261" s="633"/>
      <c r="F261" s="650"/>
    </row>
    <row r="262" spans="3:6" ht="18" customHeight="1">
      <c r="C262" s="631"/>
      <c r="D262" s="631"/>
      <c r="E262" s="633"/>
      <c r="F262" s="650"/>
    </row>
    <row r="263" spans="3:6" ht="18" customHeight="1">
      <c r="C263" s="631"/>
      <c r="D263" s="631"/>
      <c r="E263" s="633"/>
      <c r="F263" s="650"/>
    </row>
    <row r="264" spans="3:6" ht="18" customHeight="1">
      <c r="C264" s="631"/>
      <c r="D264" s="631"/>
      <c r="E264" s="633"/>
      <c r="F264" s="650"/>
    </row>
    <row r="265" spans="3:6" ht="18" customHeight="1">
      <c r="C265" s="631"/>
      <c r="D265" s="631"/>
      <c r="E265" s="633"/>
      <c r="F265" s="650"/>
    </row>
    <row r="266" spans="3:6" ht="18" customHeight="1">
      <c r="C266" s="631"/>
      <c r="D266" s="631"/>
      <c r="E266" s="633"/>
      <c r="F266" s="650"/>
    </row>
    <row r="267" spans="3:6" ht="18" customHeight="1">
      <c r="C267" s="631"/>
      <c r="D267" s="631"/>
      <c r="E267" s="633"/>
      <c r="F267" s="650"/>
    </row>
    <row r="268" spans="3:6" ht="18" customHeight="1">
      <c r="C268" s="631"/>
      <c r="D268" s="631"/>
      <c r="E268" s="633"/>
      <c r="F268" s="650"/>
    </row>
    <row r="269" spans="3:6" ht="18" customHeight="1">
      <c r="C269" s="631"/>
      <c r="D269" s="631"/>
      <c r="E269" s="633"/>
      <c r="F269" s="650"/>
    </row>
    <row r="270" spans="3:6" ht="18" customHeight="1">
      <c r="C270" s="631"/>
      <c r="D270" s="631"/>
      <c r="E270" s="633"/>
      <c r="F270" s="650"/>
    </row>
    <row r="271" spans="3:6" ht="18" customHeight="1">
      <c r="C271" s="631"/>
      <c r="D271" s="631"/>
      <c r="E271" s="633"/>
      <c r="F271" s="650"/>
    </row>
    <row r="272" spans="3:6" ht="18" customHeight="1">
      <c r="C272" s="631"/>
      <c r="D272" s="631"/>
      <c r="E272" s="633"/>
      <c r="F272" s="650"/>
    </row>
    <row r="273" spans="3:6" ht="18" customHeight="1">
      <c r="C273" s="631"/>
      <c r="D273" s="631"/>
      <c r="E273" s="633"/>
      <c r="F273" s="650"/>
    </row>
    <row r="274" spans="3:6" ht="18" customHeight="1">
      <c r="C274" s="631"/>
      <c r="D274" s="631"/>
      <c r="E274" s="633"/>
      <c r="F274" s="650"/>
    </row>
    <row r="275" spans="3:6" ht="18" customHeight="1">
      <c r="C275" s="631"/>
      <c r="D275" s="631"/>
      <c r="E275" s="633"/>
      <c r="F275" s="650"/>
    </row>
    <row r="276" spans="3:6" ht="18" customHeight="1">
      <c r="C276" s="631"/>
      <c r="D276" s="631"/>
      <c r="E276" s="633"/>
      <c r="F276" s="650"/>
    </row>
    <row r="277" spans="3:6" ht="18" customHeight="1">
      <c r="C277" s="631"/>
      <c r="D277" s="631"/>
      <c r="E277" s="633"/>
      <c r="F277" s="650"/>
    </row>
    <row r="278" spans="3:6" ht="18" customHeight="1">
      <c r="C278" s="631"/>
      <c r="D278" s="631"/>
      <c r="E278" s="633"/>
      <c r="F278" s="650"/>
    </row>
    <row r="279" spans="3:6" ht="18" customHeight="1">
      <c r="C279" s="631"/>
      <c r="D279" s="631"/>
      <c r="E279" s="633"/>
      <c r="F279" s="650"/>
    </row>
    <row r="280" spans="3:6" ht="18" customHeight="1">
      <c r="C280" s="631"/>
      <c r="D280" s="631"/>
      <c r="E280" s="633"/>
      <c r="F280" s="650"/>
    </row>
    <row r="281" spans="3:6" ht="18" customHeight="1">
      <c r="C281" s="631"/>
      <c r="D281" s="631"/>
      <c r="E281" s="633"/>
      <c r="F281" s="650"/>
    </row>
    <row r="282" spans="3:6" ht="18" customHeight="1">
      <c r="C282" s="631"/>
      <c r="D282" s="631"/>
      <c r="E282" s="633"/>
      <c r="F282" s="650"/>
    </row>
    <row r="283" spans="3:6" ht="18" customHeight="1">
      <c r="C283" s="631"/>
      <c r="D283" s="631"/>
      <c r="E283" s="633"/>
      <c r="F283" s="650"/>
    </row>
    <row r="284" spans="3:6" ht="18" customHeight="1">
      <c r="C284" s="631"/>
      <c r="D284" s="631"/>
      <c r="E284" s="633"/>
      <c r="F284" s="650"/>
    </row>
    <row r="285" spans="3:6" ht="18" customHeight="1">
      <c r="C285" s="631"/>
      <c r="D285" s="631"/>
      <c r="E285" s="633"/>
      <c r="F285" s="650"/>
    </row>
    <row r="286" spans="3:6" ht="18" customHeight="1">
      <c r="C286" s="631"/>
      <c r="D286" s="631"/>
      <c r="E286" s="633"/>
      <c r="F286" s="650"/>
    </row>
    <row r="287" spans="3:6" ht="18" customHeight="1">
      <c r="C287" s="631"/>
      <c r="D287" s="631"/>
      <c r="E287" s="633"/>
      <c r="F287" s="650"/>
    </row>
    <row r="288" spans="3:6" ht="18" customHeight="1">
      <c r="C288" s="631"/>
      <c r="D288" s="631"/>
      <c r="E288" s="633"/>
      <c r="F288" s="650"/>
    </row>
    <row r="289" spans="3:6" ht="18" customHeight="1">
      <c r="C289" s="631"/>
      <c r="D289" s="631"/>
      <c r="E289" s="633"/>
      <c r="F289" s="650"/>
    </row>
    <row r="290" spans="3:6" ht="18" customHeight="1">
      <c r="C290" s="631"/>
      <c r="D290" s="631"/>
      <c r="E290" s="633"/>
      <c r="F290" s="650"/>
    </row>
    <row r="291" spans="3:6" ht="18" customHeight="1">
      <c r="C291" s="631"/>
      <c r="D291" s="631"/>
      <c r="E291" s="633"/>
      <c r="F291" s="650"/>
    </row>
    <row r="292" spans="3:6" ht="18" customHeight="1">
      <c r="C292" s="631"/>
      <c r="D292" s="631"/>
      <c r="E292" s="633"/>
      <c r="F292" s="650"/>
    </row>
    <row r="293" spans="3:6" ht="18" customHeight="1">
      <c r="C293" s="631"/>
      <c r="D293" s="631"/>
      <c r="E293" s="633"/>
      <c r="F293" s="650"/>
    </row>
    <row r="294" spans="3:6" ht="18" customHeight="1">
      <c r="C294" s="631"/>
      <c r="D294" s="631"/>
      <c r="E294" s="633"/>
      <c r="F294" s="650"/>
    </row>
    <row r="295" spans="3:6" ht="18" customHeight="1">
      <c r="C295" s="631"/>
      <c r="D295" s="631"/>
      <c r="E295" s="633"/>
      <c r="F295" s="650"/>
    </row>
    <row r="296" spans="3:6" ht="18" customHeight="1">
      <c r="C296" s="631"/>
      <c r="D296" s="631"/>
      <c r="E296" s="633"/>
      <c r="F296" s="650"/>
    </row>
    <row r="297" spans="3:6" ht="18" customHeight="1">
      <c r="C297" s="631"/>
      <c r="D297" s="631"/>
      <c r="E297" s="633"/>
      <c r="F297" s="650"/>
    </row>
    <row r="298" spans="3:6" ht="18" customHeight="1">
      <c r="C298" s="631"/>
      <c r="D298" s="631"/>
      <c r="E298" s="633"/>
      <c r="F298" s="650"/>
    </row>
    <row r="299" spans="3:6" ht="18" customHeight="1">
      <c r="C299" s="631"/>
      <c r="D299" s="631"/>
      <c r="E299" s="633"/>
      <c r="F299" s="650"/>
    </row>
    <row r="300" spans="3:6" ht="18" customHeight="1">
      <c r="C300" s="631"/>
      <c r="D300" s="631"/>
      <c r="E300" s="633"/>
      <c r="F300" s="650"/>
    </row>
    <row r="301" spans="3:6" ht="18" customHeight="1">
      <c r="C301" s="631"/>
      <c r="D301" s="631"/>
      <c r="E301" s="633"/>
      <c r="F301" s="650"/>
    </row>
    <row r="302" spans="3:6" ht="18" customHeight="1">
      <c r="C302" s="631"/>
      <c r="D302" s="631"/>
      <c r="E302" s="633"/>
      <c r="F302" s="650"/>
    </row>
    <row r="303" spans="3:6" ht="18" customHeight="1">
      <c r="C303" s="631"/>
      <c r="D303" s="631"/>
      <c r="E303" s="633"/>
      <c r="F303" s="650"/>
    </row>
    <row r="304" spans="3:6" ht="18" customHeight="1">
      <c r="C304" s="631"/>
      <c r="D304" s="631"/>
      <c r="E304" s="633"/>
      <c r="F304" s="650"/>
    </row>
    <row r="305" spans="3:6" ht="18" customHeight="1">
      <c r="C305" s="631"/>
      <c r="D305" s="631"/>
      <c r="E305" s="633"/>
      <c r="F305" s="650"/>
    </row>
    <row r="306" spans="3:6" ht="18" customHeight="1">
      <c r="C306" s="631"/>
      <c r="D306" s="631"/>
      <c r="E306" s="633"/>
      <c r="F306" s="650"/>
    </row>
    <row r="307" spans="3:6" ht="18" customHeight="1">
      <c r="C307" s="631"/>
      <c r="D307" s="631"/>
      <c r="E307" s="633"/>
      <c r="F307" s="650"/>
    </row>
    <row r="308" spans="3:6" ht="18" customHeight="1">
      <c r="C308" s="631"/>
      <c r="D308" s="631"/>
      <c r="E308" s="633"/>
      <c r="F308" s="650"/>
    </row>
    <row r="309" spans="3:6" ht="18" customHeight="1">
      <c r="C309" s="631"/>
      <c r="D309" s="631"/>
      <c r="E309" s="633"/>
      <c r="F309" s="650"/>
    </row>
    <row r="310" spans="3:6" ht="18" customHeight="1">
      <c r="C310" s="631"/>
      <c r="D310" s="631"/>
      <c r="E310" s="633"/>
      <c r="F310" s="650"/>
    </row>
    <row r="311" spans="3:6" ht="18" customHeight="1">
      <c r="C311" s="631"/>
      <c r="D311" s="631"/>
      <c r="E311" s="633"/>
      <c r="F311" s="650"/>
    </row>
    <row r="312" spans="3:6" ht="18" customHeight="1">
      <c r="C312" s="631"/>
      <c r="D312" s="631"/>
      <c r="E312" s="633"/>
      <c r="F312" s="650"/>
    </row>
    <row r="313" spans="3:6" ht="18" customHeight="1">
      <c r="C313" s="631"/>
      <c r="D313" s="631"/>
      <c r="E313" s="633"/>
      <c r="F313" s="650"/>
    </row>
    <row r="314" spans="3:6" ht="18" customHeight="1">
      <c r="C314" s="631"/>
      <c r="D314" s="631"/>
      <c r="E314" s="633"/>
      <c r="F314" s="650"/>
    </row>
    <row r="315" spans="3:6" ht="18" customHeight="1">
      <c r="C315" s="631"/>
      <c r="D315" s="631"/>
      <c r="E315" s="633"/>
      <c r="F315" s="650"/>
    </row>
    <row r="316" spans="3:6" ht="18" customHeight="1">
      <c r="C316" s="631"/>
      <c r="D316" s="631"/>
      <c r="E316" s="633"/>
      <c r="F316" s="650"/>
    </row>
    <row r="317" spans="3:6" ht="18" customHeight="1">
      <c r="C317" s="631"/>
      <c r="D317" s="631"/>
      <c r="E317" s="633"/>
      <c r="F317" s="650"/>
    </row>
    <row r="318" spans="3:6" ht="18" customHeight="1">
      <c r="C318" s="631"/>
      <c r="D318" s="631"/>
      <c r="E318" s="633"/>
      <c r="F318" s="650"/>
    </row>
    <row r="319" spans="3:6" ht="18" customHeight="1">
      <c r="C319" s="631"/>
      <c r="D319" s="631"/>
      <c r="E319" s="633"/>
      <c r="F319" s="650"/>
    </row>
    <row r="320" spans="3:6" ht="18" customHeight="1">
      <c r="C320" s="631"/>
      <c r="D320" s="631"/>
      <c r="E320" s="633"/>
      <c r="F320" s="650"/>
    </row>
    <row r="321" spans="3:6" ht="18" customHeight="1">
      <c r="C321" s="631"/>
      <c r="D321" s="631"/>
      <c r="E321" s="633"/>
      <c r="F321" s="650"/>
    </row>
    <row r="322" spans="3:6" ht="18" customHeight="1">
      <c r="C322" s="631"/>
      <c r="D322" s="631"/>
      <c r="E322" s="633"/>
      <c r="F322" s="650"/>
    </row>
    <row r="323" spans="3:6" ht="18" customHeight="1">
      <c r="C323" s="631"/>
      <c r="D323" s="631"/>
      <c r="E323" s="633"/>
      <c r="F323" s="650"/>
    </row>
    <row r="324" spans="3:6" ht="18" customHeight="1">
      <c r="C324" s="631"/>
      <c r="D324" s="631"/>
      <c r="E324" s="633"/>
      <c r="F324" s="650"/>
    </row>
    <row r="325" spans="3:6" ht="18" customHeight="1">
      <c r="C325" s="631"/>
      <c r="D325" s="631"/>
      <c r="E325" s="633"/>
      <c r="F325" s="650"/>
    </row>
    <row r="326" spans="3:6" ht="18" customHeight="1">
      <c r="C326" s="631"/>
      <c r="D326" s="631"/>
      <c r="E326" s="633"/>
      <c r="F326" s="650"/>
    </row>
    <row r="327" spans="3:6" ht="18" customHeight="1">
      <c r="C327" s="631"/>
      <c r="D327" s="631"/>
      <c r="E327" s="633"/>
      <c r="F327" s="650"/>
    </row>
    <row r="328" spans="3:6" ht="18" customHeight="1">
      <c r="C328" s="631"/>
      <c r="D328" s="631"/>
      <c r="E328" s="633"/>
      <c r="F328" s="650"/>
    </row>
    <row r="329" spans="3:6">
      <c r="C329" s="631"/>
      <c r="D329" s="631"/>
      <c r="E329" s="633"/>
      <c r="F329" s="650"/>
    </row>
    <row r="330" spans="3:6">
      <c r="C330" s="631"/>
      <c r="D330" s="631"/>
      <c r="E330" s="633"/>
      <c r="F330" s="650"/>
    </row>
    <row r="331" spans="3:6">
      <c r="C331" s="631"/>
      <c r="D331" s="631"/>
      <c r="E331" s="633"/>
      <c r="F331" s="650"/>
    </row>
    <row r="332" spans="3:6">
      <c r="C332" s="631"/>
      <c r="D332" s="631"/>
      <c r="E332" s="633"/>
      <c r="F332" s="650"/>
    </row>
    <row r="333" spans="3:6">
      <c r="C333" s="631"/>
      <c r="D333" s="631"/>
      <c r="E333" s="633"/>
      <c r="F333" s="650"/>
    </row>
    <row r="334" spans="3:6">
      <c r="C334" s="631"/>
      <c r="D334" s="631"/>
      <c r="E334" s="633"/>
      <c r="F334" s="650"/>
    </row>
    <row r="335" spans="3:6">
      <c r="C335" s="631"/>
      <c r="D335" s="631"/>
      <c r="E335" s="633"/>
      <c r="F335" s="650"/>
    </row>
    <row r="336" spans="3:6">
      <c r="C336" s="631"/>
      <c r="D336" s="631"/>
      <c r="E336" s="633"/>
      <c r="F336" s="650"/>
    </row>
    <row r="337" spans="3:6">
      <c r="C337" s="631"/>
      <c r="D337" s="631"/>
      <c r="E337" s="633"/>
      <c r="F337" s="650"/>
    </row>
    <row r="338" spans="3:6">
      <c r="C338" s="631"/>
      <c r="D338" s="631"/>
      <c r="E338" s="633"/>
      <c r="F338" s="650"/>
    </row>
    <row r="339" spans="3:6">
      <c r="C339" s="631"/>
      <c r="D339" s="631"/>
      <c r="E339" s="633"/>
      <c r="F339" s="650"/>
    </row>
    <row r="340" spans="3:6">
      <c r="C340" s="631"/>
      <c r="D340" s="631"/>
      <c r="E340" s="633"/>
      <c r="F340" s="650"/>
    </row>
    <row r="341" spans="3:6">
      <c r="C341" s="631"/>
      <c r="D341" s="631"/>
      <c r="E341" s="633"/>
      <c r="F341" s="650"/>
    </row>
    <row r="342" spans="3:6">
      <c r="C342" s="631"/>
      <c r="D342" s="631"/>
      <c r="E342" s="633"/>
      <c r="F342" s="650"/>
    </row>
    <row r="343" spans="3:6">
      <c r="C343" s="631"/>
      <c r="D343" s="631"/>
      <c r="E343" s="633"/>
      <c r="F343" s="650"/>
    </row>
    <row r="344" spans="3:6">
      <c r="C344" s="631"/>
      <c r="D344" s="631"/>
      <c r="E344" s="633"/>
      <c r="F344" s="650"/>
    </row>
    <row r="345" spans="3:6">
      <c r="C345" s="631"/>
      <c r="D345" s="631"/>
      <c r="E345" s="633"/>
      <c r="F345" s="650"/>
    </row>
    <row r="346" spans="3:6">
      <c r="C346" s="631"/>
      <c r="D346" s="631"/>
      <c r="E346" s="633"/>
      <c r="F346" s="650"/>
    </row>
    <row r="347" spans="3:6">
      <c r="C347" s="631"/>
      <c r="D347" s="631"/>
      <c r="E347" s="633"/>
      <c r="F347" s="650"/>
    </row>
    <row r="348" spans="3:6">
      <c r="C348" s="631"/>
      <c r="D348" s="631"/>
      <c r="E348" s="633"/>
      <c r="F348" s="650"/>
    </row>
    <row r="349" spans="3:6">
      <c r="C349" s="631"/>
      <c r="D349" s="631"/>
      <c r="E349" s="633"/>
      <c r="F349" s="650"/>
    </row>
    <row r="350" spans="3:6">
      <c r="C350" s="631"/>
      <c r="D350" s="631"/>
      <c r="E350" s="633"/>
      <c r="F350" s="650"/>
    </row>
    <row r="351" spans="3:6">
      <c r="C351" s="631"/>
      <c r="D351" s="631"/>
      <c r="E351" s="633"/>
      <c r="F351" s="650"/>
    </row>
    <row r="352" spans="3:6">
      <c r="C352" s="631"/>
      <c r="D352" s="631"/>
      <c r="E352" s="633"/>
      <c r="F352" s="650"/>
    </row>
    <row r="353" spans="3:6">
      <c r="C353" s="631"/>
      <c r="D353" s="631"/>
      <c r="E353" s="633"/>
      <c r="F353" s="650"/>
    </row>
    <row r="354" spans="3:6">
      <c r="C354" s="631"/>
      <c r="D354" s="631"/>
      <c r="E354" s="633"/>
      <c r="F354" s="650"/>
    </row>
    <row r="355" spans="3:6">
      <c r="C355" s="631"/>
      <c r="D355" s="631"/>
      <c r="E355" s="633"/>
      <c r="F355" s="650"/>
    </row>
    <row r="356" spans="3:6">
      <c r="C356" s="631"/>
      <c r="D356" s="631"/>
      <c r="E356" s="633"/>
      <c r="F356" s="650"/>
    </row>
    <row r="357" spans="3:6">
      <c r="C357" s="631"/>
      <c r="D357" s="631"/>
      <c r="E357" s="633"/>
      <c r="F357" s="650"/>
    </row>
    <row r="358" spans="3:6">
      <c r="C358" s="631"/>
      <c r="D358" s="631"/>
      <c r="E358" s="633"/>
      <c r="F358" s="650"/>
    </row>
    <row r="359" spans="3:6">
      <c r="C359" s="631"/>
      <c r="D359" s="631"/>
      <c r="E359" s="633"/>
      <c r="F359" s="650"/>
    </row>
    <row r="360" spans="3:6">
      <c r="C360" s="631"/>
      <c r="D360" s="631"/>
      <c r="E360" s="633"/>
      <c r="F360" s="650"/>
    </row>
    <row r="361" spans="3:6">
      <c r="C361" s="631"/>
      <c r="D361" s="631"/>
      <c r="E361" s="633"/>
      <c r="F361" s="650"/>
    </row>
    <row r="362" spans="3:6">
      <c r="C362" s="631"/>
      <c r="D362" s="631"/>
      <c r="E362" s="633"/>
      <c r="F362" s="650"/>
    </row>
    <row r="363" spans="3:6">
      <c r="C363" s="631"/>
      <c r="D363" s="631"/>
      <c r="E363" s="633"/>
      <c r="F363" s="650"/>
    </row>
    <row r="364" spans="3:6">
      <c r="C364" s="631"/>
      <c r="D364" s="631"/>
      <c r="E364" s="633"/>
      <c r="F364" s="650"/>
    </row>
    <row r="365" spans="3:6">
      <c r="C365" s="631"/>
      <c r="D365" s="631"/>
      <c r="E365" s="633"/>
      <c r="F365" s="650"/>
    </row>
    <row r="366" spans="3:6">
      <c r="C366" s="631"/>
      <c r="D366" s="631"/>
      <c r="E366" s="633"/>
      <c r="F366" s="650"/>
    </row>
    <row r="367" spans="3:6">
      <c r="C367" s="631"/>
      <c r="D367" s="631"/>
      <c r="E367" s="633"/>
      <c r="F367" s="650"/>
    </row>
    <row r="368" spans="3:6">
      <c r="C368" s="631"/>
      <c r="D368" s="631"/>
      <c r="E368" s="633"/>
      <c r="F368" s="650"/>
    </row>
    <row r="369" spans="3:6">
      <c r="C369" s="631"/>
      <c r="D369" s="631"/>
      <c r="E369" s="633"/>
      <c r="F369" s="650"/>
    </row>
    <row r="370" spans="3:6">
      <c r="C370" s="631"/>
      <c r="D370" s="631"/>
      <c r="E370" s="633"/>
      <c r="F370" s="650"/>
    </row>
    <row r="371" spans="3:6">
      <c r="C371" s="631"/>
      <c r="D371" s="631"/>
      <c r="E371" s="633"/>
      <c r="F371" s="650"/>
    </row>
    <row r="372" spans="3:6">
      <c r="C372" s="631"/>
      <c r="D372" s="631"/>
      <c r="E372" s="633"/>
      <c r="F372" s="650"/>
    </row>
    <row r="373" spans="3:6">
      <c r="C373" s="631"/>
      <c r="D373" s="631"/>
      <c r="E373" s="633"/>
      <c r="F373" s="650"/>
    </row>
    <row r="374" spans="3:6">
      <c r="C374" s="631"/>
      <c r="D374" s="631"/>
      <c r="E374" s="633"/>
      <c r="F374" s="650"/>
    </row>
    <row r="375" spans="3:6">
      <c r="C375" s="631"/>
      <c r="D375" s="631"/>
      <c r="E375" s="633"/>
      <c r="F375" s="650"/>
    </row>
    <row r="376" spans="3:6">
      <c r="C376" s="631"/>
      <c r="D376" s="631"/>
      <c r="E376" s="633"/>
      <c r="F376" s="650"/>
    </row>
    <row r="377" spans="3:6">
      <c r="C377" s="631"/>
      <c r="D377" s="631"/>
      <c r="E377" s="633"/>
      <c r="F377" s="650"/>
    </row>
    <row r="378" spans="3:6">
      <c r="C378" s="631"/>
      <c r="D378" s="631"/>
      <c r="E378" s="633"/>
      <c r="F378" s="650"/>
    </row>
    <row r="379" spans="3:6">
      <c r="C379" s="631"/>
      <c r="D379" s="631"/>
      <c r="E379" s="633"/>
      <c r="F379" s="650"/>
    </row>
    <row r="380" spans="3:6">
      <c r="C380" s="631"/>
      <c r="D380" s="631"/>
      <c r="E380" s="633"/>
      <c r="F380" s="650"/>
    </row>
    <row r="381" spans="3:6">
      <c r="C381" s="631"/>
      <c r="D381" s="631"/>
      <c r="E381" s="633"/>
      <c r="F381" s="650"/>
    </row>
    <row r="382" spans="3:6">
      <c r="C382" s="631"/>
      <c r="D382" s="631"/>
      <c r="E382" s="633"/>
      <c r="F382" s="650"/>
    </row>
    <row r="383" spans="3:6">
      <c r="C383" s="631"/>
      <c r="D383" s="631"/>
      <c r="E383" s="633"/>
      <c r="F383" s="650"/>
    </row>
    <row r="384" spans="3:6">
      <c r="C384" s="631"/>
      <c r="D384" s="631"/>
      <c r="E384" s="633"/>
      <c r="F384" s="650"/>
    </row>
    <row r="385" spans="3:6">
      <c r="C385" s="631"/>
      <c r="D385" s="631"/>
      <c r="E385" s="633"/>
      <c r="F385" s="650"/>
    </row>
    <row r="386" spans="3:6">
      <c r="C386" s="631"/>
      <c r="D386" s="631"/>
      <c r="E386" s="633"/>
      <c r="F386" s="650"/>
    </row>
    <row r="387" spans="3:6">
      <c r="C387" s="631"/>
      <c r="D387" s="631"/>
      <c r="E387" s="633"/>
      <c r="F387" s="650"/>
    </row>
    <row r="388" spans="3:6">
      <c r="C388" s="631"/>
      <c r="D388" s="631"/>
      <c r="E388" s="633"/>
      <c r="F388" s="650"/>
    </row>
    <row r="389" spans="3:6">
      <c r="C389" s="631"/>
      <c r="D389" s="631"/>
      <c r="E389" s="633"/>
      <c r="F389" s="650"/>
    </row>
    <row r="390" spans="3:6">
      <c r="C390" s="631"/>
      <c r="D390" s="631"/>
      <c r="E390" s="633"/>
      <c r="F390" s="650"/>
    </row>
    <row r="391" spans="3:6">
      <c r="C391" s="631"/>
      <c r="D391" s="631"/>
      <c r="E391" s="633"/>
      <c r="F391" s="650"/>
    </row>
    <row r="392" spans="3:6">
      <c r="C392" s="631"/>
      <c r="D392" s="631"/>
      <c r="E392" s="633"/>
      <c r="F392" s="650"/>
    </row>
    <row r="393" spans="3:6">
      <c r="C393" s="631"/>
      <c r="D393" s="631"/>
      <c r="E393" s="633"/>
      <c r="F393" s="650"/>
    </row>
    <row r="394" spans="3:6">
      <c r="C394" s="631"/>
      <c r="D394" s="631"/>
      <c r="E394" s="633"/>
      <c r="F394" s="650"/>
    </row>
    <row r="395" spans="3:6">
      <c r="C395" s="631"/>
      <c r="D395" s="631"/>
      <c r="E395" s="633"/>
      <c r="F395" s="650"/>
    </row>
    <row r="396" spans="3:6">
      <c r="C396" s="631"/>
      <c r="D396" s="631"/>
      <c r="E396" s="633"/>
      <c r="F396" s="650"/>
    </row>
    <row r="397" spans="3:6">
      <c r="C397" s="631"/>
      <c r="D397" s="631"/>
      <c r="E397" s="633"/>
      <c r="F397" s="650"/>
    </row>
    <row r="398" spans="3:6">
      <c r="C398" s="631"/>
      <c r="D398" s="631"/>
      <c r="E398" s="633"/>
      <c r="F398" s="650"/>
    </row>
    <row r="399" spans="3:6">
      <c r="C399" s="631"/>
      <c r="D399" s="631"/>
      <c r="E399" s="633"/>
      <c r="F399" s="650"/>
    </row>
    <row r="400" spans="3:6">
      <c r="C400" s="631"/>
      <c r="D400" s="631"/>
      <c r="E400" s="633"/>
      <c r="F400" s="650"/>
    </row>
    <row r="401" spans="3:6">
      <c r="C401" s="631"/>
      <c r="D401" s="631"/>
      <c r="E401" s="633"/>
      <c r="F401" s="650"/>
    </row>
    <row r="402" spans="3:6">
      <c r="C402" s="631"/>
      <c r="D402" s="631"/>
      <c r="E402" s="633"/>
      <c r="F402" s="650"/>
    </row>
    <row r="403" spans="3:6">
      <c r="C403" s="631"/>
      <c r="D403" s="631"/>
      <c r="E403" s="633"/>
      <c r="F403" s="650"/>
    </row>
    <row r="404" spans="3:6">
      <c r="C404" s="631"/>
      <c r="D404" s="631"/>
      <c r="E404" s="633"/>
      <c r="F404" s="650"/>
    </row>
    <row r="405" spans="3:6">
      <c r="C405" s="631"/>
      <c r="D405" s="631"/>
      <c r="E405" s="633"/>
      <c r="F405" s="650"/>
    </row>
    <row r="406" spans="3:6">
      <c r="C406" s="631"/>
      <c r="D406" s="631"/>
      <c r="E406" s="633"/>
      <c r="F406" s="650"/>
    </row>
    <row r="407" spans="3:6">
      <c r="C407" s="631"/>
      <c r="D407" s="631"/>
      <c r="E407" s="633"/>
      <c r="F407" s="650"/>
    </row>
    <row r="408" spans="3:6">
      <c r="C408" s="631"/>
      <c r="D408" s="631"/>
      <c r="E408" s="633"/>
      <c r="F408" s="650"/>
    </row>
    <row r="409" spans="3:6">
      <c r="C409" s="631"/>
      <c r="D409" s="631"/>
      <c r="E409" s="633"/>
      <c r="F409" s="650"/>
    </row>
    <row r="410" spans="3:6">
      <c r="C410" s="631"/>
      <c r="D410" s="631"/>
      <c r="E410" s="633"/>
      <c r="F410" s="650"/>
    </row>
    <row r="411" spans="3:6">
      <c r="C411" s="631"/>
      <c r="D411" s="631"/>
      <c r="E411" s="633"/>
      <c r="F411" s="650"/>
    </row>
    <row r="412" spans="3:6">
      <c r="C412" s="631"/>
      <c r="D412" s="631"/>
      <c r="E412" s="633"/>
      <c r="F412" s="650"/>
    </row>
    <row r="413" spans="3:6">
      <c r="C413" s="631"/>
      <c r="D413" s="631"/>
      <c r="E413" s="633"/>
      <c r="F413" s="650"/>
    </row>
    <row r="414" spans="3:6">
      <c r="C414" s="631"/>
      <c r="D414" s="631"/>
      <c r="E414" s="633"/>
      <c r="F414" s="650"/>
    </row>
    <row r="415" spans="3:6">
      <c r="C415" s="631"/>
      <c r="D415" s="631"/>
      <c r="E415" s="633"/>
      <c r="F415" s="650"/>
    </row>
    <row r="416" spans="3:6">
      <c r="C416" s="631"/>
      <c r="D416" s="631"/>
      <c r="E416" s="633"/>
      <c r="F416" s="650"/>
    </row>
    <row r="417" spans="3:6">
      <c r="C417" s="631"/>
      <c r="D417" s="631"/>
      <c r="E417" s="633"/>
      <c r="F417" s="650"/>
    </row>
    <row r="418" spans="3:6">
      <c r="C418" s="631"/>
      <c r="D418" s="631"/>
      <c r="E418" s="633"/>
      <c r="F418" s="650"/>
    </row>
    <row r="419" spans="3:6">
      <c r="C419" s="631"/>
      <c r="D419" s="631"/>
      <c r="E419" s="633"/>
      <c r="F419" s="650"/>
    </row>
    <row r="420" spans="3:6">
      <c r="C420" s="631"/>
      <c r="D420" s="631"/>
      <c r="E420" s="633"/>
      <c r="F420" s="650"/>
    </row>
    <row r="421" spans="3:6">
      <c r="C421" s="631"/>
      <c r="D421" s="631"/>
      <c r="E421" s="633"/>
      <c r="F421" s="650"/>
    </row>
    <row r="422" spans="3:6">
      <c r="C422" s="631"/>
      <c r="D422" s="631"/>
      <c r="E422" s="633"/>
      <c r="F422" s="650"/>
    </row>
    <row r="423" spans="3:6">
      <c r="C423" s="631"/>
      <c r="D423" s="631"/>
      <c r="E423" s="633"/>
      <c r="F423" s="650"/>
    </row>
    <row r="424" spans="3:6">
      <c r="C424" s="631"/>
      <c r="D424" s="631"/>
      <c r="E424" s="633"/>
      <c r="F424" s="650"/>
    </row>
    <row r="425" spans="3:6">
      <c r="C425" s="631"/>
      <c r="D425" s="631"/>
      <c r="E425" s="633"/>
      <c r="F425" s="650"/>
    </row>
    <row r="426" spans="3:6">
      <c r="C426" s="631"/>
      <c r="D426" s="631"/>
      <c r="E426" s="633"/>
      <c r="F426" s="650"/>
    </row>
    <row r="427" spans="3:6">
      <c r="C427" s="631"/>
      <c r="D427" s="631"/>
      <c r="E427" s="633"/>
      <c r="F427" s="650"/>
    </row>
    <row r="428" spans="3:6">
      <c r="C428" s="631"/>
      <c r="D428" s="631"/>
      <c r="E428" s="633"/>
      <c r="F428" s="650"/>
    </row>
    <row r="429" spans="3:6">
      <c r="C429" s="631"/>
      <c r="D429" s="631"/>
      <c r="E429" s="633"/>
      <c r="F429" s="650"/>
    </row>
    <row r="430" spans="3:6">
      <c r="C430" s="631"/>
      <c r="D430" s="631"/>
      <c r="E430" s="633"/>
      <c r="F430" s="650"/>
    </row>
    <row r="431" spans="3:6">
      <c r="C431" s="631"/>
      <c r="D431" s="631"/>
      <c r="E431" s="633"/>
      <c r="F431" s="650"/>
    </row>
    <row r="432" spans="3:6">
      <c r="C432" s="631"/>
      <c r="D432" s="631"/>
      <c r="E432" s="633"/>
      <c r="F432" s="650"/>
    </row>
    <row r="433" spans="3:6">
      <c r="C433" s="631"/>
      <c r="D433" s="631"/>
      <c r="E433" s="633"/>
      <c r="F433" s="650"/>
    </row>
    <row r="434" spans="3:6">
      <c r="C434" s="631"/>
      <c r="D434" s="631"/>
      <c r="E434" s="633"/>
      <c r="F434" s="650"/>
    </row>
    <row r="435" spans="3:6">
      <c r="C435" s="631"/>
      <c r="D435" s="631"/>
      <c r="E435" s="633"/>
      <c r="F435" s="650"/>
    </row>
    <row r="436" spans="3:6">
      <c r="C436" s="631"/>
      <c r="D436" s="631"/>
      <c r="E436" s="633"/>
      <c r="F436" s="650"/>
    </row>
    <row r="437" spans="3:6">
      <c r="C437" s="631"/>
      <c r="D437" s="631"/>
      <c r="E437" s="633"/>
      <c r="F437" s="650"/>
    </row>
    <row r="438" spans="3:6">
      <c r="C438" s="631"/>
      <c r="D438" s="631"/>
      <c r="E438" s="633"/>
      <c r="F438" s="650"/>
    </row>
    <row r="439" spans="3:6">
      <c r="C439" s="631"/>
      <c r="D439" s="631"/>
      <c r="E439" s="633"/>
      <c r="F439" s="650"/>
    </row>
    <row r="440" spans="3:6">
      <c r="C440" s="631"/>
      <c r="D440" s="631"/>
      <c r="E440" s="633"/>
      <c r="F440" s="650"/>
    </row>
    <row r="441" spans="3:6">
      <c r="C441" s="631"/>
      <c r="D441" s="631"/>
      <c r="E441" s="633"/>
      <c r="F441" s="650"/>
    </row>
    <row r="442" spans="3:6">
      <c r="C442" s="631"/>
      <c r="D442" s="631"/>
      <c r="E442" s="633"/>
      <c r="F442" s="650"/>
    </row>
    <row r="443" spans="3:6">
      <c r="C443" s="631"/>
      <c r="D443" s="631"/>
      <c r="E443" s="633"/>
      <c r="F443" s="650"/>
    </row>
    <row r="444" spans="3:6">
      <c r="C444" s="631"/>
      <c r="D444" s="631"/>
      <c r="E444" s="633"/>
      <c r="F444" s="650"/>
    </row>
    <row r="445" spans="3:6">
      <c r="C445" s="631"/>
      <c r="D445" s="631"/>
      <c r="E445" s="633"/>
      <c r="F445" s="650"/>
    </row>
    <row r="446" spans="3:6">
      <c r="C446" s="631"/>
      <c r="D446" s="631"/>
      <c r="E446" s="633"/>
      <c r="F446" s="650"/>
    </row>
    <row r="447" spans="3:6">
      <c r="C447" s="631"/>
      <c r="D447" s="631"/>
      <c r="E447" s="633"/>
      <c r="F447" s="650"/>
    </row>
    <row r="448" spans="3:6">
      <c r="C448" s="631"/>
      <c r="D448" s="631"/>
      <c r="E448" s="633"/>
      <c r="F448" s="650"/>
    </row>
    <row r="449" spans="3:6">
      <c r="C449" s="631"/>
      <c r="D449" s="631"/>
      <c r="E449" s="633"/>
      <c r="F449" s="650"/>
    </row>
    <row r="450" spans="3:6">
      <c r="C450" s="631"/>
      <c r="D450" s="631"/>
      <c r="E450" s="633"/>
      <c r="F450" s="650"/>
    </row>
    <row r="451" spans="3:6">
      <c r="C451" s="631"/>
      <c r="D451" s="631"/>
      <c r="E451" s="633"/>
      <c r="F451" s="650"/>
    </row>
    <row r="452" spans="3:6">
      <c r="C452" s="631"/>
      <c r="D452" s="631"/>
      <c r="E452" s="633"/>
      <c r="F452" s="650"/>
    </row>
    <row r="453" spans="3:6">
      <c r="C453" s="631"/>
      <c r="D453" s="631"/>
      <c r="E453" s="633"/>
      <c r="F453" s="650"/>
    </row>
    <row r="454" spans="3:6">
      <c r="C454" s="631"/>
      <c r="D454" s="631"/>
      <c r="E454" s="633"/>
      <c r="F454" s="650"/>
    </row>
    <row r="455" spans="3:6">
      <c r="C455" s="631"/>
      <c r="D455" s="631"/>
      <c r="E455" s="633"/>
      <c r="F455" s="650"/>
    </row>
    <row r="456" spans="3:6">
      <c r="C456" s="631"/>
      <c r="D456" s="631"/>
      <c r="E456" s="633"/>
      <c r="F456" s="650"/>
    </row>
    <row r="457" spans="3:6">
      <c r="C457" s="631"/>
      <c r="D457" s="631"/>
      <c r="E457" s="633"/>
      <c r="F457" s="650"/>
    </row>
    <row r="458" spans="3:6">
      <c r="C458" s="631"/>
      <c r="D458" s="631"/>
      <c r="E458" s="633"/>
      <c r="F458" s="650"/>
    </row>
    <row r="459" spans="3:6">
      <c r="C459" s="631"/>
      <c r="D459" s="631"/>
      <c r="E459" s="633"/>
      <c r="F459" s="650"/>
    </row>
    <row r="460" spans="3:6">
      <c r="C460" s="631"/>
      <c r="D460" s="631"/>
      <c r="E460" s="633"/>
      <c r="F460" s="650"/>
    </row>
    <row r="461" spans="3:6">
      <c r="C461" s="631"/>
      <c r="D461" s="631"/>
      <c r="E461" s="633"/>
      <c r="F461" s="650"/>
    </row>
    <row r="462" spans="3:6">
      <c r="C462" s="631"/>
      <c r="D462" s="631"/>
      <c r="E462" s="633"/>
      <c r="F462" s="650"/>
    </row>
    <row r="463" spans="3:6">
      <c r="C463" s="631"/>
      <c r="D463" s="631"/>
      <c r="E463" s="633"/>
      <c r="F463" s="650"/>
    </row>
    <row r="464" spans="3:6">
      <c r="C464" s="631"/>
      <c r="D464" s="631"/>
      <c r="E464" s="633"/>
      <c r="F464" s="650"/>
    </row>
    <row r="465" spans="3:6">
      <c r="C465" s="631"/>
      <c r="D465" s="631"/>
      <c r="E465" s="633"/>
      <c r="F465" s="650"/>
    </row>
    <row r="466" spans="3:6">
      <c r="C466" s="631"/>
      <c r="D466" s="631"/>
      <c r="E466" s="633"/>
      <c r="F466" s="650"/>
    </row>
    <row r="467" spans="3:6">
      <c r="C467" s="631"/>
      <c r="D467" s="631"/>
      <c r="E467" s="633"/>
      <c r="F467" s="650"/>
    </row>
    <row r="468" spans="3:6">
      <c r="C468" s="631"/>
      <c r="D468" s="631"/>
      <c r="E468" s="633"/>
      <c r="F468" s="650"/>
    </row>
    <row r="469" spans="3:6">
      <c r="C469" s="631"/>
      <c r="D469" s="631"/>
      <c r="E469" s="633"/>
      <c r="F469" s="650"/>
    </row>
    <row r="470" spans="3:6">
      <c r="C470" s="631"/>
      <c r="D470" s="631"/>
      <c r="E470" s="633"/>
      <c r="F470" s="650"/>
    </row>
    <row r="471" spans="3:6">
      <c r="C471" s="631"/>
      <c r="D471" s="631"/>
      <c r="E471" s="633"/>
      <c r="F471" s="650"/>
    </row>
    <row r="472" spans="3:6">
      <c r="C472" s="631"/>
      <c r="D472" s="631"/>
      <c r="E472" s="633"/>
      <c r="F472" s="650"/>
    </row>
    <row r="473" spans="3:6">
      <c r="C473" s="631"/>
      <c r="D473" s="631"/>
      <c r="E473" s="633"/>
      <c r="F473" s="650"/>
    </row>
    <row r="474" spans="3:6">
      <c r="C474" s="631"/>
      <c r="D474" s="631"/>
      <c r="E474" s="633"/>
      <c r="F474" s="650"/>
    </row>
    <row r="475" spans="3:6">
      <c r="C475" s="631"/>
      <c r="D475" s="631"/>
      <c r="E475" s="633"/>
      <c r="F475" s="650"/>
    </row>
    <row r="476" spans="3:6">
      <c r="C476" s="631"/>
      <c r="D476" s="631"/>
      <c r="E476" s="633"/>
      <c r="F476" s="650"/>
    </row>
    <row r="477" spans="3:6">
      <c r="C477" s="631"/>
      <c r="D477" s="631"/>
      <c r="E477" s="633"/>
      <c r="F477" s="650"/>
    </row>
    <row r="478" spans="3:6">
      <c r="C478" s="631"/>
      <c r="D478" s="631"/>
      <c r="E478" s="633"/>
      <c r="F478" s="650"/>
    </row>
    <row r="479" spans="3:6">
      <c r="C479" s="631"/>
      <c r="D479" s="631"/>
      <c r="E479" s="633"/>
      <c r="F479" s="650"/>
    </row>
    <row r="480" spans="3:6">
      <c r="C480" s="631"/>
      <c r="D480" s="631"/>
      <c r="E480" s="633"/>
      <c r="F480" s="650"/>
    </row>
    <row r="481" spans="3:6">
      <c r="C481" s="631"/>
      <c r="D481" s="631"/>
      <c r="E481" s="633"/>
      <c r="F481" s="650"/>
    </row>
    <row r="482" spans="3:6">
      <c r="C482" s="631"/>
      <c r="D482" s="631"/>
      <c r="E482" s="633"/>
      <c r="F482" s="650"/>
    </row>
    <row r="483" spans="3:6">
      <c r="C483" s="631"/>
      <c r="D483" s="631"/>
      <c r="E483" s="633"/>
      <c r="F483" s="650"/>
    </row>
    <row r="484" spans="3:6">
      <c r="C484" s="631"/>
      <c r="D484" s="631"/>
      <c r="E484" s="633"/>
      <c r="F484" s="650"/>
    </row>
    <row r="485" spans="3:6">
      <c r="C485" s="631"/>
      <c r="D485" s="631"/>
      <c r="E485" s="633"/>
      <c r="F485" s="650"/>
    </row>
    <row r="486" spans="3:6">
      <c r="C486" s="631"/>
      <c r="D486" s="631"/>
      <c r="E486" s="633"/>
      <c r="F486" s="650"/>
    </row>
    <row r="487" spans="3:6">
      <c r="C487" s="631"/>
      <c r="D487" s="631"/>
      <c r="E487" s="633"/>
      <c r="F487" s="650"/>
    </row>
    <row r="488" spans="3:6">
      <c r="C488" s="631"/>
      <c r="D488" s="631"/>
      <c r="E488" s="633"/>
      <c r="F488" s="650"/>
    </row>
    <row r="489" spans="3:6">
      <c r="C489" s="631"/>
      <c r="D489" s="631"/>
      <c r="E489" s="633"/>
      <c r="F489" s="650"/>
    </row>
    <row r="490" spans="3:6">
      <c r="C490" s="631"/>
      <c r="D490" s="631"/>
      <c r="E490" s="633"/>
      <c r="F490" s="650"/>
    </row>
    <row r="491" spans="3:6">
      <c r="C491" s="631"/>
      <c r="D491" s="631"/>
      <c r="E491" s="633"/>
      <c r="F491" s="650"/>
    </row>
    <row r="492" spans="3:6">
      <c r="C492" s="631"/>
      <c r="D492" s="631"/>
      <c r="E492" s="633"/>
      <c r="F492" s="650"/>
    </row>
    <row r="493" spans="3:6">
      <c r="C493" s="631"/>
      <c r="D493" s="631"/>
      <c r="E493" s="633"/>
      <c r="F493" s="650"/>
    </row>
    <row r="494" spans="3:6">
      <c r="C494" s="631"/>
      <c r="D494" s="631"/>
      <c r="E494" s="633"/>
      <c r="F494" s="650"/>
    </row>
    <row r="495" spans="3:6">
      <c r="C495" s="631"/>
      <c r="D495" s="631"/>
      <c r="E495" s="633"/>
      <c r="F495" s="650"/>
    </row>
    <row r="496" spans="3:6">
      <c r="C496" s="631"/>
      <c r="D496" s="631"/>
      <c r="E496" s="633"/>
      <c r="F496" s="650"/>
    </row>
    <row r="497" spans="3:6">
      <c r="C497" s="631"/>
      <c r="D497" s="631"/>
      <c r="E497" s="633"/>
      <c r="F497" s="650"/>
    </row>
    <row r="498" spans="3:6">
      <c r="C498" s="631"/>
      <c r="D498" s="631"/>
      <c r="E498" s="633"/>
      <c r="F498" s="650"/>
    </row>
    <row r="499" spans="3:6">
      <c r="C499" s="631"/>
      <c r="D499" s="631"/>
      <c r="E499" s="633"/>
      <c r="F499" s="650"/>
    </row>
    <row r="500" spans="3:6">
      <c r="C500" s="631"/>
      <c r="D500" s="631"/>
      <c r="E500" s="633"/>
      <c r="F500" s="650"/>
    </row>
    <row r="501" spans="3:6">
      <c r="C501" s="631"/>
      <c r="D501" s="631"/>
      <c r="E501" s="633"/>
      <c r="F501" s="650"/>
    </row>
    <row r="502" spans="3:6">
      <c r="C502" s="631"/>
      <c r="D502" s="631"/>
      <c r="E502" s="633"/>
      <c r="F502" s="650"/>
    </row>
    <row r="503" spans="3:6">
      <c r="C503" s="631"/>
      <c r="D503" s="631"/>
      <c r="E503" s="633"/>
      <c r="F503" s="650"/>
    </row>
    <row r="504" spans="3:6">
      <c r="C504" s="631"/>
      <c r="D504" s="631"/>
      <c r="E504" s="633"/>
      <c r="F504" s="650"/>
    </row>
    <row r="505" spans="3:6">
      <c r="C505" s="631"/>
      <c r="D505" s="631"/>
      <c r="E505" s="633"/>
      <c r="F505" s="650"/>
    </row>
    <row r="506" spans="3:6">
      <c r="C506" s="631"/>
      <c r="D506" s="631"/>
      <c r="E506" s="633"/>
      <c r="F506" s="650"/>
    </row>
    <row r="507" spans="3:6">
      <c r="C507" s="631"/>
      <c r="D507" s="631"/>
      <c r="E507" s="633"/>
      <c r="F507" s="650"/>
    </row>
    <row r="508" spans="3:6">
      <c r="C508" s="631"/>
      <c r="D508" s="631"/>
      <c r="E508" s="633"/>
      <c r="F508" s="650"/>
    </row>
    <row r="509" spans="3:6">
      <c r="C509" s="631"/>
      <c r="D509" s="631"/>
      <c r="E509" s="633"/>
      <c r="F509" s="650"/>
    </row>
    <row r="510" spans="3:6">
      <c r="C510" s="631"/>
      <c r="D510" s="631"/>
      <c r="E510" s="633"/>
      <c r="F510" s="650"/>
    </row>
    <row r="511" spans="3:6">
      <c r="C511" s="631"/>
      <c r="D511" s="631"/>
      <c r="E511" s="633"/>
      <c r="F511" s="650"/>
    </row>
    <row r="512" spans="3:6">
      <c r="C512" s="631"/>
      <c r="D512" s="631"/>
      <c r="E512" s="633"/>
      <c r="F512" s="650"/>
    </row>
    <row r="513" spans="3:6">
      <c r="C513" s="631"/>
      <c r="D513" s="631"/>
      <c r="E513" s="633"/>
      <c r="F513" s="650"/>
    </row>
    <row r="514" spans="3:6">
      <c r="C514" s="631"/>
      <c r="D514" s="631"/>
      <c r="E514" s="633"/>
      <c r="F514" s="650"/>
    </row>
    <row r="515" spans="3:6">
      <c r="C515" s="631"/>
      <c r="D515" s="631"/>
      <c r="E515" s="633"/>
      <c r="F515" s="650"/>
    </row>
    <row r="516" spans="3:6">
      <c r="C516" s="631"/>
      <c r="D516" s="631"/>
      <c r="E516" s="633"/>
      <c r="F516" s="650"/>
    </row>
    <row r="517" spans="3:6">
      <c r="C517" s="631"/>
      <c r="D517" s="631"/>
      <c r="E517" s="633"/>
      <c r="F517" s="650"/>
    </row>
    <row r="518" spans="3:6">
      <c r="C518" s="631"/>
      <c r="D518" s="631"/>
      <c r="E518" s="633"/>
      <c r="F518" s="650"/>
    </row>
    <row r="519" spans="3:6">
      <c r="C519" s="631"/>
      <c r="D519" s="631"/>
      <c r="E519" s="633"/>
      <c r="F519" s="650"/>
    </row>
    <row r="520" spans="3:6">
      <c r="C520" s="631"/>
      <c r="D520" s="631"/>
      <c r="E520" s="633"/>
      <c r="F520" s="650"/>
    </row>
    <row r="521" spans="3:6">
      <c r="C521" s="631"/>
      <c r="D521" s="631"/>
      <c r="E521" s="633"/>
      <c r="F521" s="650"/>
    </row>
    <row r="522" spans="3:6">
      <c r="C522" s="631"/>
      <c r="D522" s="631"/>
      <c r="E522" s="633"/>
      <c r="F522" s="650"/>
    </row>
    <row r="523" spans="3:6">
      <c r="C523" s="631"/>
      <c r="D523" s="631"/>
      <c r="E523" s="633"/>
      <c r="F523" s="650"/>
    </row>
    <row r="524" spans="3:6">
      <c r="C524" s="631"/>
      <c r="D524" s="631"/>
      <c r="E524" s="633"/>
      <c r="F524" s="650"/>
    </row>
    <row r="525" spans="3:6">
      <c r="C525" s="631"/>
      <c r="D525" s="631"/>
      <c r="E525" s="633"/>
      <c r="F525" s="650"/>
    </row>
    <row r="526" spans="3:6">
      <c r="C526" s="631"/>
      <c r="D526" s="631"/>
      <c r="E526" s="633"/>
      <c r="F526" s="650"/>
    </row>
    <row r="527" spans="3:6">
      <c r="C527" s="631"/>
      <c r="D527" s="631"/>
      <c r="E527" s="633"/>
      <c r="F527" s="650"/>
    </row>
    <row r="528" spans="3:6">
      <c r="C528" s="631"/>
      <c r="D528" s="631"/>
      <c r="E528" s="633"/>
      <c r="F528" s="650"/>
    </row>
    <row r="529" spans="3:6">
      <c r="C529" s="631"/>
      <c r="D529" s="631"/>
      <c r="E529" s="633"/>
      <c r="F529" s="650"/>
    </row>
    <row r="530" spans="3:6">
      <c r="C530" s="631"/>
      <c r="D530" s="631"/>
      <c r="E530" s="633"/>
      <c r="F530" s="650"/>
    </row>
    <row r="531" spans="3:6">
      <c r="C531" s="631"/>
      <c r="D531" s="631"/>
      <c r="E531" s="633"/>
      <c r="F531" s="650"/>
    </row>
    <row r="532" spans="3:6">
      <c r="C532" s="631"/>
      <c r="D532" s="631"/>
      <c r="E532" s="633"/>
      <c r="F532" s="650"/>
    </row>
    <row r="533" spans="3:6">
      <c r="C533" s="631"/>
      <c r="D533" s="631"/>
      <c r="E533" s="633"/>
      <c r="F533" s="650"/>
    </row>
    <row r="534" spans="3:6">
      <c r="C534" s="631"/>
      <c r="D534" s="631"/>
      <c r="E534" s="633"/>
      <c r="F534" s="650"/>
    </row>
    <row r="535" spans="3:6">
      <c r="C535" s="631"/>
      <c r="D535" s="631"/>
      <c r="E535" s="633"/>
      <c r="F535" s="650"/>
    </row>
    <row r="536" spans="3:6">
      <c r="C536" s="631"/>
      <c r="D536" s="631"/>
      <c r="E536" s="633"/>
      <c r="F536" s="650"/>
    </row>
    <row r="537" spans="3:6">
      <c r="C537" s="631"/>
      <c r="D537" s="631"/>
      <c r="E537" s="633"/>
      <c r="F537" s="650"/>
    </row>
    <row r="538" spans="3:6">
      <c r="C538" s="631"/>
      <c r="D538" s="631"/>
      <c r="E538" s="633"/>
      <c r="F538" s="650"/>
    </row>
    <row r="539" spans="3:6">
      <c r="C539" s="631"/>
      <c r="D539" s="631"/>
      <c r="E539" s="633"/>
      <c r="F539" s="650"/>
    </row>
    <row r="540" spans="3:6">
      <c r="C540" s="631"/>
      <c r="D540" s="631"/>
      <c r="E540" s="633"/>
      <c r="F540" s="650"/>
    </row>
    <row r="541" spans="3:6">
      <c r="C541" s="631"/>
      <c r="D541" s="631"/>
      <c r="E541" s="633"/>
      <c r="F541" s="650"/>
    </row>
    <row r="542" spans="3:6">
      <c r="C542" s="631"/>
      <c r="D542" s="631"/>
      <c r="E542" s="633"/>
      <c r="F542" s="650"/>
    </row>
    <row r="543" spans="3:6">
      <c r="C543" s="631"/>
      <c r="D543" s="631"/>
      <c r="E543" s="633"/>
      <c r="F543" s="650"/>
    </row>
    <row r="544" spans="3:6">
      <c r="C544" s="631"/>
      <c r="D544" s="631"/>
      <c r="E544" s="633"/>
      <c r="F544" s="650"/>
    </row>
    <row r="545" spans="3:6">
      <c r="C545" s="631"/>
      <c r="D545" s="631"/>
      <c r="E545" s="633"/>
      <c r="F545" s="650"/>
    </row>
    <row r="546" spans="3:6">
      <c r="C546" s="631"/>
      <c r="D546" s="631"/>
      <c r="E546" s="633"/>
      <c r="F546" s="650"/>
    </row>
    <row r="547" spans="3:6">
      <c r="C547" s="631"/>
      <c r="D547" s="631"/>
      <c r="E547" s="633"/>
      <c r="F547" s="650"/>
    </row>
    <row r="548" spans="3:6">
      <c r="C548" s="631"/>
      <c r="D548" s="631"/>
      <c r="E548" s="633"/>
      <c r="F548" s="650"/>
    </row>
    <row r="549" spans="3:6">
      <c r="C549" s="631"/>
      <c r="D549" s="631"/>
      <c r="E549" s="633"/>
      <c r="F549" s="650"/>
    </row>
    <row r="550" spans="3:6">
      <c r="C550" s="631"/>
      <c r="D550" s="631"/>
      <c r="E550" s="633"/>
      <c r="F550" s="650"/>
    </row>
    <row r="551" spans="3:6">
      <c r="C551" s="631"/>
      <c r="D551" s="631"/>
      <c r="E551" s="633"/>
      <c r="F551" s="650"/>
    </row>
    <row r="552" spans="3:6">
      <c r="C552" s="631"/>
      <c r="D552" s="631"/>
      <c r="E552" s="633"/>
      <c r="F552" s="650"/>
    </row>
    <row r="553" spans="3:6">
      <c r="C553" s="631"/>
      <c r="D553" s="631"/>
      <c r="E553" s="633"/>
      <c r="F553" s="650"/>
    </row>
    <row r="554" spans="3:6">
      <c r="C554" s="631"/>
      <c r="D554" s="631"/>
      <c r="E554" s="633"/>
      <c r="F554" s="650"/>
    </row>
    <row r="555" spans="3:6">
      <c r="C555" s="631"/>
      <c r="D555" s="631"/>
      <c r="E555" s="633"/>
      <c r="F555" s="650"/>
    </row>
    <row r="556" spans="3:6">
      <c r="C556" s="631"/>
      <c r="D556" s="631"/>
      <c r="E556" s="633"/>
      <c r="F556" s="650"/>
    </row>
    <row r="557" spans="3:6">
      <c r="C557" s="631"/>
      <c r="D557" s="631"/>
      <c r="E557" s="633"/>
      <c r="F557" s="650"/>
    </row>
    <row r="558" spans="3:6">
      <c r="C558" s="631"/>
      <c r="D558" s="631"/>
      <c r="E558" s="633"/>
      <c r="F558" s="650"/>
    </row>
    <row r="559" spans="3:6">
      <c r="C559" s="631"/>
      <c r="D559" s="631"/>
      <c r="E559" s="633"/>
      <c r="F559" s="650"/>
    </row>
    <row r="560" spans="3:6">
      <c r="C560" s="631"/>
      <c r="D560" s="631"/>
      <c r="E560" s="633"/>
      <c r="F560" s="650"/>
    </row>
    <row r="561" spans="3:6">
      <c r="C561" s="631"/>
      <c r="D561" s="631"/>
      <c r="E561" s="633"/>
      <c r="F561" s="650"/>
    </row>
    <row r="562" spans="3:6">
      <c r="C562" s="631"/>
      <c r="D562" s="631"/>
      <c r="E562" s="633"/>
      <c r="F562" s="650"/>
    </row>
    <row r="563" spans="3:6">
      <c r="C563" s="631"/>
      <c r="D563" s="631"/>
      <c r="E563" s="633"/>
      <c r="F563" s="650"/>
    </row>
    <row r="564" spans="3:6">
      <c r="C564" s="631"/>
      <c r="D564" s="631"/>
      <c r="E564" s="633"/>
      <c r="F564" s="650"/>
    </row>
    <row r="565" spans="3:6">
      <c r="C565" s="631"/>
      <c r="D565" s="631"/>
      <c r="E565" s="633"/>
      <c r="F565" s="650"/>
    </row>
    <row r="566" spans="3:6">
      <c r="C566" s="631"/>
      <c r="D566" s="631"/>
      <c r="E566" s="633"/>
      <c r="F566" s="650"/>
    </row>
    <row r="567" spans="3:6">
      <c r="C567" s="631"/>
      <c r="D567" s="631"/>
      <c r="E567" s="633"/>
      <c r="F567" s="650"/>
    </row>
    <row r="568" spans="3:6">
      <c r="C568" s="631"/>
      <c r="D568" s="631"/>
      <c r="E568" s="633"/>
      <c r="F568" s="650"/>
    </row>
    <row r="569" spans="3:6">
      <c r="C569" s="631"/>
      <c r="D569" s="631"/>
      <c r="E569" s="633"/>
      <c r="F569" s="650"/>
    </row>
    <row r="570" spans="3:6">
      <c r="C570" s="631"/>
      <c r="D570" s="631"/>
      <c r="E570" s="633"/>
      <c r="F570" s="650"/>
    </row>
    <row r="571" spans="3:6">
      <c r="C571" s="631"/>
      <c r="D571" s="631"/>
      <c r="E571" s="633"/>
      <c r="F571" s="650"/>
    </row>
    <row r="572" spans="3:6">
      <c r="C572" s="631"/>
      <c r="D572" s="631"/>
      <c r="E572" s="633"/>
      <c r="F572" s="650"/>
    </row>
    <row r="573" spans="3:6">
      <c r="C573" s="631"/>
      <c r="D573" s="631"/>
      <c r="E573" s="633"/>
      <c r="F573" s="650"/>
    </row>
    <row r="574" spans="3:6">
      <c r="C574" s="631"/>
      <c r="D574" s="631"/>
      <c r="E574" s="633"/>
      <c r="F574" s="650"/>
    </row>
    <row r="575" spans="3:6">
      <c r="C575" s="631"/>
      <c r="D575" s="631"/>
      <c r="E575" s="633"/>
      <c r="F575" s="650"/>
    </row>
    <row r="576" spans="3:6">
      <c r="C576" s="631"/>
      <c r="D576" s="631"/>
      <c r="E576" s="633"/>
      <c r="F576" s="650"/>
    </row>
    <row r="577" spans="3:6">
      <c r="C577" s="631"/>
      <c r="D577" s="631"/>
      <c r="E577" s="633"/>
      <c r="F577" s="650"/>
    </row>
    <row r="578" spans="3:6">
      <c r="C578" s="631"/>
      <c r="D578" s="631"/>
      <c r="E578" s="633"/>
      <c r="F578" s="650"/>
    </row>
    <row r="579" spans="3:6">
      <c r="C579" s="631"/>
      <c r="D579" s="631"/>
      <c r="E579" s="633"/>
      <c r="F579" s="650"/>
    </row>
    <row r="580" spans="3:6">
      <c r="C580" s="631"/>
      <c r="D580" s="631"/>
      <c r="E580" s="633"/>
      <c r="F580" s="650"/>
    </row>
    <row r="581" spans="3:6">
      <c r="C581" s="631"/>
      <c r="D581" s="631"/>
      <c r="E581" s="633"/>
      <c r="F581" s="650"/>
    </row>
    <row r="582" spans="3:6">
      <c r="C582" s="631"/>
      <c r="D582" s="631"/>
      <c r="E582" s="633"/>
      <c r="F582" s="650"/>
    </row>
    <row r="583" spans="3:6">
      <c r="C583" s="631"/>
      <c r="D583" s="631"/>
      <c r="E583" s="633"/>
      <c r="F583" s="650"/>
    </row>
    <row r="584" spans="3:6">
      <c r="C584" s="631"/>
      <c r="D584" s="631"/>
      <c r="E584" s="633"/>
      <c r="F584" s="650"/>
    </row>
    <row r="585" spans="3:6">
      <c r="C585" s="631"/>
      <c r="D585" s="631"/>
      <c r="E585" s="633"/>
      <c r="F585" s="650"/>
    </row>
    <row r="586" spans="3:6">
      <c r="C586" s="631"/>
      <c r="D586" s="631"/>
      <c r="E586" s="633"/>
      <c r="F586" s="650"/>
    </row>
    <row r="587" spans="3:6">
      <c r="C587" s="631"/>
      <c r="D587" s="631"/>
      <c r="E587" s="633"/>
      <c r="F587" s="650"/>
    </row>
    <row r="588" spans="3:6">
      <c r="C588" s="631"/>
      <c r="D588" s="631"/>
      <c r="E588" s="633"/>
      <c r="F588" s="650"/>
    </row>
    <row r="589" spans="3:6">
      <c r="C589" s="631"/>
      <c r="D589" s="631"/>
      <c r="E589" s="633"/>
      <c r="F589" s="650"/>
    </row>
    <row r="590" spans="3:6">
      <c r="C590" s="631"/>
      <c r="D590" s="631"/>
      <c r="E590" s="633"/>
      <c r="F590" s="650"/>
    </row>
    <row r="591" spans="3:6">
      <c r="C591" s="631"/>
      <c r="D591" s="631"/>
      <c r="E591" s="633"/>
      <c r="F591" s="650"/>
    </row>
    <row r="592" spans="3:6">
      <c r="C592" s="631"/>
      <c r="D592" s="631"/>
      <c r="E592" s="633"/>
      <c r="F592" s="650"/>
    </row>
    <row r="593" spans="3:6">
      <c r="C593" s="631"/>
      <c r="D593" s="631"/>
      <c r="E593" s="633"/>
      <c r="F593" s="650"/>
    </row>
    <row r="594" spans="3:6">
      <c r="C594" s="631"/>
      <c r="D594" s="631"/>
      <c r="E594" s="633"/>
      <c r="F594" s="650"/>
    </row>
    <row r="595" spans="3:6">
      <c r="C595" s="631"/>
      <c r="D595" s="631"/>
      <c r="E595" s="633"/>
      <c r="F595" s="650"/>
    </row>
    <row r="596" spans="3:6">
      <c r="C596" s="631"/>
      <c r="D596" s="631"/>
      <c r="E596" s="633"/>
      <c r="F596" s="650"/>
    </row>
    <row r="597" spans="3:6">
      <c r="C597" s="631"/>
      <c r="D597" s="631"/>
      <c r="E597" s="633"/>
      <c r="F597" s="650"/>
    </row>
    <row r="598" spans="3:6">
      <c r="C598" s="631"/>
      <c r="D598" s="631"/>
      <c r="E598" s="633"/>
      <c r="F598" s="650"/>
    </row>
    <row r="599" spans="3:6">
      <c r="C599" s="631"/>
      <c r="D599" s="631"/>
      <c r="E599" s="633"/>
      <c r="F599" s="650"/>
    </row>
    <row r="600" spans="3:6">
      <c r="C600" s="631"/>
      <c r="D600" s="631"/>
      <c r="E600" s="633"/>
      <c r="F600" s="650"/>
    </row>
    <row r="601" spans="3:6">
      <c r="C601" s="631"/>
      <c r="D601" s="631"/>
      <c r="E601" s="633"/>
      <c r="F601" s="650"/>
    </row>
    <row r="602" spans="3:6">
      <c r="C602" s="631"/>
      <c r="D602" s="631"/>
      <c r="E602" s="633"/>
      <c r="F602" s="650"/>
    </row>
    <row r="603" spans="3:6">
      <c r="C603" s="631"/>
      <c r="D603" s="631"/>
      <c r="E603" s="633"/>
      <c r="F603" s="650"/>
    </row>
    <row r="604" spans="3:6">
      <c r="C604" s="631"/>
      <c r="D604" s="631"/>
      <c r="E604" s="633"/>
      <c r="F604" s="650"/>
    </row>
    <row r="605" spans="3:6">
      <c r="C605" s="631"/>
      <c r="D605" s="631"/>
      <c r="E605" s="633"/>
      <c r="F605" s="650"/>
    </row>
    <row r="606" spans="3:6">
      <c r="C606" s="631"/>
      <c r="D606" s="631"/>
      <c r="E606" s="633"/>
      <c r="F606" s="650"/>
    </row>
    <row r="607" spans="3:6">
      <c r="C607" s="631"/>
      <c r="D607" s="631"/>
      <c r="E607" s="633"/>
      <c r="F607" s="650"/>
    </row>
    <row r="608" spans="3:6">
      <c r="C608" s="631"/>
      <c r="D608" s="631"/>
      <c r="E608" s="633"/>
      <c r="F608" s="650"/>
    </row>
    <row r="609" spans="3:6">
      <c r="C609" s="631"/>
      <c r="D609" s="631"/>
      <c r="E609" s="633"/>
      <c r="F609" s="650"/>
    </row>
    <row r="610" spans="3:6">
      <c r="C610" s="631"/>
      <c r="D610" s="631"/>
      <c r="E610" s="633"/>
      <c r="F610" s="650"/>
    </row>
    <row r="611" spans="3:6">
      <c r="C611" s="631"/>
      <c r="D611" s="631"/>
      <c r="E611" s="633"/>
      <c r="F611" s="650"/>
    </row>
    <row r="612" spans="3:6">
      <c r="C612" s="631"/>
      <c r="D612" s="631"/>
      <c r="E612" s="633"/>
      <c r="F612" s="650"/>
    </row>
    <row r="613" spans="3:6">
      <c r="C613" s="631"/>
      <c r="D613" s="631"/>
      <c r="E613" s="633"/>
      <c r="F613" s="650"/>
    </row>
    <row r="614" spans="3:6">
      <c r="C614" s="631"/>
      <c r="D614" s="631"/>
      <c r="E614" s="633"/>
      <c r="F614" s="650"/>
    </row>
    <row r="615" spans="3:6">
      <c r="C615" s="631"/>
      <c r="D615" s="631"/>
      <c r="E615" s="633"/>
      <c r="F615" s="650"/>
    </row>
    <row r="616" spans="3:6">
      <c r="C616" s="631"/>
      <c r="D616" s="631"/>
      <c r="E616" s="633"/>
      <c r="F616" s="650"/>
    </row>
    <row r="617" spans="3:6">
      <c r="C617" s="631"/>
      <c r="D617" s="631"/>
      <c r="E617" s="633"/>
      <c r="F617" s="650"/>
    </row>
    <row r="618" spans="3:6">
      <c r="C618" s="631"/>
      <c r="D618" s="631"/>
      <c r="E618" s="633"/>
      <c r="F618" s="650"/>
    </row>
    <row r="619" spans="3:6">
      <c r="C619" s="631"/>
      <c r="D619" s="631"/>
      <c r="E619" s="633"/>
      <c r="F619" s="650"/>
    </row>
    <row r="620" spans="3:6">
      <c r="C620" s="631"/>
      <c r="D620" s="631"/>
      <c r="E620" s="633"/>
      <c r="F620" s="650"/>
    </row>
    <row r="621" spans="3:6">
      <c r="C621" s="631"/>
      <c r="D621" s="631"/>
      <c r="E621" s="633"/>
      <c r="F621" s="650"/>
    </row>
    <row r="622" spans="3:6">
      <c r="C622" s="631"/>
      <c r="D622" s="631"/>
      <c r="E622" s="633"/>
      <c r="F622" s="650"/>
    </row>
    <row r="623" spans="3:6">
      <c r="C623" s="631"/>
      <c r="D623" s="631"/>
      <c r="E623" s="633"/>
      <c r="F623" s="650"/>
    </row>
    <row r="624" spans="3:6">
      <c r="C624" s="631"/>
      <c r="D624" s="631"/>
      <c r="E624" s="633"/>
      <c r="F624" s="650"/>
    </row>
    <row r="625" spans="3:6">
      <c r="C625" s="631"/>
      <c r="D625" s="631"/>
      <c r="E625" s="633"/>
      <c r="F625" s="650"/>
    </row>
    <row r="626" spans="3:6">
      <c r="C626" s="631"/>
      <c r="D626" s="631"/>
      <c r="E626" s="633"/>
      <c r="F626" s="650"/>
    </row>
    <row r="627" spans="3:6">
      <c r="C627" s="631"/>
      <c r="D627" s="631"/>
      <c r="E627" s="633"/>
      <c r="F627" s="650"/>
    </row>
    <row r="628" spans="3:6">
      <c r="C628" s="631"/>
      <c r="D628" s="631"/>
      <c r="E628" s="633"/>
      <c r="F628" s="650"/>
    </row>
    <row r="629" spans="3:6">
      <c r="C629" s="631"/>
      <c r="D629" s="631"/>
      <c r="E629" s="633"/>
      <c r="F629" s="650"/>
    </row>
    <row r="630" spans="3:6">
      <c r="C630" s="631"/>
      <c r="D630" s="631"/>
      <c r="E630" s="633"/>
      <c r="F630" s="650"/>
    </row>
    <row r="631" spans="3:6">
      <c r="C631" s="631"/>
      <c r="D631" s="631"/>
      <c r="E631" s="633"/>
      <c r="F631" s="650"/>
    </row>
    <row r="632" spans="3:6">
      <c r="C632" s="631"/>
      <c r="D632" s="631"/>
      <c r="E632" s="633"/>
      <c r="F632" s="650"/>
    </row>
    <row r="633" spans="3:6">
      <c r="C633" s="631"/>
      <c r="D633" s="631"/>
      <c r="E633" s="633"/>
      <c r="F633" s="650"/>
    </row>
    <row r="634" spans="3:6">
      <c r="C634" s="631"/>
      <c r="D634" s="631"/>
      <c r="E634" s="633"/>
      <c r="F634" s="650"/>
    </row>
    <row r="635" spans="3:6">
      <c r="C635" s="631"/>
      <c r="D635" s="631"/>
      <c r="E635" s="633"/>
      <c r="F635" s="650"/>
    </row>
    <row r="636" spans="3:6">
      <c r="C636" s="631"/>
      <c r="D636" s="631"/>
      <c r="E636" s="633"/>
      <c r="F636" s="650"/>
    </row>
    <row r="637" spans="3:6">
      <c r="C637" s="631"/>
      <c r="D637" s="631"/>
      <c r="E637" s="633"/>
      <c r="F637" s="650"/>
    </row>
    <row r="638" spans="3:6">
      <c r="C638" s="631"/>
      <c r="D638" s="631"/>
      <c r="E638" s="633"/>
      <c r="F638" s="650"/>
    </row>
    <row r="639" spans="3:6">
      <c r="C639" s="631"/>
      <c r="D639" s="631"/>
      <c r="E639" s="633"/>
      <c r="F639" s="650"/>
    </row>
    <row r="640" spans="3:6">
      <c r="C640" s="631"/>
      <c r="D640" s="631"/>
      <c r="E640" s="633"/>
      <c r="F640" s="650"/>
    </row>
    <row r="641" spans="3:6">
      <c r="C641" s="631"/>
      <c r="D641" s="631"/>
      <c r="E641" s="633"/>
      <c r="F641" s="650"/>
    </row>
    <row r="642" spans="3:6">
      <c r="C642" s="631"/>
      <c r="D642" s="631"/>
      <c r="E642" s="633"/>
      <c r="F642" s="650"/>
    </row>
    <row r="643" spans="3:6">
      <c r="C643" s="631"/>
      <c r="D643" s="631"/>
      <c r="E643" s="633"/>
      <c r="F643" s="650"/>
    </row>
    <row r="644" spans="3:6">
      <c r="C644" s="631"/>
      <c r="D644" s="631"/>
      <c r="E644" s="633"/>
      <c r="F644" s="650"/>
    </row>
    <row r="645" spans="3:6">
      <c r="C645" s="631"/>
      <c r="D645" s="631"/>
      <c r="E645" s="633"/>
      <c r="F645" s="650"/>
    </row>
    <row r="646" spans="3:6">
      <c r="C646" s="631"/>
      <c r="D646" s="631"/>
      <c r="E646" s="633"/>
      <c r="F646" s="650"/>
    </row>
    <row r="647" spans="3:6">
      <c r="C647" s="631"/>
      <c r="D647" s="631"/>
      <c r="E647" s="633"/>
      <c r="F647" s="650"/>
    </row>
    <row r="648" spans="3:6">
      <c r="C648" s="631"/>
      <c r="D648" s="631"/>
      <c r="E648" s="633"/>
      <c r="F648" s="650"/>
    </row>
    <row r="649" spans="3:6">
      <c r="C649" s="631"/>
      <c r="D649" s="631"/>
      <c r="E649" s="633"/>
      <c r="F649" s="650"/>
    </row>
    <row r="650" spans="3:6">
      <c r="C650" s="631"/>
      <c r="D650" s="631"/>
      <c r="E650" s="633"/>
      <c r="F650" s="650"/>
    </row>
    <row r="651" spans="3:6">
      <c r="C651" s="631"/>
      <c r="D651" s="631"/>
      <c r="E651" s="633"/>
      <c r="F651" s="650"/>
    </row>
    <row r="652" spans="3:6">
      <c r="C652" s="631"/>
      <c r="D652" s="631"/>
      <c r="E652" s="633"/>
      <c r="F652" s="650"/>
    </row>
    <row r="653" spans="3:6">
      <c r="C653" s="631"/>
      <c r="D653" s="631"/>
      <c r="E653" s="633"/>
      <c r="F653" s="650"/>
    </row>
    <row r="654" spans="3:6">
      <c r="C654" s="631"/>
      <c r="D654" s="631"/>
      <c r="E654" s="633"/>
      <c r="F654" s="650"/>
    </row>
    <row r="655" spans="3:6">
      <c r="C655" s="631"/>
      <c r="D655" s="631"/>
      <c r="E655" s="633"/>
      <c r="F655" s="650"/>
    </row>
    <row r="656" spans="3:6">
      <c r="C656" s="631"/>
      <c r="D656" s="631"/>
      <c r="E656" s="633"/>
      <c r="F656" s="650"/>
    </row>
    <row r="657" spans="3:6">
      <c r="C657" s="631"/>
      <c r="D657" s="631"/>
      <c r="E657" s="633"/>
      <c r="F657" s="650"/>
    </row>
    <row r="658" spans="3:6">
      <c r="C658" s="631"/>
      <c r="D658" s="631"/>
      <c r="E658" s="633"/>
      <c r="F658" s="650"/>
    </row>
    <row r="659" spans="3:6">
      <c r="C659" s="631"/>
      <c r="D659" s="631"/>
      <c r="E659" s="633"/>
      <c r="F659" s="650"/>
    </row>
    <row r="660" spans="3:6">
      <c r="C660" s="631"/>
      <c r="D660" s="631"/>
      <c r="E660" s="633"/>
      <c r="F660" s="650"/>
    </row>
    <row r="661" spans="3:6">
      <c r="C661" s="631"/>
      <c r="D661" s="631"/>
      <c r="E661" s="633"/>
      <c r="F661" s="650"/>
    </row>
    <row r="662" spans="3:6">
      <c r="C662" s="631"/>
      <c r="D662" s="631"/>
      <c r="E662" s="633"/>
      <c r="F662" s="650"/>
    </row>
    <row r="663" spans="3:6">
      <c r="C663" s="631"/>
      <c r="D663" s="631"/>
      <c r="E663" s="633"/>
      <c r="F663" s="650"/>
    </row>
    <row r="664" spans="3:6">
      <c r="C664" s="631"/>
      <c r="D664" s="631"/>
      <c r="E664" s="633"/>
      <c r="F664" s="650"/>
    </row>
    <row r="665" spans="3:6">
      <c r="C665" s="631"/>
      <c r="D665" s="631"/>
      <c r="E665" s="633"/>
      <c r="F665" s="650"/>
    </row>
    <row r="666" spans="3:6">
      <c r="C666" s="631"/>
      <c r="D666" s="631"/>
      <c r="E666" s="633"/>
      <c r="F666" s="650"/>
    </row>
    <row r="667" spans="3:6">
      <c r="C667" s="631"/>
      <c r="D667" s="631"/>
      <c r="E667" s="633"/>
      <c r="F667" s="650"/>
    </row>
    <row r="668" spans="3:6">
      <c r="C668" s="631"/>
      <c r="D668" s="631"/>
      <c r="E668" s="633"/>
      <c r="F668" s="650"/>
    </row>
    <row r="669" spans="3:6">
      <c r="C669" s="631"/>
      <c r="D669" s="631"/>
      <c r="E669" s="633"/>
      <c r="F669" s="650"/>
    </row>
    <row r="670" spans="3:6">
      <c r="C670" s="631"/>
      <c r="D670" s="631"/>
      <c r="E670" s="633"/>
      <c r="F670" s="650"/>
    </row>
    <row r="671" spans="3:6">
      <c r="C671" s="631"/>
      <c r="D671" s="631"/>
      <c r="E671" s="633"/>
      <c r="F671" s="650"/>
    </row>
    <row r="672" spans="3:6">
      <c r="C672" s="631"/>
      <c r="D672" s="631"/>
      <c r="E672" s="633"/>
      <c r="F672" s="650"/>
    </row>
    <row r="673" spans="3:6">
      <c r="C673" s="631"/>
      <c r="D673" s="631"/>
      <c r="E673" s="633"/>
      <c r="F673" s="650"/>
    </row>
    <row r="674" spans="3:6">
      <c r="C674" s="631"/>
      <c r="D674" s="631"/>
      <c r="E674" s="633"/>
      <c r="F674" s="650"/>
    </row>
    <row r="675" spans="3:6">
      <c r="C675" s="631"/>
      <c r="D675" s="631"/>
      <c r="E675" s="633"/>
      <c r="F675" s="650"/>
    </row>
    <row r="676" spans="3:6">
      <c r="C676" s="631"/>
      <c r="D676" s="631"/>
      <c r="E676" s="633"/>
      <c r="F676" s="650"/>
    </row>
    <row r="677" spans="3:6">
      <c r="C677" s="631"/>
      <c r="D677" s="631"/>
      <c r="E677" s="633"/>
      <c r="F677" s="650"/>
    </row>
    <row r="678" spans="3:6">
      <c r="C678" s="631"/>
      <c r="D678" s="631"/>
      <c r="E678" s="633"/>
      <c r="F678" s="650"/>
    </row>
    <row r="679" spans="3:6">
      <c r="C679" s="631"/>
      <c r="D679" s="631"/>
      <c r="E679" s="633"/>
      <c r="F679" s="650"/>
    </row>
    <row r="680" spans="3:6">
      <c r="C680" s="631"/>
      <c r="D680" s="631"/>
      <c r="E680" s="633"/>
      <c r="F680" s="650"/>
    </row>
    <row r="681" spans="3:6">
      <c r="C681" s="631"/>
      <c r="D681" s="631"/>
      <c r="E681" s="633"/>
      <c r="F681" s="650"/>
    </row>
    <row r="682" spans="3:6">
      <c r="C682" s="631"/>
      <c r="D682" s="631"/>
      <c r="E682" s="633"/>
      <c r="F682" s="650"/>
    </row>
    <row r="683" spans="3:6">
      <c r="C683" s="631"/>
      <c r="D683" s="631"/>
      <c r="E683" s="633"/>
      <c r="F683" s="650"/>
    </row>
    <row r="684" spans="3:6">
      <c r="C684" s="631"/>
      <c r="D684" s="631"/>
      <c r="E684" s="633"/>
      <c r="F684" s="650"/>
    </row>
    <row r="685" spans="3:6">
      <c r="C685" s="631"/>
      <c r="D685" s="631"/>
      <c r="E685" s="633"/>
      <c r="F685" s="650"/>
    </row>
    <row r="686" spans="3:6">
      <c r="C686" s="631"/>
      <c r="D686" s="631"/>
      <c r="E686" s="633"/>
      <c r="F686" s="650"/>
    </row>
    <row r="687" spans="3:6">
      <c r="C687" s="631"/>
      <c r="D687" s="631"/>
      <c r="E687" s="633"/>
      <c r="F687" s="650"/>
    </row>
    <row r="688" spans="3:6">
      <c r="C688" s="631"/>
      <c r="D688" s="631"/>
      <c r="E688" s="633"/>
      <c r="F688" s="650"/>
    </row>
    <row r="689" spans="3:6">
      <c r="C689" s="631"/>
      <c r="D689" s="631"/>
      <c r="E689" s="633"/>
      <c r="F689" s="650"/>
    </row>
    <row r="690" spans="3:6">
      <c r="C690" s="631"/>
      <c r="D690" s="631"/>
      <c r="E690" s="633"/>
      <c r="F690" s="650"/>
    </row>
    <row r="691" spans="3:6">
      <c r="C691" s="631"/>
      <c r="D691" s="631"/>
      <c r="E691" s="633"/>
      <c r="F691" s="650"/>
    </row>
    <row r="692" spans="3:6">
      <c r="C692" s="631"/>
      <c r="D692" s="631"/>
      <c r="E692" s="633"/>
      <c r="F692" s="650"/>
    </row>
    <row r="693" spans="3:6">
      <c r="C693" s="631"/>
      <c r="D693" s="631"/>
      <c r="E693" s="633"/>
      <c r="F693" s="650"/>
    </row>
    <row r="694" spans="3:6">
      <c r="C694" s="631"/>
      <c r="D694" s="631"/>
      <c r="E694" s="633"/>
      <c r="F694" s="650"/>
    </row>
    <row r="695" spans="3:6">
      <c r="C695" s="631"/>
      <c r="D695" s="631"/>
      <c r="E695" s="633"/>
      <c r="F695" s="650"/>
    </row>
    <row r="696" spans="3:6">
      <c r="C696" s="631"/>
      <c r="D696" s="631"/>
      <c r="E696" s="633"/>
      <c r="F696" s="650"/>
    </row>
    <row r="697" spans="3:6">
      <c r="C697" s="631"/>
      <c r="D697" s="631"/>
      <c r="E697" s="633"/>
      <c r="F697" s="650"/>
    </row>
    <row r="698" spans="3:6">
      <c r="C698" s="631"/>
      <c r="D698" s="631"/>
      <c r="E698" s="633"/>
      <c r="F698" s="650"/>
    </row>
    <row r="699" spans="3:6">
      <c r="C699" s="631"/>
      <c r="D699" s="631"/>
      <c r="E699" s="633"/>
      <c r="F699" s="650"/>
    </row>
    <row r="700" spans="3:6">
      <c r="C700" s="631"/>
      <c r="D700" s="631"/>
      <c r="E700" s="633"/>
      <c r="F700" s="650"/>
    </row>
    <row r="701" spans="3:6">
      <c r="C701" s="631"/>
      <c r="D701" s="631"/>
      <c r="E701" s="633"/>
      <c r="F701" s="650"/>
    </row>
    <row r="702" spans="3:6">
      <c r="C702" s="631"/>
      <c r="D702" s="631"/>
      <c r="E702" s="633"/>
      <c r="F702" s="650"/>
    </row>
    <row r="703" spans="3:6">
      <c r="C703" s="631"/>
      <c r="D703" s="631"/>
      <c r="E703" s="633"/>
      <c r="F703" s="650"/>
    </row>
    <row r="704" spans="3:6">
      <c r="C704" s="631"/>
      <c r="D704" s="631"/>
      <c r="E704" s="633"/>
      <c r="F704" s="650"/>
    </row>
    <row r="705" spans="3:6">
      <c r="C705" s="631"/>
      <c r="D705" s="631"/>
      <c r="E705" s="633"/>
      <c r="F705" s="650"/>
    </row>
    <row r="706" spans="3:6">
      <c r="C706" s="631"/>
      <c r="D706" s="631"/>
      <c r="E706" s="633"/>
      <c r="F706" s="650"/>
    </row>
    <row r="707" spans="3:6">
      <c r="C707" s="631"/>
      <c r="D707" s="631"/>
      <c r="E707" s="633"/>
      <c r="F707" s="650"/>
    </row>
    <row r="708" spans="3:6">
      <c r="C708" s="631"/>
      <c r="D708" s="631"/>
      <c r="E708" s="633"/>
      <c r="F708" s="650"/>
    </row>
    <row r="709" spans="3:6">
      <c r="C709" s="631"/>
      <c r="D709" s="631"/>
      <c r="E709" s="633"/>
      <c r="F709" s="650"/>
    </row>
    <row r="710" spans="3:6">
      <c r="C710" s="631"/>
      <c r="D710" s="631"/>
      <c r="E710" s="633"/>
      <c r="F710" s="650"/>
    </row>
    <row r="711" spans="3:6">
      <c r="C711" s="631"/>
      <c r="D711" s="631"/>
      <c r="E711" s="633"/>
      <c r="F711" s="650"/>
    </row>
    <row r="712" spans="3:6">
      <c r="C712" s="631"/>
      <c r="D712" s="631"/>
      <c r="E712" s="633"/>
      <c r="F712" s="650"/>
    </row>
    <row r="713" spans="3:6">
      <c r="C713" s="631"/>
      <c r="D713" s="631"/>
      <c r="E713" s="633"/>
      <c r="F713" s="650"/>
    </row>
    <row r="714" spans="3:6">
      <c r="C714" s="631"/>
      <c r="D714" s="631"/>
      <c r="E714" s="633"/>
      <c r="F714" s="650"/>
    </row>
    <row r="715" spans="3:6">
      <c r="C715" s="631"/>
      <c r="D715" s="631"/>
      <c r="E715" s="633"/>
      <c r="F715" s="650"/>
    </row>
    <row r="716" spans="3:6">
      <c r="C716" s="631"/>
      <c r="D716" s="631"/>
      <c r="E716" s="633"/>
      <c r="F716" s="650"/>
    </row>
    <row r="717" spans="3:6">
      <c r="C717" s="631"/>
      <c r="D717" s="631"/>
      <c r="E717" s="633"/>
      <c r="F717" s="650"/>
    </row>
    <row r="718" spans="3:6">
      <c r="C718" s="631"/>
      <c r="D718" s="631"/>
      <c r="E718" s="633"/>
      <c r="F718" s="650"/>
    </row>
    <row r="719" spans="3:6">
      <c r="C719" s="631"/>
      <c r="D719" s="631"/>
      <c r="E719" s="633"/>
      <c r="F719" s="650"/>
    </row>
    <row r="720" spans="3:6">
      <c r="C720" s="631"/>
      <c r="D720" s="631"/>
      <c r="E720" s="633"/>
      <c r="F720" s="650"/>
    </row>
    <row r="721" spans="3:6">
      <c r="C721" s="631"/>
      <c r="D721" s="631"/>
      <c r="E721" s="633"/>
      <c r="F721" s="650"/>
    </row>
    <row r="722" spans="3:6">
      <c r="C722" s="631"/>
      <c r="D722" s="631"/>
      <c r="E722" s="633"/>
      <c r="F722" s="650"/>
    </row>
    <row r="723" spans="3:6">
      <c r="C723" s="631"/>
      <c r="D723" s="631"/>
      <c r="E723" s="633"/>
      <c r="F723" s="650"/>
    </row>
    <row r="724" spans="3:6">
      <c r="C724" s="631"/>
      <c r="D724" s="631"/>
      <c r="E724" s="633"/>
      <c r="F724" s="650"/>
    </row>
    <row r="725" spans="3:6">
      <c r="C725" s="631"/>
      <c r="D725" s="631"/>
      <c r="E725" s="633"/>
      <c r="F725" s="650"/>
    </row>
    <row r="726" spans="3:6">
      <c r="C726" s="631"/>
      <c r="D726" s="631"/>
      <c r="E726" s="633"/>
      <c r="F726" s="650"/>
    </row>
    <row r="727" spans="3:6">
      <c r="C727" s="631"/>
      <c r="D727" s="631"/>
      <c r="E727" s="633"/>
      <c r="F727" s="650"/>
    </row>
    <row r="728" spans="3:6">
      <c r="C728" s="631"/>
      <c r="D728" s="631"/>
      <c r="E728" s="633"/>
      <c r="F728" s="650"/>
    </row>
    <row r="729" spans="3:6">
      <c r="C729" s="631"/>
      <c r="D729" s="631"/>
      <c r="E729" s="633"/>
      <c r="F729" s="650"/>
    </row>
    <row r="730" spans="3:6">
      <c r="C730" s="631"/>
      <c r="D730" s="631"/>
      <c r="E730" s="633"/>
      <c r="F730" s="650"/>
    </row>
    <row r="731" spans="3:6">
      <c r="C731" s="631"/>
      <c r="D731" s="631"/>
      <c r="E731" s="633"/>
      <c r="F731" s="650"/>
    </row>
    <row r="732" spans="3:6">
      <c r="C732" s="631"/>
      <c r="D732" s="631"/>
      <c r="E732" s="633"/>
      <c r="F732" s="650"/>
    </row>
    <row r="733" spans="3:6">
      <c r="C733" s="631"/>
      <c r="D733" s="631"/>
      <c r="E733" s="633"/>
      <c r="F733" s="650"/>
    </row>
    <row r="734" spans="3:6">
      <c r="C734" s="631"/>
      <c r="D734" s="631"/>
      <c r="E734" s="633"/>
      <c r="F734" s="650"/>
    </row>
    <row r="735" spans="3:6">
      <c r="C735" s="631"/>
      <c r="D735" s="631"/>
      <c r="E735" s="633"/>
      <c r="F735" s="650"/>
    </row>
    <row r="736" spans="3:6">
      <c r="C736" s="631"/>
      <c r="D736" s="631"/>
      <c r="E736" s="633"/>
      <c r="F736" s="650"/>
    </row>
    <row r="737" spans="3:6">
      <c r="C737" s="631"/>
      <c r="D737" s="631"/>
      <c r="E737" s="633"/>
      <c r="F737" s="650"/>
    </row>
    <row r="738" spans="3:6">
      <c r="C738" s="631"/>
      <c r="D738" s="631"/>
      <c r="E738" s="633"/>
      <c r="F738" s="650"/>
    </row>
    <row r="739" spans="3:6">
      <c r="C739" s="631"/>
      <c r="D739" s="631"/>
      <c r="E739" s="633"/>
      <c r="F739" s="650"/>
    </row>
    <row r="740" spans="3:6">
      <c r="C740" s="631"/>
      <c r="D740" s="631"/>
      <c r="E740" s="633"/>
      <c r="F740" s="650"/>
    </row>
    <row r="741" spans="3:6">
      <c r="C741" s="631"/>
      <c r="D741" s="631"/>
      <c r="E741" s="633"/>
      <c r="F741" s="650"/>
    </row>
    <row r="742" spans="3:6">
      <c r="C742" s="631"/>
      <c r="D742" s="631"/>
      <c r="E742" s="633"/>
      <c r="F742" s="650"/>
    </row>
    <row r="743" spans="3:6">
      <c r="C743" s="631"/>
      <c r="D743" s="631"/>
      <c r="E743" s="633"/>
      <c r="F743" s="650"/>
    </row>
    <row r="744" spans="3:6">
      <c r="C744" s="631"/>
      <c r="D744" s="631"/>
      <c r="E744" s="633"/>
      <c r="F744" s="650"/>
    </row>
    <row r="745" spans="3:6">
      <c r="C745" s="631"/>
      <c r="D745" s="631"/>
      <c r="E745" s="633"/>
      <c r="F745" s="650"/>
    </row>
    <row r="746" spans="3:6">
      <c r="C746" s="631"/>
      <c r="D746" s="631"/>
      <c r="E746" s="633"/>
      <c r="F746" s="650"/>
    </row>
    <row r="747" spans="3:6">
      <c r="C747" s="631"/>
      <c r="D747" s="631"/>
      <c r="E747" s="633"/>
      <c r="F747" s="650"/>
    </row>
    <row r="748" spans="3:6">
      <c r="C748" s="631"/>
      <c r="D748" s="631"/>
      <c r="E748" s="633"/>
      <c r="F748" s="650"/>
    </row>
    <row r="749" spans="3:6">
      <c r="C749" s="631"/>
      <c r="D749" s="631"/>
      <c r="E749" s="633"/>
      <c r="F749" s="650"/>
    </row>
    <row r="750" spans="3:6">
      <c r="C750" s="631"/>
      <c r="D750" s="631"/>
      <c r="E750" s="633"/>
      <c r="F750" s="650"/>
    </row>
    <row r="751" spans="3:6">
      <c r="C751" s="631"/>
      <c r="D751" s="631"/>
      <c r="E751" s="633"/>
      <c r="F751" s="650"/>
    </row>
    <row r="752" spans="3:6">
      <c r="C752" s="631"/>
      <c r="D752" s="631"/>
      <c r="E752" s="633"/>
      <c r="F752" s="650"/>
    </row>
    <row r="753" spans="3:6">
      <c r="C753" s="631"/>
      <c r="D753" s="631"/>
      <c r="E753" s="633"/>
      <c r="F753" s="650"/>
    </row>
    <row r="754" spans="3:6">
      <c r="C754" s="631"/>
      <c r="D754" s="631"/>
      <c r="E754" s="633"/>
      <c r="F754" s="650"/>
    </row>
    <row r="755" spans="3:6">
      <c r="C755" s="631"/>
      <c r="D755" s="631"/>
      <c r="E755" s="633"/>
      <c r="F755" s="650"/>
    </row>
    <row r="756" spans="3:6">
      <c r="C756" s="631"/>
      <c r="D756" s="631"/>
      <c r="E756" s="633"/>
      <c r="F756" s="650"/>
    </row>
    <row r="757" spans="3:6">
      <c r="C757" s="631"/>
      <c r="D757" s="631"/>
      <c r="E757" s="633"/>
      <c r="F757" s="650"/>
    </row>
    <row r="758" spans="3:6">
      <c r="C758" s="631"/>
      <c r="D758" s="631"/>
      <c r="E758" s="633"/>
      <c r="F758" s="650"/>
    </row>
    <row r="759" spans="3:6">
      <c r="C759" s="631"/>
      <c r="D759" s="631"/>
      <c r="E759" s="633"/>
      <c r="F759" s="650"/>
    </row>
    <row r="760" spans="3:6">
      <c r="C760" s="631"/>
      <c r="D760" s="631"/>
      <c r="E760" s="633"/>
      <c r="F760" s="650"/>
    </row>
    <row r="761" spans="3:6">
      <c r="C761" s="631"/>
      <c r="D761" s="631"/>
      <c r="E761" s="633"/>
      <c r="F761" s="650"/>
    </row>
    <row r="762" spans="3:6">
      <c r="C762" s="631"/>
      <c r="D762" s="631"/>
      <c r="E762" s="633"/>
      <c r="F762" s="650"/>
    </row>
    <row r="763" spans="3:6">
      <c r="C763" s="631"/>
      <c r="D763" s="631"/>
      <c r="E763" s="633"/>
      <c r="F763" s="650"/>
    </row>
    <row r="764" spans="3:6">
      <c r="C764" s="631"/>
      <c r="D764" s="631"/>
      <c r="E764" s="633"/>
      <c r="F764" s="650"/>
    </row>
    <row r="765" spans="3:6">
      <c r="C765" s="631"/>
      <c r="D765" s="631"/>
      <c r="E765" s="633"/>
      <c r="F765" s="650"/>
    </row>
    <row r="766" spans="3:6">
      <c r="C766" s="631"/>
      <c r="D766" s="631"/>
      <c r="E766" s="633"/>
      <c r="F766" s="650"/>
    </row>
    <row r="767" spans="3:6">
      <c r="C767" s="631"/>
      <c r="D767" s="631"/>
      <c r="E767" s="633"/>
      <c r="F767" s="650"/>
    </row>
    <row r="768" spans="3:6">
      <c r="C768" s="631"/>
      <c r="D768" s="631"/>
      <c r="E768" s="633"/>
      <c r="F768" s="650"/>
    </row>
    <row r="769" spans="3:6">
      <c r="C769" s="631"/>
      <c r="D769" s="631"/>
      <c r="E769" s="633"/>
      <c r="F769" s="650"/>
    </row>
    <row r="770" spans="3:6">
      <c r="C770" s="631"/>
      <c r="D770" s="631"/>
      <c r="E770" s="633"/>
      <c r="F770" s="650"/>
    </row>
    <row r="771" spans="3:6">
      <c r="C771" s="631"/>
      <c r="D771" s="631"/>
      <c r="E771" s="633"/>
      <c r="F771" s="650"/>
    </row>
    <row r="772" spans="3:6">
      <c r="C772" s="631"/>
      <c r="D772" s="631"/>
      <c r="E772" s="633"/>
      <c r="F772" s="650"/>
    </row>
    <row r="773" spans="3:6">
      <c r="C773" s="631"/>
      <c r="D773" s="631"/>
      <c r="E773" s="633"/>
      <c r="F773" s="650"/>
    </row>
    <row r="774" spans="3:6">
      <c r="C774" s="631"/>
      <c r="D774" s="631"/>
      <c r="E774" s="633"/>
      <c r="F774" s="650"/>
    </row>
    <row r="775" spans="3:6">
      <c r="C775" s="631"/>
      <c r="D775" s="631"/>
      <c r="E775" s="633"/>
      <c r="F775" s="650"/>
    </row>
    <row r="776" spans="3:6">
      <c r="C776" s="631"/>
      <c r="D776" s="631"/>
      <c r="E776" s="633"/>
      <c r="F776" s="650"/>
    </row>
    <row r="777" spans="3:6">
      <c r="C777" s="631"/>
      <c r="D777" s="631"/>
      <c r="E777" s="633"/>
      <c r="F777" s="650"/>
    </row>
    <row r="778" spans="3:6">
      <c r="C778" s="631"/>
      <c r="D778" s="631"/>
      <c r="E778" s="633"/>
      <c r="F778" s="650"/>
    </row>
    <row r="779" spans="3:6">
      <c r="C779" s="631"/>
      <c r="D779" s="631"/>
      <c r="E779" s="633"/>
      <c r="F779" s="650"/>
    </row>
    <row r="780" spans="3:6">
      <c r="C780" s="631"/>
      <c r="D780" s="631"/>
      <c r="E780" s="633"/>
      <c r="F780" s="650"/>
    </row>
    <row r="781" spans="3:6">
      <c r="C781" s="631"/>
      <c r="D781" s="631"/>
      <c r="E781" s="633"/>
      <c r="F781" s="650"/>
    </row>
    <row r="782" spans="3:6">
      <c r="C782" s="631"/>
      <c r="D782" s="631"/>
      <c r="E782" s="633"/>
      <c r="F782" s="650"/>
    </row>
    <row r="783" spans="3:6">
      <c r="C783" s="631"/>
      <c r="D783" s="631"/>
      <c r="E783" s="633"/>
      <c r="F783" s="650"/>
    </row>
    <row r="784" spans="3:6">
      <c r="C784" s="631"/>
      <c r="D784" s="631"/>
      <c r="E784" s="633"/>
      <c r="F784" s="650"/>
    </row>
    <row r="785" spans="3:6">
      <c r="C785" s="631"/>
      <c r="D785" s="631"/>
      <c r="E785" s="633"/>
      <c r="F785" s="650"/>
    </row>
    <row r="786" spans="3:6">
      <c r="C786" s="631"/>
      <c r="D786" s="631"/>
      <c r="E786" s="633"/>
      <c r="F786" s="650"/>
    </row>
    <row r="787" spans="3:6">
      <c r="C787" s="631"/>
      <c r="D787" s="631"/>
      <c r="E787" s="633"/>
      <c r="F787" s="650"/>
    </row>
    <row r="788" spans="3:6">
      <c r="C788" s="631"/>
      <c r="D788" s="631"/>
      <c r="E788" s="633"/>
      <c r="F788" s="650"/>
    </row>
    <row r="789" spans="3:6">
      <c r="C789" s="631"/>
      <c r="D789" s="631"/>
      <c r="E789" s="633"/>
      <c r="F789" s="650"/>
    </row>
    <row r="790" spans="3:6">
      <c r="C790" s="631"/>
      <c r="D790" s="631"/>
      <c r="E790" s="633"/>
      <c r="F790" s="650"/>
    </row>
    <row r="791" spans="3:6">
      <c r="C791" s="631"/>
      <c r="D791" s="631"/>
      <c r="E791" s="633"/>
      <c r="F791" s="650"/>
    </row>
    <row r="792" spans="3:6">
      <c r="C792" s="631"/>
      <c r="D792" s="631"/>
      <c r="E792" s="633"/>
      <c r="F792" s="650"/>
    </row>
    <row r="793" spans="3:6">
      <c r="C793" s="631"/>
      <c r="D793" s="631"/>
      <c r="E793" s="633"/>
      <c r="F793" s="650"/>
    </row>
    <row r="794" spans="3:6">
      <c r="C794" s="631"/>
      <c r="D794" s="631"/>
      <c r="E794" s="633"/>
      <c r="F794" s="650"/>
    </row>
    <row r="795" spans="3:6">
      <c r="C795" s="631"/>
      <c r="D795" s="631"/>
      <c r="E795" s="633"/>
      <c r="F795" s="650"/>
    </row>
    <row r="796" spans="3:6">
      <c r="C796" s="631"/>
      <c r="D796" s="631"/>
      <c r="E796" s="633"/>
      <c r="F796" s="650"/>
    </row>
    <row r="797" spans="3:6">
      <c r="C797" s="631"/>
      <c r="D797" s="631"/>
      <c r="E797" s="633"/>
      <c r="F797" s="650"/>
    </row>
    <row r="798" spans="3:6">
      <c r="C798" s="631"/>
      <c r="D798" s="631"/>
      <c r="E798" s="633"/>
      <c r="F798" s="650"/>
    </row>
    <row r="799" spans="3:6">
      <c r="C799" s="631"/>
      <c r="D799" s="631"/>
      <c r="E799" s="633"/>
      <c r="F799" s="650"/>
    </row>
    <row r="800" spans="3:6">
      <c r="C800" s="631"/>
      <c r="D800" s="631"/>
      <c r="E800" s="633"/>
      <c r="F800" s="650"/>
    </row>
    <row r="801" spans="3:6">
      <c r="C801" s="631"/>
      <c r="D801" s="631"/>
      <c r="E801" s="633"/>
      <c r="F801" s="650"/>
    </row>
    <row r="802" spans="3:6">
      <c r="C802" s="631"/>
      <c r="D802" s="631"/>
      <c r="E802" s="633"/>
      <c r="F802" s="650"/>
    </row>
    <row r="803" spans="3:6">
      <c r="C803" s="631"/>
      <c r="D803" s="631"/>
      <c r="E803" s="633"/>
      <c r="F803" s="650"/>
    </row>
    <row r="804" spans="3:6">
      <c r="C804" s="631"/>
      <c r="D804" s="631"/>
      <c r="E804" s="633"/>
      <c r="F804" s="650"/>
    </row>
    <row r="805" spans="3:6">
      <c r="C805" s="631"/>
      <c r="D805" s="631"/>
      <c r="E805" s="633"/>
      <c r="F805" s="650"/>
    </row>
    <row r="806" spans="3:6">
      <c r="C806" s="631"/>
      <c r="D806" s="631"/>
      <c r="E806" s="633"/>
      <c r="F806" s="650"/>
    </row>
    <row r="807" spans="3:6">
      <c r="C807" s="631"/>
      <c r="D807" s="631"/>
      <c r="E807" s="633"/>
      <c r="F807" s="650"/>
    </row>
    <row r="808" spans="3:6">
      <c r="C808" s="631"/>
      <c r="D808" s="631"/>
      <c r="E808" s="633"/>
      <c r="F808" s="650"/>
    </row>
    <row r="809" spans="3:6">
      <c r="C809" s="631"/>
      <c r="D809" s="631"/>
      <c r="E809" s="633"/>
      <c r="F809" s="650"/>
    </row>
    <row r="810" spans="3:6">
      <c r="C810" s="631"/>
      <c r="D810" s="631"/>
      <c r="E810" s="633"/>
      <c r="F810" s="650"/>
    </row>
    <row r="811" spans="3:6">
      <c r="C811" s="631"/>
      <c r="D811" s="631"/>
      <c r="E811" s="633"/>
      <c r="F811" s="650"/>
    </row>
    <row r="812" spans="3:6">
      <c r="C812" s="631"/>
      <c r="D812" s="631"/>
      <c r="E812" s="633"/>
      <c r="F812" s="650"/>
    </row>
    <row r="813" spans="3:6">
      <c r="C813" s="631"/>
      <c r="D813" s="631"/>
      <c r="E813" s="633"/>
      <c r="F813" s="650"/>
    </row>
    <row r="814" spans="3:6">
      <c r="C814" s="631"/>
      <c r="D814" s="631"/>
      <c r="E814" s="633"/>
      <c r="F814" s="650"/>
    </row>
    <row r="815" spans="3:6">
      <c r="C815" s="631"/>
      <c r="D815" s="631"/>
      <c r="E815" s="633"/>
      <c r="F815" s="650"/>
    </row>
    <row r="816" spans="3:6">
      <c r="C816" s="631"/>
      <c r="D816" s="631"/>
      <c r="E816" s="633"/>
      <c r="F816" s="650"/>
    </row>
    <row r="817" spans="3:6">
      <c r="C817" s="631"/>
      <c r="D817" s="631"/>
      <c r="E817" s="633"/>
      <c r="F817" s="650"/>
    </row>
    <row r="818" spans="3:6">
      <c r="C818" s="631"/>
      <c r="D818" s="631"/>
      <c r="E818" s="633"/>
      <c r="F818" s="650"/>
    </row>
    <row r="819" spans="3:6">
      <c r="C819" s="631"/>
      <c r="D819" s="631"/>
      <c r="E819" s="633"/>
      <c r="F819" s="650"/>
    </row>
    <row r="820" spans="3:6">
      <c r="C820" s="631"/>
      <c r="D820" s="631"/>
      <c r="E820" s="633"/>
      <c r="F820" s="650"/>
    </row>
    <row r="821" spans="3:6">
      <c r="C821" s="631"/>
      <c r="D821" s="631"/>
      <c r="E821" s="633"/>
      <c r="F821" s="650"/>
    </row>
    <row r="822" spans="3:6">
      <c r="C822" s="631"/>
      <c r="D822" s="631"/>
      <c r="E822" s="633"/>
      <c r="F822" s="650"/>
    </row>
    <row r="823" spans="3:6">
      <c r="C823" s="631"/>
      <c r="D823" s="631"/>
      <c r="E823" s="633"/>
      <c r="F823" s="650"/>
    </row>
    <row r="824" spans="3:6">
      <c r="C824" s="631"/>
      <c r="D824" s="631"/>
      <c r="E824" s="633"/>
      <c r="F824" s="650"/>
    </row>
    <row r="825" spans="3:6">
      <c r="C825" s="631"/>
      <c r="D825" s="631"/>
      <c r="E825" s="633"/>
      <c r="F825" s="650"/>
    </row>
    <row r="826" spans="3:6">
      <c r="C826" s="631"/>
      <c r="D826" s="631"/>
      <c r="E826" s="633"/>
      <c r="F826" s="650"/>
    </row>
    <row r="827" spans="3:6">
      <c r="C827" s="631"/>
      <c r="D827" s="631"/>
      <c r="E827" s="633"/>
      <c r="F827" s="650"/>
    </row>
    <row r="828" spans="3:6">
      <c r="C828" s="631"/>
      <c r="D828" s="631"/>
      <c r="E828" s="633"/>
      <c r="F828" s="650"/>
    </row>
    <row r="829" spans="3:6">
      <c r="C829" s="631"/>
      <c r="D829" s="631"/>
      <c r="E829" s="633"/>
      <c r="F829" s="650"/>
    </row>
    <row r="830" spans="3:6">
      <c r="C830" s="631"/>
      <c r="D830" s="631"/>
      <c r="E830" s="633"/>
      <c r="F830" s="650"/>
    </row>
    <row r="831" spans="3:6">
      <c r="C831" s="631"/>
      <c r="D831" s="631"/>
      <c r="E831" s="633"/>
      <c r="F831" s="650"/>
    </row>
    <row r="832" spans="3:6">
      <c r="C832" s="631"/>
      <c r="D832" s="631"/>
      <c r="E832" s="633"/>
      <c r="F832" s="650"/>
    </row>
    <row r="833" spans="3:6">
      <c r="C833" s="631"/>
      <c r="D833" s="631"/>
      <c r="E833" s="633"/>
      <c r="F833" s="650"/>
    </row>
    <row r="834" spans="3:6">
      <c r="C834" s="631"/>
      <c r="D834" s="631"/>
      <c r="E834" s="633"/>
      <c r="F834" s="650"/>
    </row>
    <row r="835" spans="3:6">
      <c r="C835" s="631"/>
      <c r="D835" s="631"/>
      <c r="E835" s="633"/>
      <c r="F835" s="650"/>
    </row>
    <row r="836" spans="3:6">
      <c r="C836" s="631"/>
      <c r="D836" s="631"/>
      <c r="E836" s="633"/>
      <c r="F836" s="650"/>
    </row>
    <row r="837" spans="3:6">
      <c r="C837" s="631"/>
      <c r="D837" s="631"/>
      <c r="E837" s="633"/>
      <c r="F837" s="650"/>
    </row>
    <row r="838" spans="3:6">
      <c r="C838" s="631"/>
      <c r="D838" s="631"/>
      <c r="E838" s="633"/>
      <c r="F838" s="650"/>
    </row>
    <row r="839" spans="3:6">
      <c r="C839" s="631"/>
      <c r="D839" s="631"/>
      <c r="E839" s="633"/>
      <c r="F839" s="650"/>
    </row>
    <row r="840" spans="3:6">
      <c r="C840" s="631"/>
      <c r="D840" s="631"/>
      <c r="E840" s="633"/>
      <c r="F840" s="650"/>
    </row>
    <row r="841" spans="3:6">
      <c r="C841" s="631"/>
      <c r="D841" s="631"/>
      <c r="E841" s="633"/>
      <c r="F841" s="650"/>
    </row>
    <row r="842" spans="3:6">
      <c r="C842" s="631"/>
      <c r="D842" s="631"/>
      <c r="E842" s="633"/>
      <c r="F842" s="650"/>
    </row>
    <row r="843" spans="3:6">
      <c r="C843" s="631"/>
      <c r="D843" s="631"/>
      <c r="E843" s="633"/>
      <c r="F843" s="650"/>
    </row>
    <row r="844" spans="3:6">
      <c r="C844" s="631"/>
      <c r="D844" s="631"/>
      <c r="E844" s="633"/>
      <c r="F844" s="650"/>
    </row>
    <row r="845" spans="3:6">
      <c r="C845" s="631"/>
      <c r="D845" s="631"/>
      <c r="E845" s="633"/>
      <c r="F845" s="650"/>
    </row>
    <row r="846" spans="3:6">
      <c r="C846" s="631"/>
      <c r="D846" s="631"/>
      <c r="E846" s="633"/>
      <c r="F846" s="650"/>
    </row>
    <row r="847" spans="3:6">
      <c r="C847" s="631"/>
      <c r="D847" s="631"/>
      <c r="E847" s="633"/>
      <c r="F847" s="650"/>
    </row>
    <row r="848" spans="3:6">
      <c r="C848" s="631"/>
      <c r="D848" s="631"/>
      <c r="E848" s="633"/>
      <c r="F848" s="650"/>
    </row>
    <row r="849" spans="3:6">
      <c r="C849" s="631"/>
      <c r="D849" s="631"/>
      <c r="E849" s="633"/>
      <c r="F849" s="650"/>
    </row>
    <row r="850" spans="3:6">
      <c r="C850" s="631"/>
      <c r="D850" s="631"/>
      <c r="E850" s="633"/>
      <c r="F850" s="650"/>
    </row>
    <row r="851" spans="3:6">
      <c r="C851" s="631"/>
      <c r="D851" s="631"/>
      <c r="E851" s="633"/>
      <c r="F851" s="650"/>
    </row>
    <row r="852" spans="3:6">
      <c r="C852" s="631"/>
      <c r="D852" s="631"/>
      <c r="E852" s="633"/>
      <c r="F852" s="650"/>
    </row>
    <row r="853" spans="3:6">
      <c r="C853" s="631"/>
      <c r="D853" s="631"/>
      <c r="E853" s="633"/>
      <c r="F853" s="650"/>
    </row>
    <row r="854" spans="3:6">
      <c r="C854" s="631"/>
      <c r="D854" s="631"/>
      <c r="E854" s="633"/>
      <c r="F854" s="650"/>
    </row>
    <row r="855" spans="3:6">
      <c r="C855" s="631"/>
      <c r="D855" s="631"/>
      <c r="E855" s="633"/>
      <c r="F855" s="650"/>
    </row>
    <row r="856" spans="3:6">
      <c r="C856" s="631"/>
      <c r="D856" s="631"/>
      <c r="E856" s="633"/>
      <c r="F856" s="650"/>
    </row>
    <row r="857" spans="3:6">
      <c r="C857" s="631"/>
      <c r="D857" s="631"/>
      <c r="E857" s="633"/>
      <c r="F857" s="650"/>
    </row>
    <row r="858" spans="3:6">
      <c r="C858" s="631"/>
      <c r="D858" s="631"/>
      <c r="E858" s="633"/>
      <c r="F858" s="650"/>
    </row>
    <row r="859" spans="3:6">
      <c r="C859" s="631"/>
      <c r="D859" s="631"/>
      <c r="E859" s="633"/>
      <c r="F859" s="650"/>
    </row>
    <row r="860" spans="3:6">
      <c r="C860" s="631"/>
      <c r="D860" s="631"/>
      <c r="E860" s="633"/>
      <c r="F860" s="650"/>
    </row>
    <row r="861" spans="3:6">
      <c r="C861" s="631"/>
      <c r="D861" s="631"/>
      <c r="E861" s="633"/>
      <c r="F861" s="650"/>
    </row>
    <row r="862" spans="3:6">
      <c r="C862" s="631"/>
      <c r="D862" s="631"/>
      <c r="E862" s="633"/>
      <c r="F862" s="650"/>
    </row>
    <row r="863" spans="3:6">
      <c r="C863" s="631"/>
      <c r="D863" s="631"/>
      <c r="E863" s="633"/>
      <c r="F863" s="650"/>
    </row>
    <row r="864" spans="3:6">
      <c r="C864" s="631"/>
      <c r="D864" s="631"/>
      <c r="E864" s="633"/>
      <c r="F864" s="650"/>
    </row>
    <row r="865" spans="3:6">
      <c r="C865" s="631"/>
      <c r="D865" s="631"/>
      <c r="E865" s="633"/>
      <c r="F865" s="650"/>
    </row>
    <row r="866" spans="3:6">
      <c r="C866" s="631"/>
      <c r="D866" s="631"/>
      <c r="E866" s="633"/>
      <c r="F866" s="650"/>
    </row>
    <row r="867" spans="3:6">
      <c r="C867" s="631"/>
      <c r="D867" s="631"/>
      <c r="E867" s="633"/>
      <c r="F867" s="650"/>
    </row>
    <row r="868" spans="3:6">
      <c r="C868" s="631"/>
      <c r="D868" s="631"/>
      <c r="E868" s="633"/>
      <c r="F868" s="650"/>
    </row>
    <row r="869" spans="3:6">
      <c r="C869" s="631"/>
      <c r="D869" s="631"/>
      <c r="E869" s="633"/>
      <c r="F869" s="650"/>
    </row>
    <row r="870" spans="3:6">
      <c r="C870" s="631"/>
      <c r="D870" s="631"/>
      <c r="E870" s="633"/>
      <c r="F870" s="650"/>
    </row>
    <row r="871" spans="3:6">
      <c r="C871" s="631"/>
      <c r="D871" s="631"/>
      <c r="E871" s="633"/>
      <c r="F871" s="650"/>
    </row>
    <row r="872" spans="3:6">
      <c r="C872" s="631"/>
      <c r="D872" s="631"/>
      <c r="E872" s="633"/>
      <c r="F872" s="650"/>
    </row>
    <row r="873" spans="3:6">
      <c r="C873" s="631"/>
      <c r="D873" s="631"/>
      <c r="E873" s="633"/>
      <c r="F873" s="650"/>
    </row>
    <row r="874" spans="3:6">
      <c r="C874" s="631"/>
      <c r="D874" s="631"/>
      <c r="E874" s="633"/>
      <c r="F874" s="650"/>
    </row>
    <row r="875" spans="3:6">
      <c r="C875" s="631"/>
      <c r="D875" s="631"/>
      <c r="E875" s="633"/>
      <c r="F875" s="650"/>
    </row>
    <row r="876" spans="3:6">
      <c r="C876" s="631"/>
      <c r="D876" s="631"/>
      <c r="E876" s="633"/>
      <c r="F876" s="650"/>
    </row>
    <row r="877" spans="3:6">
      <c r="C877" s="631"/>
      <c r="D877" s="631"/>
      <c r="E877" s="633"/>
      <c r="F877" s="650"/>
    </row>
    <row r="878" spans="3:6">
      <c r="C878" s="631"/>
      <c r="D878" s="631"/>
      <c r="E878" s="633"/>
      <c r="F878" s="650"/>
    </row>
    <row r="879" spans="3:6">
      <c r="C879" s="631"/>
      <c r="D879" s="631"/>
      <c r="E879" s="633"/>
      <c r="F879" s="650"/>
    </row>
    <row r="880" spans="3:6">
      <c r="C880" s="631"/>
      <c r="D880" s="631"/>
      <c r="E880" s="633"/>
      <c r="F880" s="650"/>
    </row>
    <row r="881" spans="3:6">
      <c r="C881" s="631"/>
      <c r="D881" s="631"/>
      <c r="E881" s="633"/>
      <c r="F881" s="650"/>
    </row>
    <row r="882" spans="3:6">
      <c r="C882" s="631"/>
      <c r="D882" s="631"/>
      <c r="E882" s="633"/>
      <c r="F882" s="650"/>
    </row>
    <row r="883" spans="3:6">
      <c r="C883" s="631"/>
      <c r="D883" s="631"/>
      <c r="E883" s="633"/>
      <c r="F883" s="650"/>
    </row>
    <row r="884" spans="3:6">
      <c r="C884" s="631"/>
      <c r="D884" s="631"/>
      <c r="E884" s="633"/>
      <c r="F884" s="650"/>
    </row>
    <row r="885" spans="3:6">
      <c r="C885" s="631"/>
      <c r="D885" s="631"/>
      <c r="E885" s="633"/>
      <c r="F885" s="650"/>
    </row>
    <row r="886" spans="3:6">
      <c r="C886" s="631"/>
      <c r="D886" s="631"/>
      <c r="E886" s="633"/>
      <c r="F886" s="650"/>
    </row>
    <row r="887" spans="3:6">
      <c r="C887" s="631"/>
      <c r="D887" s="631"/>
      <c r="E887" s="633"/>
      <c r="F887" s="650"/>
    </row>
    <row r="888" spans="3:6">
      <c r="C888" s="631"/>
      <c r="D888" s="631"/>
      <c r="E888" s="633"/>
      <c r="F888" s="650"/>
    </row>
    <row r="889" spans="3:6">
      <c r="C889" s="631"/>
      <c r="D889" s="631"/>
      <c r="E889" s="633"/>
      <c r="F889" s="650"/>
    </row>
    <row r="890" spans="3:6">
      <c r="C890" s="631"/>
      <c r="D890" s="631"/>
      <c r="E890" s="633"/>
      <c r="F890" s="650"/>
    </row>
    <row r="891" spans="3:6">
      <c r="C891" s="631"/>
      <c r="D891" s="631"/>
      <c r="E891" s="633"/>
      <c r="F891" s="650"/>
    </row>
    <row r="892" spans="3:6">
      <c r="C892" s="631"/>
      <c r="D892" s="631"/>
      <c r="E892" s="633"/>
      <c r="F892" s="650"/>
    </row>
    <row r="893" spans="3:6">
      <c r="C893" s="631"/>
      <c r="D893" s="631"/>
      <c r="E893" s="633"/>
      <c r="F893" s="650"/>
    </row>
    <row r="894" spans="3:6">
      <c r="C894" s="631"/>
      <c r="D894" s="631"/>
      <c r="E894" s="633"/>
      <c r="F894" s="650"/>
    </row>
    <row r="895" spans="3:6">
      <c r="C895" s="631"/>
      <c r="D895" s="631"/>
      <c r="E895" s="633"/>
      <c r="F895" s="650"/>
    </row>
    <row r="896" spans="3:6">
      <c r="C896" s="631"/>
      <c r="D896" s="631"/>
      <c r="E896" s="633"/>
      <c r="F896" s="650"/>
    </row>
    <row r="897" spans="3:6">
      <c r="C897" s="631"/>
      <c r="D897" s="631"/>
      <c r="E897" s="633"/>
      <c r="F897" s="650"/>
    </row>
    <row r="898" spans="3:6">
      <c r="C898" s="631"/>
      <c r="D898" s="631"/>
      <c r="E898" s="633"/>
      <c r="F898" s="650"/>
    </row>
    <row r="899" spans="3:6">
      <c r="C899" s="631"/>
      <c r="D899" s="631"/>
      <c r="E899" s="633"/>
      <c r="F899" s="650"/>
    </row>
    <row r="900" spans="3:6">
      <c r="C900" s="631"/>
      <c r="D900" s="631"/>
      <c r="E900" s="633"/>
      <c r="F900" s="650"/>
    </row>
    <row r="901" spans="3:6">
      <c r="C901" s="631"/>
      <c r="D901" s="631"/>
      <c r="E901" s="633"/>
      <c r="F901" s="650"/>
    </row>
    <row r="902" spans="3:6">
      <c r="C902" s="631"/>
      <c r="D902" s="631"/>
      <c r="E902" s="633"/>
      <c r="F902" s="650"/>
    </row>
    <row r="903" spans="3:6">
      <c r="C903" s="631"/>
      <c r="D903" s="631"/>
      <c r="E903" s="633"/>
      <c r="F903" s="650"/>
    </row>
    <row r="904" spans="3:6">
      <c r="C904" s="631"/>
      <c r="D904" s="631"/>
      <c r="E904" s="633"/>
      <c r="F904" s="650"/>
    </row>
    <row r="905" spans="3:6">
      <c r="C905" s="631"/>
      <c r="D905" s="631"/>
      <c r="E905" s="633"/>
      <c r="F905" s="650"/>
    </row>
    <row r="906" spans="3:6">
      <c r="C906" s="631"/>
      <c r="D906" s="631"/>
      <c r="E906" s="633"/>
      <c r="F906" s="650"/>
    </row>
    <row r="907" spans="3:6">
      <c r="C907" s="631"/>
      <c r="D907" s="631"/>
      <c r="E907" s="633"/>
      <c r="F907" s="650"/>
    </row>
    <row r="908" spans="3:6">
      <c r="C908" s="631"/>
      <c r="D908" s="631"/>
      <c r="E908" s="633"/>
      <c r="F908" s="650"/>
    </row>
    <row r="909" spans="3:6">
      <c r="C909" s="631"/>
      <c r="D909" s="631"/>
      <c r="E909" s="633"/>
      <c r="F909" s="650"/>
    </row>
    <row r="910" spans="3:6">
      <c r="C910" s="631"/>
      <c r="D910" s="631"/>
      <c r="E910" s="633"/>
      <c r="F910" s="650"/>
    </row>
    <row r="911" spans="3:6">
      <c r="C911" s="631"/>
      <c r="D911" s="631"/>
      <c r="E911" s="633"/>
      <c r="F911" s="650"/>
    </row>
    <row r="912" spans="3:6">
      <c r="C912" s="631"/>
      <c r="D912" s="631"/>
      <c r="E912" s="633"/>
      <c r="F912" s="650"/>
    </row>
    <row r="913" spans="3:6">
      <c r="C913" s="631"/>
      <c r="D913" s="631"/>
      <c r="E913" s="633"/>
      <c r="F913" s="650"/>
    </row>
    <row r="914" spans="3:6">
      <c r="C914" s="631"/>
      <c r="D914" s="631"/>
      <c r="E914" s="633"/>
      <c r="F914" s="650"/>
    </row>
    <row r="915" spans="3:6">
      <c r="C915" s="631"/>
      <c r="D915" s="631"/>
      <c r="E915" s="633"/>
      <c r="F915" s="650"/>
    </row>
    <row r="916" spans="3:6">
      <c r="C916" s="631"/>
      <c r="D916" s="631"/>
      <c r="E916" s="633"/>
      <c r="F916" s="650"/>
    </row>
    <row r="917" spans="3:6">
      <c r="C917" s="631"/>
      <c r="D917" s="631"/>
      <c r="E917" s="633"/>
      <c r="F917" s="650"/>
    </row>
    <row r="918" spans="3:6">
      <c r="C918" s="631"/>
      <c r="D918" s="631"/>
      <c r="E918" s="633"/>
      <c r="F918" s="650"/>
    </row>
    <row r="919" spans="3:6">
      <c r="C919" s="631"/>
      <c r="D919" s="631"/>
      <c r="E919" s="633"/>
      <c r="F919" s="650"/>
    </row>
    <row r="920" spans="3:6">
      <c r="C920" s="631"/>
      <c r="D920" s="631"/>
      <c r="E920" s="633"/>
      <c r="F920" s="650"/>
    </row>
    <row r="921" spans="3:6">
      <c r="C921" s="631"/>
      <c r="D921" s="631"/>
      <c r="E921" s="633"/>
      <c r="F921" s="650"/>
    </row>
    <row r="922" spans="3:6">
      <c r="C922" s="631"/>
      <c r="D922" s="631"/>
      <c r="E922" s="633"/>
      <c r="F922" s="650"/>
    </row>
    <row r="923" spans="3:6">
      <c r="C923" s="631"/>
      <c r="D923" s="631"/>
      <c r="E923" s="633"/>
      <c r="F923" s="650"/>
    </row>
    <row r="924" spans="3:6">
      <c r="C924" s="631"/>
      <c r="D924" s="631"/>
      <c r="E924" s="633"/>
      <c r="F924" s="650"/>
    </row>
    <row r="925" spans="3:6">
      <c r="C925" s="631"/>
      <c r="D925" s="631"/>
      <c r="E925" s="633"/>
      <c r="F925" s="650"/>
    </row>
    <row r="926" spans="3:6">
      <c r="C926" s="631"/>
      <c r="D926" s="631"/>
      <c r="E926" s="633"/>
      <c r="F926" s="650"/>
    </row>
    <row r="927" spans="3:6">
      <c r="C927" s="631"/>
      <c r="D927" s="631"/>
      <c r="E927" s="633"/>
      <c r="F927" s="650"/>
    </row>
    <row r="928" spans="3:6">
      <c r="C928" s="631"/>
      <c r="D928" s="631"/>
      <c r="E928" s="633"/>
      <c r="F928" s="650"/>
    </row>
    <row r="929" spans="3:6">
      <c r="C929" s="631"/>
      <c r="D929" s="631"/>
      <c r="E929" s="633"/>
      <c r="F929" s="650"/>
    </row>
    <row r="930" spans="3:6">
      <c r="C930" s="631"/>
      <c r="D930" s="631"/>
      <c r="E930" s="633"/>
      <c r="F930" s="650"/>
    </row>
    <row r="931" spans="3:6">
      <c r="C931" s="631"/>
      <c r="D931" s="631"/>
      <c r="E931" s="633"/>
      <c r="F931" s="650"/>
    </row>
    <row r="932" spans="3:6">
      <c r="C932" s="631"/>
      <c r="D932" s="631"/>
      <c r="E932" s="633"/>
      <c r="F932" s="650"/>
    </row>
    <row r="933" spans="3:6">
      <c r="C933" s="631"/>
      <c r="D933" s="631"/>
      <c r="E933" s="633"/>
      <c r="F933" s="650"/>
    </row>
    <row r="934" spans="3:6">
      <c r="C934" s="631"/>
      <c r="D934" s="631"/>
      <c r="E934" s="633"/>
      <c r="F934" s="650"/>
    </row>
    <row r="935" spans="3:6">
      <c r="C935" s="631"/>
      <c r="D935" s="631"/>
      <c r="E935" s="633"/>
      <c r="F935" s="650"/>
    </row>
    <row r="936" spans="3:6">
      <c r="C936" s="631"/>
      <c r="D936" s="631"/>
      <c r="E936" s="633"/>
      <c r="F936" s="650"/>
    </row>
    <row r="937" spans="3:6">
      <c r="C937" s="631"/>
      <c r="D937" s="631"/>
      <c r="E937" s="633"/>
      <c r="F937" s="650"/>
    </row>
    <row r="938" spans="3:6">
      <c r="C938" s="631"/>
      <c r="D938" s="631"/>
      <c r="E938" s="633"/>
      <c r="F938" s="650"/>
    </row>
    <row r="939" spans="3:6">
      <c r="C939" s="631"/>
      <c r="D939" s="631"/>
      <c r="E939" s="633"/>
      <c r="F939" s="650"/>
    </row>
    <row r="940" spans="3:6">
      <c r="C940" s="631"/>
      <c r="D940" s="631"/>
      <c r="E940" s="633"/>
      <c r="F940" s="650"/>
    </row>
    <row r="941" spans="3:6">
      <c r="C941" s="631"/>
      <c r="D941" s="631"/>
      <c r="E941" s="633"/>
      <c r="F941" s="650"/>
    </row>
    <row r="942" spans="3:6">
      <c r="C942" s="631"/>
      <c r="D942" s="631"/>
      <c r="E942" s="633"/>
      <c r="F942" s="650"/>
    </row>
    <row r="943" spans="3:6">
      <c r="C943" s="631"/>
      <c r="D943" s="631"/>
      <c r="E943" s="633"/>
      <c r="F943" s="650"/>
    </row>
    <row r="944" spans="3:6">
      <c r="C944" s="631"/>
      <c r="D944" s="631"/>
      <c r="E944" s="633"/>
      <c r="F944" s="650"/>
    </row>
    <row r="945" spans="3:6">
      <c r="C945" s="631"/>
      <c r="D945" s="631"/>
      <c r="E945" s="633"/>
      <c r="F945" s="650"/>
    </row>
    <row r="946" spans="3:6">
      <c r="C946" s="631"/>
      <c r="D946" s="631"/>
      <c r="E946" s="633"/>
      <c r="F946" s="650"/>
    </row>
    <row r="947" spans="3:6">
      <c r="C947" s="631"/>
      <c r="D947" s="631"/>
      <c r="E947" s="633"/>
      <c r="F947" s="650"/>
    </row>
    <row r="948" spans="3:6">
      <c r="C948" s="631"/>
      <c r="D948" s="631"/>
      <c r="E948" s="633"/>
      <c r="F948" s="650"/>
    </row>
    <row r="949" spans="3:6">
      <c r="C949" s="631"/>
      <c r="D949" s="631"/>
      <c r="E949" s="633"/>
      <c r="F949" s="650"/>
    </row>
    <row r="950" spans="3:6">
      <c r="C950" s="631"/>
      <c r="D950" s="631"/>
      <c r="E950" s="633"/>
      <c r="F950" s="650"/>
    </row>
    <row r="951" spans="3:6">
      <c r="C951" s="631"/>
      <c r="D951" s="631"/>
      <c r="E951" s="633"/>
      <c r="F951" s="650"/>
    </row>
    <row r="952" spans="3:6">
      <c r="C952" s="631"/>
      <c r="D952" s="631"/>
      <c r="E952" s="633"/>
      <c r="F952" s="650"/>
    </row>
    <row r="953" spans="3:6">
      <c r="C953" s="631"/>
      <c r="D953" s="631"/>
      <c r="E953" s="633"/>
      <c r="F953" s="650"/>
    </row>
    <row r="954" spans="3:6">
      <c r="C954" s="631"/>
      <c r="D954" s="631"/>
      <c r="E954" s="633"/>
      <c r="F954" s="650"/>
    </row>
    <row r="955" spans="3:6">
      <c r="C955" s="631"/>
      <c r="D955" s="631"/>
      <c r="E955" s="633"/>
      <c r="F955" s="650"/>
    </row>
    <row r="956" spans="3:6">
      <c r="C956" s="631"/>
      <c r="D956" s="631"/>
      <c r="E956" s="633"/>
      <c r="F956" s="650"/>
    </row>
    <row r="957" spans="3:6">
      <c r="C957" s="631"/>
      <c r="D957" s="631"/>
      <c r="E957" s="633"/>
      <c r="F957" s="650"/>
    </row>
    <row r="958" spans="3:6">
      <c r="C958" s="631"/>
      <c r="D958" s="631"/>
      <c r="E958" s="633"/>
      <c r="F958" s="650"/>
    </row>
    <row r="959" spans="3:6">
      <c r="C959" s="631"/>
      <c r="D959" s="631"/>
      <c r="E959" s="633"/>
      <c r="F959" s="650"/>
    </row>
    <row r="960" spans="3:6">
      <c r="C960" s="631"/>
      <c r="D960" s="631"/>
      <c r="E960" s="633"/>
      <c r="F960" s="650"/>
    </row>
    <row r="961" spans="3:6">
      <c r="C961" s="631"/>
      <c r="D961" s="631"/>
      <c r="E961" s="633"/>
      <c r="F961" s="650"/>
    </row>
    <row r="962" spans="3:6">
      <c r="C962" s="631"/>
      <c r="D962" s="631"/>
      <c r="E962" s="633"/>
      <c r="F962" s="650"/>
    </row>
    <row r="963" spans="3:6">
      <c r="C963" s="631"/>
      <c r="D963" s="631"/>
      <c r="E963" s="633"/>
      <c r="F963" s="650"/>
    </row>
    <row r="964" spans="3:6">
      <c r="C964" s="631"/>
      <c r="D964" s="631"/>
      <c r="E964" s="633"/>
      <c r="F964" s="650"/>
    </row>
    <row r="965" spans="3:6">
      <c r="C965" s="631"/>
      <c r="D965" s="631"/>
      <c r="E965" s="633"/>
      <c r="F965" s="650"/>
    </row>
    <row r="966" spans="3:6">
      <c r="C966" s="631"/>
      <c r="D966" s="631"/>
      <c r="E966" s="633"/>
      <c r="F966" s="650"/>
    </row>
    <row r="967" spans="3:6">
      <c r="C967" s="631"/>
      <c r="D967" s="631"/>
      <c r="E967" s="633"/>
      <c r="F967" s="650"/>
    </row>
    <row r="968" spans="3:6">
      <c r="C968" s="631"/>
      <c r="D968" s="631"/>
      <c r="E968" s="633"/>
      <c r="F968" s="650"/>
    </row>
    <row r="969" spans="3:6">
      <c r="C969" s="631"/>
      <c r="D969" s="631"/>
      <c r="E969" s="633"/>
      <c r="F969" s="650"/>
    </row>
    <row r="970" spans="3:6">
      <c r="C970" s="631"/>
      <c r="D970" s="631"/>
      <c r="E970" s="633"/>
      <c r="F970" s="650"/>
    </row>
    <row r="971" spans="3:6">
      <c r="C971" s="631"/>
      <c r="D971" s="631"/>
      <c r="E971" s="633"/>
      <c r="F971" s="650"/>
    </row>
    <row r="972" spans="3:6">
      <c r="C972" s="631"/>
      <c r="D972" s="631"/>
      <c r="E972" s="633"/>
      <c r="F972" s="650"/>
    </row>
    <row r="973" spans="3:6">
      <c r="C973" s="631"/>
      <c r="D973" s="631"/>
      <c r="E973" s="633"/>
      <c r="F973" s="650"/>
    </row>
    <row r="974" spans="3:6">
      <c r="C974" s="631"/>
      <c r="D974" s="631"/>
      <c r="E974" s="633"/>
      <c r="F974" s="650"/>
    </row>
    <row r="975" spans="3:6">
      <c r="C975" s="631"/>
      <c r="D975" s="631"/>
      <c r="E975" s="633"/>
      <c r="F975" s="650"/>
    </row>
    <row r="976" spans="3:6">
      <c r="C976" s="631"/>
      <c r="D976" s="631"/>
      <c r="E976" s="633"/>
      <c r="F976" s="650"/>
    </row>
    <row r="977" spans="3:6">
      <c r="C977" s="631"/>
      <c r="D977" s="631"/>
      <c r="E977" s="633"/>
      <c r="F977" s="650"/>
    </row>
    <row r="978" spans="3:6">
      <c r="C978" s="631"/>
      <c r="D978" s="631"/>
      <c r="E978" s="633"/>
      <c r="F978" s="650"/>
    </row>
    <row r="979" spans="3:6">
      <c r="C979" s="631"/>
      <c r="D979" s="631"/>
      <c r="E979" s="633"/>
      <c r="F979" s="650"/>
    </row>
    <row r="980" spans="3:6">
      <c r="C980" s="631"/>
      <c r="D980" s="631"/>
      <c r="E980" s="633"/>
      <c r="F980" s="650"/>
    </row>
    <row r="981" spans="3:6">
      <c r="C981" s="631"/>
      <c r="D981" s="631"/>
      <c r="E981" s="633"/>
      <c r="F981" s="650"/>
    </row>
    <row r="982" spans="3:6">
      <c r="C982" s="631"/>
      <c r="D982" s="631"/>
      <c r="E982" s="633"/>
      <c r="F982" s="650"/>
    </row>
    <row r="983" spans="3:6">
      <c r="C983" s="631"/>
      <c r="D983" s="631"/>
      <c r="E983" s="633"/>
      <c r="F983" s="650"/>
    </row>
    <row r="984" spans="3:6">
      <c r="C984" s="631"/>
      <c r="D984" s="631"/>
      <c r="E984" s="633"/>
      <c r="F984" s="650"/>
    </row>
    <row r="985" spans="3:6">
      <c r="C985" s="631"/>
      <c r="D985" s="631"/>
      <c r="E985" s="633"/>
      <c r="F985" s="650"/>
    </row>
    <row r="986" spans="3:6">
      <c r="C986" s="631"/>
      <c r="D986" s="631"/>
      <c r="E986" s="633"/>
      <c r="F986" s="650"/>
    </row>
    <row r="987" spans="3:6">
      <c r="C987" s="631"/>
      <c r="D987" s="631"/>
      <c r="E987" s="633"/>
      <c r="F987" s="650"/>
    </row>
    <row r="988" spans="3:6">
      <c r="C988" s="631"/>
      <c r="D988" s="631"/>
      <c r="E988" s="633"/>
      <c r="F988" s="650"/>
    </row>
    <row r="989" spans="3:6">
      <c r="C989" s="631"/>
      <c r="D989" s="631"/>
      <c r="E989" s="633"/>
      <c r="F989" s="650"/>
    </row>
    <row r="990" spans="3:6">
      <c r="C990" s="631"/>
      <c r="D990" s="631"/>
      <c r="E990" s="633"/>
      <c r="F990" s="650"/>
    </row>
    <row r="991" spans="3:6">
      <c r="C991" s="631"/>
      <c r="D991" s="631"/>
      <c r="E991" s="633"/>
      <c r="F991" s="650"/>
    </row>
    <row r="992" spans="3:6">
      <c r="C992" s="631"/>
      <c r="D992" s="631"/>
      <c r="E992" s="633"/>
      <c r="F992" s="650"/>
    </row>
    <row r="993" spans="3:6">
      <c r="C993" s="631"/>
      <c r="D993" s="631"/>
      <c r="E993" s="633"/>
      <c r="F993" s="650"/>
    </row>
    <row r="994" spans="3:6">
      <c r="C994" s="631"/>
      <c r="D994" s="631"/>
      <c r="E994" s="633"/>
      <c r="F994" s="650"/>
    </row>
    <row r="995" spans="3:6">
      <c r="C995" s="631"/>
      <c r="D995" s="631"/>
      <c r="E995" s="633"/>
      <c r="F995" s="650"/>
    </row>
    <row r="996" spans="3:6">
      <c r="C996" s="631"/>
      <c r="D996" s="631"/>
      <c r="E996" s="633"/>
      <c r="F996" s="650"/>
    </row>
    <row r="997" spans="3:6">
      <c r="C997" s="631"/>
      <c r="D997" s="631"/>
      <c r="E997" s="633"/>
      <c r="F997" s="650"/>
    </row>
    <row r="998" spans="3:6">
      <c r="C998" s="631"/>
      <c r="D998" s="631"/>
      <c r="E998" s="633"/>
      <c r="F998" s="650"/>
    </row>
    <row r="999" spans="3:6">
      <c r="C999" s="631"/>
      <c r="D999" s="631"/>
      <c r="E999" s="633"/>
      <c r="F999" s="650"/>
    </row>
    <row r="1000" spans="3:6">
      <c r="C1000" s="631"/>
      <c r="D1000" s="631"/>
      <c r="E1000" s="633"/>
      <c r="F1000" s="650"/>
    </row>
    <row r="1001" spans="3:6">
      <c r="C1001" s="631"/>
      <c r="D1001" s="631"/>
      <c r="E1001" s="633"/>
      <c r="F1001" s="650"/>
    </row>
    <row r="1002" spans="3:6">
      <c r="C1002" s="631"/>
      <c r="D1002" s="631"/>
      <c r="E1002" s="633"/>
      <c r="F1002" s="650"/>
    </row>
    <row r="1003" spans="3:6">
      <c r="C1003" s="631"/>
      <c r="D1003" s="631"/>
      <c r="E1003" s="633"/>
      <c r="F1003" s="650"/>
    </row>
    <row r="1004" spans="3:6">
      <c r="C1004" s="631"/>
      <c r="D1004" s="631"/>
      <c r="E1004" s="633"/>
      <c r="F1004" s="650"/>
    </row>
    <row r="1005" spans="3:6">
      <c r="C1005" s="631"/>
      <c r="D1005" s="631"/>
      <c r="E1005" s="633"/>
      <c r="F1005" s="650"/>
    </row>
    <row r="1006" spans="3:6">
      <c r="C1006" s="631"/>
      <c r="D1006" s="631"/>
      <c r="E1006" s="633"/>
      <c r="F1006" s="650"/>
    </row>
    <row r="1007" spans="3:6">
      <c r="C1007" s="631"/>
      <c r="D1007" s="631"/>
      <c r="E1007" s="633"/>
      <c r="F1007" s="650"/>
    </row>
    <row r="1008" spans="3:6">
      <c r="C1008" s="631"/>
      <c r="D1008" s="631"/>
      <c r="E1008" s="633"/>
      <c r="F1008" s="650"/>
    </row>
    <row r="1009" spans="3:6">
      <c r="C1009" s="631"/>
      <c r="D1009" s="631"/>
      <c r="E1009" s="633"/>
      <c r="F1009" s="650"/>
    </row>
    <row r="1010" spans="3:6">
      <c r="C1010" s="631"/>
      <c r="D1010" s="631"/>
      <c r="E1010" s="633"/>
      <c r="F1010" s="650"/>
    </row>
    <row r="1011" spans="3:6">
      <c r="C1011" s="631"/>
      <c r="D1011" s="631"/>
      <c r="E1011" s="633"/>
      <c r="F1011" s="650"/>
    </row>
    <row r="1012" spans="3:6">
      <c r="C1012" s="631"/>
      <c r="D1012" s="631"/>
      <c r="E1012" s="633"/>
      <c r="F1012" s="650"/>
    </row>
    <row r="1013" spans="3:6">
      <c r="C1013" s="631"/>
      <c r="D1013" s="631"/>
      <c r="E1013" s="633"/>
      <c r="F1013" s="650"/>
    </row>
    <row r="1014" spans="3:6">
      <c r="C1014" s="631"/>
      <c r="D1014" s="631"/>
      <c r="E1014" s="633"/>
      <c r="F1014" s="650"/>
    </row>
    <row r="1015" spans="3:6">
      <c r="C1015" s="631"/>
      <c r="D1015" s="631"/>
      <c r="E1015" s="633"/>
      <c r="F1015" s="650"/>
    </row>
    <row r="1016" spans="3:6">
      <c r="C1016" s="631"/>
      <c r="D1016" s="631"/>
      <c r="E1016" s="633"/>
      <c r="F1016" s="650"/>
    </row>
    <row r="1017" spans="3:6">
      <c r="C1017" s="631"/>
      <c r="D1017" s="631"/>
      <c r="E1017" s="633"/>
      <c r="F1017" s="650"/>
    </row>
    <row r="1018" spans="3:6">
      <c r="C1018" s="631"/>
      <c r="D1018" s="631"/>
      <c r="E1018" s="633"/>
      <c r="F1018" s="650"/>
    </row>
    <row r="1019" spans="3:6">
      <c r="C1019" s="631"/>
      <c r="D1019" s="631"/>
      <c r="E1019" s="633"/>
      <c r="F1019" s="650"/>
    </row>
    <row r="1020" spans="3:6">
      <c r="C1020" s="631"/>
      <c r="D1020" s="631"/>
      <c r="E1020" s="633"/>
      <c r="F1020" s="650"/>
    </row>
    <row r="1021" spans="3:6">
      <c r="C1021" s="631"/>
      <c r="D1021" s="631"/>
      <c r="E1021" s="633"/>
      <c r="F1021" s="650"/>
    </row>
    <row r="1022" spans="3:6">
      <c r="C1022" s="631"/>
      <c r="D1022" s="631"/>
      <c r="E1022" s="633"/>
      <c r="F1022" s="650"/>
    </row>
    <row r="1023" spans="3:6">
      <c r="C1023" s="631"/>
      <c r="D1023" s="631"/>
      <c r="E1023" s="633"/>
      <c r="F1023" s="650"/>
    </row>
    <row r="1024" spans="3:6">
      <c r="C1024" s="631"/>
      <c r="D1024" s="631"/>
      <c r="E1024" s="633"/>
      <c r="F1024" s="650"/>
    </row>
    <row r="1025" spans="3:6">
      <c r="C1025" s="631"/>
      <c r="D1025" s="631"/>
      <c r="E1025" s="633"/>
      <c r="F1025" s="650"/>
    </row>
    <row r="1026" spans="3:6">
      <c r="C1026" s="631"/>
      <c r="D1026" s="631"/>
      <c r="E1026" s="633"/>
      <c r="F1026" s="650"/>
    </row>
    <row r="1027" spans="3:6">
      <c r="C1027" s="631"/>
      <c r="D1027" s="631"/>
      <c r="E1027" s="633"/>
      <c r="F1027" s="650"/>
    </row>
    <row r="1028" spans="3:6">
      <c r="C1028" s="631"/>
      <c r="D1028" s="631"/>
      <c r="E1028" s="633"/>
      <c r="F1028" s="650"/>
    </row>
    <row r="1029" spans="3:6">
      <c r="C1029" s="631"/>
      <c r="D1029" s="631"/>
      <c r="E1029" s="633"/>
      <c r="F1029" s="650"/>
    </row>
    <row r="1030" spans="3:6">
      <c r="C1030" s="631"/>
      <c r="D1030" s="631"/>
      <c r="E1030" s="633"/>
      <c r="F1030" s="650"/>
    </row>
    <row r="1031" spans="3:6">
      <c r="C1031" s="631"/>
      <c r="D1031" s="631"/>
      <c r="E1031" s="633"/>
      <c r="F1031" s="650"/>
    </row>
    <row r="1032" spans="3:6">
      <c r="C1032" s="631"/>
      <c r="D1032" s="631"/>
      <c r="E1032" s="633"/>
      <c r="F1032" s="650"/>
    </row>
    <row r="1033" spans="3:6">
      <c r="C1033" s="631"/>
      <c r="D1033" s="631"/>
      <c r="E1033" s="633"/>
      <c r="F1033" s="650"/>
    </row>
    <row r="1034" spans="3:6">
      <c r="C1034" s="631"/>
      <c r="D1034" s="631"/>
      <c r="E1034" s="633"/>
      <c r="F1034" s="650"/>
    </row>
    <row r="1035" spans="3:6">
      <c r="C1035" s="631"/>
      <c r="D1035" s="631"/>
      <c r="E1035" s="633"/>
      <c r="F1035" s="650"/>
    </row>
    <row r="1036" spans="3:6">
      <c r="C1036" s="631"/>
      <c r="D1036" s="631"/>
      <c r="E1036" s="633"/>
      <c r="F1036" s="650"/>
    </row>
    <row r="1037" spans="3:6">
      <c r="C1037" s="631"/>
      <c r="D1037" s="631"/>
      <c r="E1037" s="633"/>
      <c r="F1037" s="650"/>
    </row>
    <row r="1038" spans="3:6">
      <c r="C1038" s="631"/>
      <c r="D1038" s="631"/>
      <c r="E1038" s="633"/>
      <c r="F1038" s="650"/>
    </row>
    <row r="1039" spans="3:6">
      <c r="C1039" s="631"/>
      <c r="D1039" s="631"/>
      <c r="E1039" s="633"/>
      <c r="F1039" s="650"/>
    </row>
    <row r="1040" spans="3:6">
      <c r="C1040" s="631"/>
      <c r="D1040" s="631"/>
      <c r="E1040" s="633"/>
      <c r="F1040" s="650"/>
    </row>
    <row r="1041" spans="3:6">
      <c r="C1041" s="631"/>
      <c r="D1041" s="631"/>
      <c r="E1041" s="633"/>
      <c r="F1041" s="650"/>
    </row>
    <row r="1042" spans="3:6">
      <c r="C1042" s="631"/>
      <c r="D1042" s="631"/>
      <c r="E1042" s="633"/>
      <c r="F1042" s="650"/>
    </row>
    <row r="1043" spans="3:6">
      <c r="C1043" s="631"/>
      <c r="D1043" s="631"/>
      <c r="E1043" s="633"/>
      <c r="F1043" s="650"/>
    </row>
    <row r="1044" spans="3:6">
      <c r="C1044" s="631"/>
      <c r="D1044" s="631"/>
      <c r="E1044" s="633"/>
      <c r="F1044" s="650"/>
    </row>
    <row r="1045" spans="3:6">
      <c r="C1045" s="631"/>
      <c r="D1045" s="631"/>
      <c r="E1045" s="633"/>
      <c r="F1045" s="650"/>
    </row>
    <row r="1046" spans="3:6">
      <c r="C1046" s="631"/>
      <c r="D1046" s="631"/>
      <c r="E1046" s="633"/>
      <c r="F1046" s="650"/>
    </row>
    <row r="1047" spans="3:6">
      <c r="C1047" s="631"/>
      <c r="D1047" s="631"/>
      <c r="E1047" s="633"/>
      <c r="F1047" s="650"/>
    </row>
    <row r="1048" spans="3:6">
      <c r="C1048" s="631"/>
      <c r="D1048" s="631"/>
      <c r="E1048" s="633"/>
      <c r="F1048" s="650"/>
    </row>
    <row r="1049" spans="3:6">
      <c r="C1049" s="631"/>
      <c r="D1049" s="631"/>
      <c r="E1049" s="633"/>
      <c r="F1049" s="650"/>
    </row>
    <row r="1050" spans="3:6">
      <c r="C1050" s="631"/>
      <c r="D1050" s="631"/>
      <c r="E1050" s="633"/>
      <c r="F1050" s="650"/>
    </row>
    <row r="1051" spans="3:6">
      <c r="C1051" s="631"/>
      <c r="D1051" s="631"/>
      <c r="E1051" s="633"/>
      <c r="F1051" s="650"/>
    </row>
    <row r="1052" spans="3:6">
      <c r="C1052" s="631"/>
      <c r="D1052" s="631"/>
      <c r="E1052" s="633"/>
      <c r="F1052" s="650"/>
    </row>
    <row r="1053" spans="3:6">
      <c r="C1053" s="631"/>
      <c r="D1053" s="631"/>
      <c r="E1053" s="633"/>
      <c r="F1053" s="650"/>
    </row>
    <row r="1054" spans="3:6">
      <c r="C1054" s="631"/>
      <c r="D1054" s="631"/>
      <c r="E1054" s="633"/>
      <c r="F1054" s="650"/>
    </row>
    <row r="1055" spans="3:6">
      <c r="C1055" s="631"/>
      <c r="D1055" s="631"/>
      <c r="E1055" s="633"/>
      <c r="F1055" s="650"/>
    </row>
    <row r="1056" spans="3:6">
      <c r="C1056" s="631"/>
      <c r="D1056" s="631"/>
      <c r="E1056" s="633"/>
      <c r="F1056" s="650"/>
    </row>
    <row r="1057" spans="3:6">
      <c r="C1057" s="631"/>
      <c r="D1057" s="631"/>
      <c r="E1057" s="633"/>
      <c r="F1057" s="650"/>
    </row>
    <row r="1058" spans="3:6">
      <c r="C1058" s="631"/>
      <c r="D1058" s="631"/>
      <c r="E1058" s="633"/>
      <c r="F1058" s="650"/>
    </row>
    <row r="1059" spans="3:6">
      <c r="C1059" s="631"/>
      <c r="D1059" s="631"/>
      <c r="E1059" s="633"/>
      <c r="F1059" s="650"/>
    </row>
    <row r="1060" spans="3:6">
      <c r="C1060" s="631"/>
      <c r="D1060" s="631"/>
      <c r="E1060" s="633"/>
      <c r="F1060" s="650"/>
    </row>
    <row r="1061" spans="3:6">
      <c r="C1061" s="631"/>
      <c r="D1061" s="631"/>
      <c r="E1061" s="633"/>
      <c r="F1061" s="650"/>
    </row>
    <row r="1062" spans="3:6">
      <c r="C1062" s="631"/>
      <c r="D1062" s="631"/>
      <c r="E1062" s="633"/>
      <c r="F1062" s="650"/>
    </row>
    <row r="1063" spans="3:6">
      <c r="C1063" s="631"/>
      <c r="D1063" s="631"/>
      <c r="E1063" s="633"/>
      <c r="F1063" s="650"/>
    </row>
    <row r="1064" spans="3:6">
      <c r="C1064" s="631"/>
      <c r="D1064" s="631"/>
      <c r="E1064" s="633"/>
      <c r="F1064" s="650"/>
    </row>
    <row r="1065" spans="3:6">
      <c r="C1065" s="631"/>
      <c r="D1065" s="631"/>
      <c r="E1065" s="633"/>
      <c r="F1065" s="650"/>
    </row>
    <row r="1066" spans="3:6">
      <c r="C1066" s="631"/>
      <c r="D1066" s="631"/>
      <c r="E1066" s="633"/>
      <c r="F1066" s="650"/>
    </row>
    <row r="1067" spans="3:6">
      <c r="C1067" s="631"/>
      <c r="D1067" s="631"/>
      <c r="E1067" s="633"/>
      <c r="F1067" s="650"/>
    </row>
    <row r="1068" spans="3:6">
      <c r="C1068" s="631"/>
      <c r="D1068" s="631"/>
      <c r="E1068" s="633"/>
      <c r="F1068" s="650"/>
    </row>
    <row r="1069" spans="3:6">
      <c r="C1069" s="631"/>
      <c r="D1069" s="631"/>
      <c r="E1069" s="633"/>
      <c r="F1069" s="650"/>
    </row>
    <row r="1070" spans="3:6">
      <c r="C1070" s="631"/>
      <c r="D1070" s="631"/>
      <c r="E1070" s="633"/>
      <c r="F1070" s="650"/>
    </row>
    <row r="1071" spans="3:6">
      <c r="C1071" s="631"/>
      <c r="D1071" s="631"/>
      <c r="E1071" s="633"/>
      <c r="F1071" s="650"/>
    </row>
    <row r="1072" spans="3:6">
      <c r="C1072" s="631"/>
      <c r="D1072" s="631"/>
      <c r="E1072" s="633"/>
      <c r="F1072" s="650"/>
    </row>
    <row r="1073" spans="3:6">
      <c r="C1073" s="631"/>
      <c r="D1073" s="631"/>
      <c r="E1073" s="633"/>
      <c r="F1073" s="650"/>
    </row>
    <row r="1074" spans="3:6">
      <c r="C1074" s="631"/>
      <c r="D1074" s="631"/>
      <c r="E1074" s="633"/>
      <c r="F1074" s="650"/>
    </row>
    <row r="1075" spans="3:6">
      <c r="C1075" s="631"/>
      <c r="D1075" s="631"/>
      <c r="E1075" s="633"/>
      <c r="F1075" s="650"/>
    </row>
    <row r="1076" spans="3:6">
      <c r="C1076" s="631"/>
      <c r="D1076" s="631"/>
      <c r="E1076" s="633"/>
      <c r="F1076" s="650"/>
    </row>
    <row r="1077" spans="3:6">
      <c r="C1077" s="631"/>
      <c r="D1077" s="631"/>
      <c r="E1077" s="633"/>
      <c r="F1077" s="650"/>
    </row>
    <row r="1078" spans="3:6">
      <c r="C1078" s="631"/>
      <c r="D1078" s="631"/>
      <c r="E1078" s="633"/>
      <c r="F1078" s="650"/>
    </row>
    <row r="1079" spans="3:6">
      <c r="C1079" s="631"/>
      <c r="D1079" s="631"/>
      <c r="E1079" s="633"/>
      <c r="F1079" s="650"/>
    </row>
    <row r="1080" spans="3:6">
      <c r="C1080" s="631"/>
      <c r="D1080" s="631"/>
      <c r="E1080" s="633"/>
      <c r="F1080" s="650"/>
    </row>
    <row r="1081" spans="3:6">
      <c r="C1081" s="631"/>
      <c r="D1081" s="631"/>
      <c r="E1081" s="633"/>
      <c r="F1081" s="650"/>
    </row>
    <row r="1082" spans="3:6">
      <c r="C1082" s="631"/>
      <c r="D1082" s="631"/>
      <c r="E1082" s="633"/>
      <c r="F1082" s="650"/>
    </row>
    <row r="1083" spans="3:6">
      <c r="C1083" s="631"/>
      <c r="D1083" s="631"/>
      <c r="E1083" s="633"/>
      <c r="F1083" s="650"/>
    </row>
    <row r="1084" spans="3:6">
      <c r="C1084" s="631"/>
      <c r="D1084" s="631"/>
      <c r="E1084" s="633"/>
      <c r="F1084" s="650"/>
    </row>
    <row r="1085" spans="3:6">
      <c r="C1085" s="631"/>
      <c r="D1085" s="631"/>
      <c r="E1085" s="633"/>
      <c r="F1085" s="650"/>
    </row>
    <row r="1086" spans="3:6">
      <c r="C1086" s="631"/>
      <c r="D1086" s="631"/>
      <c r="E1086" s="633"/>
      <c r="F1086" s="650"/>
    </row>
    <row r="1087" spans="3:6">
      <c r="C1087" s="631"/>
      <c r="D1087" s="631"/>
      <c r="E1087" s="633"/>
      <c r="F1087" s="650"/>
    </row>
    <row r="1088" spans="3:6">
      <c r="C1088" s="631"/>
      <c r="D1088" s="631"/>
      <c r="E1088" s="633"/>
      <c r="F1088" s="650"/>
    </row>
    <row r="1089" spans="3:6">
      <c r="C1089" s="631"/>
      <c r="D1089" s="631"/>
      <c r="E1089" s="633"/>
      <c r="F1089" s="650"/>
    </row>
    <row r="1090" spans="3:6">
      <c r="C1090" s="631"/>
      <c r="D1090" s="631"/>
      <c r="E1090" s="633"/>
      <c r="F1090" s="650"/>
    </row>
    <row r="1091" spans="3:6">
      <c r="C1091" s="631"/>
      <c r="D1091" s="631"/>
      <c r="E1091" s="633"/>
      <c r="F1091" s="650"/>
    </row>
    <row r="1092" spans="3:6">
      <c r="C1092" s="631"/>
      <c r="D1092" s="631"/>
      <c r="E1092" s="633"/>
      <c r="F1092" s="650"/>
    </row>
    <row r="1093" spans="3:6">
      <c r="C1093" s="631"/>
      <c r="D1093" s="631"/>
      <c r="E1093" s="633"/>
      <c r="F1093" s="650"/>
    </row>
    <row r="1094" spans="3:6">
      <c r="C1094" s="631"/>
      <c r="D1094" s="631"/>
      <c r="E1094" s="633"/>
      <c r="F1094" s="650"/>
    </row>
    <row r="1095" spans="3:6">
      <c r="C1095" s="631"/>
      <c r="D1095" s="631"/>
      <c r="E1095" s="633"/>
      <c r="F1095" s="650"/>
    </row>
    <row r="1096" spans="3:6">
      <c r="C1096" s="631"/>
      <c r="D1096" s="631"/>
      <c r="E1096" s="633"/>
      <c r="F1096" s="650"/>
    </row>
    <row r="1097" spans="3:6">
      <c r="C1097" s="631"/>
      <c r="D1097" s="631"/>
      <c r="E1097" s="633"/>
      <c r="F1097" s="650"/>
    </row>
    <row r="1098" spans="3:6">
      <c r="C1098" s="631"/>
      <c r="D1098" s="631"/>
      <c r="E1098" s="633"/>
      <c r="F1098" s="650"/>
    </row>
    <row r="1099" spans="3:6">
      <c r="C1099" s="631"/>
      <c r="D1099" s="631"/>
      <c r="E1099" s="633"/>
      <c r="F1099" s="650"/>
    </row>
    <row r="1100" spans="3:6">
      <c r="C1100" s="631"/>
      <c r="D1100" s="631"/>
      <c r="E1100" s="633"/>
      <c r="F1100" s="650"/>
    </row>
    <row r="1101" spans="3:6">
      <c r="C1101" s="631"/>
      <c r="D1101" s="631"/>
      <c r="E1101" s="633"/>
      <c r="F1101" s="650"/>
    </row>
    <row r="1102" spans="3:6">
      <c r="C1102" s="631"/>
      <c r="D1102" s="631"/>
      <c r="E1102" s="633"/>
      <c r="F1102" s="650"/>
    </row>
    <row r="1103" spans="3:6">
      <c r="C1103" s="631"/>
      <c r="D1103" s="631"/>
      <c r="E1103" s="633"/>
      <c r="F1103" s="650"/>
    </row>
    <row r="1104" spans="3:6">
      <c r="C1104" s="631"/>
      <c r="D1104" s="631"/>
      <c r="E1104" s="633"/>
      <c r="F1104" s="650"/>
    </row>
    <row r="1105" spans="3:6">
      <c r="C1105" s="631"/>
      <c r="D1105" s="631"/>
      <c r="E1105" s="633"/>
      <c r="F1105" s="650"/>
    </row>
    <row r="1106" spans="3:6">
      <c r="C1106" s="631"/>
      <c r="D1106" s="631"/>
      <c r="E1106" s="633"/>
      <c r="F1106" s="650"/>
    </row>
    <row r="1107" spans="3:6">
      <c r="C1107" s="631"/>
      <c r="D1107" s="631"/>
      <c r="E1107" s="633"/>
      <c r="F1107" s="650"/>
    </row>
    <row r="1108" spans="3:6">
      <c r="C1108" s="631"/>
      <c r="D1108" s="631"/>
      <c r="E1108" s="633"/>
      <c r="F1108" s="650"/>
    </row>
    <row r="1109" spans="3:6">
      <c r="C1109" s="631"/>
      <c r="D1109" s="631"/>
      <c r="E1109" s="633"/>
      <c r="F1109" s="650"/>
    </row>
    <row r="1110" spans="3:6">
      <c r="C1110" s="631"/>
      <c r="D1110" s="631"/>
      <c r="E1110" s="633"/>
      <c r="F1110" s="650"/>
    </row>
    <row r="1111" spans="3:6">
      <c r="C1111" s="631"/>
      <c r="D1111" s="631"/>
      <c r="E1111" s="633"/>
      <c r="F1111" s="650"/>
    </row>
    <row r="1112" spans="3:6">
      <c r="C1112" s="631"/>
      <c r="D1112" s="631"/>
      <c r="E1112" s="633"/>
      <c r="F1112" s="650"/>
    </row>
    <row r="1113" spans="3:6">
      <c r="C1113" s="631"/>
      <c r="D1113" s="631"/>
      <c r="E1113" s="633"/>
      <c r="F1113" s="650"/>
    </row>
    <row r="1114" spans="3:6">
      <c r="C1114" s="631"/>
      <c r="D1114" s="631"/>
      <c r="E1114" s="633"/>
      <c r="F1114" s="650"/>
    </row>
    <row r="1115" spans="3:6">
      <c r="C1115" s="631"/>
      <c r="D1115" s="631"/>
      <c r="E1115" s="633"/>
      <c r="F1115" s="650"/>
    </row>
    <row r="1116" spans="3:6">
      <c r="C1116" s="631"/>
      <c r="D1116" s="631"/>
      <c r="E1116" s="633"/>
      <c r="F1116" s="650"/>
    </row>
    <row r="1117" spans="3:6">
      <c r="C1117" s="631"/>
      <c r="D1117" s="631"/>
      <c r="E1117" s="633"/>
      <c r="F1117" s="650"/>
    </row>
    <row r="1118" spans="3:6">
      <c r="C1118" s="631"/>
      <c r="D1118" s="631"/>
      <c r="E1118" s="633"/>
      <c r="F1118" s="650"/>
    </row>
    <row r="1119" spans="3:6">
      <c r="C1119" s="631"/>
      <c r="D1119" s="631"/>
      <c r="E1119" s="633"/>
      <c r="F1119" s="650"/>
    </row>
    <row r="1120" spans="3:6">
      <c r="C1120" s="631"/>
      <c r="D1120" s="631"/>
      <c r="E1120" s="633"/>
      <c r="F1120" s="650"/>
    </row>
    <row r="1121" spans="3:6">
      <c r="C1121" s="631"/>
      <c r="D1121" s="631"/>
      <c r="E1121" s="633"/>
      <c r="F1121" s="650"/>
    </row>
    <row r="1122" spans="3:6">
      <c r="C1122" s="631"/>
      <c r="D1122" s="631"/>
      <c r="E1122" s="633"/>
      <c r="F1122" s="650"/>
    </row>
    <row r="1123" spans="3:6">
      <c r="C1123" s="631"/>
      <c r="D1123" s="631"/>
      <c r="E1123" s="633"/>
      <c r="F1123" s="650"/>
    </row>
    <row r="1124" spans="3:6">
      <c r="C1124" s="631"/>
      <c r="D1124" s="631"/>
      <c r="E1124" s="633"/>
      <c r="F1124" s="650"/>
    </row>
    <row r="1125" spans="3:6">
      <c r="C1125" s="631"/>
      <c r="D1125" s="631"/>
      <c r="E1125" s="633"/>
      <c r="F1125" s="650"/>
    </row>
    <row r="1126" spans="3:6">
      <c r="C1126" s="631"/>
      <c r="D1126" s="631"/>
      <c r="E1126" s="633"/>
      <c r="F1126" s="650"/>
    </row>
    <row r="1127" spans="3:6">
      <c r="C1127" s="631"/>
      <c r="D1127" s="631"/>
      <c r="E1127" s="633"/>
      <c r="F1127" s="650"/>
    </row>
    <row r="1128" spans="3:6">
      <c r="C1128" s="631"/>
      <c r="D1128" s="631"/>
      <c r="E1128" s="633"/>
      <c r="F1128" s="650"/>
    </row>
    <row r="1129" spans="3:6">
      <c r="C1129" s="631"/>
      <c r="D1129" s="631"/>
      <c r="E1129" s="633"/>
      <c r="F1129" s="650"/>
    </row>
    <row r="1130" spans="3:6">
      <c r="C1130" s="631"/>
      <c r="D1130" s="631"/>
      <c r="E1130" s="633"/>
      <c r="F1130" s="650"/>
    </row>
    <row r="1131" spans="3:6">
      <c r="C1131" s="631"/>
      <c r="D1131" s="631"/>
      <c r="E1131" s="633"/>
      <c r="F1131" s="650"/>
    </row>
    <row r="1132" spans="3:6">
      <c r="C1132" s="631"/>
      <c r="D1132" s="631"/>
      <c r="E1132" s="633"/>
      <c r="F1132" s="650"/>
    </row>
    <row r="1133" spans="3:6">
      <c r="C1133" s="631"/>
      <c r="D1133" s="631"/>
      <c r="E1133" s="633"/>
      <c r="F1133" s="650"/>
    </row>
    <row r="1134" spans="3:6">
      <c r="C1134" s="631"/>
      <c r="D1134" s="631"/>
      <c r="E1134" s="633"/>
      <c r="F1134" s="650"/>
    </row>
    <row r="1135" spans="3:6">
      <c r="C1135" s="631"/>
      <c r="D1135" s="631"/>
      <c r="E1135" s="633"/>
      <c r="F1135" s="650"/>
    </row>
    <row r="1136" spans="3:6">
      <c r="C1136" s="631"/>
      <c r="D1136" s="631"/>
      <c r="E1136" s="633"/>
      <c r="F1136" s="650"/>
    </row>
    <row r="1137" spans="3:6">
      <c r="C1137" s="631"/>
      <c r="D1137" s="631"/>
      <c r="E1137" s="633"/>
      <c r="F1137" s="650"/>
    </row>
    <row r="1138" spans="3:6">
      <c r="C1138" s="631"/>
      <c r="D1138" s="631"/>
      <c r="E1138" s="633"/>
      <c r="F1138" s="650"/>
    </row>
    <row r="1139" spans="3:6">
      <c r="C1139" s="631"/>
      <c r="D1139" s="631"/>
      <c r="E1139" s="633"/>
      <c r="F1139" s="650"/>
    </row>
    <row r="1140" spans="3:6">
      <c r="C1140" s="631"/>
      <c r="D1140" s="631"/>
      <c r="E1140" s="633"/>
      <c r="F1140" s="650"/>
    </row>
    <row r="1141" spans="3:6">
      <c r="C1141" s="631"/>
      <c r="D1141" s="631"/>
      <c r="E1141" s="633"/>
      <c r="F1141" s="650"/>
    </row>
    <row r="1142" spans="3:6">
      <c r="C1142" s="631"/>
      <c r="D1142" s="631"/>
      <c r="E1142" s="633"/>
      <c r="F1142" s="650"/>
    </row>
    <row r="1143" spans="3:6">
      <c r="C1143" s="631"/>
      <c r="D1143" s="631"/>
      <c r="E1143" s="633"/>
      <c r="F1143" s="650"/>
    </row>
    <row r="1144" spans="3:6">
      <c r="C1144" s="631"/>
      <c r="D1144" s="631"/>
      <c r="E1144" s="633"/>
      <c r="F1144" s="650"/>
    </row>
    <row r="1145" spans="3:6">
      <c r="C1145" s="631"/>
      <c r="D1145" s="631"/>
      <c r="E1145" s="633"/>
      <c r="F1145" s="650"/>
    </row>
    <row r="1146" spans="3:6">
      <c r="C1146" s="631"/>
      <c r="D1146" s="631"/>
      <c r="E1146" s="633"/>
      <c r="F1146" s="650"/>
    </row>
    <row r="1147" spans="3:6">
      <c r="C1147" s="631"/>
      <c r="D1147" s="631"/>
      <c r="E1147" s="633"/>
      <c r="F1147" s="650"/>
    </row>
    <row r="1148" spans="3:6">
      <c r="C1148" s="631"/>
      <c r="D1148" s="631"/>
      <c r="E1148" s="633"/>
      <c r="F1148" s="650"/>
    </row>
    <row r="1149" spans="3:6">
      <c r="C1149" s="631"/>
      <c r="D1149" s="631"/>
      <c r="E1149" s="633"/>
      <c r="F1149" s="650"/>
    </row>
    <row r="1150" spans="3:6">
      <c r="C1150" s="631"/>
      <c r="D1150" s="631"/>
      <c r="E1150" s="633"/>
      <c r="F1150" s="650"/>
    </row>
    <row r="1151" spans="3:6">
      <c r="C1151" s="631"/>
      <c r="D1151" s="631"/>
      <c r="E1151" s="633"/>
      <c r="F1151" s="650"/>
    </row>
    <row r="1152" spans="3:6">
      <c r="C1152" s="631"/>
      <c r="D1152" s="631"/>
      <c r="E1152" s="633"/>
      <c r="F1152" s="650"/>
    </row>
    <row r="1153" spans="3:6">
      <c r="C1153" s="631"/>
      <c r="D1153" s="631"/>
      <c r="E1153" s="633"/>
      <c r="F1153" s="650"/>
    </row>
    <row r="1154" spans="3:6">
      <c r="C1154" s="631"/>
      <c r="D1154" s="631"/>
      <c r="E1154" s="633"/>
      <c r="F1154" s="650"/>
    </row>
    <row r="1155" spans="3:6">
      <c r="C1155" s="631"/>
      <c r="D1155" s="631"/>
      <c r="E1155" s="633"/>
      <c r="F1155" s="650"/>
    </row>
    <row r="1156" spans="3:6">
      <c r="C1156" s="631"/>
      <c r="D1156" s="631"/>
      <c r="E1156" s="633"/>
      <c r="F1156" s="650"/>
    </row>
    <row r="1157" spans="3:6">
      <c r="C1157" s="631"/>
      <c r="D1157" s="631"/>
      <c r="E1157" s="633"/>
      <c r="F1157" s="650"/>
    </row>
    <row r="1158" spans="3:6">
      <c r="C1158" s="631"/>
      <c r="D1158" s="631"/>
      <c r="E1158" s="633"/>
      <c r="F1158" s="650"/>
    </row>
    <row r="1159" spans="3:6">
      <c r="C1159" s="631"/>
      <c r="D1159" s="631"/>
      <c r="E1159" s="633"/>
      <c r="F1159" s="650"/>
    </row>
    <row r="1160" spans="3:6">
      <c r="C1160" s="631"/>
      <c r="D1160" s="631"/>
      <c r="E1160" s="633"/>
      <c r="F1160" s="650"/>
    </row>
    <row r="1161" spans="3:6">
      <c r="C1161" s="631"/>
      <c r="D1161" s="631"/>
      <c r="E1161" s="633"/>
      <c r="F1161" s="650"/>
    </row>
    <row r="1162" spans="3:6">
      <c r="C1162" s="631"/>
      <c r="D1162" s="631"/>
      <c r="E1162" s="633"/>
      <c r="F1162" s="650"/>
    </row>
    <row r="1163" spans="3:6">
      <c r="C1163" s="631"/>
      <c r="D1163" s="631"/>
      <c r="E1163" s="633"/>
      <c r="F1163" s="650"/>
    </row>
    <row r="1164" spans="3:6">
      <c r="C1164" s="631"/>
      <c r="D1164" s="631"/>
      <c r="E1164" s="633"/>
      <c r="F1164" s="650"/>
    </row>
    <row r="1165" spans="3:6">
      <c r="C1165" s="631"/>
      <c r="D1165" s="631"/>
      <c r="E1165" s="633"/>
      <c r="F1165" s="650"/>
    </row>
    <row r="1166" spans="3:6">
      <c r="C1166" s="631"/>
      <c r="D1166" s="631"/>
      <c r="E1166" s="633"/>
      <c r="F1166" s="650"/>
    </row>
    <row r="1167" spans="3:6">
      <c r="C1167" s="631"/>
      <c r="D1167" s="631"/>
      <c r="E1167" s="633"/>
      <c r="F1167" s="650"/>
    </row>
    <row r="1168" spans="3:6">
      <c r="C1168" s="631"/>
      <c r="D1168" s="631"/>
      <c r="E1168" s="633"/>
      <c r="F1168" s="650"/>
    </row>
    <row r="1169" spans="3:6">
      <c r="C1169" s="631"/>
      <c r="D1169" s="631"/>
      <c r="E1169" s="633"/>
      <c r="F1169" s="650"/>
    </row>
    <row r="1170" spans="3:6">
      <c r="C1170" s="631"/>
      <c r="D1170" s="631"/>
      <c r="E1170" s="633"/>
      <c r="F1170" s="650"/>
    </row>
    <row r="1171" spans="3:6">
      <c r="C1171" s="631"/>
      <c r="D1171" s="631"/>
      <c r="E1171" s="633"/>
      <c r="F1171" s="650"/>
    </row>
    <row r="1172" spans="3:6">
      <c r="C1172" s="631"/>
      <c r="D1172" s="631"/>
      <c r="E1172" s="633"/>
      <c r="F1172" s="650"/>
    </row>
    <row r="1173" spans="3:6">
      <c r="C1173" s="631"/>
      <c r="D1173" s="631"/>
      <c r="E1173" s="633"/>
      <c r="F1173" s="650"/>
    </row>
    <row r="1174" spans="3:6">
      <c r="C1174" s="631"/>
      <c r="D1174" s="631"/>
      <c r="E1174" s="633"/>
      <c r="F1174" s="650"/>
    </row>
    <row r="1175" spans="3:6">
      <c r="C1175" s="631"/>
      <c r="D1175" s="631"/>
      <c r="E1175" s="633"/>
      <c r="F1175" s="650"/>
    </row>
    <row r="1176" spans="3:6">
      <c r="C1176" s="631"/>
      <c r="D1176" s="631"/>
      <c r="E1176" s="633"/>
      <c r="F1176" s="650"/>
    </row>
    <row r="1177" spans="3:6">
      <c r="C1177" s="631"/>
      <c r="D1177" s="631"/>
      <c r="E1177" s="633"/>
      <c r="F1177" s="650"/>
    </row>
    <row r="1178" spans="3:6">
      <c r="C1178" s="631"/>
      <c r="D1178" s="631"/>
      <c r="E1178" s="633"/>
      <c r="F1178" s="650"/>
    </row>
    <row r="1179" spans="3:6">
      <c r="C1179" s="631"/>
      <c r="D1179" s="631"/>
      <c r="E1179" s="633"/>
      <c r="F1179" s="650"/>
    </row>
    <row r="1180" spans="3:6">
      <c r="C1180" s="631"/>
      <c r="D1180" s="631"/>
      <c r="E1180" s="633"/>
      <c r="F1180" s="650"/>
    </row>
    <row r="1181" spans="3:6">
      <c r="C1181" s="631"/>
      <c r="D1181" s="631"/>
      <c r="E1181" s="633"/>
      <c r="F1181" s="650"/>
    </row>
    <row r="1182" spans="3:6">
      <c r="C1182" s="631"/>
      <c r="D1182" s="631"/>
      <c r="E1182" s="633"/>
      <c r="F1182" s="650"/>
    </row>
    <row r="1183" spans="3:6">
      <c r="C1183" s="631"/>
      <c r="D1183" s="631"/>
      <c r="E1183" s="633"/>
      <c r="F1183" s="650"/>
    </row>
    <row r="1184" spans="3:6">
      <c r="C1184" s="631"/>
      <c r="D1184" s="631"/>
      <c r="E1184" s="633"/>
      <c r="F1184" s="650"/>
    </row>
    <row r="1185" spans="3:6">
      <c r="C1185" s="631"/>
      <c r="D1185" s="631"/>
      <c r="E1185" s="633"/>
      <c r="F1185" s="650"/>
    </row>
    <row r="1186" spans="3:6">
      <c r="C1186" s="631"/>
      <c r="D1186" s="631"/>
      <c r="E1186" s="633"/>
      <c r="F1186" s="650"/>
    </row>
    <row r="1187" spans="3:6">
      <c r="C1187" s="631"/>
      <c r="D1187" s="631"/>
      <c r="E1187" s="633"/>
      <c r="F1187" s="650"/>
    </row>
    <row r="1188" spans="3:6">
      <c r="C1188" s="631"/>
      <c r="D1188" s="631"/>
      <c r="E1188" s="633"/>
      <c r="F1188" s="650"/>
    </row>
    <row r="1189" spans="3:6">
      <c r="C1189" s="631"/>
      <c r="D1189" s="631"/>
      <c r="E1189" s="633"/>
      <c r="F1189" s="650"/>
    </row>
    <row r="1190" spans="3:6">
      <c r="C1190" s="631"/>
      <c r="D1190" s="631"/>
      <c r="E1190" s="633"/>
      <c r="F1190" s="650"/>
    </row>
    <row r="1191" spans="3:6">
      <c r="C1191" s="631"/>
      <c r="D1191" s="631"/>
      <c r="E1191" s="633"/>
      <c r="F1191" s="650"/>
    </row>
    <row r="1192" spans="3:6">
      <c r="C1192" s="631"/>
      <c r="D1192" s="631"/>
      <c r="E1192" s="633"/>
      <c r="F1192" s="650"/>
    </row>
    <row r="1193" spans="3:6">
      <c r="C1193" s="631"/>
      <c r="D1193" s="631"/>
      <c r="E1193" s="633"/>
      <c r="F1193" s="650"/>
    </row>
    <row r="1194" spans="3:6">
      <c r="C1194" s="631"/>
      <c r="D1194" s="631"/>
      <c r="E1194" s="633"/>
      <c r="F1194" s="650"/>
    </row>
    <row r="1195" spans="3:6">
      <c r="C1195" s="631"/>
      <c r="D1195" s="631"/>
      <c r="E1195" s="633"/>
      <c r="F1195" s="650"/>
    </row>
    <row r="1196" spans="3:6">
      <c r="C1196" s="631"/>
      <c r="D1196" s="631"/>
      <c r="E1196" s="633"/>
      <c r="F1196" s="650"/>
    </row>
    <row r="1197" spans="3:6">
      <c r="C1197" s="631"/>
      <c r="D1197" s="631"/>
      <c r="E1197" s="633"/>
      <c r="F1197" s="650"/>
    </row>
    <row r="1198" spans="3:6">
      <c r="C1198" s="631"/>
      <c r="D1198" s="631"/>
      <c r="E1198" s="633"/>
      <c r="F1198" s="650"/>
    </row>
    <row r="1199" spans="3:6">
      <c r="C1199" s="631"/>
      <c r="D1199" s="631"/>
      <c r="E1199" s="633"/>
      <c r="F1199" s="650"/>
    </row>
    <row r="1200" spans="3:6">
      <c r="C1200" s="631"/>
      <c r="D1200" s="631"/>
      <c r="E1200" s="633"/>
      <c r="F1200" s="650"/>
    </row>
    <row r="1201" spans="3:6">
      <c r="C1201" s="631"/>
      <c r="D1201" s="631"/>
      <c r="E1201" s="633"/>
      <c r="F1201" s="650"/>
    </row>
    <row r="1202" spans="3:6">
      <c r="C1202" s="631"/>
      <c r="D1202" s="631"/>
      <c r="E1202" s="633"/>
      <c r="F1202" s="650"/>
    </row>
    <row r="1203" spans="3:6">
      <c r="C1203" s="631"/>
      <c r="D1203" s="631"/>
      <c r="E1203" s="633"/>
      <c r="F1203" s="650"/>
    </row>
    <row r="1204" spans="3:6">
      <c r="C1204" s="631"/>
      <c r="D1204" s="631"/>
      <c r="E1204" s="633"/>
      <c r="F1204" s="650"/>
    </row>
    <row r="1205" spans="3:6">
      <c r="C1205" s="631"/>
      <c r="D1205" s="631"/>
      <c r="E1205" s="633"/>
      <c r="F1205" s="650"/>
    </row>
    <row r="1206" spans="3:6">
      <c r="C1206" s="631"/>
      <c r="D1206" s="631"/>
      <c r="E1206" s="633"/>
      <c r="F1206" s="650"/>
    </row>
    <row r="1207" spans="3:6">
      <c r="C1207" s="631"/>
      <c r="D1207" s="631"/>
      <c r="E1207" s="633"/>
      <c r="F1207" s="650"/>
    </row>
    <row r="1208" spans="3:6">
      <c r="C1208" s="631"/>
      <c r="D1208" s="631"/>
      <c r="E1208" s="633"/>
      <c r="F1208" s="650"/>
    </row>
    <row r="1209" spans="3:6">
      <c r="C1209" s="631"/>
      <c r="D1209" s="631"/>
      <c r="E1209" s="633"/>
      <c r="F1209" s="650"/>
    </row>
    <row r="1210" spans="3:6">
      <c r="C1210" s="631"/>
      <c r="D1210" s="631"/>
      <c r="E1210" s="633"/>
      <c r="F1210" s="650"/>
    </row>
    <row r="1211" spans="3:6">
      <c r="C1211" s="631"/>
      <c r="D1211" s="631"/>
      <c r="E1211" s="633"/>
      <c r="F1211" s="650"/>
    </row>
    <row r="1212" spans="3:6">
      <c r="C1212" s="631"/>
      <c r="D1212" s="631"/>
      <c r="E1212" s="633"/>
      <c r="F1212" s="650"/>
    </row>
    <row r="1213" spans="3:6">
      <c r="C1213" s="631"/>
      <c r="D1213" s="631"/>
      <c r="E1213" s="633"/>
      <c r="F1213" s="650"/>
    </row>
    <row r="1214" spans="3:6">
      <c r="C1214" s="631"/>
      <c r="D1214" s="631"/>
      <c r="E1214" s="633"/>
      <c r="F1214" s="650"/>
    </row>
    <row r="1215" spans="3:6">
      <c r="C1215" s="631"/>
      <c r="D1215" s="631"/>
      <c r="E1215" s="633"/>
      <c r="F1215" s="650"/>
    </row>
    <row r="1216" spans="3:6">
      <c r="C1216" s="631"/>
      <c r="D1216" s="631"/>
      <c r="E1216" s="633"/>
      <c r="F1216" s="650"/>
    </row>
    <row r="1217" spans="3:6">
      <c r="C1217" s="631"/>
      <c r="D1217" s="631"/>
      <c r="E1217" s="633"/>
      <c r="F1217" s="650"/>
    </row>
    <row r="1218" spans="3:6">
      <c r="C1218" s="631"/>
      <c r="D1218" s="631"/>
      <c r="E1218" s="633"/>
      <c r="F1218" s="650"/>
    </row>
    <row r="1219" spans="3:6">
      <c r="C1219" s="631"/>
      <c r="D1219" s="631"/>
      <c r="E1219" s="633"/>
      <c r="F1219" s="650"/>
    </row>
    <row r="1220" spans="3:6">
      <c r="C1220" s="631"/>
      <c r="D1220" s="631"/>
      <c r="E1220" s="633"/>
      <c r="F1220" s="650"/>
    </row>
    <row r="1221" spans="3:6">
      <c r="C1221" s="631"/>
      <c r="D1221" s="631"/>
      <c r="E1221" s="633"/>
      <c r="F1221" s="650"/>
    </row>
    <row r="1222" spans="3:6">
      <c r="C1222" s="631"/>
      <c r="D1222" s="631"/>
      <c r="E1222" s="633"/>
      <c r="F1222" s="650"/>
    </row>
    <row r="1223" spans="3:6">
      <c r="C1223" s="631"/>
      <c r="D1223" s="631"/>
      <c r="E1223" s="633"/>
      <c r="F1223" s="650"/>
    </row>
    <row r="1224" spans="3:6">
      <c r="C1224" s="631"/>
      <c r="D1224" s="631"/>
      <c r="E1224" s="633"/>
      <c r="F1224" s="650"/>
    </row>
    <row r="1225" spans="3:6">
      <c r="C1225" s="631"/>
      <c r="D1225" s="631"/>
      <c r="E1225" s="633"/>
      <c r="F1225" s="650"/>
    </row>
    <row r="1226" spans="3:6">
      <c r="C1226" s="631"/>
      <c r="D1226" s="631"/>
      <c r="E1226" s="633"/>
      <c r="F1226" s="650"/>
    </row>
    <row r="1227" spans="3:6">
      <c r="C1227" s="631"/>
      <c r="D1227" s="631"/>
      <c r="E1227" s="633"/>
      <c r="F1227" s="650"/>
    </row>
    <row r="1228" spans="3:6">
      <c r="C1228" s="631"/>
      <c r="D1228" s="631"/>
      <c r="E1228" s="633"/>
      <c r="F1228" s="650"/>
    </row>
    <row r="1229" spans="3:6">
      <c r="C1229" s="631"/>
      <c r="D1229" s="631"/>
      <c r="E1229" s="633"/>
      <c r="F1229" s="650"/>
    </row>
    <row r="1230" spans="3:6">
      <c r="C1230" s="631"/>
      <c r="D1230" s="631"/>
      <c r="E1230" s="633"/>
      <c r="F1230" s="650"/>
    </row>
    <row r="1231" spans="3:6">
      <c r="C1231" s="631"/>
      <c r="D1231" s="631"/>
      <c r="E1231" s="633"/>
      <c r="F1231" s="650"/>
    </row>
    <row r="1232" spans="3:6">
      <c r="C1232" s="631"/>
      <c r="D1232" s="631"/>
      <c r="E1232" s="633"/>
      <c r="F1232" s="650"/>
    </row>
    <row r="1233" spans="3:6">
      <c r="C1233" s="631"/>
      <c r="D1233" s="631"/>
      <c r="E1233" s="633"/>
      <c r="F1233" s="650"/>
    </row>
    <row r="1234" spans="3:6">
      <c r="C1234" s="631"/>
      <c r="D1234" s="631"/>
      <c r="E1234" s="633"/>
      <c r="F1234" s="650"/>
    </row>
    <row r="1235" spans="3:6">
      <c r="C1235" s="631"/>
      <c r="D1235" s="631"/>
      <c r="E1235" s="633"/>
      <c r="F1235" s="650"/>
    </row>
    <row r="1236" spans="3:6">
      <c r="C1236" s="631"/>
      <c r="D1236" s="631"/>
      <c r="E1236" s="633"/>
      <c r="F1236" s="650"/>
    </row>
    <row r="1237" spans="3:6">
      <c r="C1237" s="631"/>
      <c r="D1237" s="631"/>
      <c r="E1237" s="633"/>
      <c r="F1237" s="650"/>
    </row>
    <row r="1238" spans="3:6">
      <c r="C1238" s="631"/>
      <c r="D1238" s="631"/>
      <c r="E1238" s="633"/>
      <c r="F1238" s="650"/>
    </row>
    <row r="1239" spans="3:6">
      <c r="C1239" s="631"/>
      <c r="D1239" s="631"/>
      <c r="E1239" s="633"/>
      <c r="F1239" s="650"/>
    </row>
    <row r="1240" spans="3:6">
      <c r="C1240" s="631"/>
      <c r="D1240" s="631"/>
      <c r="E1240" s="633"/>
      <c r="F1240" s="650"/>
    </row>
    <row r="1241" spans="3:6">
      <c r="C1241" s="631"/>
      <c r="D1241" s="631"/>
      <c r="E1241" s="633"/>
      <c r="F1241" s="650"/>
    </row>
    <row r="1242" spans="3:6">
      <c r="C1242" s="631"/>
      <c r="D1242" s="631"/>
      <c r="E1242" s="633"/>
      <c r="F1242" s="650"/>
    </row>
    <row r="1243" spans="3:6">
      <c r="C1243" s="631"/>
      <c r="D1243" s="631"/>
      <c r="E1243" s="633"/>
      <c r="F1243" s="650"/>
    </row>
    <row r="1244" spans="3:6">
      <c r="C1244" s="631"/>
      <c r="D1244" s="631"/>
      <c r="E1244" s="633"/>
      <c r="F1244" s="650"/>
    </row>
    <row r="1245" spans="3:6">
      <c r="C1245" s="631"/>
      <c r="D1245" s="631"/>
      <c r="E1245" s="633"/>
      <c r="F1245" s="650"/>
    </row>
    <row r="1246" spans="3:6">
      <c r="C1246" s="631"/>
      <c r="D1246" s="631"/>
      <c r="E1246" s="633"/>
      <c r="F1246" s="650"/>
    </row>
    <row r="1247" spans="3:6">
      <c r="C1247" s="631"/>
      <c r="D1247" s="631"/>
      <c r="E1247" s="633"/>
      <c r="F1247" s="650"/>
    </row>
    <row r="1248" spans="3:6">
      <c r="C1248" s="631"/>
      <c r="D1248" s="631"/>
      <c r="E1248" s="633"/>
      <c r="F1248" s="650"/>
    </row>
    <row r="1249" spans="3:6">
      <c r="C1249" s="631"/>
      <c r="D1249" s="631"/>
      <c r="E1249" s="633"/>
      <c r="F1249" s="650"/>
    </row>
    <row r="1250" spans="3:6">
      <c r="C1250" s="631"/>
      <c r="D1250" s="631"/>
      <c r="E1250" s="633"/>
      <c r="F1250" s="650"/>
    </row>
    <row r="1251" spans="3:6">
      <c r="C1251" s="631"/>
      <c r="D1251" s="631"/>
      <c r="E1251" s="633"/>
      <c r="F1251" s="650"/>
    </row>
    <row r="1252" spans="3:6">
      <c r="C1252" s="631"/>
      <c r="D1252" s="631"/>
      <c r="E1252" s="633"/>
      <c r="F1252" s="650"/>
    </row>
    <row r="1253" spans="3:6">
      <c r="C1253" s="631"/>
      <c r="D1253" s="631"/>
      <c r="E1253" s="633"/>
      <c r="F1253" s="650"/>
    </row>
    <row r="1254" spans="3:6">
      <c r="C1254" s="631"/>
      <c r="D1254" s="631"/>
      <c r="E1254" s="633"/>
      <c r="F1254" s="650"/>
    </row>
    <row r="1255" spans="3:6">
      <c r="C1255" s="631"/>
      <c r="D1255" s="631"/>
      <c r="E1255" s="633"/>
      <c r="F1255" s="650"/>
    </row>
    <row r="1256" spans="3:6">
      <c r="C1256" s="631"/>
      <c r="D1256" s="631"/>
      <c r="E1256" s="633"/>
      <c r="F1256" s="650"/>
    </row>
    <row r="1257" spans="3:6">
      <c r="C1257" s="631"/>
      <c r="D1257" s="631"/>
      <c r="E1257" s="633"/>
      <c r="F1257" s="650"/>
    </row>
    <row r="1258" spans="3:6">
      <c r="C1258" s="631"/>
      <c r="D1258" s="631"/>
      <c r="E1258" s="633"/>
      <c r="F1258" s="650"/>
    </row>
    <row r="1259" spans="3:6">
      <c r="C1259" s="631"/>
      <c r="D1259" s="631"/>
      <c r="E1259" s="633"/>
      <c r="F1259" s="650"/>
    </row>
    <row r="1260" spans="3:6">
      <c r="C1260" s="631"/>
      <c r="D1260" s="631"/>
      <c r="E1260" s="633"/>
      <c r="F1260" s="650"/>
    </row>
    <row r="1261" spans="3:6">
      <c r="C1261" s="631"/>
      <c r="D1261" s="631"/>
      <c r="E1261" s="633"/>
      <c r="F1261" s="650"/>
    </row>
    <row r="1262" spans="3:6">
      <c r="C1262" s="631"/>
      <c r="D1262" s="631"/>
      <c r="E1262" s="633"/>
      <c r="F1262" s="650"/>
    </row>
    <row r="1263" spans="3:6">
      <c r="C1263" s="631"/>
      <c r="D1263" s="631"/>
      <c r="E1263" s="633"/>
      <c r="F1263" s="650"/>
    </row>
    <row r="1264" spans="3:6">
      <c r="C1264" s="631"/>
      <c r="D1264" s="631"/>
      <c r="E1264" s="633"/>
      <c r="F1264" s="650"/>
    </row>
    <row r="1265" spans="3:6">
      <c r="C1265" s="631"/>
      <c r="D1265" s="631"/>
      <c r="E1265" s="633"/>
      <c r="F1265" s="650"/>
    </row>
    <row r="1266" spans="3:6">
      <c r="C1266" s="631"/>
      <c r="D1266" s="631"/>
      <c r="E1266" s="633"/>
      <c r="F1266" s="650"/>
    </row>
    <row r="1267" spans="3:6">
      <c r="C1267" s="631"/>
      <c r="D1267" s="631"/>
      <c r="E1267" s="633"/>
      <c r="F1267" s="650"/>
    </row>
    <row r="1268" spans="3:6">
      <c r="C1268" s="631"/>
      <c r="D1268" s="631"/>
      <c r="E1268" s="633"/>
      <c r="F1268" s="650"/>
    </row>
    <row r="1269" spans="3:6">
      <c r="C1269" s="631"/>
      <c r="D1269" s="631"/>
      <c r="E1269" s="633"/>
      <c r="F1269" s="650"/>
    </row>
    <row r="1270" spans="3:6">
      <c r="C1270" s="631"/>
      <c r="D1270" s="631"/>
      <c r="E1270" s="633"/>
      <c r="F1270" s="650"/>
    </row>
    <row r="1271" spans="3:6">
      <c r="C1271" s="631"/>
      <c r="D1271" s="631"/>
      <c r="E1271" s="633"/>
      <c r="F1271" s="650"/>
    </row>
    <row r="1272" spans="3:6">
      <c r="C1272" s="631"/>
      <c r="D1272" s="631"/>
      <c r="E1272" s="633"/>
      <c r="F1272" s="650"/>
    </row>
    <row r="1273" spans="3:6">
      <c r="C1273" s="631"/>
      <c r="D1273" s="631"/>
      <c r="E1273" s="633"/>
      <c r="F1273" s="650"/>
    </row>
    <row r="1274" spans="3:6">
      <c r="C1274" s="631"/>
      <c r="D1274" s="631"/>
      <c r="E1274" s="633"/>
      <c r="F1274" s="650"/>
    </row>
    <row r="1275" spans="3:6">
      <c r="C1275" s="631"/>
      <c r="D1275" s="631"/>
      <c r="E1275" s="633"/>
      <c r="F1275" s="650"/>
    </row>
    <row r="1276" spans="3:6">
      <c r="C1276" s="631"/>
      <c r="D1276" s="631"/>
      <c r="E1276" s="633"/>
      <c r="F1276" s="650"/>
    </row>
    <row r="1277" spans="3:6">
      <c r="C1277" s="631"/>
      <c r="D1277" s="631"/>
      <c r="E1277" s="633"/>
      <c r="F1277" s="650"/>
    </row>
    <row r="1278" spans="3:6">
      <c r="C1278" s="631"/>
      <c r="D1278" s="631"/>
      <c r="E1278" s="633"/>
      <c r="F1278" s="650"/>
    </row>
    <row r="1279" spans="3:6">
      <c r="C1279" s="631"/>
      <c r="D1279" s="631"/>
      <c r="E1279" s="633"/>
      <c r="F1279" s="650"/>
    </row>
    <row r="1280" spans="3:6">
      <c r="C1280" s="631"/>
      <c r="D1280" s="631"/>
      <c r="E1280" s="633"/>
      <c r="F1280" s="650"/>
    </row>
    <row r="1281" spans="3:6">
      <c r="C1281" s="631"/>
      <c r="D1281" s="631"/>
      <c r="E1281" s="633"/>
      <c r="F1281" s="650"/>
    </row>
    <row r="1282" spans="3:6">
      <c r="C1282" s="631"/>
      <c r="D1282" s="631"/>
      <c r="E1282" s="633"/>
      <c r="F1282" s="650"/>
    </row>
    <row r="1283" spans="3:6">
      <c r="C1283" s="631"/>
      <c r="D1283" s="631"/>
      <c r="E1283" s="633"/>
      <c r="F1283" s="650"/>
    </row>
    <row r="1284" spans="3:6">
      <c r="C1284" s="631"/>
      <c r="D1284" s="631"/>
      <c r="E1284" s="633"/>
      <c r="F1284" s="650"/>
    </row>
    <row r="1285" spans="3:6">
      <c r="C1285" s="631"/>
      <c r="D1285" s="631"/>
      <c r="E1285" s="633"/>
      <c r="F1285" s="650"/>
    </row>
    <row r="1286" spans="3:6">
      <c r="C1286" s="631"/>
      <c r="D1286" s="631"/>
      <c r="E1286" s="633"/>
      <c r="F1286" s="650"/>
    </row>
    <row r="1287" spans="3:6">
      <c r="C1287" s="631"/>
      <c r="D1287" s="631"/>
      <c r="E1287" s="633"/>
      <c r="F1287" s="650"/>
    </row>
    <row r="1288" spans="3:6">
      <c r="C1288" s="631"/>
      <c r="D1288" s="631"/>
      <c r="E1288" s="633"/>
      <c r="F1288" s="650"/>
    </row>
    <row r="1289" spans="3:6">
      <c r="C1289" s="631"/>
      <c r="D1289" s="631"/>
      <c r="E1289" s="633"/>
      <c r="F1289" s="650"/>
    </row>
    <row r="1290" spans="3:6">
      <c r="C1290" s="631"/>
      <c r="D1290" s="631"/>
      <c r="E1290" s="633"/>
      <c r="F1290" s="650"/>
    </row>
    <row r="1291" spans="3:6">
      <c r="C1291" s="631"/>
      <c r="D1291" s="631"/>
      <c r="E1291" s="633"/>
      <c r="F1291" s="650"/>
    </row>
    <row r="1292" spans="3:6">
      <c r="C1292" s="631"/>
      <c r="D1292" s="631"/>
      <c r="E1292" s="633"/>
      <c r="F1292" s="650"/>
    </row>
    <row r="1293" spans="3:6">
      <c r="C1293" s="631"/>
      <c r="D1293" s="631"/>
      <c r="E1293" s="633"/>
      <c r="F1293" s="650"/>
    </row>
    <row r="1294" spans="3:6">
      <c r="C1294" s="631"/>
      <c r="D1294" s="631"/>
      <c r="E1294" s="633"/>
      <c r="F1294" s="650"/>
    </row>
    <row r="1295" spans="3:6">
      <c r="C1295" s="631"/>
      <c r="D1295" s="631"/>
      <c r="E1295" s="633"/>
      <c r="F1295" s="650"/>
    </row>
    <row r="1296" spans="3:6">
      <c r="C1296" s="631"/>
      <c r="D1296" s="631"/>
      <c r="E1296" s="633"/>
      <c r="F1296" s="650"/>
    </row>
    <row r="1297" spans="3:6">
      <c r="C1297" s="631"/>
      <c r="D1297" s="631"/>
      <c r="E1297" s="633"/>
      <c r="F1297" s="650"/>
    </row>
    <row r="1298" spans="3:6">
      <c r="C1298" s="631"/>
      <c r="D1298" s="631"/>
      <c r="E1298" s="633"/>
      <c r="F1298" s="650"/>
    </row>
    <row r="1299" spans="3:6">
      <c r="C1299" s="631"/>
      <c r="D1299" s="631"/>
      <c r="E1299" s="633"/>
      <c r="F1299" s="650"/>
    </row>
    <row r="1300" spans="3:6">
      <c r="C1300" s="631"/>
      <c r="D1300" s="631"/>
      <c r="E1300" s="633"/>
      <c r="F1300" s="650"/>
    </row>
    <row r="1301" spans="3:6">
      <c r="C1301" s="631"/>
      <c r="D1301" s="631"/>
      <c r="E1301" s="633"/>
      <c r="F1301" s="650"/>
    </row>
    <row r="1302" spans="3:6">
      <c r="C1302" s="631"/>
      <c r="D1302" s="631"/>
      <c r="E1302" s="633"/>
      <c r="F1302" s="650"/>
    </row>
    <row r="1303" spans="3:6">
      <c r="C1303" s="631"/>
      <c r="D1303" s="631"/>
      <c r="E1303" s="633"/>
      <c r="F1303" s="650"/>
    </row>
    <row r="1304" spans="3:6">
      <c r="C1304" s="631"/>
      <c r="D1304" s="631"/>
      <c r="E1304" s="633"/>
      <c r="F1304" s="650"/>
    </row>
    <row r="1305" spans="3:6">
      <c r="C1305" s="631"/>
      <c r="D1305" s="631"/>
      <c r="E1305" s="633"/>
      <c r="F1305" s="650"/>
    </row>
    <row r="1306" spans="3:6">
      <c r="C1306" s="631"/>
      <c r="D1306" s="631"/>
      <c r="E1306" s="633"/>
      <c r="F1306" s="650"/>
    </row>
    <row r="1307" spans="3:6">
      <c r="C1307" s="631"/>
      <c r="D1307" s="631"/>
      <c r="E1307" s="633"/>
      <c r="F1307" s="650"/>
    </row>
    <row r="1308" spans="3:6">
      <c r="C1308" s="631"/>
      <c r="D1308" s="631"/>
      <c r="E1308" s="633"/>
      <c r="F1308" s="650"/>
    </row>
    <row r="1309" spans="3:6">
      <c r="C1309" s="631"/>
      <c r="D1309" s="631"/>
      <c r="E1309" s="633"/>
      <c r="F1309" s="650"/>
    </row>
    <row r="1310" spans="3:6">
      <c r="C1310" s="631"/>
      <c r="D1310" s="631"/>
      <c r="E1310" s="633"/>
      <c r="F1310" s="650"/>
    </row>
    <row r="1311" spans="3:6">
      <c r="C1311" s="631"/>
      <c r="D1311" s="631"/>
      <c r="E1311" s="633"/>
      <c r="F1311" s="650"/>
    </row>
    <row r="1312" spans="3:6">
      <c r="C1312" s="631"/>
      <c r="D1312" s="631"/>
      <c r="E1312" s="633"/>
      <c r="F1312" s="650"/>
    </row>
    <row r="1313" spans="3:6">
      <c r="C1313" s="631"/>
      <c r="D1313" s="631"/>
      <c r="E1313" s="633"/>
      <c r="F1313" s="650"/>
    </row>
    <row r="1314" spans="3:6">
      <c r="C1314" s="631"/>
      <c r="D1314" s="631"/>
      <c r="E1314" s="633"/>
      <c r="F1314" s="650"/>
    </row>
    <row r="1315" spans="3:6">
      <c r="C1315" s="631"/>
      <c r="D1315" s="631"/>
      <c r="E1315" s="633"/>
      <c r="F1315" s="650"/>
    </row>
    <row r="1316" spans="3:6">
      <c r="C1316" s="631"/>
      <c r="D1316" s="631"/>
      <c r="E1316" s="633"/>
      <c r="F1316" s="650"/>
    </row>
    <row r="1317" spans="3:6">
      <c r="C1317" s="631"/>
      <c r="D1317" s="631"/>
      <c r="E1317" s="633"/>
      <c r="F1317" s="650"/>
    </row>
    <row r="1318" spans="3:6">
      <c r="C1318" s="631"/>
      <c r="D1318" s="631"/>
      <c r="E1318" s="633"/>
      <c r="F1318" s="650"/>
    </row>
    <row r="1319" spans="3:6">
      <c r="C1319" s="631"/>
      <c r="D1319" s="631"/>
      <c r="E1319" s="633"/>
      <c r="F1319" s="650"/>
    </row>
    <row r="1320" spans="3:6">
      <c r="C1320" s="631"/>
      <c r="D1320" s="631"/>
      <c r="E1320" s="633"/>
      <c r="F1320" s="650"/>
    </row>
    <row r="1321" spans="3:6">
      <c r="C1321" s="631"/>
      <c r="D1321" s="631"/>
      <c r="E1321" s="633"/>
      <c r="F1321" s="650"/>
    </row>
    <row r="1322" spans="3:6">
      <c r="C1322" s="631"/>
      <c r="D1322" s="631"/>
      <c r="E1322" s="633"/>
      <c r="F1322" s="650"/>
    </row>
    <row r="1323" spans="3:6">
      <c r="C1323" s="631"/>
      <c r="D1323" s="631"/>
      <c r="E1323" s="633"/>
      <c r="F1323" s="650"/>
    </row>
    <row r="1324" spans="3:6">
      <c r="C1324" s="631"/>
      <c r="D1324" s="631"/>
      <c r="E1324" s="633"/>
      <c r="F1324" s="650"/>
    </row>
    <row r="1325" spans="3:6">
      <c r="C1325" s="631"/>
      <c r="D1325" s="631"/>
      <c r="E1325" s="633"/>
      <c r="F1325" s="650"/>
    </row>
    <row r="1326" spans="3:6">
      <c r="C1326" s="631"/>
      <c r="D1326" s="631"/>
      <c r="E1326" s="633"/>
      <c r="F1326" s="650"/>
    </row>
    <row r="1327" spans="3:6">
      <c r="C1327" s="631"/>
      <c r="D1327" s="631"/>
      <c r="E1327" s="633"/>
      <c r="F1327" s="650"/>
    </row>
    <row r="1328" spans="3:6">
      <c r="C1328" s="631"/>
      <c r="D1328" s="631"/>
      <c r="E1328" s="633"/>
      <c r="F1328" s="650"/>
    </row>
    <row r="1329" spans="3:6">
      <c r="C1329" s="631"/>
      <c r="D1329" s="631"/>
      <c r="E1329" s="633"/>
      <c r="F1329" s="650"/>
    </row>
    <row r="1330" spans="3:6">
      <c r="C1330" s="631"/>
      <c r="D1330" s="631"/>
      <c r="E1330" s="633"/>
      <c r="F1330" s="650"/>
    </row>
    <row r="1331" spans="3:6">
      <c r="C1331" s="631"/>
      <c r="D1331" s="631"/>
      <c r="E1331" s="633"/>
      <c r="F1331" s="650"/>
    </row>
    <row r="1332" spans="3:6">
      <c r="C1332" s="631"/>
      <c r="D1332" s="631"/>
      <c r="E1332" s="633"/>
      <c r="F1332" s="650"/>
    </row>
    <row r="1333" spans="3:6">
      <c r="C1333" s="631"/>
      <c r="D1333" s="631"/>
      <c r="E1333" s="633"/>
      <c r="F1333" s="650"/>
    </row>
    <row r="1334" spans="3:6">
      <c r="C1334" s="631"/>
      <c r="D1334" s="631"/>
      <c r="E1334" s="633"/>
      <c r="F1334" s="650"/>
    </row>
    <row r="1335" spans="3:6">
      <c r="C1335" s="631"/>
      <c r="D1335" s="631"/>
      <c r="E1335" s="633"/>
      <c r="F1335" s="650"/>
    </row>
    <row r="1336" spans="3:6">
      <c r="C1336" s="631"/>
      <c r="D1336" s="631"/>
      <c r="E1336" s="633"/>
      <c r="F1336" s="650"/>
    </row>
    <row r="1337" spans="3:6">
      <c r="C1337" s="631"/>
      <c r="D1337" s="631"/>
      <c r="E1337" s="633"/>
      <c r="F1337" s="650"/>
    </row>
    <row r="1338" spans="3:6">
      <c r="C1338" s="631"/>
      <c r="D1338" s="631"/>
      <c r="E1338" s="633"/>
      <c r="F1338" s="650"/>
    </row>
    <row r="1339" spans="3:6">
      <c r="C1339" s="631"/>
      <c r="D1339" s="631"/>
      <c r="E1339" s="633"/>
      <c r="F1339" s="650"/>
    </row>
    <row r="1340" spans="3:6">
      <c r="C1340" s="631"/>
      <c r="D1340" s="631"/>
      <c r="E1340" s="633"/>
      <c r="F1340" s="650"/>
    </row>
    <row r="1341" spans="3:6">
      <c r="C1341" s="631"/>
      <c r="D1341" s="631"/>
      <c r="E1341" s="633"/>
      <c r="F1341" s="650"/>
    </row>
    <row r="1342" spans="3:6">
      <c r="C1342" s="631"/>
      <c r="D1342" s="631"/>
      <c r="E1342" s="633"/>
      <c r="F1342" s="650"/>
    </row>
    <row r="1343" spans="3:6">
      <c r="C1343" s="631"/>
      <c r="D1343" s="631"/>
      <c r="E1343" s="633"/>
      <c r="F1343" s="650"/>
    </row>
    <row r="1344" spans="3:6">
      <c r="C1344" s="631"/>
      <c r="D1344" s="631"/>
      <c r="E1344" s="633"/>
      <c r="F1344" s="650"/>
    </row>
    <row r="1345" spans="3:6">
      <c r="C1345" s="631"/>
      <c r="D1345" s="631"/>
      <c r="E1345" s="633"/>
      <c r="F1345" s="650"/>
    </row>
    <row r="1346" spans="3:6">
      <c r="C1346" s="631"/>
      <c r="D1346" s="631"/>
      <c r="E1346" s="633"/>
      <c r="F1346" s="650"/>
    </row>
    <row r="1347" spans="3:6">
      <c r="C1347" s="631"/>
      <c r="D1347" s="631"/>
      <c r="E1347" s="633"/>
      <c r="F1347" s="650"/>
    </row>
    <row r="1348" spans="3:6">
      <c r="C1348" s="631"/>
      <c r="D1348" s="631"/>
      <c r="E1348" s="633"/>
      <c r="F1348" s="650"/>
    </row>
    <row r="1349" spans="3:6">
      <c r="C1349" s="631"/>
      <c r="D1349" s="631"/>
      <c r="E1349" s="633"/>
      <c r="F1349" s="650"/>
    </row>
    <row r="1350" spans="3:6">
      <c r="C1350" s="631"/>
      <c r="D1350" s="631"/>
      <c r="E1350" s="633"/>
      <c r="F1350" s="650"/>
    </row>
    <row r="1351" spans="3:6">
      <c r="C1351" s="631"/>
      <c r="D1351" s="631"/>
      <c r="E1351" s="633"/>
      <c r="F1351" s="650"/>
    </row>
    <row r="1352" spans="3:6">
      <c r="C1352" s="631"/>
      <c r="D1352" s="631"/>
      <c r="E1352" s="633"/>
      <c r="F1352" s="650"/>
    </row>
    <row r="1353" spans="3:6">
      <c r="C1353" s="631"/>
      <c r="D1353" s="631"/>
      <c r="E1353" s="633"/>
      <c r="F1353" s="650"/>
    </row>
    <row r="1354" spans="3:6">
      <c r="C1354" s="631"/>
      <c r="D1354" s="631"/>
      <c r="E1354" s="633"/>
      <c r="F1354" s="650"/>
    </row>
    <row r="1355" spans="3:6">
      <c r="C1355" s="631"/>
      <c r="D1355" s="631"/>
      <c r="E1355" s="633"/>
      <c r="F1355" s="650"/>
    </row>
    <row r="1356" spans="3:6">
      <c r="C1356" s="631"/>
      <c r="D1356" s="631"/>
      <c r="E1356" s="633"/>
      <c r="F1356" s="650"/>
    </row>
    <row r="1357" spans="3:6">
      <c r="C1357" s="631"/>
      <c r="D1357" s="631"/>
      <c r="E1357" s="633"/>
      <c r="F1357" s="650"/>
    </row>
    <row r="1358" spans="3:6">
      <c r="C1358" s="631"/>
      <c r="D1358" s="631"/>
      <c r="E1358" s="633"/>
      <c r="F1358" s="650"/>
    </row>
    <row r="1359" spans="3:6">
      <c r="C1359" s="631"/>
      <c r="D1359" s="631"/>
      <c r="E1359" s="633"/>
      <c r="F1359" s="650"/>
    </row>
    <row r="1360" spans="3:6">
      <c r="C1360" s="631"/>
      <c r="D1360" s="631"/>
      <c r="E1360" s="633"/>
      <c r="F1360" s="650"/>
    </row>
    <row r="1361" spans="3:6">
      <c r="C1361" s="631"/>
      <c r="D1361" s="631"/>
      <c r="E1361" s="633"/>
      <c r="F1361" s="650"/>
    </row>
    <row r="1362" spans="3:6">
      <c r="C1362" s="631"/>
      <c r="D1362" s="631"/>
      <c r="E1362" s="633"/>
      <c r="F1362" s="650"/>
    </row>
    <row r="1363" spans="3:6">
      <c r="C1363" s="631"/>
      <c r="D1363" s="631"/>
      <c r="E1363" s="633"/>
      <c r="F1363" s="650"/>
    </row>
    <row r="1364" spans="3:6">
      <c r="C1364" s="631"/>
      <c r="D1364" s="631"/>
      <c r="E1364" s="633"/>
      <c r="F1364" s="650"/>
    </row>
    <row r="1365" spans="3:6">
      <c r="C1365" s="631"/>
      <c r="D1365" s="631"/>
      <c r="E1365" s="633"/>
      <c r="F1365" s="650"/>
    </row>
    <row r="1366" spans="3:6">
      <c r="C1366" s="631"/>
      <c r="D1366" s="631"/>
      <c r="E1366" s="633"/>
      <c r="F1366" s="650"/>
    </row>
    <row r="1367" spans="3:6">
      <c r="C1367" s="631"/>
      <c r="D1367" s="631"/>
      <c r="E1367" s="633"/>
      <c r="F1367" s="650"/>
    </row>
    <row r="1368" spans="3:6">
      <c r="C1368" s="631"/>
      <c r="D1368" s="631"/>
      <c r="E1368" s="633"/>
      <c r="F1368" s="650"/>
    </row>
    <row r="1369" spans="3:6">
      <c r="C1369" s="631"/>
      <c r="D1369" s="631"/>
      <c r="E1369" s="633"/>
      <c r="F1369" s="650"/>
    </row>
    <row r="1370" spans="3:6">
      <c r="C1370" s="631"/>
      <c r="D1370" s="631"/>
      <c r="E1370" s="633"/>
      <c r="F1370" s="650"/>
    </row>
    <row r="1371" spans="3:6">
      <c r="C1371" s="631"/>
      <c r="D1371" s="631"/>
      <c r="E1371" s="633"/>
      <c r="F1371" s="650"/>
    </row>
    <row r="1372" spans="3:6">
      <c r="C1372" s="631"/>
      <c r="D1372" s="631"/>
      <c r="E1372" s="633"/>
      <c r="F1372" s="650"/>
    </row>
    <row r="1373" spans="3:6">
      <c r="C1373" s="631"/>
      <c r="D1373" s="631"/>
      <c r="E1373" s="633"/>
      <c r="F1373" s="650"/>
    </row>
    <row r="1374" spans="3:6">
      <c r="C1374" s="631"/>
      <c r="D1374" s="631"/>
      <c r="E1374" s="633"/>
      <c r="F1374" s="650"/>
    </row>
    <row r="1375" spans="3:6">
      <c r="C1375" s="631"/>
      <c r="D1375" s="631"/>
      <c r="E1375" s="633"/>
      <c r="F1375" s="650"/>
    </row>
    <row r="1376" spans="3:6">
      <c r="C1376" s="631"/>
      <c r="D1376" s="631"/>
      <c r="E1376" s="633"/>
      <c r="F1376" s="650"/>
    </row>
    <row r="1377" spans="3:6">
      <c r="C1377" s="631"/>
      <c r="D1377" s="631"/>
      <c r="E1377" s="633"/>
      <c r="F1377" s="650"/>
    </row>
    <row r="1378" spans="3:6">
      <c r="C1378" s="631"/>
      <c r="D1378" s="631"/>
      <c r="E1378" s="633"/>
      <c r="F1378" s="650"/>
    </row>
    <row r="1379" spans="3:6">
      <c r="C1379" s="631"/>
      <c r="D1379" s="631"/>
      <c r="E1379" s="633"/>
      <c r="F1379" s="650"/>
    </row>
    <row r="1380" spans="3:6">
      <c r="C1380" s="631"/>
      <c r="D1380" s="631"/>
      <c r="E1380" s="633"/>
      <c r="F1380" s="650"/>
    </row>
    <row r="1381" spans="3:6">
      <c r="C1381" s="631"/>
      <c r="D1381" s="631"/>
      <c r="E1381" s="633"/>
      <c r="F1381" s="650"/>
    </row>
    <row r="1382" spans="3:6">
      <c r="C1382" s="631"/>
      <c r="D1382" s="631"/>
      <c r="E1382" s="633"/>
      <c r="F1382" s="650"/>
    </row>
    <row r="1383" spans="3:6">
      <c r="C1383" s="631"/>
      <c r="D1383" s="631"/>
      <c r="E1383" s="633"/>
      <c r="F1383" s="650"/>
    </row>
    <row r="1384" spans="3:6">
      <c r="C1384" s="631"/>
      <c r="D1384" s="631"/>
      <c r="E1384" s="633"/>
      <c r="F1384" s="650"/>
    </row>
    <row r="1385" spans="3:6">
      <c r="C1385" s="631"/>
      <c r="D1385" s="631"/>
      <c r="E1385" s="633"/>
      <c r="F1385" s="650"/>
    </row>
    <row r="1386" spans="3:6">
      <c r="C1386" s="631"/>
      <c r="D1386" s="631"/>
      <c r="E1386" s="633"/>
      <c r="F1386" s="650"/>
    </row>
    <row r="1387" spans="3:6">
      <c r="C1387" s="631"/>
      <c r="D1387" s="631"/>
      <c r="E1387" s="633"/>
      <c r="F1387" s="650"/>
    </row>
    <row r="1388" spans="3:6">
      <c r="C1388" s="631"/>
      <c r="D1388" s="631"/>
      <c r="E1388" s="633"/>
      <c r="F1388" s="650"/>
    </row>
    <row r="1389" spans="3:6">
      <c r="C1389" s="631"/>
      <c r="D1389" s="631"/>
      <c r="E1389" s="633"/>
      <c r="F1389" s="650"/>
    </row>
    <row r="1390" spans="3:6">
      <c r="C1390" s="631"/>
      <c r="D1390" s="631"/>
      <c r="E1390" s="633"/>
      <c r="F1390" s="650"/>
    </row>
    <row r="1391" spans="3:6">
      <c r="C1391" s="631"/>
      <c r="D1391" s="631"/>
      <c r="E1391" s="633"/>
      <c r="F1391" s="650"/>
    </row>
    <row r="1392" spans="3:6">
      <c r="C1392" s="631"/>
      <c r="D1392" s="631"/>
      <c r="E1392" s="633"/>
      <c r="F1392" s="650"/>
    </row>
    <row r="1393" spans="3:6">
      <c r="C1393" s="631"/>
      <c r="D1393" s="631"/>
      <c r="E1393" s="633"/>
      <c r="F1393" s="650"/>
    </row>
    <row r="1394" spans="3:6">
      <c r="C1394" s="631"/>
      <c r="D1394" s="631"/>
      <c r="E1394" s="633"/>
      <c r="F1394" s="650"/>
    </row>
    <row r="1395" spans="3:6">
      <c r="C1395" s="631"/>
      <c r="D1395" s="631"/>
      <c r="E1395" s="633"/>
      <c r="F1395" s="650"/>
    </row>
    <row r="1396" spans="3:6">
      <c r="C1396" s="631"/>
      <c r="D1396" s="631"/>
      <c r="E1396" s="633"/>
      <c r="F1396" s="650"/>
    </row>
    <row r="1397" spans="3:6">
      <c r="C1397" s="631"/>
      <c r="D1397" s="631"/>
      <c r="E1397" s="633"/>
      <c r="F1397" s="650"/>
    </row>
    <row r="1398" spans="3:6">
      <c r="C1398" s="631"/>
      <c r="D1398" s="631"/>
      <c r="E1398" s="633"/>
      <c r="F1398" s="650"/>
    </row>
    <row r="1399" spans="3:6">
      <c r="C1399" s="631"/>
      <c r="D1399" s="631"/>
      <c r="E1399" s="633"/>
      <c r="F1399" s="650"/>
    </row>
    <row r="1400" spans="3:6">
      <c r="C1400" s="631"/>
      <c r="D1400" s="631"/>
      <c r="E1400" s="633"/>
      <c r="F1400" s="650"/>
    </row>
    <row r="1401" spans="3:6">
      <c r="C1401" s="631"/>
      <c r="D1401" s="631"/>
      <c r="E1401" s="633"/>
      <c r="F1401" s="650"/>
    </row>
    <row r="1402" spans="3:6">
      <c r="C1402" s="631"/>
      <c r="D1402" s="631"/>
      <c r="E1402" s="633"/>
      <c r="F1402" s="650"/>
    </row>
    <row r="1403" spans="3:6">
      <c r="C1403" s="631"/>
      <c r="D1403" s="631"/>
      <c r="E1403" s="633"/>
      <c r="F1403" s="650"/>
    </row>
    <row r="1404" spans="3:6">
      <c r="C1404" s="631"/>
      <c r="D1404" s="631"/>
      <c r="E1404" s="633"/>
      <c r="F1404" s="650"/>
    </row>
    <row r="1405" spans="3:6">
      <c r="C1405" s="631"/>
      <c r="D1405" s="631"/>
      <c r="E1405" s="633"/>
      <c r="F1405" s="650"/>
    </row>
    <row r="1406" spans="3:6">
      <c r="C1406" s="631"/>
      <c r="D1406" s="631"/>
      <c r="E1406" s="633"/>
      <c r="F1406" s="650"/>
    </row>
    <row r="1407" spans="3:6">
      <c r="C1407" s="631"/>
      <c r="D1407" s="631"/>
      <c r="E1407" s="633"/>
      <c r="F1407" s="650"/>
    </row>
    <row r="1408" spans="3:6">
      <c r="C1408" s="631"/>
      <c r="D1408" s="631"/>
      <c r="E1408" s="633"/>
      <c r="F1408" s="650"/>
    </row>
    <row r="1409" spans="3:6">
      <c r="C1409" s="631"/>
      <c r="D1409" s="631"/>
      <c r="E1409" s="633"/>
      <c r="F1409" s="650"/>
    </row>
    <row r="1410" spans="3:6">
      <c r="C1410" s="631"/>
      <c r="D1410" s="631"/>
      <c r="E1410" s="633"/>
      <c r="F1410" s="650"/>
    </row>
    <row r="1411" spans="3:6">
      <c r="C1411" s="631"/>
      <c r="D1411" s="631"/>
      <c r="E1411" s="633"/>
      <c r="F1411" s="650"/>
    </row>
    <row r="1412" spans="3:6">
      <c r="C1412" s="631"/>
      <c r="D1412" s="631"/>
      <c r="E1412" s="633"/>
      <c r="F1412" s="650"/>
    </row>
    <row r="1413" spans="3:6">
      <c r="C1413" s="631"/>
      <c r="D1413" s="631"/>
      <c r="E1413" s="633"/>
      <c r="F1413" s="650"/>
    </row>
    <row r="1414" spans="3:6">
      <c r="C1414" s="631"/>
      <c r="D1414" s="631"/>
      <c r="E1414" s="633"/>
      <c r="F1414" s="650"/>
    </row>
    <row r="1415" spans="3:6">
      <c r="C1415" s="631"/>
      <c r="D1415" s="631"/>
      <c r="E1415" s="633"/>
      <c r="F1415" s="650"/>
    </row>
    <row r="1416" spans="3:6">
      <c r="C1416" s="631"/>
      <c r="D1416" s="631"/>
      <c r="E1416" s="633"/>
      <c r="F1416" s="650"/>
    </row>
    <row r="1417" spans="3:6">
      <c r="C1417" s="631"/>
      <c r="D1417" s="631"/>
      <c r="E1417" s="633"/>
      <c r="F1417" s="650"/>
    </row>
    <row r="1418" spans="3:6">
      <c r="C1418" s="631"/>
      <c r="D1418" s="631"/>
      <c r="E1418" s="633"/>
      <c r="F1418" s="650"/>
    </row>
    <row r="1419" spans="3:6">
      <c r="C1419" s="631"/>
      <c r="D1419" s="631"/>
      <c r="E1419" s="633"/>
      <c r="F1419" s="650"/>
    </row>
    <row r="1420" spans="3:6">
      <c r="C1420" s="631"/>
      <c r="D1420" s="631"/>
      <c r="E1420" s="633"/>
      <c r="F1420" s="650"/>
    </row>
    <row r="1421" spans="3:6">
      <c r="C1421" s="631"/>
      <c r="D1421" s="631"/>
      <c r="E1421" s="633"/>
      <c r="F1421" s="650"/>
    </row>
    <row r="1422" spans="3:6">
      <c r="C1422" s="631"/>
      <c r="D1422" s="631"/>
      <c r="E1422" s="633"/>
      <c r="F1422" s="650"/>
    </row>
    <row r="1423" spans="3:6">
      <c r="C1423" s="631"/>
      <c r="D1423" s="631"/>
      <c r="E1423" s="633"/>
      <c r="F1423" s="650"/>
    </row>
    <row r="1424" spans="3:6">
      <c r="C1424" s="631"/>
      <c r="D1424" s="631"/>
      <c r="E1424" s="633"/>
      <c r="F1424" s="650"/>
    </row>
    <row r="1425" spans="3:6">
      <c r="C1425" s="631"/>
      <c r="D1425" s="631"/>
      <c r="E1425" s="633"/>
      <c r="F1425" s="650"/>
    </row>
    <row r="1426" spans="3:6">
      <c r="C1426" s="631"/>
      <c r="D1426" s="631"/>
      <c r="E1426" s="633"/>
      <c r="F1426" s="650"/>
    </row>
    <row r="1427" spans="3:6">
      <c r="C1427" s="631"/>
      <c r="D1427" s="631"/>
      <c r="E1427" s="633"/>
      <c r="F1427" s="650"/>
    </row>
    <row r="1428" spans="3:6">
      <c r="C1428" s="631"/>
      <c r="D1428" s="631"/>
      <c r="E1428" s="633"/>
      <c r="F1428" s="650"/>
    </row>
    <row r="1429" spans="3:6">
      <c r="C1429" s="631"/>
      <c r="D1429" s="631"/>
      <c r="E1429" s="633"/>
      <c r="F1429" s="650"/>
    </row>
    <row r="1430" spans="3:6">
      <c r="C1430" s="631"/>
      <c r="D1430" s="631"/>
      <c r="E1430" s="633"/>
      <c r="F1430" s="650"/>
    </row>
    <row r="1431" spans="3:6">
      <c r="C1431" s="631"/>
      <c r="D1431" s="631"/>
      <c r="E1431" s="633"/>
      <c r="F1431" s="650"/>
    </row>
    <row r="1432" spans="3:6">
      <c r="C1432" s="631"/>
      <c r="D1432" s="631"/>
      <c r="E1432" s="633"/>
      <c r="F1432" s="650"/>
    </row>
    <row r="1433" spans="3:6">
      <c r="C1433" s="631"/>
      <c r="D1433" s="631"/>
      <c r="E1433" s="633"/>
      <c r="F1433" s="650"/>
    </row>
    <row r="1434" spans="3:6">
      <c r="C1434" s="631"/>
      <c r="D1434" s="631"/>
      <c r="E1434" s="633"/>
      <c r="F1434" s="650"/>
    </row>
    <row r="1435" spans="3:6">
      <c r="C1435" s="631"/>
      <c r="D1435" s="631"/>
      <c r="E1435" s="633"/>
      <c r="F1435" s="650"/>
    </row>
    <row r="1436" spans="3:6">
      <c r="C1436" s="631"/>
      <c r="D1436" s="631"/>
      <c r="E1436" s="633"/>
      <c r="F1436" s="650"/>
    </row>
    <row r="1437" spans="3:6">
      <c r="C1437" s="631"/>
      <c r="D1437" s="631"/>
      <c r="E1437" s="633"/>
      <c r="F1437" s="650"/>
    </row>
    <row r="1438" spans="3:6">
      <c r="C1438" s="631"/>
      <c r="D1438" s="631"/>
      <c r="E1438" s="633"/>
      <c r="F1438" s="650"/>
    </row>
    <row r="1439" spans="3:6">
      <c r="C1439" s="631"/>
      <c r="D1439" s="631"/>
      <c r="E1439" s="633"/>
      <c r="F1439" s="650"/>
    </row>
    <row r="1440" spans="3:6">
      <c r="C1440" s="631"/>
      <c r="D1440" s="631"/>
      <c r="E1440" s="633"/>
      <c r="F1440" s="650"/>
    </row>
    <row r="1441" spans="3:6">
      <c r="C1441" s="631"/>
      <c r="D1441" s="631"/>
      <c r="E1441" s="633"/>
      <c r="F1441" s="650"/>
    </row>
    <row r="1442" spans="3:6">
      <c r="C1442" s="631"/>
      <c r="D1442" s="631"/>
      <c r="E1442" s="633"/>
      <c r="F1442" s="650"/>
    </row>
    <row r="1443" spans="3:6">
      <c r="C1443" s="631"/>
      <c r="D1443" s="631"/>
      <c r="E1443" s="633"/>
      <c r="F1443" s="650"/>
    </row>
    <row r="1444" spans="3:6">
      <c r="C1444" s="631"/>
      <c r="D1444" s="631"/>
      <c r="E1444" s="633"/>
      <c r="F1444" s="650"/>
    </row>
    <row r="1445" spans="3:6">
      <c r="C1445" s="631"/>
      <c r="D1445" s="631"/>
      <c r="E1445" s="633"/>
      <c r="F1445" s="650"/>
    </row>
    <row r="1446" spans="3:6">
      <c r="C1446" s="631"/>
      <c r="D1446" s="631"/>
      <c r="E1446" s="633"/>
      <c r="F1446" s="650"/>
    </row>
    <row r="1447" spans="3:6">
      <c r="C1447" s="631"/>
      <c r="D1447" s="631"/>
      <c r="E1447" s="633"/>
      <c r="F1447" s="650"/>
    </row>
    <row r="1448" spans="3:6">
      <c r="C1448" s="631"/>
      <c r="D1448" s="631"/>
      <c r="E1448" s="633"/>
      <c r="F1448" s="650"/>
    </row>
    <row r="1449" spans="3:6">
      <c r="C1449" s="631"/>
      <c r="D1449" s="631"/>
      <c r="E1449" s="633"/>
      <c r="F1449" s="650"/>
    </row>
    <row r="1450" spans="3:6">
      <c r="C1450" s="631"/>
      <c r="D1450" s="631"/>
      <c r="E1450" s="633"/>
      <c r="F1450" s="650"/>
    </row>
    <row r="1451" spans="3:6">
      <c r="C1451" s="631"/>
      <c r="D1451" s="631"/>
      <c r="E1451" s="633"/>
      <c r="F1451" s="650"/>
    </row>
    <row r="1452" spans="3:6">
      <c r="C1452" s="631"/>
      <c r="D1452" s="631"/>
      <c r="E1452" s="633"/>
      <c r="F1452" s="650"/>
    </row>
    <row r="1453" spans="3:6">
      <c r="C1453" s="631"/>
      <c r="D1453" s="631"/>
      <c r="E1453" s="633"/>
      <c r="F1453" s="650"/>
    </row>
    <row r="1454" spans="3:6">
      <c r="C1454" s="631"/>
      <c r="D1454" s="631"/>
      <c r="E1454" s="633"/>
      <c r="F1454" s="650"/>
    </row>
    <row r="1455" spans="3:6">
      <c r="C1455" s="631"/>
      <c r="D1455" s="631"/>
      <c r="E1455" s="633"/>
      <c r="F1455" s="650"/>
    </row>
    <row r="1456" spans="3:6">
      <c r="C1456" s="631"/>
      <c r="D1456" s="631"/>
      <c r="E1456" s="633"/>
      <c r="F1456" s="650"/>
    </row>
    <row r="1457" spans="3:6">
      <c r="C1457" s="631"/>
      <c r="D1457" s="631"/>
      <c r="E1457" s="633"/>
      <c r="F1457" s="650"/>
    </row>
    <row r="1458" spans="3:6">
      <c r="C1458" s="631"/>
      <c r="D1458" s="631"/>
      <c r="E1458" s="633"/>
      <c r="F1458" s="650"/>
    </row>
    <row r="1459" spans="3:6">
      <c r="C1459" s="631"/>
      <c r="D1459" s="631"/>
      <c r="E1459" s="633"/>
      <c r="F1459" s="650"/>
    </row>
    <row r="1460" spans="3:6">
      <c r="C1460" s="631"/>
      <c r="D1460" s="631"/>
      <c r="E1460" s="633"/>
      <c r="F1460" s="650"/>
    </row>
    <row r="1461" spans="3:6">
      <c r="C1461" s="631"/>
      <c r="D1461" s="631"/>
      <c r="E1461" s="633"/>
      <c r="F1461" s="650"/>
    </row>
    <row r="1462" spans="3:6">
      <c r="C1462" s="631"/>
      <c r="D1462" s="631"/>
      <c r="E1462" s="633"/>
      <c r="F1462" s="650"/>
    </row>
    <row r="1463" spans="3:6">
      <c r="C1463" s="631"/>
      <c r="D1463" s="631"/>
      <c r="E1463" s="633"/>
      <c r="F1463" s="650"/>
    </row>
    <row r="1464" spans="3:6">
      <c r="C1464" s="631"/>
      <c r="D1464" s="631"/>
      <c r="E1464" s="633"/>
      <c r="F1464" s="650"/>
    </row>
    <row r="1465" spans="3:6">
      <c r="C1465" s="631"/>
      <c r="D1465" s="631"/>
      <c r="E1465" s="633"/>
      <c r="F1465" s="650"/>
    </row>
    <row r="1466" spans="3:6">
      <c r="C1466" s="631"/>
      <c r="D1466" s="631"/>
      <c r="E1466" s="633"/>
      <c r="F1466" s="650"/>
    </row>
    <row r="1467" spans="3:6">
      <c r="C1467" s="631"/>
      <c r="D1467" s="631"/>
      <c r="E1467" s="633"/>
      <c r="F1467" s="650"/>
    </row>
    <row r="1468" spans="3:6">
      <c r="C1468" s="631"/>
      <c r="D1468" s="631"/>
      <c r="E1468" s="633"/>
      <c r="F1468" s="650"/>
    </row>
    <row r="1469" spans="3:6">
      <c r="C1469" s="631"/>
      <c r="D1469" s="631"/>
      <c r="E1469" s="633"/>
      <c r="F1469" s="650"/>
    </row>
    <row r="1470" spans="3:6">
      <c r="C1470" s="631"/>
      <c r="D1470" s="631"/>
      <c r="E1470" s="633"/>
      <c r="F1470" s="650"/>
    </row>
    <row r="1471" spans="3:6">
      <c r="C1471" s="631"/>
      <c r="D1471" s="631"/>
      <c r="E1471" s="633"/>
      <c r="F1471" s="650"/>
    </row>
    <row r="1472" spans="3:6">
      <c r="C1472" s="631"/>
      <c r="D1472" s="631"/>
      <c r="E1472" s="633"/>
      <c r="F1472" s="650"/>
    </row>
    <row r="1473" spans="3:6">
      <c r="C1473" s="631"/>
      <c r="D1473" s="631"/>
      <c r="E1473" s="633"/>
      <c r="F1473" s="650"/>
    </row>
    <row r="1474" spans="3:6">
      <c r="C1474" s="631"/>
      <c r="D1474" s="631"/>
      <c r="E1474" s="633"/>
      <c r="F1474" s="650"/>
    </row>
    <row r="1475" spans="3:6">
      <c r="C1475" s="631"/>
      <c r="D1475" s="631"/>
      <c r="E1475" s="633"/>
      <c r="F1475" s="650"/>
    </row>
    <row r="1476" spans="3:6">
      <c r="C1476" s="631"/>
      <c r="D1476" s="631"/>
      <c r="E1476" s="633"/>
      <c r="F1476" s="650"/>
    </row>
    <row r="1477" spans="3:6">
      <c r="C1477" s="631"/>
      <c r="D1477" s="631"/>
      <c r="E1477" s="633"/>
      <c r="F1477" s="650"/>
    </row>
    <row r="1478" spans="3:6">
      <c r="C1478" s="631"/>
      <c r="D1478" s="631"/>
      <c r="E1478" s="633"/>
      <c r="F1478" s="650"/>
    </row>
    <row r="1479" spans="3:6">
      <c r="C1479" s="631"/>
      <c r="D1479" s="631"/>
      <c r="E1479" s="633"/>
      <c r="F1479" s="650"/>
    </row>
    <row r="1480" spans="3:6">
      <c r="C1480" s="631"/>
      <c r="D1480" s="631"/>
      <c r="E1480" s="633"/>
      <c r="F1480" s="650"/>
    </row>
    <row r="1481" spans="3:6">
      <c r="C1481" s="631"/>
      <c r="D1481" s="631"/>
      <c r="E1481" s="633"/>
      <c r="F1481" s="650"/>
    </row>
    <row r="1482" spans="3:6">
      <c r="C1482" s="631"/>
      <c r="D1482" s="631"/>
      <c r="E1482" s="633"/>
      <c r="F1482" s="650"/>
    </row>
    <row r="1483" spans="3:6">
      <c r="C1483" s="631"/>
      <c r="D1483" s="631"/>
      <c r="E1483" s="633"/>
      <c r="F1483" s="650"/>
    </row>
    <row r="1484" spans="3:6">
      <c r="C1484" s="631"/>
      <c r="D1484" s="631"/>
      <c r="E1484" s="633"/>
      <c r="F1484" s="650"/>
    </row>
    <row r="1485" spans="3:6">
      <c r="C1485" s="631"/>
      <c r="D1485" s="631"/>
      <c r="E1485" s="633"/>
      <c r="F1485" s="650"/>
    </row>
    <row r="1486" spans="3:6">
      <c r="C1486" s="631"/>
      <c r="D1486" s="631"/>
      <c r="E1486" s="633"/>
      <c r="F1486" s="650"/>
    </row>
    <row r="1487" spans="3:6">
      <c r="C1487" s="631"/>
      <c r="D1487" s="631"/>
      <c r="E1487" s="633"/>
      <c r="F1487" s="650"/>
    </row>
    <row r="1488" spans="3:6">
      <c r="C1488" s="631"/>
      <c r="D1488" s="631"/>
      <c r="E1488" s="633"/>
      <c r="F1488" s="650"/>
    </row>
    <row r="1489" spans="3:6">
      <c r="C1489" s="631"/>
      <c r="D1489" s="631"/>
      <c r="E1489" s="633"/>
      <c r="F1489" s="650"/>
    </row>
    <row r="1490" spans="3:6">
      <c r="C1490" s="631"/>
      <c r="D1490" s="631"/>
      <c r="E1490" s="633"/>
      <c r="F1490" s="650"/>
    </row>
    <row r="1491" spans="3:6">
      <c r="C1491" s="631"/>
      <c r="D1491" s="631"/>
      <c r="E1491" s="633"/>
      <c r="F1491" s="650"/>
    </row>
    <row r="1492" spans="3:6">
      <c r="C1492" s="631"/>
      <c r="D1492" s="631"/>
      <c r="E1492" s="633"/>
      <c r="F1492" s="650"/>
    </row>
    <row r="1493" spans="3:6">
      <c r="C1493" s="631"/>
      <c r="D1493" s="631"/>
      <c r="E1493" s="633"/>
      <c r="F1493" s="650"/>
    </row>
    <row r="1494" spans="3:6">
      <c r="C1494" s="631"/>
      <c r="D1494" s="631"/>
      <c r="E1494" s="633"/>
      <c r="F1494" s="650"/>
    </row>
    <row r="1495" spans="3:6">
      <c r="C1495" s="631"/>
      <c r="D1495" s="631"/>
      <c r="E1495" s="633"/>
      <c r="F1495" s="650"/>
    </row>
    <row r="1496" spans="3:6">
      <c r="C1496" s="631"/>
      <c r="D1496" s="631"/>
      <c r="E1496" s="633"/>
      <c r="F1496" s="650"/>
    </row>
    <row r="1497" spans="3:6">
      <c r="C1497" s="631"/>
      <c r="D1497" s="631"/>
      <c r="E1497" s="633"/>
      <c r="F1497" s="650"/>
    </row>
    <row r="1498" spans="3:6">
      <c r="C1498" s="631"/>
      <c r="D1498" s="631"/>
      <c r="E1498" s="633"/>
      <c r="F1498" s="650"/>
    </row>
    <row r="1499" spans="3:6">
      <c r="C1499" s="631"/>
      <c r="D1499" s="631"/>
      <c r="E1499" s="633"/>
      <c r="F1499" s="650"/>
    </row>
    <row r="1500" spans="3:6">
      <c r="C1500" s="631"/>
      <c r="D1500" s="631"/>
      <c r="E1500" s="633"/>
      <c r="F1500" s="650"/>
    </row>
    <row r="1501" spans="3:6">
      <c r="C1501" s="631"/>
      <c r="D1501" s="631"/>
      <c r="E1501" s="633"/>
      <c r="F1501" s="650"/>
    </row>
    <row r="1502" spans="3:6">
      <c r="C1502" s="631"/>
      <c r="D1502" s="631"/>
      <c r="E1502" s="633"/>
      <c r="F1502" s="650"/>
    </row>
    <row r="1503" spans="3:6">
      <c r="C1503" s="631"/>
      <c r="D1503" s="631"/>
      <c r="E1503" s="633"/>
      <c r="F1503" s="650"/>
    </row>
    <row r="1504" spans="3:6">
      <c r="C1504" s="631"/>
      <c r="D1504" s="631"/>
      <c r="E1504" s="633"/>
      <c r="F1504" s="650"/>
    </row>
    <row r="1505" spans="3:6">
      <c r="C1505" s="631"/>
      <c r="D1505" s="631"/>
      <c r="E1505" s="633"/>
      <c r="F1505" s="650"/>
    </row>
    <row r="1506" spans="3:6">
      <c r="C1506" s="631"/>
      <c r="D1506" s="631"/>
      <c r="E1506" s="633"/>
      <c r="F1506" s="650"/>
    </row>
    <row r="1507" spans="3:6">
      <c r="C1507" s="631"/>
      <c r="D1507" s="631"/>
      <c r="E1507" s="633"/>
      <c r="F1507" s="650"/>
    </row>
    <row r="1508" spans="3:6">
      <c r="C1508" s="631"/>
      <c r="D1508" s="631"/>
      <c r="E1508" s="633"/>
      <c r="F1508" s="650"/>
    </row>
    <row r="1509" spans="3:6">
      <c r="C1509" s="631"/>
      <c r="D1509" s="631"/>
      <c r="E1509" s="633"/>
      <c r="F1509" s="650"/>
    </row>
    <row r="1510" spans="3:6">
      <c r="C1510" s="631"/>
      <c r="D1510" s="631"/>
      <c r="E1510" s="633"/>
      <c r="F1510" s="650"/>
    </row>
    <row r="1511" spans="3:6">
      <c r="C1511" s="631"/>
      <c r="D1511" s="631"/>
      <c r="E1511" s="633"/>
      <c r="F1511" s="650"/>
    </row>
    <row r="1512" spans="3:6">
      <c r="C1512" s="631"/>
      <c r="D1512" s="631"/>
      <c r="E1512" s="633"/>
      <c r="F1512" s="650"/>
    </row>
    <row r="1513" spans="3:6">
      <c r="C1513" s="631"/>
      <c r="D1513" s="631"/>
      <c r="E1513" s="633"/>
      <c r="F1513" s="650"/>
    </row>
    <row r="1514" spans="3:6">
      <c r="C1514" s="631"/>
      <c r="D1514" s="631"/>
      <c r="E1514" s="633"/>
      <c r="F1514" s="650"/>
    </row>
    <row r="1515" spans="3:6">
      <c r="C1515" s="631"/>
      <c r="D1515" s="631"/>
      <c r="E1515" s="633"/>
      <c r="F1515" s="650"/>
    </row>
    <row r="1516" spans="3:6">
      <c r="C1516" s="631"/>
      <c r="D1516" s="631"/>
      <c r="E1516" s="633"/>
      <c r="F1516" s="650"/>
    </row>
    <row r="1517" spans="3:6">
      <c r="C1517" s="631"/>
      <c r="D1517" s="631"/>
      <c r="E1517" s="633"/>
      <c r="F1517" s="650"/>
    </row>
    <row r="1518" spans="3:6">
      <c r="C1518" s="631"/>
      <c r="D1518" s="631"/>
      <c r="E1518" s="633"/>
      <c r="F1518" s="650"/>
    </row>
    <row r="1519" spans="3:6">
      <c r="C1519" s="631"/>
      <c r="D1519" s="631"/>
      <c r="E1519" s="633"/>
      <c r="F1519" s="650"/>
    </row>
    <row r="1520" spans="3:6">
      <c r="C1520" s="631"/>
      <c r="D1520" s="631"/>
      <c r="E1520" s="633"/>
      <c r="F1520" s="650"/>
    </row>
    <row r="1521" spans="3:6">
      <c r="C1521" s="631"/>
      <c r="D1521" s="631"/>
      <c r="E1521" s="633"/>
      <c r="F1521" s="650"/>
    </row>
    <row r="1522" spans="3:6">
      <c r="C1522" s="631"/>
      <c r="D1522" s="631"/>
      <c r="E1522" s="633"/>
      <c r="F1522" s="650"/>
    </row>
    <row r="1523" spans="3:6">
      <c r="C1523" s="631"/>
      <c r="D1523" s="631"/>
      <c r="E1523" s="633"/>
      <c r="F1523" s="650"/>
    </row>
    <row r="1524" spans="3:6">
      <c r="C1524" s="631"/>
      <c r="D1524" s="631"/>
      <c r="E1524" s="633"/>
      <c r="F1524" s="650"/>
    </row>
    <row r="1525" spans="3:6">
      <c r="C1525" s="631"/>
      <c r="D1525" s="631"/>
      <c r="E1525" s="633"/>
      <c r="F1525" s="650"/>
    </row>
    <row r="1526" spans="3:6">
      <c r="C1526" s="631"/>
      <c r="D1526" s="631"/>
      <c r="E1526" s="633"/>
      <c r="F1526" s="650"/>
    </row>
    <row r="1527" spans="3:6">
      <c r="C1527" s="631"/>
      <c r="D1527" s="631"/>
      <c r="E1527" s="633"/>
      <c r="F1527" s="650"/>
    </row>
    <row r="1528" spans="3:6">
      <c r="C1528" s="631"/>
      <c r="D1528" s="631"/>
      <c r="E1528" s="633"/>
      <c r="F1528" s="650"/>
    </row>
    <row r="1529" spans="3:6">
      <c r="C1529" s="631"/>
      <c r="D1529" s="631"/>
      <c r="E1529" s="633"/>
      <c r="F1529" s="650"/>
    </row>
    <row r="1530" spans="3:6">
      <c r="C1530" s="631"/>
      <c r="D1530" s="631"/>
      <c r="E1530" s="633"/>
      <c r="F1530" s="650"/>
    </row>
    <row r="1531" spans="3:6">
      <c r="C1531" s="631"/>
      <c r="D1531" s="631"/>
      <c r="E1531" s="633"/>
      <c r="F1531" s="650"/>
    </row>
    <row r="1532" spans="3:6">
      <c r="C1532" s="631"/>
      <c r="D1532" s="631"/>
      <c r="E1532" s="633"/>
      <c r="F1532" s="650"/>
    </row>
    <row r="1533" spans="3:6">
      <c r="C1533" s="631"/>
      <c r="D1533" s="631"/>
      <c r="E1533" s="633"/>
      <c r="F1533" s="650"/>
    </row>
    <row r="1534" spans="3:6">
      <c r="C1534" s="631"/>
      <c r="D1534" s="631"/>
      <c r="E1534" s="633"/>
      <c r="F1534" s="650"/>
    </row>
    <row r="1535" spans="3:6">
      <c r="C1535" s="631"/>
      <c r="D1535" s="631"/>
      <c r="E1535" s="633"/>
      <c r="F1535" s="650"/>
    </row>
    <row r="1536" spans="3:6">
      <c r="C1536" s="631"/>
      <c r="D1536" s="631"/>
      <c r="E1536" s="633"/>
      <c r="F1536" s="650"/>
    </row>
    <row r="1537" spans="3:6">
      <c r="C1537" s="631"/>
      <c r="D1537" s="631"/>
      <c r="E1537" s="633"/>
      <c r="F1537" s="650"/>
    </row>
    <row r="1538" spans="3:6">
      <c r="C1538" s="631"/>
      <c r="D1538" s="631"/>
      <c r="E1538" s="633"/>
      <c r="F1538" s="650"/>
    </row>
    <row r="1539" spans="3:6">
      <c r="C1539" s="631"/>
      <c r="D1539" s="631"/>
      <c r="E1539" s="633"/>
      <c r="F1539" s="650"/>
    </row>
    <row r="1540" spans="3:6">
      <c r="C1540" s="631"/>
      <c r="D1540" s="631"/>
      <c r="E1540" s="633"/>
      <c r="F1540" s="650"/>
    </row>
    <row r="1541" spans="3:6">
      <c r="C1541" s="631"/>
      <c r="D1541" s="631"/>
      <c r="E1541" s="633"/>
      <c r="F1541" s="650"/>
    </row>
    <row r="1542" spans="3:6">
      <c r="C1542" s="631"/>
      <c r="D1542" s="631"/>
      <c r="E1542" s="633"/>
      <c r="F1542" s="650"/>
    </row>
    <row r="1543" spans="3:6">
      <c r="C1543" s="631"/>
      <c r="D1543" s="631"/>
      <c r="E1543" s="633"/>
      <c r="F1543" s="650"/>
    </row>
    <row r="1544" spans="3:6">
      <c r="C1544" s="631"/>
      <c r="D1544" s="631"/>
      <c r="E1544" s="633"/>
      <c r="F1544" s="650"/>
    </row>
    <row r="1545" spans="3:6">
      <c r="C1545" s="631"/>
      <c r="D1545" s="631"/>
      <c r="E1545" s="633"/>
      <c r="F1545" s="650"/>
    </row>
    <row r="1546" spans="3:6">
      <c r="C1546" s="631"/>
      <c r="D1546" s="631"/>
      <c r="E1546" s="633"/>
      <c r="F1546" s="650"/>
    </row>
    <row r="1547" spans="3:6">
      <c r="C1547" s="631"/>
      <c r="D1547" s="631"/>
      <c r="E1547" s="633"/>
      <c r="F1547" s="650"/>
    </row>
    <row r="1548" spans="3:6">
      <c r="C1548" s="631"/>
      <c r="D1548" s="631"/>
      <c r="E1548" s="633"/>
      <c r="F1548" s="650"/>
    </row>
    <row r="1549" spans="3:6">
      <c r="C1549" s="631"/>
      <c r="D1549" s="631"/>
      <c r="E1549" s="633"/>
      <c r="F1549" s="650"/>
    </row>
    <row r="1550" spans="3:6">
      <c r="C1550" s="631"/>
      <c r="D1550" s="631"/>
      <c r="E1550" s="633"/>
      <c r="F1550" s="650"/>
    </row>
    <row r="1551" spans="3:6">
      <c r="C1551" s="631"/>
      <c r="D1551" s="631"/>
      <c r="E1551" s="633"/>
      <c r="F1551" s="650"/>
    </row>
    <row r="1552" spans="3:6">
      <c r="C1552" s="631"/>
      <c r="D1552" s="631"/>
      <c r="E1552" s="633"/>
      <c r="F1552" s="650"/>
    </row>
    <row r="1553" spans="3:6">
      <c r="C1553" s="631"/>
      <c r="D1553" s="631"/>
      <c r="E1553" s="633"/>
      <c r="F1553" s="650"/>
    </row>
    <row r="1554" spans="3:6">
      <c r="C1554" s="631"/>
      <c r="D1554" s="631"/>
      <c r="E1554" s="633"/>
      <c r="F1554" s="650"/>
    </row>
    <row r="1555" spans="3:6">
      <c r="C1555" s="631"/>
      <c r="D1555" s="631"/>
      <c r="E1555" s="633"/>
      <c r="F1555" s="650"/>
    </row>
    <row r="1556" spans="3:6">
      <c r="C1556" s="631"/>
      <c r="D1556" s="631"/>
      <c r="E1556" s="633"/>
      <c r="F1556" s="650"/>
    </row>
    <row r="1557" spans="3:6">
      <c r="C1557" s="631"/>
      <c r="D1557" s="631"/>
      <c r="E1557" s="633"/>
      <c r="F1557" s="650"/>
    </row>
    <row r="1558" spans="3:6">
      <c r="C1558" s="631"/>
      <c r="D1558" s="631"/>
      <c r="E1558" s="633"/>
      <c r="F1558" s="650"/>
    </row>
    <row r="1559" spans="3:6">
      <c r="C1559" s="631"/>
      <c r="D1559" s="631"/>
      <c r="E1559" s="633"/>
      <c r="F1559" s="650"/>
    </row>
    <row r="1560" spans="3:6">
      <c r="C1560" s="631"/>
      <c r="D1560" s="631"/>
      <c r="E1560" s="633"/>
      <c r="F1560" s="650"/>
    </row>
    <row r="1561" spans="3:6">
      <c r="C1561" s="631"/>
      <c r="D1561" s="631"/>
      <c r="E1561" s="633"/>
      <c r="F1561" s="650"/>
    </row>
    <row r="1562" spans="3:6">
      <c r="C1562" s="631"/>
      <c r="D1562" s="631"/>
      <c r="E1562" s="633"/>
      <c r="F1562" s="650"/>
    </row>
    <row r="1563" spans="3:6">
      <c r="C1563" s="631"/>
      <c r="D1563" s="631"/>
      <c r="E1563" s="633"/>
      <c r="F1563" s="650"/>
    </row>
    <row r="1564" spans="3:6">
      <c r="C1564" s="631"/>
      <c r="D1564" s="631"/>
      <c r="E1564" s="633"/>
      <c r="F1564" s="650"/>
    </row>
    <row r="1565" spans="3:6">
      <c r="C1565" s="631"/>
      <c r="D1565" s="631"/>
      <c r="E1565" s="633"/>
      <c r="F1565" s="650"/>
    </row>
    <row r="1566" spans="3:6">
      <c r="C1566" s="631"/>
      <c r="D1566" s="631"/>
      <c r="E1566" s="633"/>
      <c r="F1566" s="650"/>
    </row>
    <row r="1567" spans="3:6">
      <c r="C1567" s="631"/>
      <c r="D1567" s="631"/>
      <c r="E1567" s="633"/>
      <c r="F1567" s="650"/>
    </row>
    <row r="1568" spans="3:6">
      <c r="C1568" s="631"/>
      <c r="D1568" s="631"/>
      <c r="E1568" s="633"/>
      <c r="F1568" s="650"/>
    </row>
    <row r="1569" spans="3:6">
      <c r="C1569" s="631"/>
      <c r="D1569" s="631"/>
      <c r="E1569" s="633"/>
      <c r="F1569" s="650"/>
    </row>
    <row r="1570" spans="3:6">
      <c r="C1570" s="631"/>
      <c r="D1570" s="631"/>
      <c r="E1570" s="633"/>
      <c r="F1570" s="650"/>
    </row>
    <row r="1571" spans="3:6">
      <c r="C1571" s="631"/>
      <c r="D1571" s="631"/>
      <c r="E1571" s="633"/>
      <c r="F1571" s="650"/>
    </row>
    <row r="1572" spans="3:6">
      <c r="C1572" s="631"/>
      <c r="D1572" s="631"/>
      <c r="E1572" s="633"/>
      <c r="F1572" s="650"/>
    </row>
    <row r="1573" spans="3:6">
      <c r="C1573" s="631"/>
      <c r="D1573" s="631"/>
      <c r="E1573" s="633"/>
      <c r="F1573" s="650"/>
    </row>
    <row r="1574" spans="3:6">
      <c r="C1574" s="631"/>
      <c r="D1574" s="631"/>
      <c r="E1574" s="633"/>
      <c r="F1574" s="650"/>
    </row>
    <row r="1575" spans="3:6">
      <c r="C1575" s="631"/>
      <c r="D1575" s="631"/>
      <c r="E1575" s="633"/>
      <c r="F1575" s="650"/>
    </row>
    <row r="1576" spans="3:6">
      <c r="C1576" s="631"/>
      <c r="D1576" s="631"/>
      <c r="E1576" s="633"/>
      <c r="F1576" s="650"/>
    </row>
    <row r="1577" spans="3:6">
      <c r="C1577" s="631"/>
      <c r="D1577" s="631"/>
      <c r="E1577" s="633"/>
      <c r="F1577" s="650"/>
    </row>
    <row r="1578" spans="3:6">
      <c r="C1578" s="631"/>
      <c r="D1578" s="631"/>
      <c r="E1578" s="633"/>
      <c r="F1578" s="650"/>
    </row>
    <row r="1579" spans="3:6">
      <c r="C1579" s="631"/>
      <c r="D1579" s="631"/>
      <c r="E1579" s="633"/>
      <c r="F1579" s="650"/>
    </row>
    <row r="1580" spans="3:6">
      <c r="C1580" s="631"/>
      <c r="D1580" s="631"/>
      <c r="E1580" s="633"/>
      <c r="F1580" s="650"/>
    </row>
    <row r="1581" spans="3:6">
      <c r="C1581" s="631"/>
      <c r="D1581" s="631"/>
      <c r="E1581" s="633"/>
      <c r="F1581" s="650"/>
    </row>
    <row r="1582" spans="3:6">
      <c r="C1582" s="631"/>
      <c r="D1582" s="631"/>
      <c r="E1582" s="633"/>
      <c r="F1582" s="650"/>
    </row>
    <row r="1583" spans="3:6">
      <c r="C1583" s="631"/>
      <c r="D1583" s="631"/>
      <c r="E1583" s="633"/>
      <c r="F1583" s="650"/>
    </row>
    <row r="1584" spans="3:6">
      <c r="C1584" s="631"/>
      <c r="D1584" s="631"/>
      <c r="E1584" s="633"/>
      <c r="F1584" s="650"/>
    </row>
    <row r="1585" spans="3:6">
      <c r="C1585" s="631"/>
      <c r="D1585" s="631"/>
      <c r="E1585" s="633"/>
      <c r="F1585" s="650"/>
    </row>
    <row r="1586" spans="3:6">
      <c r="C1586" s="631"/>
      <c r="D1586" s="631"/>
      <c r="E1586" s="633"/>
      <c r="F1586" s="650"/>
    </row>
    <row r="1587" spans="3:6">
      <c r="C1587" s="631"/>
      <c r="D1587" s="631"/>
      <c r="E1587" s="633"/>
      <c r="F1587" s="650"/>
    </row>
    <row r="1588" spans="3:6">
      <c r="C1588" s="631"/>
      <c r="D1588" s="631"/>
      <c r="E1588" s="633"/>
      <c r="F1588" s="650"/>
    </row>
    <row r="1589" spans="3:6">
      <c r="C1589" s="631"/>
      <c r="D1589" s="631"/>
      <c r="E1589" s="633"/>
      <c r="F1589" s="650"/>
    </row>
    <row r="1590" spans="3:6">
      <c r="C1590" s="631"/>
      <c r="D1590" s="631"/>
      <c r="E1590" s="633"/>
      <c r="F1590" s="650"/>
    </row>
    <row r="1591" spans="3:6">
      <c r="C1591" s="631"/>
      <c r="D1591" s="631"/>
      <c r="E1591" s="633"/>
      <c r="F1591" s="650"/>
    </row>
    <row r="1592" spans="3:6">
      <c r="C1592" s="631"/>
      <c r="D1592" s="631"/>
      <c r="E1592" s="633"/>
      <c r="F1592" s="650"/>
    </row>
    <row r="1593" spans="3:6">
      <c r="C1593" s="631"/>
      <c r="D1593" s="631"/>
      <c r="E1593" s="633"/>
      <c r="F1593" s="650"/>
    </row>
    <row r="1594" spans="3:6">
      <c r="C1594" s="631"/>
      <c r="D1594" s="631"/>
      <c r="E1594" s="633"/>
      <c r="F1594" s="650"/>
    </row>
    <row r="1595" spans="3:6">
      <c r="C1595" s="631"/>
      <c r="D1595" s="631"/>
      <c r="E1595" s="633"/>
      <c r="F1595" s="650"/>
    </row>
    <row r="1596" spans="3:6">
      <c r="C1596" s="631"/>
      <c r="D1596" s="631"/>
      <c r="E1596" s="633"/>
      <c r="F1596" s="650"/>
    </row>
    <row r="1597" spans="3:6">
      <c r="C1597" s="631"/>
      <c r="D1597" s="631"/>
      <c r="E1597" s="633"/>
      <c r="F1597" s="650"/>
    </row>
    <row r="1598" spans="3:6">
      <c r="C1598" s="631"/>
      <c r="D1598" s="631"/>
      <c r="E1598" s="633"/>
      <c r="F1598" s="650"/>
    </row>
    <row r="1599" spans="3:6">
      <c r="C1599" s="631"/>
      <c r="D1599" s="631"/>
      <c r="E1599" s="633"/>
      <c r="F1599" s="650"/>
    </row>
    <row r="1600" spans="3:6">
      <c r="C1600" s="631"/>
      <c r="D1600" s="631"/>
      <c r="E1600" s="633"/>
      <c r="F1600" s="650"/>
    </row>
    <row r="1601" spans="3:6">
      <c r="C1601" s="631"/>
      <c r="D1601" s="631"/>
      <c r="E1601" s="633"/>
      <c r="F1601" s="650"/>
    </row>
    <row r="1602" spans="3:6">
      <c r="C1602" s="631"/>
      <c r="D1602" s="631"/>
      <c r="E1602" s="633"/>
      <c r="F1602" s="650"/>
    </row>
    <row r="1603" spans="3:6">
      <c r="C1603" s="631"/>
      <c r="D1603" s="631"/>
      <c r="E1603" s="633"/>
      <c r="F1603" s="650"/>
    </row>
    <row r="1604" spans="3:6">
      <c r="C1604" s="631"/>
      <c r="D1604" s="631"/>
      <c r="E1604" s="633"/>
      <c r="F1604" s="650"/>
    </row>
    <row r="1605" spans="3:6">
      <c r="C1605" s="631"/>
      <c r="D1605" s="631"/>
      <c r="E1605" s="633"/>
      <c r="F1605" s="650"/>
    </row>
    <row r="1606" spans="3:6">
      <c r="C1606" s="631"/>
      <c r="D1606" s="631"/>
      <c r="E1606" s="633"/>
      <c r="F1606" s="650"/>
    </row>
    <row r="1607" spans="3:6">
      <c r="C1607" s="631"/>
      <c r="D1607" s="631"/>
      <c r="E1607" s="633"/>
      <c r="F1607" s="650"/>
    </row>
    <row r="1608" spans="3:6">
      <c r="C1608" s="631"/>
      <c r="D1608" s="631"/>
      <c r="E1608" s="633"/>
      <c r="F1608" s="650"/>
    </row>
    <row r="1609" spans="3:6">
      <c r="C1609" s="631"/>
      <c r="D1609" s="631"/>
      <c r="E1609" s="633"/>
      <c r="F1609" s="650"/>
    </row>
    <row r="1610" spans="3:6">
      <c r="C1610" s="631"/>
      <c r="D1610" s="631"/>
      <c r="E1610" s="633"/>
      <c r="F1610" s="650"/>
    </row>
    <row r="1611" spans="3:6">
      <c r="C1611" s="631"/>
      <c r="D1611" s="631"/>
      <c r="E1611" s="633"/>
      <c r="F1611" s="650"/>
    </row>
    <row r="1612" spans="3:6">
      <c r="C1612" s="631"/>
      <c r="D1612" s="631"/>
      <c r="E1612" s="633"/>
      <c r="F1612" s="650"/>
    </row>
    <row r="1613" spans="3:6">
      <c r="C1613" s="631"/>
      <c r="D1613" s="631"/>
      <c r="E1613" s="633"/>
      <c r="F1613" s="650"/>
    </row>
    <row r="1614" spans="3:6">
      <c r="C1614" s="631"/>
      <c r="D1614" s="631"/>
      <c r="E1614" s="633"/>
      <c r="F1614" s="650"/>
    </row>
    <row r="1615" spans="3:6">
      <c r="C1615" s="631"/>
      <c r="D1615" s="631"/>
      <c r="E1615" s="633"/>
      <c r="F1615" s="650"/>
    </row>
    <row r="1616" spans="3:6">
      <c r="C1616" s="631"/>
      <c r="D1616" s="631"/>
      <c r="E1616" s="633"/>
      <c r="F1616" s="650"/>
    </row>
    <row r="1617" spans="3:6">
      <c r="C1617" s="631"/>
      <c r="D1617" s="631"/>
      <c r="E1617" s="633"/>
      <c r="F1617" s="650"/>
    </row>
    <row r="1618" spans="3:6">
      <c r="C1618" s="631"/>
      <c r="D1618" s="631"/>
      <c r="E1618" s="633"/>
      <c r="F1618" s="650"/>
    </row>
    <row r="1619" spans="3:6">
      <c r="C1619" s="631"/>
      <c r="D1619" s="631"/>
      <c r="E1619" s="633"/>
      <c r="F1619" s="650"/>
    </row>
    <row r="1620" spans="3:6">
      <c r="C1620" s="631"/>
      <c r="D1620" s="631"/>
      <c r="E1620" s="633"/>
      <c r="F1620" s="650"/>
    </row>
    <row r="1621" spans="3:6">
      <c r="C1621" s="631"/>
      <c r="D1621" s="631"/>
      <c r="E1621" s="633"/>
      <c r="F1621" s="650"/>
    </row>
    <row r="1622" spans="3:6">
      <c r="C1622" s="631"/>
      <c r="D1622" s="631"/>
      <c r="E1622" s="633"/>
      <c r="F1622" s="650"/>
    </row>
    <row r="1623" spans="3:6">
      <c r="C1623" s="631"/>
      <c r="D1623" s="631"/>
      <c r="E1623" s="633"/>
      <c r="F1623" s="650"/>
    </row>
    <row r="1624" spans="3:6">
      <c r="C1624" s="631"/>
      <c r="D1624" s="631"/>
      <c r="E1624" s="633"/>
      <c r="F1624" s="650"/>
    </row>
    <row r="1625" spans="3:6">
      <c r="C1625" s="631"/>
      <c r="D1625" s="631"/>
      <c r="E1625" s="633"/>
      <c r="F1625" s="650"/>
    </row>
    <row r="1626" spans="3:6">
      <c r="C1626" s="631"/>
      <c r="D1626" s="631"/>
      <c r="E1626" s="633"/>
      <c r="F1626" s="650"/>
    </row>
    <row r="1627" spans="3:6">
      <c r="C1627" s="631"/>
      <c r="D1627" s="631"/>
      <c r="E1627" s="633"/>
      <c r="F1627" s="650"/>
    </row>
    <row r="1628" spans="3:6">
      <c r="C1628" s="631"/>
      <c r="D1628" s="631"/>
      <c r="E1628" s="633"/>
      <c r="F1628" s="650"/>
    </row>
    <row r="1629" spans="3:6">
      <c r="C1629" s="631"/>
      <c r="D1629" s="631"/>
      <c r="E1629" s="633"/>
      <c r="F1629" s="650"/>
    </row>
    <row r="1630" spans="3:6">
      <c r="C1630" s="631"/>
      <c r="D1630" s="631"/>
      <c r="E1630" s="633"/>
      <c r="F1630" s="650"/>
    </row>
    <row r="1631" spans="3:6">
      <c r="C1631" s="631"/>
      <c r="D1631" s="631"/>
      <c r="E1631" s="633"/>
      <c r="F1631" s="650"/>
    </row>
    <row r="1632" spans="3:6">
      <c r="C1632" s="631"/>
      <c r="D1632" s="631"/>
      <c r="E1632" s="633"/>
      <c r="F1632" s="650"/>
    </row>
    <row r="1633" spans="3:6">
      <c r="C1633" s="631"/>
      <c r="D1633" s="631"/>
      <c r="E1633" s="633"/>
      <c r="F1633" s="650"/>
    </row>
    <row r="1634" spans="3:6">
      <c r="C1634" s="631"/>
      <c r="D1634" s="631"/>
      <c r="E1634" s="633"/>
      <c r="F1634" s="650"/>
    </row>
    <row r="1635" spans="3:6">
      <c r="C1635" s="631"/>
      <c r="D1635" s="631"/>
      <c r="E1635" s="633"/>
      <c r="F1635" s="650"/>
    </row>
    <row r="1636" spans="3:6">
      <c r="C1636" s="631"/>
      <c r="D1636" s="631"/>
      <c r="E1636" s="633"/>
      <c r="F1636" s="650"/>
    </row>
    <row r="1637" spans="3:6">
      <c r="C1637" s="631"/>
      <c r="D1637" s="631"/>
      <c r="E1637" s="633"/>
      <c r="F1637" s="650"/>
    </row>
    <row r="1638" spans="3:6">
      <c r="C1638" s="631"/>
      <c r="D1638" s="631"/>
      <c r="E1638" s="633"/>
      <c r="F1638" s="650"/>
    </row>
    <row r="1639" spans="3:6">
      <c r="C1639" s="631"/>
      <c r="D1639" s="631"/>
      <c r="E1639" s="633"/>
      <c r="F1639" s="650"/>
    </row>
    <row r="1640" spans="3:6">
      <c r="C1640" s="631"/>
      <c r="D1640" s="631"/>
      <c r="E1640" s="633"/>
      <c r="F1640" s="650"/>
    </row>
    <row r="1641" spans="3:6">
      <c r="C1641" s="631"/>
      <c r="D1641" s="631"/>
      <c r="E1641" s="633"/>
      <c r="F1641" s="650"/>
    </row>
    <row r="1642" spans="3:6">
      <c r="C1642" s="631"/>
      <c r="D1642" s="631"/>
      <c r="E1642" s="633"/>
      <c r="F1642" s="650"/>
    </row>
    <row r="1643" spans="3:6">
      <c r="C1643" s="631"/>
      <c r="D1643" s="631"/>
      <c r="E1643" s="633"/>
      <c r="F1643" s="650"/>
    </row>
    <row r="1644" spans="3:6">
      <c r="C1644" s="631"/>
      <c r="D1644" s="631"/>
      <c r="E1644" s="633"/>
      <c r="F1644" s="650"/>
    </row>
    <row r="1645" spans="3:6">
      <c r="C1645" s="631"/>
      <c r="D1645" s="631"/>
      <c r="E1645" s="633"/>
      <c r="F1645" s="650"/>
    </row>
    <row r="1646" spans="3:6">
      <c r="C1646" s="631"/>
      <c r="D1646" s="631"/>
      <c r="E1646" s="633"/>
      <c r="F1646" s="650"/>
    </row>
    <row r="1647" spans="3:6">
      <c r="C1647" s="631"/>
      <c r="D1647" s="631"/>
      <c r="E1647" s="633"/>
      <c r="F1647" s="650"/>
    </row>
    <row r="1648" spans="3:6">
      <c r="C1648" s="631"/>
      <c r="D1648" s="631"/>
      <c r="E1648" s="633"/>
      <c r="F1648" s="650"/>
    </row>
    <row r="1649" spans="3:6">
      <c r="C1649" s="631"/>
      <c r="D1649" s="631"/>
      <c r="E1649" s="633"/>
      <c r="F1649" s="650"/>
    </row>
    <row r="1650" spans="3:6">
      <c r="C1650" s="631"/>
      <c r="D1650" s="631"/>
      <c r="E1650" s="633"/>
      <c r="F1650" s="650"/>
    </row>
    <row r="1651" spans="3:6">
      <c r="C1651" s="631"/>
      <c r="D1651" s="631"/>
      <c r="E1651" s="633"/>
      <c r="F1651" s="650"/>
    </row>
    <row r="1652" spans="3:6">
      <c r="C1652" s="631"/>
      <c r="D1652" s="631"/>
      <c r="E1652" s="633"/>
      <c r="F1652" s="650"/>
    </row>
    <row r="1653" spans="3:6">
      <c r="C1653" s="631"/>
      <c r="D1653" s="631"/>
      <c r="E1653" s="633"/>
      <c r="F1653" s="650"/>
    </row>
    <row r="1654" spans="3:6">
      <c r="C1654" s="631"/>
      <c r="D1654" s="631"/>
      <c r="E1654" s="633"/>
      <c r="F1654" s="650"/>
    </row>
    <row r="1655" spans="3:6">
      <c r="C1655" s="631"/>
      <c r="D1655" s="631"/>
      <c r="E1655" s="633"/>
      <c r="F1655" s="650"/>
    </row>
    <row r="1656" spans="3:6">
      <c r="C1656" s="631"/>
      <c r="D1656" s="631"/>
      <c r="E1656" s="633"/>
      <c r="F1656" s="650"/>
    </row>
    <row r="1657" spans="3:6">
      <c r="C1657" s="631"/>
      <c r="D1657" s="631"/>
      <c r="E1657" s="633"/>
      <c r="F1657" s="650"/>
    </row>
    <row r="1658" spans="3:6">
      <c r="C1658" s="631"/>
      <c r="D1658" s="631"/>
      <c r="E1658" s="633"/>
      <c r="F1658" s="650"/>
    </row>
    <row r="1659" spans="3:6">
      <c r="C1659" s="631"/>
      <c r="D1659" s="631"/>
      <c r="E1659" s="633"/>
      <c r="F1659" s="650"/>
    </row>
    <row r="1660" spans="3:6">
      <c r="C1660" s="631"/>
      <c r="D1660" s="631"/>
      <c r="E1660" s="633"/>
      <c r="F1660" s="650"/>
    </row>
    <row r="1661" spans="3:6">
      <c r="C1661" s="631"/>
      <c r="D1661" s="631"/>
      <c r="E1661" s="633"/>
      <c r="F1661" s="650"/>
    </row>
    <row r="1662" spans="3:6">
      <c r="C1662" s="631"/>
      <c r="D1662" s="631"/>
      <c r="E1662" s="633"/>
      <c r="F1662" s="650"/>
    </row>
    <row r="1663" spans="3:6">
      <c r="C1663" s="631"/>
      <c r="D1663" s="631"/>
      <c r="E1663" s="633"/>
      <c r="F1663" s="650"/>
    </row>
    <row r="1664" spans="3:6">
      <c r="C1664" s="631"/>
      <c r="D1664" s="631"/>
      <c r="E1664" s="633"/>
      <c r="F1664" s="650"/>
    </row>
    <row r="1665" spans="3:6">
      <c r="C1665" s="631"/>
      <c r="D1665" s="631"/>
      <c r="E1665" s="633"/>
      <c r="F1665" s="650"/>
    </row>
    <row r="1666" spans="3:6">
      <c r="C1666" s="631"/>
      <c r="D1666" s="631"/>
      <c r="E1666" s="633"/>
      <c r="F1666" s="650"/>
    </row>
    <row r="1667" spans="3:6">
      <c r="C1667" s="631"/>
      <c r="D1667" s="631"/>
      <c r="E1667" s="633"/>
      <c r="F1667" s="650"/>
    </row>
    <row r="1668" spans="3:6">
      <c r="C1668" s="631"/>
      <c r="D1668" s="631"/>
      <c r="E1668" s="633"/>
      <c r="F1668" s="650"/>
    </row>
    <row r="1669" spans="3:6">
      <c r="C1669" s="631"/>
      <c r="D1669" s="631"/>
      <c r="E1669" s="633"/>
      <c r="F1669" s="650"/>
    </row>
    <row r="1670" spans="3:6">
      <c r="C1670" s="631"/>
      <c r="D1670" s="631"/>
      <c r="E1670" s="633"/>
      <c r="F1670" s="650"/>
    </row>
    <row r="1671" spans="3:6">
      <c r="C1671" s="631"/>
      <c r="D1671" s="631"/>
      <c r="E1671" s="633"/>
      <c r="F1671" s="650"/>
    </row>
    <row r="1672" spans="3:6">
      <c r="C1672" s="631"/>
      <c r="D1672" s="631"/>
      <c r="E1672" s="633"/>
      <c r="F1672" s="650"/>
    </row>
    <row r="1673" spans="3:6">
      <c r="C1673" s="631"/>
      <c r="D1673" s="631"/>
      <c r="E1673" s="633"/>
      <c r="F1673" s="650"/>
    </row>
    <row r="1674" spans="3:6">
      <c r="C1674" s="631"/>
      <c r="D1674" s="631"/>
      <c r="E1674" s="633"/>
      <c r="F1674" s="650"/>
    </row>
    <row r="1675" spans="3:6">
      <c r="C1675" s="631"/>
      <c r="D1675" s="631"/>
      <c r="E1675" s="633"/>
      <c r="F1675" s="650"/>
    </row>
    <row r="1676" spans="3:6">
      <c r="C1676" s="631"/>
      <c r="D1676" s="631"/>
      <c r="E1676" s="633"/>
      <c r="F1676" s="650"/>
    </row>
    <row r="1677" spans="3:6">
      <c r="C1677" s="631"/>
      <c r="D1677" s="631"/>
      <c r="E1677" s="633"/>
      <c r="F1677" s="650"/>
    </row>
    <row r="1678" spans="3:6">
      <c r="C1678" s="631"/>
      <c r="D1678" s="631"/>
      <c r="E1678" s="633"/>
      <c r="F1678" s="650"/>
    </row>
    <row r="1679" spans="3:6">
      <c r="C1679" s="631"/>
      <c r="D1679" s="631"/>
      <c r="E1679" s="633"/>
      <c r="F1679" s="650"/>
    </row>
    <row r="1680" spans="3:6">
      <c r="C1680" s="631"/>
      <c r="D1680" s="631"/>
      <c r="E1680" s="633"/>
      <c r="F1680" s="650"/>
    </row>
    <row r="1681" spans="3:6">
      <c r="C1681" s="631"/>
      <c r="D1681" s="631"/>
      <c r="E1681" s="633"/>
      <c r="F1681" s="650"/>
    </row>
    <row r="1682" spans="3:6">
      <c r="C1682" s="631"/>
      <c r="D1682" s="631"/>
      <c r="E1682" s="633"/>
      <c r="F1682" s="650"/>
    </row>
    <row r="1683" spans="3:6">
      <c r="C1683" s="631"/>
      <c r="D1683" s="631"/>
      <c r="E1683" s="633"/>
      <c r="F1683" s="650"/>
    </row>
    <row r="1684" spans="3:6">
      <c r="C1684" s="631"/>
      <c r="D1684" s="631"/>
      <c r="E1684" s="633"/>
      <c r="F1684" s="650"/>
    </row>
    <row r="1685" spans="3:6">
      <c r="C1685" s="631"/>
      <c r="D1685" s="631"/>
      <c r="E1685" s="633"/>
      <c r="F1685" s="650"/>
    </row>
    <row r="1686" spans="3:6">
      <c r="C1686" s="631"/>
      <c r="D1686" s="631"/>
      <c r="E1686" s="633"/>
      <c r="F1686" s="650"/>
    </row>
    <row r="1687" spans="3:6">
      <c r="C1687" s="631"/>
      <c r="D1687" s="631"/>
      <c r="E1687" s="633"/>
      <c r="F1687" s="650"/>
    </row>
    <row r="1688" spans="3:6">
      <c r="C1688" s="631"/>
      <c r="D1688" s="631"/>
      <c r="E1688" s="633"/>
      <c r="F1688" s="650"/>
    </row>
    <row r="1689" spans="3:6">
      <c r="C1689" s="631"/>
      <c r="D1689" s="631"/>
      <c r="E1689" s="633"/>
      <c r="F1689" s="650"/>
    </row>
    <row r="1690" spans="3:6">
      <c r="C1690" s="631"/>
      <c r="D1690" s="631"/>
      <c r="E1690" s="633"/>
      <c r="F1690" s="650"/>
    </row>
    <row r="1691" spans="3:6">
      <c r="C1691" s="631"/>
      <c r="D1691" s="631"/>
      <c r="E1691" s="633"/>
      <c r="F1691" s="650"/>
    </row>
    <row r="1692" spans="3:6">
      <c r="C1692" s="631"/>
      <c r="D1692" s="631"/>
      <c r="E1692" s="633"/>
      <c r="F1692" s="650"/>
    </row>
    <row r="1693" spans="3:6">
      <c r="C1693" s="631"/>
      <c r="D1693" s="631"/>
      <c r="E1693" s="633"/>
      <c r="F1693" s="650"/>
    </row>
    <row r="1694" spans="3:6">
      <c r="C1694" s="631"/>
      <c r="D1694" s="631"/>
      <c r="E1694" s="633"/>
      <c r="F1694" s="650"/>
    </row>
    <row r="1695" spans="3:6">
      <c r="C1695" s="631"/>
      <c r="D1695" s="631"/>
      <c r="E1695" s="633"/>
      <c r="F1695" s="650"/>
    </row>
    <row r="1696" spans="3:6">
      <c r="C1696" s="631"/>
      <c r="D1696" s="631"/>
      <c r="E1696" s="633"/>
      <c r="F1696" s="650"/>
    </row>
    <row r="1697" spans="3:6">
      <c r="C1697" s="631"/>
      <c r="D1697" s="631"/>
      <c r="E1697" s="633"/>
      <c r="F1697" s="650"/>
    </row>
    <row r="1698" spans="3:6">
      <c r="C1698" s="631"/>
      <c r="D1698" s="631"/>
      <c r="E1698" s="633"/>
      <c r="F1698" s="650"/>
    </row>
    <row r="1699" spans="3:6">
      <c r="C1699" s="631"/>
      <c r="D1699" s="631"/>
      <c r="E1699" s="633"/>
      <c r="F1699" s="650"/>
    </row>
    <row r="1700" spans="3:6">
      <c r="C1700" s="631"/>
      <c r="D1700" s="631"/>
      <c r="E1700" s="633"/>
      <c r="F1700" s="650"/>
    </row>
    <row r="1701" spans="3:6">
      <c r="C1701" s="631"/>
      <c r="D1701" s="631"/>
      <c r="E1701" s="633"/>
      <c r="F1701" s="650"/>
    </row>
    <row r="1702" spans="3:6">
      <c r="C1702" s="631"/>
      <c r="D1702" s="631"/>
      <c r="E1702" s="633"/>
      <c r="F1702" s="650"/>
    </row>
    <row r="1703" spans="3:6">
      <c r="C1703" s="631"/>
      <c r="D1703" s="631"/>
      <c r="E1703" s="633"/>
      <c r="F1703" s="650"/>
    </row>
    <row r="1704" spans="3:6">
      <c r="C1704" s="631"/>
      <c r="D1704" s="631"/>
      <c r="E1704" s="633"/>
      <c r="F1704" s="650"/>
    </row>
    <row r="1705" spans="3:6">
      <c r="C1705" s="631"/>
      <c r="D1705" s="631"/>
      <c r="E1705" s="633"/>
      <c r="F1705" s="650"/>
    </row>
    <row r="1706" spans="3:6">
      <c r="C1706" s="631"/>
      <c r="D1706" s="631"/>
      <c r="E1706" s="633"/>
      <c r="F1706" s="650"/>
    </row>
    <row r="1707" spans="3:6">
      <c r="C1707" s="631"/>
      <c r="D1707" s="631"/>
      <c r="E1707" s="633"/>
      <c r="F1707" s="650"/>
    </row>
    <row r="1708" spans="3:6">
      <c r="C1708" s="631"/>
      <c r="D1708" s="631"/>
      <c r="E1708" s="633"/>
      <c r="F1708" s="650"/>
    </row>
    <row r="1709" spans="3:6">
      <c r="C1709" s="631"/>
      <c r="D1709" s="631"/>
      <c r="E1709" s="633"/>
      <c r="F1709" s="650"/>
    </row>
    <row r="1710" spans="3:6">
      <c r="C1710" s="631"/>
      <c r="D1710" s="631"/>
      <c r="E1710" s="633"/>
      <c r="F1710" s="650"/>
    </row>
    <row r="1711" spans="3:6">
      <c r="C1711" s="631"/>
      <c r="D1711" s="631"/>
      <c r="E1711" s="633"/>
      <c r="F1711" s="650"/>
    </row>
    <row r="1712" spans="3:6">
      <c r="C1712" s="631"/>
      <c r="D1712" s="631"/>
      <c r="E1712" s="633"/>
      <c r="F1712" s="650"/>
    </row>
    <row r="1713" spans="3:6">
      <c r="C1713" s="631"/>
      <c r="D1713" s="631"/>
      <c r="E1713" s="633"/>
      <c r="F1713" s="650"/>
    </row>
    <row r="1714" spans="3:6">
      <c r="C1714" s="631"/>
      <c r="D1714" s="631"/>
      <c r="E1714" s="633"/>
      <c r="F1714" s="650"/>
    </row>
    <row r="1715" spans="3:6">
      <c r="C1715" s="631"/>
      <c r="D1715" s="631"/>
      <c r="E1715" s="633"/>
      <c r="F1715" s="650"/>
    </row>
    <row r="1716" spans="3:6">
      <c r="C1716" s="631"/>
      <c r="D1716" s="631"/>
      <c r="E1716" s="633"/>
      <c r="F1716" s="650"/>
    </row>
    <row r="1717" spans="3:6">
      <c r="C1717" s="631"/>
      <c r="D1717" s="631"/>
      <c r="E1717" s="633"/>
      <c r="F1717" s="650"/>
    </row>
    <row r="1718" spans="3:6">
      <c r="C1718" s="631"/>
      <c r="D1718" s="631"/>
      <c r="E1718" s="633"/>
      <c r="F1718" s="650"/>
    </row>
    <row r="1719" spans="3:6">
      <c r="C1719" s="631"/>
      <c r="D1719" s="631"/>
      <c r="E1719" s="633"/>
      <c r="F1719" s="650"/>
    </row>
    <row r="1720" spans="3:6">
      <c r="C1720" s="631"/>
      <c r="D1720" s="631"/>
      <c r="E1720" s="633"/>
      <c r="F1720" s="650"/>
    </row>
    <row r="1721" spans="3:6">
      <c r="C1721" s="631"/>
      <c r="D1721" s="631"/>
      <c r="E1721" s="633"/>
      <c r="F1721" s="650"/>
    </row>
    <row r="1722" spans="3:6">
      <c r="C1722" s="631"/>
      <c r="D1722" s="631"/>
      <c r="E1722" s="633"/>
      <c r="F1722" s="650"/>
    </row>
    <row r="1723" spans="3:6">
      <c r="C1723" s="631"/>
      <c r="D1723" s="631"/>
      <c r="E1723" s="633"/>
      <c r="F1723" s="650"/>
    </row>
    <row r="1724" spans="3:6">
      <c r="C1724" s="631"/>
      <c r="D1724" s="631"/>
      <c r="E1724" s="633"/>
      <c r="F1724" s="650"/>
    </row>
    <row r="1725" spans="3:6">
      <c r="C1725" s="631"/>
      <c r="D1725" s="631"/>
      <c r="E1725" s="633"/>
      <c r="F1725" s="650"/>
    </row>
    <row r="1726" spans="3:6">
      <c r="C1726" s="631"/>
      <c r="D1726" s="631"/>
      <c r="E1726" s="633"/>
      <c r="F1726" s="650"/>
    </row>
    <row r="1727" spans="3:6">
      <c r="C1727" s="631"/>
      <c r="D1727" s="631"/>
      <c r="E1727" s="633"/>
      <c r="F1727" s="650"/>
    </row>
    <row r="1728" spans="3:6">
      <c r="C1728" s="631"/>
      <c r="D1728" s="631"/>
      <c r="E1728" s="633"/>
      <c r="F1728" s="650"/>
    </row>
    <row r="1729" spans="3:6">
      <c r="C1729" s="631"/>
      <c r="D1729" s="631"/>
      <c r="E1729" s="633"/>
      <c r="F1729" s="650"/>
    </row>
    <row r="1730" spans="3:6">
      <c r="C1730" s="631"/>
      <c r="D1730" s="631"/>
      <c r="E1730" s="633"/>
      <c r="F1730" s="650"/>
    </row>
    <row r="1731" spans="3:6">
      <c r="C1731" s="631"/>
      <c r="D1731" s="631"/>
      <c r="E1731" s="633"/>
      <c r="F1731" s="650"/>
    </row>
    <row r="1732" spans="3:6">
      <c r="C1732" s="631"/>
      <c r="D1732" s="631"/>
      <c r="E1732" s="633"/>
      <c r="F1732" s="650"/>
    </row>
    <row r="1733" spans="3:6">
      <c r="C1733" s="631"/>
      <c r="D1733" s="631"/>
      <c r="E1733" s="633"/>
      <c r="F1733" s="650"/>
    </row>
    <row r="1734" spans="3:6">
      <c r="C1734" s="631"/>
      <c r="D1734" s="631"/>
      <c r="E1734" s="633"/>
      <c r="F1734" s="650"/>
    </row>
    <row r="1735" spans="3:6">
      <c r="C1735" s="631"/>
      <c r="D1735" s="631"/>
      <c r="E1735" s="633"/>
      <c r="F1735" s="650"/>
    </row>
    <row r="1736" spans="3:6">
      <c r="C1736" s="631"/>
      <c r="D1736" s="631"/>
      <c r="E1736" s="633"/>
      <c r="F1736" s="650"/>
    </row>
    <row r="1737" spans="3:6">
      <c r="C1737" s="631"/>
      <c r="D1737" s="631"/>
      <c r="E1737" s="633"/>
      <c r="F1737" s="650"/>
    </row>
    <row r="1738" spans="3:6">
      <c r="C1738" s="631"/>
      <c r="D1738" s="631"/>
      <c r="E1738" s="633"/>
      <c r="F1738" s="650"/>
    </row>
    <row r="1739" spans="3:6">
      <c r="C1739" s="631"/>
      <c r="D1739" s="631"/>
      <c r="E1739" s="633"/>
      <c r="F1739" s="650"/>
    </row>
    <row r="1740" spans="3:6">
      <c r="C1740" s="631"/>
      <c r="D1740" s="631"/>
      <c r="E1740" s="633"/>
      <c r="F1740" s="650"/>
    </row>
    <row r="1741" spans="3:6">
      <c r="C1741" s="631"/>
      <c r="D1741" s="631"/>
      <c r="E1741" s="633"/>
      <c r="F1741" s="650"/>
    </row>
    <row r="1742" spans="3:6">
      <c r="C1742" s="631"/>
      <c r="D1742" s="631"/>
      <c r="E1742" s="633"/>
      <c r="F1742" s="650"/>
    </row>
    <row r="1743" spans="3:6">
      <c r="C1743" s="631"/>
      <c r="D1743" s="631"/>
      <c r="E1743" s="633"/>
      <c r="F1743" s="650"/>
    </row>
    <row r="1744" spans="3:6">
      <c r="C1744" s="631"/>
      <c r="D1744" s="631"/>
      <c r="E1744" s="633"/>
      <c r="F1744" s="650"/>
    </row>
    <row r="1745" spans="3:6">
      <c r="C1745" s="631"/>
      <c r="D1745" s="631"/>
      <c r="E1745" s="633"/>
      <c r="F1745" s="650"/>
    </row>
    <row r="1746" spans="3:6">
      <c r="C1746" s="631"/>
      <c r="D1746" s="631"/>
      <c r="E1746" s="633"/>
      <c r="F1746" s="650"/>
    </row>
    <row r="1747" spans="3:6">
      <c r="C1747" s="631"/>
      <c r="D1747" s="631"/>
      <c r="E1747" s="633"/>
      <c r="F1747" s="650"/>
    </row>
    <row r="1748" spans="3:6">
      <c r="C1748" s="631"/>
      <c r="D1748" s="631"/>
      <c r="E1748" s="633"/>
      <c r="F1748" s="650"/>
    </row>
    <row r="1749" spans="3:6">
      <c r="C1749" s="631"/>
      <c r="D1749" s="631"/>
      <c r="E1749" s="633"/>
      <c r="F1749" s="650"/>
    </row>
    <row r="1750" spans="3:6">
      <c r="C1750" s="631"/>
      <c r="D1750" s="631"/>
      <c r="E1750" s="633"/>
      <c r="F1750" s="650"/>
    </row>
    <row r="1751" spans="3:6">
      <c r="C1751" s="631"/>
      <c r="D1751" s="631"/>
      <c r="E1751" s="633"/>
      <c r="F1751" s="650"/>
    </row>
    <row r="1752" spans="3:6">
      <c r="C1752" s="631"/>
      <c r="D1752" s="631"/>
      <c r="E1752" s="633"/>
      <c r="F1752" s="650"/>
    </row>
    <row r="1753" spans="3:6">
      <c r="C1753" s="631"/>
      <c r="D1753" s="631"/>
      <c r="E1753" s="633"/>
      <c r="F1753" s="650"/>
    </row>
    <row r="1754" spans="3:6">
      <c r="C1754" s="631"/>
      <c r="D1754" s="631"/>
      <c r="E1754" s="633"/>
      <c r="F1754" s="650"/>
    </row>
    <row r="1755" spans="3:6">
      <c r="C1755" s="631"/>
      <c r="D1755" s="631"/>
      <c r="E1755" s="633"/>
      <c r="F1755" s="650"/>
    </row>
    <row r="1756" spans="3:6">
      <c r="C1756" s="631"/>
      <c r="D1756" s="631"/>
      <c r="E1756" s="633"/>
      <c r="F1756" s="650"/>
    </row>
    <row r="1757" spans="3:6">
      <c r="C1757" s="631"/>
      <c r="D1757" s="631"/>
      <c r="E1757" s="633"/>
      <c r="F1757" s="650"/>
    </row>
    <row r="1758" spans="3:6">
      <c r="C1758" s="631"/>
      <c r="D1758" s="631"/>
      <c r="E1758" s="633"/>
      <c r="F1758" s="650"/>
    </row>
    <row r="1759" spans="3:6">
      <c r="C1759" s="631"/>
      <c r="D1759" s="631"/>
      <c r="E1759" s="633"/>
      <c r="F1759" s="650"/>
    </row>
    <row r="1760" spans="3:6">
      <c r="C1760" s="631"/>
      <c r="D1760" s="631"/>
      <c r="E1760" s="633"/>
      <c r="F1760" s="650"/>
    </row>
    <row r="1761" spans="3:6">
      <c r="C1761" s="631"/>
      <c r="D1761" s="631"/>
      <c r="E1761" s="633"/>
      <c r="F1761" s="650"/>
    </row>
    <row r="1762" spans="3:6">
      <c r="C1762" s="631"/>
      <c r="D1762" s="631"/>
      <c r="E1762" s="633"/>
      <c r="F1762" s="650"/>
    </row>
    <row r="1763" spans="3:6">
      <c r="C1763" s="631"/>
      <c r="D1763" s="631"/>
      <c r="E1763" s="633"/>
      <c r="F1763" s="650"/>
    </row>
    <row r="1764" spans="3:6">
      <c r="C1764" s="631"/>
      <c r="D1764" s="631"/>
      <c r="E1764" s="633"/>
      <c r="F1764" s="650"/>
    </row>
    <row r="1765" spans="3:6">
      <c r="C1765" s="631"/>
      <c r="D1765" s="631"/>
      <c r="E1765" s="633"/>
      <c r="F1765" s="650"/>
    </row>
    <row r="1766" spans="3:6">
      <c r="C1766" s="631"/>
      <c r="D1766" s="631"/>
      <c r="E1766" s="633"/>
      <c r="F1766" s="650"/>
    </row>
    <row r="1767" spans="3:6">
      <c r="C1767" s="631"/>
      <c r="D1767" s="631"/>
      <c r="E1767" s="633"/>
      <c r="F1767" s="650"/>
    </row>
    <row r="1768" spans="3:6">
      <c r="C1768" s="631"/>
      <c r="D1768" s="631"/>
      <c r="E1768" s="633"/>
      <c r="F1768" s="650"/>
    </row>
    <row r="1769" spans="3:6">
      <c r="C1769" s="631"/>
      <c r="D1769" s="631"/>
      <c r="E1769" s="633"/>
      <c r="F1769" s="650"/>
    </row>
    <row r="1770" spans="3:6">
      <c r="C1770" s="631"/>
      <c r="D1770" s="631"/>
      <c r="E1770" s="633"/>
      <c r="F1770" s="650"/>
    </row>
    <row r="1771" spans="3:6">
      <c r="C1771" s="631"/>
      <c r="D1771" s="631"/>
      <c r="E1771" s="633"/>
      <c r="F1771" s="650"/>
    </row>
    <row r="1772" spans="3:6">
      <c r="C1772" s="631"/>
      <c r="D1772" s="631"/>
      <c r="E1772" s="633"/>
      <c r="F1772" s="650"/>
    </row>
    <row r="1773" spans="3:6">
      <c r="C1773" s="631"/>
      <c r="D1773" s="631"/>
      <c r="E1773" s="633"/>
      <c r="F1773" s="650"/>
    </row>
    <row r="1774" spans="3:6">
      <c r="C1774" s="631"/>
      <c r="D1774" s="631"/>
      <c r="E1774" s="633"/>
      <c r="F1774" s="650"/>
    </row>
    <row r="1775" spans="3:6">
      <c r="C1775" s="631"/>
      <c r="D1775" s="631"/>
      <c r="E1775" s="633"/>
      <c r="F1775" s="650"/>
    </row>
    <row r="1776" spans="3:6">
      <c r="C1776" s="631"/>
      <c r="D1776" s="631"/>
      <c r="E1776" s="633"/>
      <c r="F1776" s="650"/>
    </row>
    <row r="1777" spans="3:6">
      <c r="C1777" s="631"/>
      <c r="D1777" s="631"/>
      <c r="E1777" s="633"/>
      <c r="F1777" s="650"/>
    </row>
    <row r="1778" spans="3:6">
      <c r="C1778" s="631"/>
      <c r="D1778" s="631"/>
      <c r="E1778" s="633"/>
      <c r="F1778" s="650"/>
    </row>
    <row r="1779" spans="3:6">
      <c r="C1779" s="631"/>
      <c r="D1779" s="631"/>
      <c r="E1779" s="633"/>
      <c r="F1779" s="650"/>
    </row>
    <row r="1780" spans="3:6">
      <c r="C1780" s="631"/>
      <c r="D1780" s="631"/>
      <c r="E1780" s="633"/>
      <c r="F1780" s="650"/>
    </row>
    <row r="1781" spans="3:6">
      <c r="C1781" s="631"/>
      <c r="D1781" s="631"/>
      <c r="E1781" s="633"/>
      <c r="F1781" s="650"/>
    </row>
    <row r="1782" spans="3:6">
      <c r="C1782" s="631"/>
      <c r="D1782" s="631"/>
      <c r="E1782" s="633"/>
      <c r="F1782" s="650"/>
    </row>
    <row r="1783" spans="3:6">
      <c r="C1783" s="631"/>
      <c r="D1783" s="631"/>
      <c r="E1783" s="633"/>
      <c r="F1783" s="650"/>
    </row>
    <row r="1784" spans="3:6">
      <c r="C1784" s="631"/>
      <c r="D1784" s="631"/>
      <c r="E1784" s="633"/>
      <c r="F1784" s="650"/>
    </row>
    <row r="1785" spans="3:6">
      <c r="C1785" s="631"/>
      <c r="D1785" s="631"/>
      <c r="E1785" s="633"/>
      <c r="F1785" s="650"/>
    </row>
    <row r="1786" spans="3:6">
      <c r="C1786" s="631"/>
      <c r="D1786" s="631"/>
      <c r="E1786" s="633"/>
      <c r="F1786" s="650"/>
    </row>
    <row r="1787" spans="3:6">
      <c r="C1787" s="631"/>
      <c r="D1787" s="631"/>
      <c r="E1787" s="633"/>
      <c r="F1787" s="650"/>
    </row>
    <row r="1788" spans="3:6">
      <c r="C1788" s="631"/>
      <c r="D1788" s="631"/>
      <c r="E1788" s="633"/>
      <c r="F1788" s="650"/>
    </row>
    <row r="1789" spans="3:6">
      <c r="C1789" s="631"/>
      <c r="D1789" s="631"/>
      <c r="E1789" s="633"/>
      <c r="F1789" s="650"/>
    </row>
    <row r="1790" spans="3:6">
      <c r="C1790" s="631"/>
      <c r="D1790" s="631"/>
      <c r="E1790" s="633"/>
      <c r="F1790" s="650"/>
    </row>
    <row r="1791" spans="3:6">
      <c r="C1791" s="631"/>
      <c r="D1791" s="631"/>
      <c r="E1791" s="633"/>
      <c r="F1791" s="650"/>
    </row>
    <row r="1792" spans="3:6">
      <c r="C1792" s="631"/>
      <c r="D1792" s="631"/>
      <c r="E1792" s="633"/>
      <c r="F1792" s="650"/>
    </row>
    <row r="1793" spans="3:6">
      <c r="C1793" s="631"/>
      <c r="D1793" s="631"/>
      <c r="E1793" s="633"/>
      <c r="F1793" s="650"/>
    </row>
    <row r="1794" spans="3:6">
      <c r="C1794" s="631"/>
      <c r="D1794" s="631"/>
      <c r="E1794" s="633"/>
      <c r="F1794" s="650"/>
    </row>
    <row r="1795" spans="3:6">
      <c r="C1795" s="631"/>
      <c r="D1795" s="631"/>
      <c r="E1795" s="633"/>
      <c r="F1795" s="650"/>
    </row>
    <row r="1796" spans="3:6">
      <c r="C1796" s="631"/>
      <c r="D1796" s="631"/>
      <c r="E1796" s="633"/>
      <c r="F1796" s="650"/>
    </row>
    <row r="1797" spans="3:6">
      <c r="C1797" s="631"/>
      <c r="D1797" s="631"/>
      <c r="E1797" s="633"/>
      <c r="F1797" s="650"/>
    </row>
    <row r="1798" spans="3:6">
      <c r="C1798" s="631"/>
      <c r="D1798" s="631"/>
      <c r="E1798" s="633"/>
      <c r="F1798" s="650"/>
    </row>
    <row r="1799" spans="3:6">
      <c r="C1799" s="631"/>
      <c r="D1799" s="631"/>
      <c r="E1799" s="633"/>
      <c r="F1799" s="650"/>
    </row>
    <row r="1800" spans="3:6">
      <c r="C1800" s="631"/>
      <c r="D1800" s="631"/>
      <c r="E1800" s="633"/>
      <c r="F1800" s="650"/>
    </row>
    <row r="1801" spans="3:6">
      <c r="C1801" s="631"/>
      <c r="D1801" s="631"/>
      <c r="E1801" s="633"/>
      <c r="F1801" s="650"/>
    </row>
    <row r="1802" spans="3:6">
      <c r="C1802" s="631"/>
      <c r="D1802" s="631"/>
      <c r="E1802" s="633"/>
      <c r="F1802" s="650"/>
    </row>
    <row r="1803" spans="3:6">
      <c r="C1803" s="631"/>
      <c r="D1803" s="631"/>
      <c r="E1803" s="633"/>
      <c r="F1803" s="650"/>
    </row>
    <row r="1804" spans="3:6">
      <c r="C1804" s="631"/>
      <c r="D1804" s="631"/>
      <c r="E1804" s="633"/>
      <c r="F1804" s="650"/>
    </row>
    <row r="1805" spans="3:6">
      <c r="C1805" s="631"/>
      <c r="D1805" s="631"/>
      <c r="E1805" s="633"/>
      <c r="F1805" s="650"/>
    </row>
    <row r="1806" spans="3:6">
      <c r="C1806" s="631"/>
      <c r="D1806" s="631"/>
      <c r="E1806" s="633"/>
      <c r="F1806" s="650"/>
    </row>
    <row r="1807" spans="3:6">
      <c r="C1807" s="631"/>
      <c r="D1807" s="631"/>
      <c r="E1807" s="633"/>
      <c r="F1807" s="650"/>
    </row>
    <row r="1808" spans="3:6">
      <c r="C1808" s="631"/>
      <c r="D1808" s="631"/>
      <c r="E1808" s="633"/>
      <c r="F1808" s="650"/>
    </row>
    <row r="1809" spans="3:6">
      <c r="C1809" s="631"/>
      <c r="D1809" s="631"/>
      <c r="E1809" s="633"/>
      <c r="F1809" s="650"/>
    </row>
    <row r="1810" spans="3:6">
      <c r="C1810" s="631"/>
      <c r="D1810" s="631"/>
      <c r="E1810" s="633"/>
      <c r="F1810" s="650"/>
    </row>
    <row r="1811" spans="3:6">
      <c r="C1811" s="631"/>
      <c r="D1811" s="631"/>
      <c r="E1811" s="633"/>
      <c r="F1811" s="650"/>
    </row>
    <row r="1812" spans="3:6">
      <c r="C1812" s="631"/>
      <c r="D1812" s="631"/>
      <c r="E1812" s="633"/>
      <c r="F1812" s="650"/>
    </row>
    <row r="1813" spans="3:6">
      <c r="C1813" s="631"/>
      <c r="D1813" s="631"/>
      <c r="E1813" s="633"/>
      <c r="F1813" s="650"/>
    </row>
    <row r="1814" spans="3:6">
      <c r="C1814" s="631"/>
      <c r="D1814" s="631"/>
      <c r="E1814" s="633"/>
      <c r="F1814" s="650"/>
    </row>
    <row r="1815" spans="3:6">
      <c r="C1815" s="631"/>
      <c r="D1815" s="631"/>
      <c r="E1815" s="633"/>
      <c r="F1815" s="650"/>
    </row>
    <row r="1816" spans="3:6">
      <c r="C1816" s="631"/>
      <c r="D1816" s="631"/>
      <c r="E1816" s="633"/>
      <c r="F1816" s="650"/>
    </row>
    <row r="1817" spans="3:6">
      <c r="C1817" s="631"/>
      <c r="D1817" s="631"/>
      <c r="E1817" s="633"/>
      <c r="F1817" s="650"/>
    </row>
    <row r="1818" spans="3:6">
      <c r="C1818" s="631"/>
      <c r="D1818" s="631"/>
      <c r="E1818" s="633"/>
      <c r="F1818" s="650"/>
    </row>
    <row r="1819" spans="3:6">
      <c r="C1819" s="631"/>
      <c r="D1819" s="631"/>
      <c r="E1819" s="633"/>
      <c r="F1819" s="650"/>
    </row>
    <row r="1820" spans="3:6">
      <c r="C1820" s="631"/>
      <c r="D1820" s="631"/>
      <c r="E1820" s="633"/>
      <c r="F1820" s="650"/>
    </row>
    <row r="1821" spans="3:6">
      <c r="C1821" s="631"/>
      <c r="D1821" s="631"/>
      <c r="E1821" s="633"/>
      <c r="F1821" s="650"/>
    </row>
    <row r="1822" spans="3:6">
      <c r="C1822" s="631"/>
      <c r="D1822" s="631"/>
      <c r="E1822" s="633"/>
      <c r="F1822" s="650"/>
    </row>
    <row r="1823" spans="3:6">
      <c r="C1823" s="631"/>
      <c r="D1823" s="631"/>
      <c r="E1823" s="633"/>
      <c r="F1823" s="650"/>
    </row>
    <row r="1824" spans="3:6">
      <c r="C1824" s="631"/>
      <c r="D1824" s="631"/>
      <c r="E1824" s="633"/>
      <c r="F1824" s="650"/>
    </row>
    <row r="1825" spans="3:6">
      <c r="C1825" s="631"/>
      <c r="D1825" s="631"/>
      <c r="E1825" s="633"/>
      <c r="F1825" s="650"/>
    </row>
    <row r="1826" spans="3:6">
      <c r="C1826" s="631"/>
      <c r="D1826" s="631"/>
      <c r="E1826" s="633"/>
      <c r="F1826" s="650"/>
    </row>
    <row r="1827" spans="3:6">
      <c r="C1827" s="631"/>
      <c r="D1827" s="631"/>
      <c r="E1827" s="633"/>
      <c r="F1827" s="650"/>
    </row>
    <row r="1828" spans="3:6">
      <c r="C1828" s="631"/>
      <c r="D1828" s="631"/>
      <c r="E1828" s="633"/>
      <c r="F1828" s="650"/>
    </row>
    <row r="1829" spans="3:6">
      <c r="C1829" s="631"/>
      <c r="D1829" s="631"/>
      <c r="E1829" s="633"/>
      <c r="F1829" s="650"/>
    </row>
    <row r="1830" spans="3:6">
      <c r="C1830" s="631"/>
      <c r="D1830" s="631"/>
      <c r="E1830" s="633"/>
      <c r="F1830" s="650"/>
    </row>
    <row r="1831" spans="3:6">
      <c r="C1831" s="631"/>
      <c r="D1831" s="631"/>
      <c r="E1831" s="633"/>
      <c r="F1831" s="650"/>
    </row>
    <row r="1832" spans="3:6">
      <c r="C1832" s="631"/>
      <c r="D1832" s="631"/>
      <c r="E1832" s="633"/>
      <c r="F1832" s="650"/>
    </row>
    <row r="1833" spans="3:6">
      <c r="C1833" s="631"/>
      <c r="D1833" s="631"/>
      <c r="E1833" s="633"/>
      <c r="F1833" s="650"/>
    </row>
    <row r="1834" spans="3:6">
      <c r="C1834" s="631"/>
      <c r="D1834" s="631"/>
      <c r="E1834" s="633"/>
      <c r="F1834" s="650"/>
    </row>
    <row r="1835" spans="3:6">
      <c r="C1835" s="631"/>
      <c r="D1835" s="631"/>
      <c r="E1835" s="633"/>
      <c r="F1835" s="650"/>
    </row>
    <row r="1836" spans="3:6">
      <c r="C1836" s="631"/>
      <c r="D1836" s="631"/>
      <c r="E1836" s="633"/>
      <c r="F1836" s="650"/>
    </row>
    <row r="1837" spans="3:6">
      <c r="C1837" s="631"/>
      <c r="D1837" s="631"/>
      <c r="E1837" s="633"/>
      <c r="F1837" s="650"/>
    </row>
    <row r="1838" spans="3:6">
      <c r="C1838" s="631"/>
      <c r="D1838" s="631"/>
      <c r="E1838" s="633"/>
      <c r="F1838" s="650"/>
    </row>
    <row r="1839" spans="3:6">
      <c r="C1839" s="631"/>
      <c r="D1839" s="631"/>
      <c r="E1839" s="633"/>
      <c r="F1839" s="650"/>
    </row>
    <row r="1840" spans="3:6">
      <c r="C1840" s="631"/>
      <c r="D1840" s="631"/>
      <c r="E1840" s="633"/>
      <c r="F1840" s="650"/>
    </row>
    <row r="1841" spans="3:6">
      <c r="C1841" s="631"/>
      <c r="D1841" s="631"/>
      <c r="E1841" s="633"/>
      <c r="F1841" s="650"/>
    </row>
    <row r="1842" spans="3:6">
      <c r="C1842" s="631"/>
      <c r="D1842" s="631"/>
      <c r="E1842" s="633"/>
      <c r="F1842" s="650"/>
    </row>
    <row r="1843" spans="3:6">
      <c r="C1843" s="631"/>
      <c r="D1843" s="631"/>
      <c r="E1843" s="633"/>
      <c r="F1843" s="650"/>
    </row>
    <row r="1844" spans="3:6">
      <c r="C1844" s="631"/>
      <c r="D1844" s="631"/>
      <c r="E1844" s="633"/>
      <c r="F1844" s="650"/>
    </row>
    <row r="1845" spans="3:6">
      <c r="C1845" s="631"/>
      <c r="D1845" s="631"/>
      <c r="E1845" s="633"/>
      <c r="F1845" s="650"/>
    </row>
    <row r="1846" spans="3:6">
      <c r="C1846" s="631"/>
      <c r="D1846" s="631"/>
      <c r="E1846" s="633"/>
      <c r="F1846" s="650"/>
    </row>
    <row r="1847" spans="3:6">
      <c r="C1847" s="631"/>
      <c r="D1847" s="631"/>
      <c r="E1847" s="633"/>
      <c r="F1847" s="650"/>
    </row>
    <row r="1848" spans="3:6">
      <c r="C1848" s="631"/>
      <c r="D1848" s="631"/>
      <c r="E1848" s="633"/>
      <c r="F1848" s="650"/>
    </row>
    <row r="1849" spans="3:6">
      <c r="C1849" s="631"/>
      <c r="D1849" s="631"/>
      <c r="E1849" s="633"/>
      <c r="F1849" s="650"/>
    </row>
    <row r="1850" spans="3:6">
      <c r="C1850" s="631"/>
      <c r="D1850" s="631"/>
      <c r="E1850" s="633"/>
      <c r="F1850" s="650"/>
    </row>
    <row r="1851" spans="3:6">
      <c r="C1851" s="631"/>
      <c r="D1851" s="631"/>
      <c r="E1851" s="633"/>
      <c r="F1851" s="650"/>
    </row>
    <row r="1852" spans="3:6">
      <c r="C1852" s="631"/>
      <c r="D1852" s="631"/>
      <c r="E1852" s="633"/>
      <c r="F1852" s="650"/>
    </row>
    <row r="1853" spans="3:6">
      <c r="C1853" s="631"/>
      <c r="D1853" s="631"/>
      <c r="E1853" s="633"/>
      <c r="F1853" s="650"/>
    </row>
    <row r="1854" spans="3:6">
      <c r="C1854" s="631"/>
      <c r="D1854" s="631"/>
      <c r="E1854" s="633"/>
      <c r="F1854" s="650"/>
    </row>
    <row r="1855" spans="3:6">
      <c r="C1855" s="631"/>
      <c r="D1855" s="631"/>
      <c r="E1855" s="633"/>
      <c r="F1855" s="650"/>
    </row>
    <row r="1856" spans="3:6">
      <c r="C1856" s="631"/>
      <c r="D1856" s="631"/>
      <c r="E1856" s="633"/>
      <c r="F1856" s="650"/>
    </row>
    <row r="1857" spans="3:6">
      <c r="C1857" s="631"/>
      <c r="D1857" s="631"/>
      <c r="E1857" s="633"/>
      <c r="F1857" s="650"/>
    </row>
    <row r="1858" spans="3:6">
      <c r="C1858" s="631"/>
      <c r="D1858" s="631"/>
      <c r="E1858" s="633"/>
      <c r="F1858" s="650"/>
    </row>
    <row r="1859" spans="3:6">
      <c r="C1859" s="631"/>
      <c r="D1859" s="631"/>
      <c r="E1859" s="633"/>
      <c r="F1859" s="650"/>
    </row>
    <row r="1860" spans="3:6">
      <c r="C1860" s="631"/>
      <c r="D1860" s="631"/>
      <c r="E1860" s="633"/>
      <c r="F1860" s="650"/>
    </row>
    <row r="1861" spans="3:6">
      <c r="C1861" s="631"/>
      <c r="D1861" s="631"/>
      <c r="E1861" s="633"/>
      <c r="F1861" s="650"/>
    </row>
    <row r="1862" spans="3:6">
      <c r="C1862" s="631"/>
      <c r="D1862" s="631"/>
      <c r="E1862" s="633"/>
      <c r="F1862" s="650"/>
    </row>
    <row r="1863" spans="3:6">
      <c r="C1863" s="631"/>
      <c r="D1863" s="631"/>
      <c r="E1863" s="633"/>
      <c r="F1863" s="650"/>
    </row>
    <row r="1864" spans="3:6">
      <c r="C1864" s="631"/>
      <c r="D1864" s="631"/>
      <c r="E1864" s="633"/>
      <c r="F1864" s="650"/>
    </row>
    <row r="1865" spans="3:6">
      <c r="C1865" s="631"/>
      <c r="D1865" s="631"/>
      <c r="E1865" s="633"/>
      <c r="F1865" s="650"/>
    </row>
    <row r="1866" spans="3:6">
      <c r="C1866" s="631"/>
      <c r="D1866" s="631"/>
      <c r="E1866" s="633"/>
      <c r="F1866" s="650"/>
    </row>
    <row r="1867" spans="3:6">
      <c r="C1867" s="631"/>
      <c r="D1867" s="631"/>
      <c r="E1867" s="633"/>
      <c r="F1867" s="650"/>
    </row>
    <row r="1868" spans="3:6">
      <c r="C1868" s="631"/>
      <c r="D1868" s="631"/>
      <c r="E1868" s="633"/>
      <c r="F1868" s="650"/>
    </row>
    <row r="1869" spans="3:6">
      <c r="C1869" s="631"/>
      <c r="D1869" s="631"/>
      <c r="E1869" s="633"/>
      <c r="F1869" s="650"/>
    </row>
    <row r="1870" spans="3:6">
      <c r="C1870" s="631"/>
      <c r="D1870" s="631"/>
      <c r="E1870" s="633"/>
      <c r="F1870" s="650"/>
    </row>
    <row r="1871" spans="3:6">
      <c r="C1871" s="631"/>
      <c r="D1871" s="631"/>
      <c r="E1871" s="633"/>
      <c r="F1871" s="650"/>
    </row>
    <row r="1872" spans="3:6">
      <c r="C1872" s="631"/>
      <c r="D1872" s="631"/>
      <c r="E1872" s="633"/>
      <c r="F1872" s="650"/>
    </row>
    <row r="1873" spans="3:6">
      <c r="C1873" s="631"/>
      <c r="D1873" s="631"/>
      <c r="E1873" s="633"/>
      <c r="F1873" s="650"/>
    </row>
    <row r="1874" spans="3:6">
      <c r="C1874" s="631"/>
      <c r="D1874" s="631"/>
      <c r="E1874" s="633"/>
      <c r="F1874" s="650"/>
    </row>
    <row r="1875" spans="3:6">
      <c r="C1875" s="631"/>
      <c r="D1875" s="631"/>
      <c r="E1875" s="633"/>
      <c r="F1875" s="650"/>
    </row>
    <row r="1876" spans="3:6">
      <c r="C1876" s="631"/>
      <c r="D1876" s="631"/>
      <c r="E1876" s="633"/>
      <c r="F1876" s="650"/>
    </row>
    <row r="1877" spans="3:6">
      <c r="C1877" s="631"/>
      <c r="D1877" s="631"/>
      <c r="E1877" s="633"/>
      <c r="F1877" s="650"/>
    </row>
    <row r="1878" spans="3:6">
      <c r="C1878" s="631"/>
      <c r="D1878" s="631"/>
      <c r="E1878" s="633"/>
      <c r="F1878" s="650"/>
    </row>
    <row r="1879" spans="3:6">
      <c r="C1879" s="631"/>
      <c r="D1879" s="631"/>
      <c r="E1879" s="633"/>
      <c r="F1879" s="650"/>
    </row>
    <row r="1880" spans="3:6">
      <c r="C1880" s="631"/>
      <c r="D1880" s="631"/>
      <c r="E1880" s="633"/>
      <c r="F1880" s="650"/>
    </row>
    <row r="1881" spans="3:6">
      <c r="C1881" s="631"/>
      <c r="D1881" s="631"/>
      <c r="E1881" s="633"/>
      <c r="F1881" s="650"/>
    </row>
    <row r="1882" spans="3:6">
      <c r="C1882" s="631"/>
      <c r="D1882" s="631"/>
      <c r="E1882" s="633"/>
      <c r="F1882" s="650"/>
    </row>
    <row r="1883" spans="3:6">
      <c r="C1883" s="631"/>
      <c r="D1883" s="631"/>
      <c r="E1883" s="633"/>
      <c r="F1883" s="650"/>
    </row>
    <row r="1884" spans="3:6">
      <c r="C1884" s="631"/>
      <c r="D1884" s="631"/>
      <c r="E1884" s="633"/>
      <c r="F1884" s="650"/>
    </row>
    <row r="1885" spans="3:6">
      <c r="C1885" s="631"/>
      <c r="D1885" s="631"/>
      <c r="E1885" s="633"/>
      <c r="F1885" s="650"/>
    </row>
    <row r="1886" spans="3:6">
      <c r="C1886" s="631"/>
      <c r="D1886" s="631"/>
      <c r="E1886" s="633"/>
      <c r="F1886" s="650"/>
    </row>
    <row r="1887" spans="3:6">
      <c r="C1887" s="631"/>
      <c r="D1887" s="631"/>
      <c r="E1887" s="633"/>
      <c r="F1887" s="650"/>
    </row>
    <row r="1888" spans="3:6">
      <c r="C1888" s="631"/>
      <c r="D1888" s="631"/>
      <c r="E1888" s="633"/>
      <c r="F1888" s="650"/>
    </row>
    <row r="1889" spans="3:6">
      <c r="C1889" s="631"/>
      <c r="D1889" s="631"/>
      <c r="E1889" s="633"/>
      <c r="F1889" s="650"/>
    </row>
    <row r="1890" spans="3:6">
      <c r="C1890" s="631"/>
      <c r="D1890" s="631"/>
      <c r="E1890" s="633"/>
      <c r="F1890" s="650"/>
    </row>
    <row r="1891" spans="3:6">
      <c r="C1891" s="631"/>
      <c r="D1891" s="631"/>
      <c r="E1891" s="633"/>
      <c r="F1891" s="650"/>
    </row>
    <row r="1892" spans="3:6">
      <c r="C1892" s="631"/>
      <c r="D1892" s="631"/>
      <c r="E1892" s="633"/>
      <c r="F1892" s="650"/>
    </row>
    <row r="1893" spans="3:6">
      <c r="C1893" s="631"/>
      <c r="D1893" s="631"/>
      <c r="E1893" s="633"/>
      <c r="F1893" s="650"/>
    </row>
    <row r="1894" spans="3:6">
      <c r="C1894" s="631"/>
      <c r="D1894" s="631"/>
      <c r="E1894" s="633"/>
      <c r="F1894" s="650"/>
    </row>
    <row r="1895" spans="3:6">
      <c r="C1895" s="631"/>
      <c r="D1895" s="631"/>
      <c r="E1895" s="633"/>
      <c r="F1895" s="650"/>
    </row>
    <row r="1896" spans="3:6">
      <c r="C1896" s="631"/>
      <c r="D1896" s="631"/>
      <c r="E1896" s="633"/>
      <c r="F1896" s="650"/>
    </row>
    <row r="1897" spans="3:6">
      <c r="C1897" s="631"/>
      <c r="D1897" s="631"/>
      <c r="E1897" s="633"/>
      <c r="F1897" s="650"/>
    </row>
    <row r="1898" spans="3:6">
      <c r="C1898" s="631"/>
      <c r="D1898" s="631"/>
      <c r="E1898" s="633"/>
      <c r="F1898" s="650"/>
    </row>
    <row r="1899" spans="3:6">
      <c r="C1899" s="631"/>
      <c r="D1899" s="631"/>
      <c r="E1899" s="633"/>
      <c r="F1899" s="650"/>
    </row>
    <row r="1900" spans="3:6">
      <c r="C1900" s="631"/>
      <c r="D1900" s="631"/>
      <c r="E1900" s="633"/>
      <c r="F1900" s="650"/>
    </row>
    <row r="1901" spans="3:6">
      <c r="C1901" s="631"/>
      <c r="D1901" s="631"/>
      <c r="E1901" s="633"/>
      <c r="F1901" s="650"/>
    </row>
    <row r="1902" spans="3:6">
      <c r="C1902" s="631"/>
      <c r="D1902" s="631"/>
      <c r="E1902" s="633"/>
      <c r="F1902" s="650"/>
    </row>
    <row r="1903" spans="3:6">
      <c r="C1903" s="631"/>
      <c r="D1903" s="631"/>
      <c r="E1903" s="633"/>
      <c r="F1903" s="650"/>
    </row>
    <row r="1904" spans="3:6">
      <c r="C1904" s="631"/>
      <c r="D1904" s="631"/>
      <c r="E1904" s="633"/>
      <c r="F1904" s="650"/>
    </row>
    <row r="1905" spans="3:6">
      <c r="C1905" s="631"/>
      <c r="D1905" s="631"/>
      <c r="E1905" s="633"/>
      <c r="F1905" s="650"/>
    </row>
    <row r="1906" spans="3:6">
      <c r="C1906" s="631"/>
      <c r="D1906" s="631"/>
      <c r="E1906" s="633"/>
      <c r="F1906" s="650"/>
    </row>
    <row r="1907" spans="3:6">
      <c r="C1907" s="631"/>
      <c r="D1907" s="631"/>
      <c r="E1907" s="633"/>
      <c r="F1907" s="650"/>
    </row>
    <row r="1908" spans="3:6">
      <c r="C1908" s="631"/>
      <c r="D1908" s="631"/>
      <c r="E1908" s="633"/>
      <c r="F1908" s="650"/>
    </row>
    <row r="1909" spans="3:6">
      <c r="C1909" s="631"/>
      <c r="D1909" s="631"/>
      <c r="E1909" s="633"/>
      <c r="F1909" s="650"/>
    </row>
    <row r="1910" spans="3:6">
      <c r="C1910" s="631"/>
      <c r="D1910" s="631"/>
      <c r="E1910" s="633"/>
      <c r="F1910" s="650"/>
    </row>
    <row r="1911" spans="3:6">
      <c r="C1911" s="631"/>
      <c r="D1911" s="631"/>
      <c r="E1911" s="633"/>
      <c r="F1911" s="650"/>
    </row>
    <row r="1912" spans="3:6">
      <c r="C1912" s="631"/>
      <c r="D1912" s="631"/>
      <c r="E1912" s="633"/>
      <c r="F1912" s="650"/>
    </row>
    <row r="1913" spans="3:6">
      <c r="C1913" s="631"/>
      <c r="D1913" s="631"/>
      <c r="E1913" s="633"/>
      <c r="F1913" s="650"/>
    </row>
    <row r="1914" spans="3:6">
      <c r="C1914" s="631"/>
      <c r="D1914" s="631"/>
      <c r="E1914" s="633"/>
      <c r="F1914" s="650"/>
    </row>
    <row r="1915" spans="3:6">
      <c r="C1915" s="631"/>
      <c r="D1915" s="631"/>
      <c r="E1915" s="633"/>
      <c r="F1915" s="650"/>
    </row>
    <row r="1916" spans="3:6">
      <c r="C1916" s="631"/>
      <c r="D1916" s="631"/>
      <c r="E1916" s="633"/>
      <c r="F1916" s="650"/>
    </row>
    <row r="1917" spans="3:6">
      <c r="C1917" s="631"/>
      <c r="D1917" s="631"/>
      <c r="E1917" s="633"/>
      <c r="F1917" s="650"/>
    </row>
    <row r="1918" spans="3:6">
      <c r="C1918" s="631"/>
      <c r="D1918" s="631"/>
      <c r="E1918" s="633"/>
      <c r="F1918" s="650"/>
    </row>
    <row r="1919" spans="3:6">
      <c r="C1919" s="631"/>
      <c r="D1919" s="631"/>
      <c r="E1919" s="633"/>
      <c r="F1919" s="650"/>
    </row>
    <row r="1920" spans="3:6">
      <c r="C1920" s="631"/>
      <c r="D1920" s="631"/>
      <c r="E1920" s="633"/>
      <c r="F1920" s="650"/>
    </row>
    <row r="1921" spans="3:6">
      <c r="C1921" s="631"/>
      <c r="D1921" s="631"/>
      <c r="E1921" s="633"/>
      <c r="F1921" s="650"/>
    </row>
    <row r="1922" spans="3:6">
      <c r="C1922" s="631"/>
      <c r="D1922" s="631"/>
      <c r="E1922" s="633"/>
      <c r="F1922" s="650"/>
    </row>
    <row r="1923" spans="3:6">
      <c r="C1923" s="631"/>
      <c r="D1923" s="631"/>
      <c r="E1923" s="633"/>
      <c r="F1923" s="650"/>
    </row>
    <row r="1924" spans="3:6">
      <c r="C1924" s="631"/>
      <c r="D1924" s="631"/>
      <c r="E1924" s="633"/>
      <c r="F1924" s="650"/>
    </row>
    <row r="1925" spans="3:6">
      <c r="C1925" s="631"/>
      <c r="D1925" s="631"/>
      <c r="E1925" s="633"/>
      <c r="F1925" s="650"/>
    </row>
    <row r="1926" spans="3:6">
      <c r="C1926" s="631"/>
      <c r="D1926" s="631"/>
      <c r="E1926" s="633"/>
      <c r="F1926" s="650"/>
    </row>
    <row r="1927" spans="3:6">
      <c r="C1927" s="631"/>
      <c r="D1927" s="631"/>
      <c r="E1927" s="633"/>
      <c r="F1927" s="650"/>
    </row>
    <row r="1928" spans="3:6">
      <c r="C1928" s="631"/>
      <c r="D1928" s="631"/>
      <c r="E1928" s="633"/>
      <c r="F1928" s="650"/>
    </row>
    <row r="1929" spans="3:6">
      <c r="C1929" s="631"/>
      <c r="D1929" s="631"/>
      <c r="E1929" s="633"/>
      <c r="F1929" s="650"/>
    </row>
    <row r="1930" spans="3:6">
      <c r="C1930" s="631"/>
      <c r="D1930" s="631"/>
      <c r="E1930" s="633"/>
      <c r="F1930" s="650"/>
    </row>
    <row r="1931" spans="3:6">
      <c r="C1931" s="631"/>
      <c r="D1931" s="631"/>
      <c r="E1931" s="633"/>
      <c r="F1931" s="650"/>
    </row>
    <row r="1932" spans="3:6">
      <c r="C1932" s="631"/>
      <c r="D1932" s="631"/>
      <c r="E1932" s="633"/>
      <c r="F1932" s="650"/>
    </row>
    <row r="1933" spans="3:6">
      <c r="C1933" s="631"/>
      <c r="D1933" s="631"/>
      <c r="E1933" s="633"/>
      <c r="F1933" s="650"/>
    </row>
    <row r="1934" spans="3:6">
      <c r="C1934" s="631"/>
      <c r="D1934" s="631"/>
      <c r="E1934" s="633"/>
      <c r="F1934" s="650"/>
    </row>
    <row r="1935" spans="3:6">
      <c r="C1935" s="631"/>
      <c r="D1935" s="631"/>
      <c r="E1935" s="633"/>
      <c r="F1935" s="650"/>
    </row>
    <row r="1936" spans="3:6">
      <c r="C1936" s="631"/>
      <c r="D1936" s="631"/>
      <c r="E1936" s="633"/>
      <c r="F1936" s="650"/>
    </row>
    <row r="1937" spans="3:6">
      <c r="C1937" s="631"/>
      <c r="D1937" s="631"/>
      <c r="E1937" s="633"/>
      <c r="F1937" s="650"/>
    </row>
    <row r="1938" spans="3:6">
      <c r="C1938" s="631"/>
      <c r="D1938" s="631"/>
      <c r="E1938" s="633"/>
      <c r="F1938" s="650"/>
    </row>
    <row r="1939" spans="3:6">
      <c r="C1939" s="631"/>
      <c r="D1939" s="631"/>
      <c r="E1939" s="633"/>
      <c r="F1939" s="650"/>
    </row>
    <row r="1940" spans="3:6">
      <c r="C1940" s="631"/>
      <c r="D1940" s="631"/>
      <c r="E1940" s="633"/>
      <c r="F1940" s="650"/>
    </row>
    <row r="1941" spans="3:6">
      <c r="C1941" s="631"/>
      <c r="D1941" s="631"/>
      <c r="E1941" s="633"/>
      <c r="F1941" s="650"/>
    </row>
    <row r="1942" spans="3:6">
      <c r="C1942" s="631"/>
      <c r="D1942" s="631"/>
      <c r="E1942" s="633"/>
      <c r="F1942" s="650"/>
    </row>
    <row r="1943" spans="3:6">
      <c r="C1943" s="631"/>
      <c r="D1943" s="631"/>
      <c r="E1943" s="633"/>
      <c r="F1943" s="650"/>
    </row>
    <row r="1944" spans="3:6">
      <c r="C1944" s="631"/>
      <c r="D1944" s="631"/>
      <c r="E1944" s="633"/>
      <c r="F1944" s="650"/>
    </row>
    <row r="1945" spans="3:6">
      <c r="C1945" s="631"/>
      <c r="D1945" s="631"/>
      <c r="E1945" s="633"/>
      <c r="F1945" s="650"/>
    </row>
    <row r="1946" spans="3:6">
      <c r="C1946" s="631"/>
      <c r="D1946" s="631"/>
      <c r="E1946" s="633"/>
      <c r="F1946" s="650"/>
    </row>
    <row r="1947" spans="3:6">
      <c r="C1947" s="631"/>
      <c r="D1947" s="631"/>
      <c r="E1947" s="633"/>
      <c r="F1947" s="650"/>
    </row>
    <row r="1948" spans="3:6">
      <c r="C1948" s="631"/>
      <c r="D1948" s="631"/>
      <c r="E1948" s="633"/>
      <c r="F1948" s="650"/>
    </row>
    <row r="1949" spans="3:6">
      <c r="C1949" s="631"/>
      <c r="D1949" s="631"/>
      <c r="E1949" s="633"/>
      <c r="F1949" s="650"/>
    </row>
    <row r="1950" spans="3:6">
      <c r="C1950" s="631"/>
      <c r="D1950" s="631"/>
      <c r="E1950" s="633"/>
      <c r="F1950" s="650"/>
    </row>
    <row r="1951" spans="3:6">
      <c r="C1951" s="631"/>
      <c r="D1951" s="631"/>
      <c r="E1951" s="633"/>
      <c r="F1951" s="650"/>
    </row>
    <row r="1952" spans="3:6">
      <c r="C1952" s="631"/>
      <c r="D1952" s="631"/>
      <c r="E1952" s="633"/>
      <c r="F1952" s="650"/>
    </row>
    <row r="1953" spans="3:6">
      <c r="C1953" s="631"/>
      <c r="D1953" s="631"/>
      <c r="E1953" s="633"/>
      <c r="F1953" s="650"/>
    </row>
    <row r="1954" spans="3:6">
      <c r="C1954" s="631"/>
      <c r="D1954" s="631"/>
      <c r="E1954" s="633"/>
      <c r="F1954" s="650"/>
    </row>
    <row r="1955" spans="3:6">
      <c r="C1955" s="631"/>
      <c r="D1955" s="631"/>
      <c r="E1955" s="633"/>
      <c r="F1955" s="650"/>
    </row>
    <row r="1956" spans="3:6">
      <c r="C1956" s="631"/>
      <c r="D1956" s="631"/>
      <c r="E1956" s="633"/>
      <c r="F1956" s="650"/>
    </row>
    <row r="1957" spans="3:6">
      <c r="C1957" s="631"/>
      <c r="D1957" s="631"/>
      <c r="E1957" s="633"/>
      <c r="F1957" s="650"/>
    </row>
    <row r="1958" spans="3:6">
      <c r="C1958" s="631"/>
      <c r="D1958" s="631"/>
      <c r="E1958" s="633"/>
      <c r="F1958" s="650"/>
    </row>
    <row r="1959" spans="3:6">
      <c r="C1959" s="631"/>
      <c r="D1959" s="631"/>
      <c r="E1959" s="633"/>
      <c r="F1959" s="650"/>
    </row>
    <row r="1960" spans="3:6">
      <c r="C1960" s="631"/>
      <c r="D1960" s="631"/>
      <c r="E1960" s="633"/>
      <c r="F1960" s="650"/>
    </row>
    <row r="1961" spans="3:6">
      <c r="C1961" s="631"/>
      <c r="D1961" s="631"/>
      <c r="E1961" s="633"/>
      <c r="F1961" s="650"/>
    </row>
    <row r="1962" spans="3:6">
      <c r="C1962" s="631"/>
      <c r="D1962" s="631"/>
      <c r="E1962" s="633"/>
      <c r="F1962" s="650"/>
    </row>
    <row r="1963" spans="3:6">
      <c r="C1963" s="631"/>
      <c r="D1963" s="631"/>
      <c r="E1963" s="633"/>
      <c r="F1963" s="650"/>
    </row>
    <row r="1964" spans="3:6">
      <c r="C1964" s="631"/>
      <c r="D1964" s="631"/>
      <c r="E1964" s="633"/>
      <c r="F1964" s="650"/>
    </row>
    <row r="1965" spans="3:6">
      <c r="C1965" s="631"/>
      <c r="D1965" s="631"/>
      <c r="E1965" s="633"/>
      <c r="F1965" s="650"/>
    </row>
    <row r="1966" spans="3:6">
      <c r="C1966" s="631"/>
      <c r="D1966" s="631"/>
      <c r="E1966" s="633"/>
      <c r="F1966" s="650"/>
    </row>
    <row r="1967" spans="3:6">
      <c r="C1967" s="631"/>
      <c r="D1967" s="631"/>
      <c r="E1967" s="633"/>
      <c r="F1967" s="650"/>
    </row>
    <row r="1968" spans="3:6">
      <c r="C1968" s="631"/>
      <c r="D1968" s="631"/>
      <c r="E1968" s="633"/>
      <c r="F1968" s="650"/>
    </row>
    <row r="1969" spans="3:6">
      <c r="C1969" s="631"/>
      <c r="D1969" s="631"/>
      <c r="E1969" s="633"/>
      <c r="F1969" s="650"/>
    </row>
    <row r="1970" spans="3:6">
      <c r="C1970" s="631"/>
      <c r="D1970" s="631"/>
      <c r="E1970" s="633"/>
      <c r="F1970" s="650"/>
    </row>
    <row r="1971" spans="3:6">
      <c r="C1971" s="631"/>
      <c r="D1971" s="631"/>
      <c r="E1971" s="633"/>
      <c r="F1971" s="650"/>
    </row>
    <row r="1972" spans="3:6">
      <c r="C1972" s="631"/>
      <c r="D1972" s="631"/>
      <c r="E1972" s="633"/>
      <c r="F1972" s="650"/>
    </row>
    <row r="1973" spans="3:6">
      <c r="C1973" s="631"/>
      <c r="D1973" s="631"/>
      <c r="E1973" s="633"/>
      <c r="F1973" s="650"/>
    </row>
    <row r="1974" spans="3:6">
      <c r="C1974" s="631"/>
      <c r="D1974" s="631"/>
      <c r="E1974" s="633"/>
      <c r="F1974" s="650"/>
    </row>
    <row r="1975" spans="3:6">
      <c r="C1975" s="631"/>
      <c r="D1975" s="631"/>
      <c r="E1975" s="633"/>
      <c r="F1975" s="650"/>
    </row>
    <row r="1976" spans="3:6">
      <c r="C1976" s="631"/>
      <c r="D1976" s="631"/>
      <c r="E1976" s="633"/>
      <c r="F1976" s="650"/>
    </row>
    <row r="1977" spans="3:6">
      <c r="C1977" s="631"/>
      <c r="D1977" s="631"/>
      <c r="E1977" s="633"/>
      <c r="F1977" s="650"/>
    </row>
    <row r="1978" spans="3:6">
      <c r="C1978" s="631"/>
      <c r="D1978" s="631"/>
      <c r="E1978" s="633"/>
      <c r="F1978" s="650"/>
    </row>
    <row r="1979" spans="3:6">
      <c r="C1979" s="631"/>
      <c r="D1979" s="631"/>
      <c r="E1979" s="633"/>
      <c r="F1979" s="650"/>
    </row>
    <row r="1980" spans="3:6">
      <c r="C1980" s="631"/>
      <c r="D1980" s="631"/>
      <c r="E1980" s="633"/>
      <c r="F1980" s="650"/>
    </row>
    <row r="1981" spans="3:6">
      <c r="C1981" s="631"/>
      <c r="D1981" s="631"/>
      <c r="E1981" s="633"/>
      <c r="F1981" s="650"/>
    </row>
    <row r="1982" spans="3:6">
      <c r="C1982" s="631"/>
      <c r="D1982" s="631"/>
      <c r="E1982" s="633"/>
      <c r="F1982" s="650"/>
    </row>
    <row r="1983" spans="3:6">
      <c r="C1983" s="631"/>
      <c r="D1983" s="631"/>
      <c r="E1983" s="633"/>
      <c r="F1983" s="650"/>
    </row>
    <row r="1984" spans="3:6">
      <c r="C1984" s="631"/>
      <c r="D1984" s="631"/>
      <c r="E1984" s="633"/>
      <c r="F1984" s="650"/>
    </row>
    <row r="1985" spans="3:6">
      <c r="C1985" s="631"/>
      <c r="D1985" s="631"/>
      <c r="E1985" s="633"/>
      <c r="F1985" s="650"/>
    </row>
    <row r="1986" spans="3:6">
      <c r="C1986" s="631"/>
      <c r="D1986" s="631"/>
      <c r="E1986" s="633"/>
      <c r="F1986" s="650"/>
    </row>
    <row r="1987" spans="3:6">
      <c r="C1987" s="631"/>
      <c r="D1987" s="631"/>
      <c r="E1987" s="633"/>
      <c r="F1987" s="650"/>
    </row>
    <row r="1988" spans="3:6">
      <c r="C1988" s="631"/>
      <c r="D1988" s="631"/>
      <c r="E1988" s="633"/>
      <c r="F1988" s="650"/>
    </row>
    <row r="1989" spans="3:6">
      <c r="C1989" s="631"/>
      <c r="D1989" s="631"/>
      <c r="E1989" s="633"/>
      <c r="F1989" s="650"/>
    </row>
    <row r="1990" spans="3:6">
      <c r="C1990" s="631"/>
      <c r="D1990" s="631"/>
      <c r="E1990" s="633"/>
      <c r="F1990" s="650"/>
    </row>
    <row r="1991" spans="3:6">
      <c r="C1991" s="631"/>
      <c r="D1991" s="631"/>
      <c r="E1991" s="633"/>
      <c r="F1991" s="650"/>
    </row>
    <row r="1992" spans="3:6">
      <c r="C1992" s="631"/>
      <c r="D1992" s="631"/>
      <c r="E1992" s="633"/>
      <c r="F1992" s="650"/>
    </row>
    <row r="1993" spans="3:6">
      <c r="C1993" s="631"/>
      <c r="D1993" s="631"/>
      <c r="E1993" s="633"/>
      <c r="F1993" s="650"/>
    </row>
    <row r="1994" spans="3:6">
      <c r="C1994" s="631"/>
      <c r="D1994" s="631"/>
      <c r="E1994" s="633"/>
      <c r="F1994" s="650"/>
    </row>
    <row r="1995" spans="3:6">
      <c r="C1995" s="631"/>
      <c r="D1995" s="631"/>
      <c r="E1995" s="633"/>
      <c r="F1995" s="650"/>
    </row>
    <row r="1996" spans="3:6">
      <c r="C1996" s="631"/>
      <c r="D1996" s="631"/>
      <c r="E1996" s="633"/>
      <c r="F1996" s="650"/>
    </row>
    <row r="1997" spans="3:6">
      <c r="C1997" s="631"/>
      <c r="D1997" s="631"/>
      <c r="E1997" s="633"/>
      <c r="F1997" s="650"/>
    </row>
    <row r="1998" spans="3:6">
      <c r="C1998" s="631"/>
      <c r="D1998" s="631"/>
      <c r="E1998" s="633"/>
      <c r="F1998" s="650"/>
    </row>
    <row r="1999" spans="3:6">
      <c r="C1999" s="631"/>
      <c r="D1999" s="631"/>
      <c r="E1999" s="633"/>
      <c r="F1999" s="650"/>
    </row>
    <row r="2000" spans="3:6">
      <c r="C2000" s="631"/>
      <c r="D2000" s="631"/>
      <c r="E2000" s="633"/>
      <c r="F2000" s="650"/>
    </row>
    <row r="2001" spans="3:6">
      <c r="C2001" s="631"/>
      <c r="D2001" s="631"/>
      <c r="E2001" s="633"/>
      <c r="F2001" s="650"/>
    </row>
    <row r="2002" spans="3:6">
      <c r="C2002" s="631"/>
      <c r="D2002" s="631"/>
      <c r="E2002" s="633"/>
      <c r="F2002" s="650"/>
    </row>
    <row r="2003" spans="3:6">
      <c r="C2003" s="631"/>
      <c r="D2003" s="631"/>
      <c r="E2003" s="633"/>
      <c r="F2003" s="650"/>
    </row>
    <row r="2004" spans="3:6">
      <c r="C2004" s="631"/>
      <c r="D2004" s="631"/>
      <c r="E2004" s="633"/>
      <c r="F2004" s="650"/>
    </row>
    <row r="2005" spans="3:6">
      <c r="C2005" s="631"/>
      <c r="D2005" s="631"/>
      <c r="E2005" s="633"/>
      <c r="F2005" s="650"/>
    </row>
    <row r="2006" spans="3:6">
      <c r="C2006" s="631"/>
      <c r="D2006" s="631"/>
      <c r="E2006" s="633"/>
      <c r="F2006" s="650"/>
    </row>
    <row r="2007" spans="3:6">
      <c r="C2007" s="631"/>
      <c r="D2007" s="631"/>
      <c r="E2007" s="633"/>
      <c r="F2007" s="650"/>
    </row>
    <row r="2008" spans="3:6">
      <c r="C2008" s="631"/>
      <c r="D2008" s="631"/>
      <c r="E2008" s="633"/>
      <c r="F2008" s="650"/>
    </row>
    <row r="2009" spans="3:6">
      <c r="C2009" s="631"/>
      <c r="D2009" s="631"/>
      <c r="E2009" s="633"/>
      <c r="F2009" s="650"/>
    </row>
    <row r="2010" spans="3:6">
      <c r="C2010" s="631"/>
      <c r="D2010" s="631"/>
      <c r="E2010" s="633"/>
      <c r="F2010" s="650"/>
    </row>
    <row r="2011" spans="3:6">
      <c r="C2011" s="631"/>
      <c r="D2011" s="631"/>
      <c r="E2011" s="633"/>
      <c r="F2011" s="650"/>
    </row>
    <row r="2012" spans="3:6">
      <c r="C2012" s="631"/>
      <c r="D2012" s="631"/>
      <c r="E2012" s="633"/>
      <c r="F2012" s="650"/>
    </row>
    <row r="2013" spans="3:6">
      <c r="C2013" s="631"/>
      <c r="D2013" s="631"/>
      <c r="E2013" s="633"/>
      <c r="F2013" s="650"/>
    </row>
    <row r="2014" spans="3:6">
      <c r="C2014" s="631"/>
      <c r="D2014" s="631"/>
      <c r="E2014" s="633"/>
      <c r="F2014" s="650"/>
    </row>
    <row r="2015" spans="3:6">
      <c r="C2015" s="631"/>
      <c r="D2015" s="631"/>
      <c r="E2015" s="633"/>
      <c r="F2015" s="650"/>
    </row>
    <row r="2016" spans="3:6">
      <c r="C2016" s="631"/>
      <c r="D2016" s="631"/>
      <c r="E2016" s="633"/>
      <c r="F2016" s="650"/>
    </row>
    <row r="2017" spans="3:6">
      <c r="C2017" s="631"/>
      <c r="D2017" s="631"/>
      <c r="E2017" s="633"/>
      <c r="F2017" s="650"/>
    </row>
    <row r="2018" spans="3:6">
      <c r="C2018" s="631"/>
      <c r="D2018" s="631"/>
      <c r="E2018" s="633"/>
      <c r="F2018" s="650"/>
    </row>
    <row r="2019" spans="3:6">
      <c r="C2019" s="631"/>
      <c r="D2019" s="631"/>
      <c r="E2019" s="633"/>
      <c r="F2019" s="650"/>
    </row>
    <row r="2020" spans="3:6">
      <c r="C2020" s="631"/>
      <c r="D2020" s="631"/>
      <c r="E2020" s="633"/>
      <c r="F2020" s="650"/>
    </row>
    <row r="2021" spans="3:6">
      <c r="C2021" s="631"/>
      <c r="D2021" s="631"/>
      <c r="E2021" s="633"/>
      <c r="F2021" s="650"/>
    </row>
    <row r="2022" spans="3:6">
      <c r="C2022" s="631"/>
      <c r="D2022" s="631"/>
      <c r="E2022" s="633"/>
      <c r="F2022" s="650"/>
    </row>
    <row r="2023" spans="3:6">
      <c r="C2023" s="631"/>
      <c r="D2023" s="631"/>
      <c r="E2023" s="633"/>
      <c r="F2023" s="650"/>
    </row>
    <row r="2024" spans="3:6">
      <c r="C2024" s="631"/>
      <c r="D2024" s="631"/>
      <c r="E2024" s="633"/>
      <c r="F2024" s="650"/>
    </row>
    <row r="2025" spans="3:6">
      <c r="C2025" s="631"/>
      <c r="D2025" s="631"/>
      <c r="E2025" s="633"/>
      <c r="F2025" s="650"/>
    </row>
    <row r="2026" spans="3:6">
      <c r="C2026" s="631"/>
      <c r="D2026" s="631"/>
      <c r="E2026" s="633"/>
      <c r="F2026" s="650"/>
    </row>
    <row r="2027" spans="3:6">
      <c r="C2027" s="631"/>
      <c r="D2027" s="631"/>
      <c r="E2027" s="633"/>
      <c r="F2027" s="650"/>
    </row>
    <row r="2028" spans="3:6">
      <c r="C2028" s="631"/>
      <c r="D2028" s="631"/>
      <c r="E2028" s="633"/>
      <c r="F2028" s="650"/>
    </row>
    <row r="2029" spans="3:6">
      <c r="C2029" s="631"/>
      <c r="D2029" s="631"/>
      <c r="E2029" s="633"/>
      <c r="F2029" s="650"/>
    </row>
    <row r="2030" spans="3:6">
      <c r="C2030" s="631"/>
      <c r="D2030" s="631"/>
      <c r="E2030" s="633"/>
      <c r="F2030" s="650"/>
    </row>
    <row r="2031" spans="3:6">
      <c r="C2031" s="631"/>
      <c r="D2031" s="631"/>
      <c r="E2031" s="633"/>
      <c r="F2031" s="650"/>
    </row>
    <row r="2032" spans="3:6">
      <c r="C2032" s="631"/>
      <c r="D2032" s="631"/>
      <c r="E2032" s="633"/>
      <c r="F2032" s="650"/>
    </row>
    <row r="2033" spans="3:6">
      <c r="C2033" s="631"/>
      <c r="D2033" s="631"/>
      <c r="E2033" s="633"/>
      <c r="F2033" s="650"/>
    </row>
    <row r="2034" spans="3:6">
      <c r="C2034" s="631"/>
      <c r="D2034" s="631"/>
      <c r="E2034" s="633"/>
      <c r="F2034" s="650"/>
    </row>
    <row r="2035" spans="3:6">
      <c r="C2035" s="631"/>
      <c r="D2035" s="631"/>
      <c r="E2035" s="633"/>
      <c r="F2035" s="650"/>
    </row>
    <row r="2036" spans="3:6">
      <c r="C2036" s="631"/>
      <c r="D2036" s="631"/>
      <c r="E2036" s="633"/>
      <c r="F2036" s="650"/>
    </row>
    <row r="2037" spans="3:6">
      <c r="C2037" s="631"/>
      <c r="D2037" s="631"/>
      <c r="E2037" s="633"/>
      <c r="F2037" s="650"/>
    </row>
    <row r="2038" spans="3:6">
      <c r="C2038" s="631"/>
      <c r="D2038" s="631"/>
      <c r="E2038" s="633"/>
      <c r="F2038" s="650"/>
    </row>
    <row r="2039" spans="3:6">
      <c r="C2039" s="631"/>
      <c r="D2039" s="631"/>
      <c r="E2039" s="633"/>
      <c r="F2039" s="650"/>
    </row>
    <row r="2040" spans="3:6">
      <c r="C2040" s="631"/>
      <c r="D2040" s="631"/>
      <c r="E2040" s="633"/>
      <c r="F2040" s="650"/>
    </row>
    <row r="2041" spans="3:6">
      <c r="C2041" s="631"/>
      <c r="D2041" s="631"/>
      <c r="E2041" s="633"/>
      <c r="F2041" s="650"/>
    </row>
    <row r="2042" spans="3:6">
      <c r="C2042" s="631"/>
      <c r="D2042" s="631"/>
      <c r="E2042" s="633"/>
      <c r="F2042" s="650"/>
    </row>
    <row r="2043" spans="3:6">
      <c r="C2043" s="631"/>
      <c r="D2043" s="631"/>
      <c r="E2043" s="633"/>
      <c r="F2043" s="650"/>
    </row>
    <row r="2044" spans="3:6">
      <c r="C2044" s="631"/>
      <c r="D2044" s="631"/>
      <c r="E2044" s="633"/>
      <c r="F2044" s="650"/>
    </row>
    <row r="2045" spans="3:6">
      <c r="C2045" s="631"/>
      <c r="D2045" s="631"/>
      <c r="E2045" s="633"/>
      <c r="F2045" s="650"/>
    </row>
    <row r="2046" spans="3:6">
      <c r="C2046" s="631"/>
      <c r="D2046" s="631"/>
      <c r="E2046" s="633"/>
      <c r="F2046" s="650"/>
    </row>
    <row r="2047" spans="3:6">
      <c r="C2047" s="631"/>
      <c r="D2047" s="631"/>
      <c r="E2047" s="633"/>
      <c r="F2047" s="650"/>
    </row>
    <row r="2048" spans="3:6">
      <c r="C2048" s="631"/>
      <c r="D2048" s="631"/>
      <c r="E2048" s="633"/>
      <c r="F2048" s="650"/>
    </row>
    <row r="2049" spans="3:6">
      <c r="C2049" s="631"/>
      <c r="D2049" s="631"/>
      <c r="E2049" s="633"/>
      <c r="F2049" s="650"/>
    </row>
    <row r="2050" spans="3:6">
      <c r="C2050" s="631"/>
      <c r="D2050" s="631"/>
      <c r="E2050" s="633"/>
      <c r="F2050" s="650"/>
    </row>
    <row r="2051" spans="3:6">
      <c r="C2051" s="631"/>
      <c r="D2051" s="631"/>
      <c r="E2051" s="633"/>
      <c r="F2051" s="650"/>
    </row>
    <row r="2052" spans="3:6">
      <c r="C2052" s="631"/>
      <c r="D2052" s="631"/>
      <c r="E2052" s="633"/>
      <c r="F2052" s="650"/>
    </row>
    <row r="2053" spans="3:6">
      <c r="C2053" s="631"/>
      <c r="D2053" s="631"/>
      <c r="E2053" s="633"/>
      <c r="F2053" s="650"/>
    </row>
    <row r="2054" spans="3:6">
      <c r="C2054" s="631"/>
      <c r="D2054" s="631"/>
      <c r="E2054" s="633"/>
      <c r="F2054" s="650"/>
    </row>
    <row r="2055" spans="3:6">
      <c r="C2055" s="631"/>
      <c r="D2055" s="631"/>
      <c r="E2055" s="633"/>
      <c r="F2055" s="650"/>
    </row>
    <row r="2056" spans="3:6">
      <c r="C2056" s="631"/>
      <c r="D2056" s="631"/>
      <c r="E2056" s="633"/>
      <c r="F2056" s="650"/>
    </row>
    <row r="2057" spans="3:6">
      <c r="C2057" s="631"/>
      <c r="D2057" s="631"/>
      <c r="E2057" s="633"/>
      <c r="F2057" s="650"/>
    </row>
    <row r="2058" spans="3:6">
      <c r="C2058" s="631"/>
      <c r="D2058" s="631"/>
      <c r="E2058" s="633"/>
      <c r="F2058" s="650"/>
    </row>
    <row r="2059" spans="3:6">
      <c r="C2059" s="631"/>
      <c r="D2059" s="631"/>
      <c r="E2059" s="633"/>
      <c r="F2059" s="650"/>
    </row>
    <row r="2060" spans="3:6">
      <c r="C2060" s="631"/>
      <c r="D2060" s="631"/>
      <c r="E2060" s="633"/>
      <c r="F2060" s="650"/>
    </row>
    <row r="2061" spans="3:6">
      <c r="C2061" s="631"/>
      <c r="D2061" s="631"/>
      <c r="E2061" s="633"/>
      <c r="F2061" s="650"/>
    </row>
    <row r="2062" spans="3:6">
      <c r="C2062" s="631"/>
      <c r="D2062" s="631"/>
      <c r="E2062" s="633"/>
      <c r="F2062" s="650"/>
    </row>
    <row r="2063" spans="3:6">
      <c r="C2063" s="631"/>
      <c r="D2063" s="631"/>
      <c r="E2063" s="633"/>
      <c r="F2063" s="650"/>
    </row>
    <row r="2064" spans="3:6">
      <c r="C2064" s="631"/>
      <c r="D2064" s="631"/>
      <c r="E2064" s="633"/>
      <c r="F2064" s="650"/>
    </row>
    <row r="2065" spans="3:6">
      <c r="C2065" s="631"/>
      <c r="D2065" s="631"/>
      <c r="E2065" s="633"/>
      <c r="F2065" s="650"/>
    </row>
    <row r="2066" spans="3:6">
      <c r="C2066" s="631"/>
      <c r="D2066" s="631"/>
      <c r="E2066" s="633"/>
      <c r="F2066" s="650"/>
    </row>
    <row r="2067" spans="3:6">
      <c r="C2067" s="631"/>
      <c r="D2067" s="631"/>
      <c r="E2067" s="633"/>
      <c r="F2067" s="650"/>
    </row>
    <row r="2068" spans="3:6">
      <c r="C2068" s="631"/>
      <c r="D2068" s="631"/>
      <c r="E2068" s="633"/>
      <c r="F2068" s="650"/>
    </row>
    <row r="2069" spans="3:6">
      <c r="C2069" s="631"/>
      <c r="D2069" s="631"/>
      <c r="E2069" s="633"/>
      <c r="F2069" s="650"/>
    </row>
    <row r="2070" spans="3:6">
      <c r="C2070" s="631"/>
      <c r="D2070" s="631"/>
      <c r="E2070" s="633"/>
      <c r="F2070" s="650"/>
    </row>
    <row r="2071" spans="3:6">
      <c r="C2071" s="631"/>
      <c r="D2071" s="631"/>
      <c r="E2071" s="633"/>
      <c r="F2071" s="650"/>
    </row>
    <row r="2072" spans="3:6">
      <c r="C2072" s="631"/>
      <c r="D2072" s="631"/>
      <c r="E2072" s="633"/>
      <c r="F2072" s="650"/>
    </row>
    <row r="2073" spans="3:6">
      <c r="C2073" s="631"/>
      <c r="D2073" s="631"/>
      <c r="E2073" s="633"/>
      <c r="F2073" s="650"/>
    </row>
    <row r="2074" spans="3:6">
      <c r="C2074" s="631"/>
      <c r="D2074" s="631"/>
      <c r="E2074" s="633"/>
      <c r="F2074" s="650"/>
    </row>
    <row r="2075" spans="3:6">
      <c r="C2075" s="631"/>
      <c r="D2075" s="631"/>
      <c r="E2075" s="633"/>
      <c r="F2075" s="650"/>
    </row>
    <row r="2076" spans="3:6">
      <c r="C2076" s="631"/>
      <c r="D2076" s="631"/>
      <c r="E2076" s="633"/>
      <c r="F2076" s="650"/>
    </row>
    <row r="2077" spans="3:6">
      <c r="C2077" s="631"/>
      <c r="D2077" s="631"/>
      <c r="E2077" s="633"/>
      <c r="F2077" s="650"/>
    </row>
    <row r="2078" spans="3:6">
      <c r="C2078" s="631"/>
      <c r="D2078" s="631"/>
      <c r="E2078" s="633"/>
      <c r="F2078" s="650"/>
    </row>
    <row r="2079" spans="3:6">
      <c r="C2079" s="631"/>
      <c r="D2079" s="631"/>
      <c r="E2079" s="633"/>
      <c r="F2079" s="650"/>
    </row>
    <row r="2080" spans="3:6">
      <c r="C2080" s="631"/>
      <c r="D2080" s="631"/>
      <c r="E2080" s="633"/>
      <c r="F2080" s="650"/>
    </row>
    <row r="2081" spans="3:6">
      <c r="C2081" s="631"/>
      <c r="D2081" s="631"/>
      <c r="E2081" s="633"/>
      <c r="F2081" s="650"/>
    </row>
    <row r="2082" spans="3:6">
      <c r="C2082" s="631"/>
      <c r="D2082" s="631"/>
      <c r="E2082" s="633"/>
      <c r="F2082" s="650"/>
    </row>
    <row r="2083" spans="3:6">
      <c r="C2083" s="631"/>
      <c r="D2083" s="631"/>
      <c r="E2083" s="633"/>
      <c r="F2083" s="650"/>
    </row>
    <row r="2084" spans="3:6">
      <c r="C2084" s="631"/>
      <c r="D2084" s="631"/>
      <c r="E2084" s="633"/>
      <c r="F2084" s="650"/>
    </row>
    <row r="2085" spans="3:6">
      <c r="C2085" s="631"/>
      <c r="D2085" s="631"/>
      <c r="E2085" s="633"/>
      <c r="F2085" s="650"/>
    </row>
    <row r="2086" spans="3:6">
      <c r="C2086" s="631"/>
      <c r="D2086" s="631"/>
      <c r="E2086" s="633"/>
      <c r="F2086" s="650"/>
    </row>
    <row r="2087" spans="3:6">
      <c r="C2087" s="631"/>
      <c r="D2087" s="631"/>
      <c r="E2087" s="633"/>
      <c r="F2087" s="650"/>
    </row>
    <row r="2088" spans="3:6">
      <c r="C2088" s="631"/>
      <c r="D2088" s="631"/>
      <c r="E2088" s="633"/>
      <c r="F2088" s="650"/>
    </row>
    <row r="2089" spans="3:6">
      <c r="C2089" s="631"/>
      <c r="D2089" s="631"/>
      <c r="E2089" s="633"/>
      <c r="F2089" s="650"/>
    </row>
    <row r="2090" spans="3:6">
      <c r="C2090" s="631"/>
      <c r="D2090" s="631"/>
      <c r="E2090" s="633"/>
      <c r="F2090" s="650"/>
    </row>
    <row r="2091" spans="3:6">
      <c r="C2091" s="631"/>
      <c r="D2091" s="631"/>
      <c r="E2091" s="633"/>
      <c r="F2091" s="650"/>
    </row>
    <row r="2092" spans="3:6">
      <c r="C2092" s="631"/>
      <c r="D2092" s="631"/>
      <c r="E2092" s="633"/>
      <c r="F2092" s="650"/>
    </row>
    <row r="2093" spans="3:6">
      <c r="C2093" s="631"/>
      <c r="D2093" s="631"/>
      <c r="E2093" s="633"/>
      <c r="F2093" s="650"/>
    </row>
    <row r="2094" spans="3:6">
      <c r="C2094" s="631"/>
      <c r="D2094" s="631"/>
      <c r="E2094" s="633"/>
      <c r="F2094" s="650"/>
    </row>
    <row r="2095" spans="3:6">
      <c r="C2095" s="631"/>
      <c r="D2095" s="631"/>
      <c r="E2095" s="633"/>
      <c r="F2095" s="650"/>
    </row>
    <row r="2096" spans="3:6">
      <c r="C2096" s="631"/>
      <c r="D2096" s="631"/>
      <c r="E2096" s="633"/>
      <c r="F2096" s="650"/>
    </row>
    <row r="2097" spans="3:6">
      <c r="C2097" s="631"/>
      <c r="D2097" s="631"/>
      <c r="E2097" s="633"/>
      <c r="F2097" s="650"/>
    </row>
    <row r="2098" spans="3:6">
      <c r="C2098" s="631"/>
      <c r="D2098" s="631"/>
      <c r="E2098" s="633"/>
      <c r="F2098" s="650"/>
    </row>
    <row r="2099" spans="3:6">
      <c r="C2099" s="631"/>
      <c r="D2099" s="631"/>
      <c r="E2099" s="633"/>
      <c r="F2099" s="650"/>
    </row>
    <row r="2100" spans="3:6">
      <c r="C2100" s="631"/>
      <c r="D2100" s="631"/>
      <c r="E2100" s="633"/>
      <c r="F2100" s="650"/>
    </row>
    <row r="2101" spans="3:6">
      <c r="C2101" s="631"/>
      <c r="D2101" s="631"/>
      <c r="E2101" s="633"/>
      <c r="F2101" s="650"/>
    </row>
    <row r="2102" spans="3:6">
      <c r="C2102" s="631"/>
      <c r="D2102" s="631"/>
      <c r="E2102" s="633"/>
      <c r="F2102" s="650"/>
    </row>
    <row r="2103" spans="3:6">
      <c r="C2103" s="631"/>
      <c r="D2103" s="631"/>
      <c r="E2103" s="633"/>
      <c r="F2103" s="650"/>
    </row>
    <row r="2104" spans="3:6">
      <c r="C2104" s="631"/>
      <c r="D2104" s="631"/>
      <c r="E2104" s="633"/>
      <c r="F2104" s="650"/>
    </row>
    <row r="2105" spans="3:6">
      <c r="C2105" s="631"/>
      <c r="D2105" s="631"/>
      <c r="E2105" s="633"/>
      <c r="F2105" s="650"/>
    </row>
    <row r="2106" spans="3:6">
      <c r="C2106" s="631"/>
      <c r="D2106" s="631"/>
      <c r="E2106" s="633"/>
      <c r="F2106" s="650"/>
    </row>
    <row r="2107" spans="3:6">
      <c r="C2107" s="631"/>
      <c r="D2107" s="631"/>
      <c r="E2107" s="633"/>
      <c r="F2107" s="650"/>
    </row>
    <row r="2108" spans="3:6">
      <c r="C2108" s="631"/>
      <c r="D2108" s="631"/>
      <c r="E2108" s="633"/>
      <c r="F2108" s="650"/>
    </row>
    <row r="2109" spans="3:6">
      <c r="C2109" s="631"/>
      <c r="D2109" s="631"/>
      <c r="E2109" s="633"/>
      <c r="F2109" s="650"/>
    </row>
    <row r="2110" spans="3:6">
      <c r="C2110" s="631"/>
      <c r="D2110" s="631"/>
      <c r="E2110" s="633"/>
      <c r="F2110" s="650"/>
    </row>
    <row r="2111" spans="3:6">
      <c r="C2111" s="631"/>
      <c r="D2111" s="631"/>
      <c r="E2111" s="633"/>
      <c r="F2111" s="650"/>
    </row>
    <row r="2112" spans="3:6">
      <c r="C2112" s="631"/>
      <c r="D2112" s="631"/>
      <c r="E2112" s="633"/>
      <c r="F2112" s="650"/>
    </row>
    <row r="2113" spans="3:6">
      <c r="C2113" s="631"/>
      <c r="D2113" s="631"/>
      <c r="E2113" s="633"/>
      <c r="F2113" s="650"/>
    </row>
    <row r="2114" spans="3:6">
      <c r="C2114" s="631"/>
      <c r="D2114" s="631"/>
      <c r="E2114" s="633"/>
      <c r="F2114" s="650"/>
    </row>
    <row r="2115" spans="3:6">
      <c r="C2115" s="631"/>
      <c r="D2115" s="631"/>
      <c r="E2115" s="633"/>
      <c r="F2115" s="650"/>
    </row>
    <row r="2116" spans="3:6">
      <c r="C2116" s="631"/>
      <c r="D2116" s="631"/>
      <c r="E2116" s="633"/>
      <c r="F2116" s="650"/>
    </row>
    <row r="2117" spans="3:6">
      <c r="C2117" s="631"/>
      <c r="D2117" s="631"/>
      <c r="E2117" s="633"/>
      <c r="F2117" s="650"/>
    </row>
    <row r="2118" spans="3:6">
      <c r="C2118" s="631"/>
      <c r="D2118" s="631"/>
      <c r="E2118" s="633"/>
      <c r="F2118" s="650"/>
    </row>
    <row r="2119" spans="3:6">
      <c r="C2119" s="631"/>
      <c r="D2119" s="631"/>
      <c r="E2119" s="633"/>
      <c r="F2119" s="650"/>
    </row>
    <row r="2120" spans="3:6">
      <c r="C2120" s="631"/>
      <c r="D2120" s="631"/>
      <c r="E2120" s="633"/>
      <c r="F2120" s="650"/>
    </row>
    <row r="2121" spans="3:6">
      <c r="C2121" s="631"/>
      <c r="D2121" s="631"/>
      <c r="E2121" s="633"/>
      <c r="F2121" s="650"/>
    </row>
    <row r="2122" spans="3:6">
      <c r="C2122" s="631"/>
      <c r="D2122" s="631"/>
      <c r="E2122" s="633"/>
      <c r="F2122" s="650"/>
    </row>
    <row r="2123" spans="3:6">
      <c r="C2123" s="631"/>
      <c r="D2123" s="631"/>
      <c r="E2123" s="633"/>
      <c r="F2123" s="650"/>
    </row>
    <row r="2124" spans="3:6">
      <c r="C2124" s="631"/>
      <c r="D2124" s="631"/>
      <c r="E2124" s="633"/>
      <c r="F2124" s="650"/>
    </row>
    <row r="2125" spans="3:6">
      <c r="C2125" s="631"/>
      <c r="D2125" s="631"/>
      <c r="E2125" s="633"/>
      <c r="F2125" s="650"/>
    </row>
    <row r="2126" spans="3:6">
      <c r="C2126" s="631"/>
      <c r="D2126" s="631"/>
      <c r="E2126" s="633"/>
      <c r="F2126" s="650"/>
    </row>
    <row r="2127" spans="3:6">
      <c r="C2127" s="631"/>
      <c r="D2127" s="631"/>
      <c r="E2127" s="633"/>
      <c r="F2127" s="650"/>
    </row>
    <row r="2128" spans="3:6">
      <c r="C2128" s="631"/>
      <c r="D2128" s="631"/>
      <c r="E2128" s="633"/>
      <c r="F2128" s="650"/>
    </row>
    <row r="2129" spans="3:6">
      <c r="C2129" s="631"/>
      <c r="D2129" s="631"/>
      <c r="E2129" s="633"/>
      <c r="F2129" s="650"/>
    </row>
    <row r="2130" spans="3:6">
      <c r="C2130" s="631"/>
      <c r="D2130" s="631"/>
      <c r="E2130" s="633"/>
      <c r="F2130" s="650"/>
    </row>
    <row r="2131" spans="3:6">
      <c r="C2131" s="631"/>
      <c r="D2131" s="631"/>
      <c r="E2131" s="633"/>
      <c r="F2131" s="650"/>
    </row>
    <row r="2132" spans="3:6">
      <c r="C2132" s="631"/>
      <c r="D2132" s="631"/>
      <c r="E2132" s="633"/>
      <c r="F2132" s="650"/>
    </row>
    <row r="2133" spans="3:6">
      <c r="C2133" s="631"/>
      <c r="D2133" s="631"/>
      <c r="E2133" s="633"/>
      <c r="F2133" s="650"/>
    </row>
    <row r="2134" spans="3:6">
      <c r="C2134" s="631"/>
      <c r="D2134" s="631"/>
      <c r="E2134" s="633"/>
      <c r="F2134" s="650"/>
    </row>
    <row r="2135" spans="3:6">
      <c r="C2135" s="631"/>
      <c r="D2135" s="631"/>
      <c r="E2135" s="633"/>
      <c r="F2135" s="650"/>
    </row>
    <row r="2136" spans="3:6">
      <c r="C2136" s="631"/>
      <c r="D2136" s="631"/>
      <c r="E2136" s="633"/>
      <c r="F2136" s="650"/>
    </row>
    <row r="2137" spans="3:6">
      <c r="C2137" s="631"/>
      <c r="D2137" s="631"/>
      <c r="E2137" s="633"/>
      <c r="F2137" s="650"/>
    </row>
    <row r="2138" spans="3:6">
      <c r="C2138" s="631"/>
      <c r="D2138" s="631"/>
      <c r="E2138" s="633"/>
      <c r="F2138" s="650"/>
    </row>
    <row r="2139" spans="3:6">
      <c r="C2139" s="631"/>
      <c r="D2139" s="631"/>
      <c r="E2139" s="633"/>
      <c r="F2139" s="650"/>
    </row>
    <row r="2140" spans="3:6">
      <c r="C2140" s="631"/>
      <c r="D2140" s="631"/>
      <c r="E2140" s="633"/>
      <c r="F2140" s="650"/>
    </row>
    <row r="2141" spans="3:6">
      <c r="C2141" s="631"/>
      <c r="D2141" s="631"/>
      <c r="E2141" s="633"/>
      <c r="F2141" s="650"/>
    </row>
    <row r="2142" spans="3:6">
      <c r="C2142" s="631"/>
      <c r="D2142" s="631"/>
      <c r="E2142" s="633"/>
      <c r="F2142" s="650"/>
    </row>
    <row r="2143" spans="3:6">
      <c r="C2143" s="631"/>
      <c r="D2143" s="631"/>
      <c r="E2143" s="633"/>
      <c r="F2143" s="650"/>
    </row>
    <row r="2144" spans="3:6">
      <c r="C2144" s="631"/>
      <c r="D2144" s="631"/>
      <c r="E2144" s="633"/>
      <c r="F2144" s="650"/>
    </row>
    <row r="2145" spans="3:6">
      <c r="C2145" s="631"/>
      <c r="D2145" s="631"/>
      <c r="E2145" s="633"/>
      <c r="F2145" s="650"/>
    </row>
    <row r="2146" spans="3:6">
      <c r="C2146" s="631"/>
      <c r="D2146" s="631"/>
      <c r="E2146" s="633"/>
      <c r="F2146" s="650"/>
    </row>
    <row r="2147" spans="3:6">
      <c r="C2147" s="631"/>
      <c r="D2147" s="631"/>
      <c r="E2147" s="633"/>
      <c r="F2147" s="650"/>
    </row>
    <row r="2148" spans="3:6">
      <c r="C2148" s="631"/>
      <c r="D2148" s="631"/>
      <c r="E2148" s="633"/>
      <c r="F2148" s="650"/>
    </row>
    <row r="2149" spans="3:6">
      <c r="C2149" s="631"/>
      <c r="D2149" s="631"/>
      <c r="E2149" s="633"/>
      <c r="F2149" s="650"/>
    </row>
    <row r="2150" spans="3:6">
      <c r="C2150" s="631"/>
      <c r="D2150" s="631"/>
      <c r="E2150" s="633"/>
      <c r="F2150" s="650"/>
    </row>
    <row r="2151" spans="3:6">
      <c r="C2151" s="631"/>
      <c r="D2151" s="631"/>
      <c r="E2151" s="633"/>
      <c r="F2151" s="650"/>
    </row>
    <row r="2152" spans="3:6">
      <c r="C2152" s="631"/>
      <c r="D2152" s="631"/>
      <c r="E2152" s="633"/>
      <c r="F2152" s="650"/>
    </row>
    <row r="2153" spans="3:6">
      <c r="C2153" s="631"/>
      <c r="D2153" s="631"/>
      <c r="E2153" s="633"/>
      <c r="F2153" s="650"/>
    </row>
    <row r="2154" spans="3:6">
      <c r="C2154" s="631"/>
      <c r="D2154" s="631"/>
      <c r="E2154" s="633"/>
      <c r="F2154" s="650"/>
    </row>
    <row r="2155" spans="3:6">
      <c r="C2155" s="631"/>
      <c r="D2155" s="631"/>
      <c r="E2155" s="633"/>
      <c r="F2155" s="650"/>
    </row>
    <row r="2156" spans="3:6">
      <c r="C2156" s="631"/>
      <c r="D2156" s="631"/>
      <c r="E2156" s="633"/>
      <c r="F2156" s="650"/>
    </row>
    <row r="2157" spans="3:6">
      <c r="C2157" s="631"/>
      <c r="D2157" s="631"/>
      <c r="E2157" s="633"/>
      <c r="F2157" s="650"/>
    </row>
    <row r="2158" spans="3:6">
      <c r="C2158" s="631"/>
      <c r="D2158" s="631"/>
      <c r="E2158" s="633"/>
      <c r="F2158" s="650"/>
    </row>
    <row r="2159" spans="3:6">
      <c r="C2159" s="631"/>
      <c r="D2159" s="631"/>
      <c r="E2159" s="633"/>
      <c r="F2159" s="650"/>
    </row>
    <row r="2160" spans="3:6">
      <c r="C2160" s="631"/>
      <c r="D2160" s="631"/>
      <c r="E2160" s="633"/>
      <c r="F2160" s="650"/>
    </row>
    <row r="2161" spans="3:6">
      <c r="C2161" s="631"/>
      <c r="D2161" s="631"/>
      <c r="E2161" s="633"/>
      <c r="F2161" s="650"/>
    </row>
    <row r="2162" spans="3:6">
      <c r="C2162" s="631"/>
      <c r="D2162" s="631"/>
      <c r="E2162" s="633"/>
      <c r="F2162" s="650"/>
    </row>
    <row r="2163" spans="3:6">
      <c r="C2163" s="631"/>
      <c r="D2163" s="631"/>
      <c r="E2163" s="633"/>
      <c r="F2163" s="650"/>
    </row>
    <row r="2164" spans="3:6">
      <c r="C2164" s="631"/>
      <c r="D2164" s="631"/>
      <c r="E2164" s="633"/>
      <c r="F2164" s="650"/>
    </row>
    <row r="2165" spans="3:6">
      <c r="C2165" s="631"/>
      <c r="D2165" s="631"/>
      <c r="E2165" s="633"/>
      <c r="F2165" s="650"/>
    </row>
    <row r="2166" spans="3:6">
      <c r="C2166" s="631"/>
      <c r="D2166" s="631"/>
      <c r="E2166" s="633"/>
      <c r="F2166" s="650"/>
    </row>
    <row r="2167" spans="3:6">
      <c r="C2167" s="631"/>
      <c r="D2167" s="631"/>
      <c r="E2167" s="633"/>
      <c r="F2167" s="650"/>
    </row>
    <row r="2168" spans="3:6">
      <c r="C2168" s="631"/>
      <c r="D2168" s="631"/>
      <c r="E2168" s="633"/>
      <c r="F2168" s="650"/>
    </row>
    <row r="2169" spans="3:6">
      <c r="C2169" s="631"/>
      <c r="D2169" s="631"/>
      <c r="E2169" s="633"/>
      <c r="F2169" s="650"/>
    </row>
    <row r="2170" spans="3:6">
      <c r="C2170" s="631"/>
      <c r="D2170" s="631"/>
      <c r="E2170" s="633"/>
      <c r="F2170" s="650"/>
    </row>
    <row r="2171" spans="3:6">
      <c r="C2171" s="631"/>
      <c r="D2171" s="631"/>
      <c r="E2171" s="633"/>
      <c r="F2171" s="650"/>
    </row>
    <row r="2172" spans="3:6">
      <c r="C2172" s="631"/>
      <c r="D2172" s="631"/>
      <c r="E2172" s="633"/>
      <c r="F2172" s="650"/>
    </row>
    <row r="2173" spans="3:6">
      <c r="C2173" s="631"/>
      <c r="D2173" s="631"/>
      <c r="E2173" s="633"/>
      <c r="F2173" s="650"/>
    </row>
    <row r="2174" spans="3:6">
      <c r="C2174" s="631"/>
      <c r="D2174" s="631"/>
      <c r="E2174" s="633"/>
      <c r="F2174" s="650"/>
    </row>
    <row r="2175" spans="3:6">
      <c r="C2175" s="631"/>
      <c r="D2175" s="631"/>
      <c r="E2175" s="633"/>
      <c r="F2175" s="650"/>
    </row>
    <row r="2176" spans="3:6">
      <c r="C2176" s="631"/>
      <c r="D2176" s="631"/>
      <c r="E2176" s="633"/>
      <c r="F2176" s="650"/>
    </row>
    <row r="2177" spans="3:6">
      <c r="C2177" s="631"/>
      <c r="D2177" s="631"/>
      <c r="E2177" s="633"/>
      <c r="F2177" s="650"/>
    </row>
    <row r="2178" spans="3:6">
      <c r="C2178" s="631"/>
      <c r="D2178" s="631"/>
      <c r="E2178" s="633"/>
      <c r="F2178" s="650"/>
    </row>
    <row r="2179" spans="3:6">
      <c r="C2179" s="631"/>
      <c r="D2179" s="631"/>
      <c r="E2179" s="633"/>
      <c r="F2179" s="650"/>
    </row>
    <row r="2180" spans="3:6">
      <c r="C2180" s="631"/>
      <c r="D2180" s="631"/>
      <c r="E2180" s="633"/>
      <c r="F2180" s="650"/>
    </row>
    <row r="2181" spans="3:6">
      <c r="C2181" s="631"/>
      <c r="D2181" s="631"/>
      <c r="E2181" s="633"/>
      <c r="F2181" s="650"/>
    </row>
    <row r="2182" spans="3:6">
      <c r="C2182" s="631"/>
      <c r="D2182" s="631"/>
      <c r="E2182" s="633"/>
      <c r="F2182" s="650"/>
    </row>
    <row r="2183" spans="3:6">
      <c r="C2183" s="631"/>
      <c r="D2183" s="631"/>
      <c r="E2183" s="633"/>
      <c r="F2183" s="650"/>
    </row>
    <row r="2184" spans="3:6">
      <c r="C2184" s="631"/>
      <c r="D2184" s="631"/>
      <c r="E2184" s="633"/>
      <c r="F2184" s="650"/>
    </row>
    <row r="2185" spans="3:6">
      <c r="C2185" s="631"/>
      <c r="D2185" s="631"/>
      <c r="E2185" s="633"/>
      <c r="F2185" s="650"/>
    </row>
    <row r="2186" spans="3:6">
      <c r="C2186" s="631"/>
      <c r="D2186" s="631"/>
      <c r="E2186" s="633"/>
      <c r="F2186" s="650"/>
    </row>
    <row r="2187" spans="3:6">
      <c r="C2187" s="631"/>
      <c r="D2187" s="631"/>
      <c r="E2187" s="633"/>
      <c r="F2187" s="650"/>
    </row>
    <row r="2188" spans="3:6">
      <c r="C2188" s="631"/>
      <c r="D2188" s="631"/>
      <c r="E2188" s="633"/>
      <c r="F2188" s="650"/>
    </row>
    <row r="2189" spans="3:6">
      <c r="C2189" s="631"/>
      <c r="D2189" s="631"/>
      <c r="E2189" s="633"/>
      <c r="F2189" s="650"/>
    </row>
    <row r="2190" spans="3:6">
      <c r="C2190" s="631"/>
      <c r="D2190" s="631"/>
      <c r="E2190" s="633"/>
      <c r="F2190" s="650"/>
    </row>
    <row r="2191" spans="3:6">
      <c r="C2191" s="631"/>
      <c r="D2191" s="631"/>
      <c r="E2191" s="633"/>
      <c r="F2191" s="650"/>
    </row>
    <row r="2192" spans="3:6">
      <c r="C2192" s="631"/>
      <c r="D2192" s="631"/>
      <c r="E2192" s="633"/>
      <c r="F2192" s="650"/>
    </row>
    <row r="2193" spans="3:6">
      <c r="C2193" s="631"/>
      <c r="D2193" s="631"/>
      <c r="E2193" s="633"/>
      <c r="F2193" s="650"/>
    </row>
    <row r="2194" spans="3:6">
      <c r="C2194" s="631"/>
      <c r="D2194" s="631"/>
      <c r="E2194" s="633"/>
      <c r="F2194" s="650"/>
    </row>
    <row r="2195" spans="3:6">
      <c r="C2195" s="631"/>
      <c r="D2195" s="631"/>
      <c r="E2195" s="633"/>
      <c r="F2195" s="650"/>
    </row>
    <row r="2196" spans="3:6">
      <c r="C2196" s="631"/>
      <c r="D2196" s="631"/>
      <c r="E2196" s="633"/>
      <c r="F2196" s="650"/>
    </row>
    <row r="2197" spans="3:6">
      <c r="C2197" s="631"/>
      <c r="D2197" s="631"/>
      <c r="E2197" s="633"/>
      <c r="F2197" s="650"/>
    </row>
    <row r="2198" spans="3:6">
      <c r="C2198" s="631"/>
      <c r="D2198" s="631"/>
      <c r="E2198" s="633"/>
      <c r="F2198" s="650"/>
    </row>
    <row r="2199" spans="3:6">
      <c r="C2199" s="631"/>
      <c r="D2199" s="631"/>
      <c r="E2199" s="633"/>
      <c r="F2199" s="650"/>
    </row>
    <row r="2200" spans="3:6">
      <c r="C2200" s="631"/>
      <c r="D2200" s="631"/>
      <c r="E2200" s="633"/>
      <c r="F2200" s="650"/>
    </row>
    <row r="2201" spans="3:6">
      <c r="C2201" s="631"/>
      <c r="D2201" s="631"/>
      <c r="E2201" s="633"/>
      <c r="F2201" s="650"/>
    </row>
    <row r="2202" spans="3:6">
      <c r="C2202" s="631"/>
      <c r="D2202" s="631"/>
      <c r="E2202" s="633"/>
      <c r="F2202" s="650"/>
    </row>
    <row r="2203" spans="3:6">
      <c r="C2203" s="631"/>
      <c r="D2203" s="631"/>
      <c r="E2203" s="633"/>
      <c r="F2203" s="650"/>
    </row>
    <row r="2204" spans="3:6">
      <c r="C2204" s="631"/>
      <c r="D2204" s="631"/>
      <c r="E2204" s="633"/>
      <c r="F2204" s="650"/>
    </row>
    <row r="2205" spans="3:6">
      <c r="C2205" s="631"/>
      <c r="D2205" s="631"/>
      <c r="E2205" s="633"/>
      <c r="F2205" s="650"/>
    </row>
    <row r="2206" spans="3:6">
      <c r="C2206" s="631"/>
      <c r="D2206" s="631"/>
      <c r="E2206" s="633"/>
      <c r="F2206" s="650"/>
    </row>
    <row r="2207" spans="3:6">
      <c r="C2207" s="631"/>
      <c r="D2207" s="631"/>
      <c r="E2207" s="633"/>
      <c r="F2207" s="650"/>
    </row>
    <row r="2208" spans="3:6">
      <c r="C2208" s="631"/>
      <c r="D2208" s="631"/>
      <c r="E2208" s="633"/>
      <c r="F2208" s="650"/>
    </row>
    <row r="2209" spans="3:6">
      <c r="C2209" s="631"/>
      <c r="D2209" s="631"/>
      <c r="E2209" s="633"/>
      <c r="F2209" s="650"/>
    </row>
    <row r="2210" spans="3:6">
      <c r="C2210" s="631"/>
      <c r="D2210" s="631"/>
      <c r="E2210" s="633"/>
      <c r="F2210" s="650"/>
    </row>
    <row r="2211" spans="3:6">
      <c r="C2211" s="631"/>
      <c r="D2211" s="631"/>
      <c r="E2211" s="633"/>
      <c r="F2211" s="650"/>
    </row>
    <row r="2212" spans="3:6">
      <c r="C2212" s="631"/>
      <c r="D2212" s="631"/>
      <c r="E2212" s="633"/>
      <c r="F2212" s="650"/>
    </row>
    <row r="2213" spans="3:6">
      <c r="C2213" s="631"/>
      <c r="D2213" s="631"/>
      <c r="E2213" s="633"/>
      <c r="F2213" s="650"/>
    </row>
    <row r="2214" spans="3:6">
      <c r="C2214" s="631"/>
      <c r="D2214" s="631"/>
      <c r="E2214" s="633"/>
      <c r="F2214" s="650"/>
    </row>
    <row r="2215" spans="3:6">
      <c r="C2215" s="631"/>
      <c r="D2215" s="631"/>
      <c r="E2215" s="633"/>
      <c r="F2215" s="650"/>
    </row>
    <row r="2216" spans="3:6">
      <c r="C2216" s="631"/>
      <c r="D2216" s="631"/>
      <c r="E2216" s="633"/>
      <c r="F2216" s="650"/>
    </row>
    <row r="2217" spans="3:6">
      <c r="C2217" s="631"/>
      <c r="D2217" s="631"/>
      <c r="E2217" s="633"/>
      <c r="F2217" s="650"/>
    </row>
    <row r="2218" spans="3:6">
      <c r="C2218" s="631"/>
      <c r="D2218" s="631"/>
      <c r="E2218" s="633"/>
      <c r="F2218" s="650"/>
    </row>
    <row r="2219" spans="3:6">
      <c r="C2219" s="631"/>
      <c r="D2219" s="631"/>
      <c r="E2219" s="633"/>
      <c r="F2219" s="650"/>
    </row>
    <row r="2220" spans="3:6">
      <c r="C2220" s="631"/>
      <c r="D2220" s="631"/>
      <c r="E2220" s="633"/>
      <c r="F2220" s="650"/>
    </row>
    <row r="2221" spans="3:6">
      <c r="C2221" s="631"/>
      <c r="D2221" s="631"/>
      <c r="E2221" s="633"/>
      <c r="F2221" s="650"/>
    </row>
    <row r="2222" spans="3:6">
      <c r="C2222" s="631"/>
      <c r="D2222" s="631"/>
      <c r="E2222" s="633"/>
      <c r="F2222" s="650"/>
    </row>
    <row r="2223" spans="3:6">
      <c r="C2223" s="631"/>
      <c r="D2223" s="631"/>
      <c r="E2223" s="633"/>
      <c r="F2223" s="650"/>
    </row>
    <row r="2224" spans="3:6">
      <c r="C2224" s="631"/>
      <c r="D2224" s="631"/>
      <c r="E2224" s="633"/>
      <c r="F2224" s="650"/>
    </row>
    <row r="2225" spans="3:6">
      <c r="C2225" s="631"/>
      <c r="D2225" s="631"/>
      <c r="E2225" s="633"/>
      <c r="F2225" s="650"/>
    </row>
    <row r="2226" spans="3:6">
      <c r="C2226" s="631"/>
      <c r="D2226" s="631"/>
      <c r="E2226" s="633"/>
      <c r="F2226" s="650"/>
    </row>
    <row r="2227" spans="3:6">
      <c r="C2227" s="631"/>
      <c r="D2227" s="631"/>
      <c r="E2227" s="633"/>
      <c r="F2227" s="650"/>
    </row>
    <row r="2228" spans="3:6">
      <c r="C2228" s="631"/>
      <c r="D2228" s="631"/>
      <c r="E2228" s="633"/>
      <c r="F2228" s="650"/>
    </row>
    <row r="2229" spans="3:6">
      <c r="C2229" s="631"/>
      <c r="D2229" s="631"/>
      <c r="E2229" s="633"/>
      <c r="F2229" s="650"/>
    </row>
    <row r="2230" spans="3:6">
      <c r="C2230" s="631"/>
      <c r="D2230" s="631"/>
      <c r="E2230" s="633"/>
      <c r="F2230" s="650"/>
    </row>
    <row r="2231" spans="3:6">
      <c r="C2231" s="631"/>
      <c r="D2231" s="631"/>
      <c r="E2231" s="633"/>
      <c r="F2231" s="650"/>
    </row>
    <row r="2232" spans="3:6">
      <c r="C2232" s="631"/>
      <c r="D2232" s="631"/>
      <c r="E2232" s="633"/>
      <c r="F2232" s="650"/>
    </row>
    <row r="2233" spans="3:6">
      <c r="C2233" s="631"/>
      <c r="D2233" s="631"/>
      <c r="E2233" s="633"/>
      <c r="F2233" s="650"/>
    </row>
    <row r="2234" spans="3:6">
      <c r="C2234" s="631"/>
      <c r="D2234" s="631"/>
      <c r="E2234" s="633"/>
      <c r="F2234" s="650"/>
    </row>
    <row r="2235" spans="3:6">
      <c r="C2235" s="631"/>
      <c r="D2235" s="631"/>
      <c r="E2235" s="633"/>
      <c r="F2235" s="650"/>
    </row>
    <row r="2236" spans="3:6">
      <c r="C2236" s="631"/>
      <c r="D2236" s="631"/>
      <c r="E2236" s="633"/>
      <c r="F2236" s="650"/>
    </row>
    <row r="2237" spans="3:6">
      <c r="C2237" s="631"/>
      <c r="D2237" s="631"/>
      <c r="E2237" s="633"/>
      <c r="F2237" s="650"/>
    </row>
    <row r="2238" spans="3:6">
      <c r="C2238" s="631"/>
      <c r="D2238" s="631"/>
      <c r="E2238" s="633"/>
      <c r="F2238" s="650"/>
    </row>
    <row r="2239" spans="3:6">
      <c r="C2239" s="631"/>
      <c r="D2239" s="631"/>
      <c r="E2239" s="633"/>
      <c r="F2239" s="650"/>
    </row>
    <row r="2240" spans="3:6">
      <c r="C2240" s="631"/>
      <c r="D2240" s="631"/>
      <c r="E2240" s="633"/>
      <c r="F2240" s="650"/>
    </row>
    <row r="2241" spans="3:6">
      <c r="C2241" s="631"/>
      <c r="D2241" s="631"/>
      <c r="E2241" s="633"/>
      <c r="F2241" s="650"/>
    </row>
    <row r="2242" spans="3:6">
      <c r="C2242" s="631"/>
      <c r="D2242" s="631"/>
      <c r="E2242" s="633"/>
      <c r="F2242" s="650"/>
    </row>
    <row r="2243" spans="3:6">
      <c r="C2243" s="631"/>
      <c r="D2243" s="631"/>
      <c r="E2243" s="633"/>
      <c r="F2243" s="650"/>
    </row>
    <row r="2244" spans="3:6">
      <c r="C2244" s="631"/>
      <c r="D2244" s="631"/>
      <c r="E2244" s="633"/>
      <c r="F2244" s="650"/>
    </row>
    <row r="2245" spans="3:6">
      <c r="C2245" s="631"/>
      <c r="D2245" s="631"/>
      <c r="E2245" s="633"/>
      <c r="F2245" s="650"/>
    </row>
    <row r="2246" spans="3:6">
      <c r="C2246" s="631"/>
      <c r="D2246" s="631"/>
      <c r="E2246" s="633"/>
      <c r="F2246" s="650"/>
    </row>
    <row r="2247" spans="3:6">
      <c r="C2247" s="631"/>
      <c r="D2247" s="631"/>
      <c r="E2247" s="633"/>
      <c r="F2247" s="650"/>
    </row>
    <row r="2248" spans="3:6">
      <c r="C2248" s="631"/>
      <c r="D2248" s="631"/>
      <c r="E2248" s="633"/>
      <c r="F2248" s="650"/>
    </row>
    <row r="2249" spans="3:6">
      <c r="C2249" s="631"/>
      <c r="D2249" s="631"/>
      <c r="E2249" s="633"/>
      <c r="F2249" s="650"/>
    </row>
    <row r="2250" spans="3:6">
      <c r="C2250" s="631"/>
      <c r="D2250" s="631"/>
      <c r="E2250" s="633"/>
      <c r="F2250" s="650"/>
    </row>
    <row r="2251" spans="3:6">
      <c r="C2251" s="631"/>
      <c r="D2251" s="631"/>
      <c r="E2251" s="633"/>
      <c r="F2251" s="650"/>
    </row>
    <row r="2252" spans="3:6">
      <c r="C2252" s="631"/>
      <c r="D2252" s="631"/>
      <c r="E2252" s="633"/>
      <c r="F2252" s="650"/>
    </row>
    <row r="2253" spans="3:6">
      <c r="C2253" s="631"/>
      <c r="D2253" s="631"/>
      <c r="E2253" s="633"/>
      <c r="F2253" s="650"/>
    </row>
    <row r="2254" spans="3:6">
      <c r="C2254" s="631"/>
      <c r="D2254" s="631"/>
      <c r="E2254" s="633"/>
      <c r="F2254" s="650"/>
    </row>
    <row r="2255" spans="3:6">
      <c r="C2255" s="631"/>
      <c r="D2255" s="631"/>
      <c r="E2255" s="633"/>
      <c r="F2255" s="650"/>
    </row>
    <row r="2256" spans="3:6">
      <c r="C2256" s="631"/>
      <c r="D2256" s="631"/>
      <c r="E2256" s="633"/>
      <c r="F2256" s="650"/>
    </row>
    <row r="2257" spans="3:6">
      <c r="C2257" s="631"/>
      <c r="D2257" s="631"/>
      <c r="E2257" s="633"/>
      <c r="F2257" s="650"/>
    </row>
    <row r="2258" spans="3:6">
      <c r="C2258" s="631"/>
      <c r="D2258" s="631"/>
      <c r="E2258" s="633"/>
      <c r="F2258" s="650"/>
    </row>
    <row r="2259" spans="3:6">
      <c r="C2259" s="631"/>
      <c r="D2259" s="631"/>
      <c r="E2259" s="633"/>
      <c r="F2259" s="650"/>
    </row>
    <row r="2260" spans="3:6">
      <c r="C2260" s="631"/>
      <c r="D2260" s="631"/>
      <c r="E2260" s="633"/>
      <c r="F2260" s="650"/>
    </row>
    <row r="2261" spans="3:6">
      <c r="C2261" s="631"/>
      <c r="D2261" s="631"/>
      <c r="E2261" s="633"/>
      <c r="F2261" s="650"/>
    </row>
    <row r="2262" spans="3:6">
      <c r="C2262" s="631"/>
      <c r="D2262" s="631"/>
      <c r="E2262" s="633"/>
      <c r="F2262" s="650"/>
    </row>
    <row r="2263" spans="3:6">
      <c r="C2263" s="631"/>
      <c r="D2263" s="631"/>
      <c r="E2263" s="633"/>
      <c r="F2263" s="650"/>
    </row>
    <row r="2264" spans="3:6">
      <c r="C2264" s="631"/>
      <c r="D2264" s="631"/>
      <c r="E2264" s="633"/>
      <c r="F2264" s="650"/>
    </row>
    <row r="2265" spans="3:6">
      <c r="C2265" s="631"/>
      <c r="D2265" s="631"/>
      <c r="E2265" s="633"/>
      <c r="F2265" s="650"/>
    </row>
    <row r="2266" spans="3:6">
      <c r="C2266" s="631"/>
      <c r="D2266" s="631"/>
      <c r="E2266" s="633"/>
      <c r="F2266" s="650"/>
    </row>
    <row r="2267" spans="3:6">
      <c r="C2267" s="631"/>
      <c r="D2267" s="631"/>
      <c r="E2267" s="633"/>
      <c r="F2267" s="650"/>
    </row>
    <row r="2268" spans="3:6">
      <c r="C2268" s="631"/>
      <c r="D2268" s="631"/>
      <c r="E2268" s="633"/>
      <c r="F2268" s="650"/>
    </row>
    <row r="2269" spans="3:6">
      <c r="C2269" s="631"/>
      <c r="D2269" s="631"/>
      <c r="E2269" s="633"/>
      <c r="F2269" s="650"/>
    </row>
    <row r="2270" spans="3:6">
      <c r="C2270" s="631"/>
      <c r="D2270" s="631"/>
      <c r="E2270" s="633"/>
      <c r="F2270" s="650"/>
    </row>
    <row r="2271" spans="3:6">
      <c r="C2271" s="631"/>
      <c r="D2271" s="631"/>
      <c r="E2271" s="633"/>
      <c r="F2271" s="650"/>
    </row>
    <row r="2272" spans="3:6">
      <c r="C2272" s="631"/>
      <c r="D2272" s="631"/>
      <c r="E2272" s="633"/>
      <c r="F2272" s="650"/>
    </row>
    <row r="2273" spans="3:6">
      <c r="C2273" s="631"/>
      <c r="D2273" s="631"/>
      <c r="E2273" s="633"/>
      <c r="F2273" s="650"/>
    </row>
    <row r="2274" spans="3:6">
      <c r="C2274" s="631"/>
      <c r="D2274" s="631"/>
      <c r="E2274" s="633"/>
      <c r="F2274" s="650"/>
    </row>
    <row r="2275" spans="3:6">
      <c r="C2275" s="631"/>
      <c r="D2275" s="631"/>
      <c r="E2275" s="633"/>
      <c r="F2275" s="650"/>
    </row>
    <row r="2276" spans="3:6">
      <c r="C2276" s="631"/>
      <c r="D2276" s="631"/>
      <c r="E2276" s="633"/>
      <c r="F2276" s="650"/>
    </row>
    <row r="2277" spans="3:6">
      <c r="C2277" s="631"/>
      <c r="D2277" s="631"/>
      <c r="E2277" s="633"/>
      <c r="F2277" s="650"/>
    </row>
    <row r="2278" spans="3:6">
      <c r="C2278" s="631"/>
      <c r="D2278" s="631"/>
      <c r="E2278" s="633"/>
      <c r="F2278" s="650"/>
    </row>
    <row r="2279" spans="3:6">
      <c r="C2279" s="631"/>
      <c r="D2279" s="631"/>
      <c r="E2279" s="633"/>
      <c r="F2279" s="650"/>
    </row>
    <row r="2280" spans="3:6">
      <c r="C2280" s="631"/>
      <c r="D2280" s="631"/>
      <c r="E2280" s="633"/>
      <c r="F2280" s="650"/>
    </row>
    <row r="2281" spans="3:6">
      <c r="C2281" s="631"/>
      <c r="D2281" s="631"/>
      <c r="E2281" s="633"/>
      <c r="F2281" s="650"/>
    </row>
    <row r="2282" spans="3:6">
      <c r="C2282" s="631"/>
      <c r="D2282" s="631"/>
      <c r="E2282" s="633"/>
      <c r="F2282" s="650"/>
    </row>
    <row r="2283" spans="3:6">
      <c r="C2283" s="631"/>
      <c r="D2283" s="631"/>
      <c r="E2283" s="633"/>
      <c r="F2283" s="650"/>
    </row>
    <row r="2284" spans="3:6">
      <c r="C2284" s="631"/>
      <c r="D2284" s="631"/>
      <c r="E2284" s="633"/>
      <c r="F2284" s="650"/>
    </row>
    <row r="2285" spans="3:6">
      <c r="C2285" s="631"/>
      <c r="D2285" s="631"/>
      <c r="E2285" s="633"/>
      <c r="F2285" s="650"/>
    </row>
    <row r="2286" spans="3:6">
      <c r="C2286" s="631"/>
      <c r="D2286" s="631"/>
      <c r="E2286" s="633"/>
      <c r="F2286" s="650"/>
    </row>
    <row r="2287" spans="3:6">
      <c r="C2287" s="631"/>
      <c r="D2287" s="631"/>
      <c r="E2287" s="633"/>
      <c r="F2287" s="650"/>
    </row>
    <row r="2288" spans="3:6">
      <c r="C2288" s="631"/>
      <c r="D2288" s="631"/>
      <c r="E2288" s="633"/>
      <c r="F2288" s="650"/>
    </row>
    <row r="2289" spans="3:6">
      <c r="C2289" s="631"/>
      <c r="D2289" s="631"/>
      <c r="E2289" s="633"/>
      <c r="F2289" s="650"/>
    </row>
    <row r="2290" spans="3:6">
      <c r="C2290" s="631"/>
      <c r="D2290" s="631"/>
      <c r="E2290" s="633"/>
      <c r="F2290" s="650"/>
    </row>
    <row r="2291" spans="3:6">
      <c r="C2291" s="631"/>
      <c r="D2291" s="631"/>
      <c r="E2291" s="633"/>
      <c r="F2291" s="650"/>
    </row>
    <row r="2292" spans="3:6">
      <c r="C2292" s="631"/>
      <c r="D2292" s="631"/>
      <c r="E2292" s="633"/>
      <c r="F2292" s="650"/>
    </row>
    <row r="2293" spans="3:6">
      <c r="C2293" s="631"/>
      <c r="D2293" s="631"/>
      <c r="E2293" s="633"/>
      <c r="F2293" s="650"/>
    </row>
    <row r="2294" spans="3:6">
      <c r="C2294" s="631"/>
      <c r="D2294" s="631"/>
      <c r="E2294" s="633"/>
      <c r="F2294" s="650"/>
    </row>
    <row r="2295" spans="3:6">
      <c r="C2295" s="631"/>
      <c r="D2295" s="631"/>
      <c r="E2295" s="633"/>
      <c r="F2295" s="650"/>
    </row>
    <row r="2296" spans="3:6">
      <c r="C2296" s="631"/>
      <c r="D2296" s="631"/>
      <c r="E2296" s="633"/>
      <c r="F2296" s="650"/>
    </row>
    <row r="2297" spans="3:6">
      <c r="C2297" s="631"/>
      <c r="D2297" s="631"/>
      <c r="E2297" s="633"/>
      <c r="F2297" s="650"/>
    </row>
    <row r="2298" spans="3:6">
      <c r="C2298" s="631"/>
      <c r="D2298" s="631"/>
      <c r="E2298" s="633"/>
      <c r="F2298" s="650"/>
    </row>
    <row r="2299" spans="3:6">
      <c r="C2299" s="631"/>
      <c r="D2299" s="631"/>
      <c r="E2299" s="633"/>
      <c r="F2299" s="650"/>
    </row>
    <row r="2300" spans="3:6">
      <c r="C2300" s="631"/>
      <c r="D2300" s="631"/>
      <c r="E2300" s="633"/>
      <c r="F2300" s="650"/>
    </row>
    <row r="2301" spans="3:6">
      <c r="C2301" s="631"/>
      <c r="D2301" s="631"/>
      <c r="E2301" s="633"/>
      <c r="F2301" s="650"/>
    </row>
    <row r="2302" spans="3:6">
      <c r="C2302" s="631"/>
      <c r="D2302" s="631"/>
      <c r="E2302" s="633"/>
      <c r="F2302" s="650"/>
    </row>
    <row r="2303" spans="3:6">
      <c r="C2303" s="631"/>
      <c r="D2303" s="631"/>
      <c r="E2303" s="633"/>
      <c r="F2303" s="650"/>
    </row>
    <row r="2304" spans="3:6">
      <c r="C2304" s="631"/>
      <c r="D2304" s="631"/>
      <c r="E2304" s="633"/>
      <c r="F2304" s="650"/>
    </row>
    <row r="2305" spans="3:6">
      <c r="C2305" s="631"/>
      <c r="D2305" s="631"/>
      <c r="E2305" s="633"/>
      <c r="F2305" s="650"/>
    </row>
    <row r="2306" spans="3:6">
      <c r="C2306" s="631"/>
      <c r="D2306" s="631"/>
      <c r="E2306" s="633"/>
      <c r="F2306" s="650"/>
    </row>
    <row r="2307" spans="3:6">
      <c r="C2307" s="631"/>
      <c r="D2307" s="631"/>
      <c r="E2307" s="633"/>
      <c r="F2307" s="650"/>
    </row>
    <row r="2308" spans="3:6">
      <c r="C2308" s="631"/>
      <c r="D2308" s="631"/>
      <c r="E2308" s="633"/>
      <c r="F2308" s="650"/>
    </row>
    <row r="2309" spans="3:6">
      <c r="C2309" s="631"/>
      <c r="D2309" s="631"/>
      <c r="E2309" s="633"/>
      <c r="F2309" s="650"/>
    </row>
    <row r="2310" spans="3:6">
      <c r="C2310" s="631"/>
      <c r="D2310" s="631"/>
      <c r="E2310" s="633"/>
      <c r="F2310" s="650"/>
    </row>
    <row r="2311" spans="3:6">
      <c r="C2311" s="631"/>
      <c r="D2311" s="631"/>
      <c r="E2311" s="633"/>
      <c r="F2311" s="650"/>
    </row>
    <row r="2312" spans="3:6">
      <c r="C2312" s="631"/>
      <c r="D2312" s="631"/>
      <c r="E2312" s="633"/>
      <c r="F2312" s="650"/>
    </row>
    <row r="2313" spans="3:6">
      <c r="C2313" s="631"/>
      <c r="D2313" s="631"/>
      <c r="E2313" s="633"/>
      <c r="F2313" s="650"/>
    </row>
    <row r="2314" spans="3:6">
      <c r="C2314" s="631"/>
      <c r="D2314" s="631"/>
      <c r="E2314" s="633"/>
      <c r="F2314" s="650"/>
    </row>
    <row r="2315" spans="3:6">
      <c r="C2315" s="631"/>
      <c r="D2315" s="631"/>
      <c r="E2315" s="633"/>
      <c r="F2315" s="650"/>
    </row>
    <row r="2316" spans="3:6">
      <c r="C2316" s="631"/>
      <c r="D2316" s="631"/>
      <c r="E2316" s="633"/>
      <c r="F2316" s="650"/>
    </row>
    <row r="2317" spans="3:6">
      <c r="C2317" s="631"/>
      <c r="D2317" s="631"/>
      <c r="E2317" s="633"/>
      <c r="F2317" s="650"/>
    </row>
    <row r="2318" spans="3:6">
      <c r="C2318" s="631"/>
      <c r="D2318" s="631"/>
      <c r="E2318" s="633"/>
      <c r="F2318" s="650"/>
    </row>
    <row r="2319" spans="3:6">
      <c r="C2319" s="631"/>
      <c r="D2319" s="631"/>
      <c r="E2319" s="633"/>
      <c r="F2319" s="650"/>
    </row>
    <row r="2320" spans="3:6">
      <c r="C2320" s="631"/>
      <c r="D2320" s="631"/>
      <c r="E2320" s="633"/>
      <c r="F2320" s="650"/>
    </row>
    <row r="2321" spans="3:6">
      <c r="C2321" s="631"/>
      <c r="D2321" s="631"/>
      <c r="E2321" s="633"/>
      <c r="F2321" s="650"/>
    </row>
    <row r="2322" spans="3:6">
      <c r="C2322" s="631"/>
      <c r="D2322" s="631"/>
      <c r="E2322" s="633"/>
      <c r="F2322" s="650"/>
    </row>
    <row r="2323" spans="3:6">
      <c r="C2323" s="631"/>
      <c r="D2323" s="631"/>
      <c r="E2323" s="633"/>
      <c r="F2323" s="650"/>
    </row>
    <row r="2324" spans="3:6">
      <c r="C2324" s="631"/>
      <c r="D2324" s="631"/>
      <c r="E2324" s="633"/>
      <c r="F2324" s="650"/>
    </row>
    <row r="2325" spans="3:6">
      <c r="C2325" s="631"/>
      <c r="D2325" s="631"/>
      <c r="E2325" s="633"/>
      <c r="F2325" s="650"/>
    </row>
    <row r="2326" spans="3:6">
      <c r="C2326" s="631"/>
      <c r="D2326" s="631"/>
      <c r="E2326" s="633"/>
      <c r="F2326" s="650"/>
    </row>
    <row r="2327" spans="3:6">
      <c r="C2327" s="631"/>
      <c r="D2327" s="631"/>
      <c r="E2327" s="633"/>
      <c r="F2327" s="650"/>
    </row>
    <row r="2328" spans="3:6">
      <c r="C2328" s="631"/>
      <c r="D2328" s="631"/>
      <c r="E2328" s="633"/>
      <c r="F2328" s="650"/>
    </row>
    <row r="2329" spans="3:6">
      <c r="C2329" s="631"/>
      <c r="D2329" s="631"/>
      <c r="E2329" s="633"/>
      <c r="F2329" s="650"/>
    </row>
    <row r="2330" spans="3:6">
      <c r="C2330" s="631"/>
      <c r="D2330" s="631"/>
      <c r="E2330" s="633"/>
      <c r="F2330" s="650"/>
    </row>
    <row r="2331" spans="3:6">
      <c r="C2331" s="631"/>
      <c r="D2331" s="631"/>
      <c r="E2331" s="633"/>
      <c r="F2331" s="650"/>
    </row>
    <row r="2332" spans="3:6">
      <c r="C2332" s="631"/>
      <c r="D2332" s="631"/>
      <c r="E2332" s="633"/>
      <c r="F2332" s="650"/>
    </row>
    <row r="2333" spans="3:6">
      <c r="C2333" s="631"/>
      <c r="D2333" s="631"/>
      <c r="E2333" s="633"/>
      <c r="F2333" s="650"/>
    </row>
    <row r="2334" spans="3:6">
      <c r="C2334" s="631"/>
      <c r="D2334" s="631"/>
      <c r="E2334" s="633"/>
      <c r="F2334" s="650"/>
    </row>
    <row r="2335" spans="3:6">
      <c r="C2335" s="631"/>
      <c r="D2335" s="631"/>
      <c r="E2335" s="633"/>
      <c r="F2335" s="650"/>
    </row>
    <row r="2336" spans="3:6">
      <c r="C2336" s="631"/>
      <c r="D2336" s="631"/>
      <c r="E2336" s="633"/>
      <c r="F2336" s="650"/>
    </row>
    <row r="2337" spans="3:6">
      <c r="C2337" s="631"/>
      <c r="D2337" s="631"/>
      <c r="E2337" s="633"/>
      <c r="F2337" s="650"/>
    </row>
    <row r="2338" spans="3:6">
      <c r="C2338" s="631"/>
      <c r="D2338" s="631"/>
      <c r="E2338" s="633"/>
      <c r="F2338" s="650"/>
    </row>
    <row r="2339" spans="3:6">
      <c r="C2339" s="631"/>
      <c r="D2339" s="631"/>
      <c r="E2339" s="633"/>
      <c r="F2339" s="650"/>
    </row>
    <row r="2340" spans="3:6">
      <c r="C2340" s="631"/>
      <c r="D2340" s="631"/>
      <c r="E2340" s="633"/>
      <c r="F2340" s="650"/>
    </row>
    <row r="2341" spans="3:6">
      <c r="C2341" s="631"/>
      <c r="D2341" s="631"/>
      <c r="E2341" s="633"/>
      <c r="F2341" s="650"/>
    </row>
    <row r="2342" spans="3:6">
      <c r="C2342" s="631"/>
      <c r="D2342" s="631"/>
      <c r="E2342" s="633"/>
      <c r="F2342" s="650"/>
    </row>
    <row r="2343" spans="3:6">
      <c r="C2343" s="631"/>
      <c r="D2343" s="631"/>
      <c r="E2343" s="633"/>
      <c r="F2343" s="650"/>
    </row>
    <row r="2344" spans="3:6">
      <c r="C2344" s="631"/>
      <c r="D2344" s="631"/>
      <c r="E2344" s="633"/>
      <c r="F2344" s="650"/>
    </row>
    <row r="2345" spans="3:6">
      <c r="C2345" s="631"/>
      <c r="D2345" s="631"/>
      <c r="E2345" s="633"/>
      <c r="F2345" s="650"/>
    </row>
    <row r="2346" spans="3:6">
      <c r="C2346" s="631"/>
      <c r="D2346" s="631"/>
      <c r="E2346" s="633"/>
      <c r="F2346" s="650"/>
    </row>
    <row r="2347" spans="3:6">
      <c r="C2347" s="631"/>
      <c r="D2347" s="631"/>
      <c r="E2347" s="633"/>
      <c r="F2347" s="650"/>
    </row>
    <row r="2348" spans="3:6">
      <c r="C2348" s="631"/>
      <c r="D2348" s="631"/>
      <c r="E2348" s="633"/>
      <c r="F2348" s="650"/>
    </row>
    <row r="2349" spans="3:6">
      <c r="C2349" s="631"/>
      <c r="D2349" s="631"/>
      <c r="E2349" s="633"/>
      <c r="F2349" s="650"/>
    </row>
    <row r="2350" spans="3:6">
      <c r="C2350" s="631"/>
      <c r="D2350" s="631"/>
      <c r="E2350" s="633"/>
      <c r="F2350" s="650"/>
    </row>
    <row r="2351" spans="3:6">
      <c r="C2351" s="631"/>
      <c r="D2351" s="631"/>
      <c r="E2351" s="633"/>
      <c r="F2351" s="650"/>
    </row>
    <row r="2352" spans="3:6">
      <c r="C2352" s="631"/>
      <c r="D2352" s="631"/>
      <c r="E2352" s="633"/>
      <c r="F2352" s="650"/>
    </row>
    <row r="2353" spans="3:6">
      <c r="C2353" s="631"/>
      <c r="D2353" s="631"/>
      <c r="E2353" s="633"/>
      <c r="F2353" s="650"/>
    </row>
    <row r="2354" spans="3:6">
      <c r="C2354" s="631"/>
      <c r="D2354" s="631"/>
      <c r="E2354" s="633"/>
      <c r="F2354" s="650"/>
    </row>
    <row r="2355" spans="3:6">
      <c r="C2355" s="631"/>
      <c r="D2355" s="631"/>
      <c r="E2355" s="633"/>
      <c r="F2355" s="650"/>
    </row>
    <row r="2356" spans="3:6">
      <c r="C2356" s="631"/>
      <c r="D2356" s="631"/>
      <c r="E2356" s="633"/>
      <c r="F2356" s="650"/>
    </row>
    <row r="2357" spans="3:6">
      <c r="C2357" s="631"/>
      <c r="D2357" s="631"/>
      <c r="E2357" s="633"/>
      <c r="F2357" s="650"/>
    </row>
    <row r="2358" spans="3:6">
      <c r="C2358" s="631"/>
      <c r="D2358" s="631"/>
      <c r="E2358" s="633"/>
      <c r="F2358" s="650"/>
    </row>
    <row r="2359" spans="3:6">
      <c r="C2359" s="631"/>
      <c r="D2359" s="631"/>
      <c r="E2359" s="633"/>
      <c r="F2359" s="650"/>
    </row>
    <row r="2360" spans="3:6">
      <c r="C2360" s="631"/>
      <c r="D2360" s="631"/>
      <c r="E2360" s="633"/>
      <c r="F2360" s="650"/>
    </row>
    <row r="2361" spans="3:6">
      <c r="C2361" s="631"/>
      <c r="D2361" s="631"/>
      <c r="E2361" s="633"/>
      <c r="F2361" s="650"/>
    </row>
    <row r="2362" spans="3:6">
      <c r="C2362" s="631"/>
      <c r="D2362" s="631"/>
      <c r="E2362" s="633"/>
      <c r="F2362" s="650"/>
    </row>
    <row r="2363" spans="3:6">
      <c r="C2363" s="631"/>
      <c r="D2363" s="631"/>
      <c r="E2363" s="633"/>
      <c r="F2363" s="650"/>
    </row>
    <row r="2364" spans="3:6">
      <c r="C2364" s="631"/>
      <c r="D2364" s="631"/>
      <c r="E2364" s="633"/>
      <c r="F2364" s="650"/>
    </row>
    <row r="2365" spans="3:6">
      <c r="C2365" s="631"/>
      <c r="D2365" s="631"/>
      <c r="E2365" s="633"/>
      <c r="F2365" s="650"/>
    </row>
    <row r="2366" spans="3:6">
      <c r="C2366" s="631"/>
      <c r="D2366" s="631"/>
      <c r="E2366" s="633"/>
      <c r="F2366" s="650"/>
    </row>
    <row r="2367" spans="3:6">
      <c r="C2367" s="631"/>
      <c r="D2367" s="631"/>
      <c r="E2367" s="633"/>
      <c r="F2367" s="650"/>
    </row>
    <row r="2368" spans="3:6">
      <c r="C2368" s="631"/>
      <c r="D2368" s="631"/>
      <c r="E2368" s="633"/>
      <c r="F2368" s="650"/>
    </row>
    <row r="2369" spans="3:6">
      <c r="C2369" s="631"/>
      <c r="D2369" s="631"/>
      <c r="E2369" s="633"/>
      <c r="F2369" s="650"/>
    </row>
    <row r="2370" spans="3:6">
      <c r="C2370" s="631"/>
      <c r="D2370" s="631"/>
      <c r="E2370" s="633"/>
      <c r="F2370" s="650"/>
    </row>
    <row r="2371" spans="3:6">
      <c r="C2371" s="631"/>
      <c r="D2371" s="631"/>
      <c r="E2371" s="633"/>
      <c r="F2371" s="650"/>
    </row>
    <row r="2372" spans="3:6">
      <c r="C2372" s="631"/>
      <c r="D2372" s="631"/>
      <c r="E2372" s="633"/>
      <c r="F2372" s="650"/>
    </row>
    <row r="2373" spans="3:6">
      <c r="C2373" s="631"/>
      <c r="D2373" s="631"/>
      <c r="E2373" s="633"/>
      <c r="F2373" s="650"/>
    </row>
    <row r="2374" spans="3:6">
      <c r="C2374" s="631"/>
      <c r="D2374" s="631"/>
      <c r="E2374" s="633"/>
      <c r="F2374" s="650"/>
    </row>
    <row r="2375" spans="3:6">
      <c r="C2375" s="631"/>
      <c r="D2375" s="631"/>
      <c r="E2375" s="633"/>
      <c r="F2375" s="650"/>
    </row>
    <row r="2376" spans="3:6">
      <c r="C2376" s="631"/>
      <c r="D2376" s="631"/>
      <c r="E2376" s="633"/>
      <c r="F2376" s="650"/>
    </row>
    <row r="2377" spans="3:6">
      <c r="C2377" s="631"/>
      <c r="D2377" s="631"/>
      <c r="E2377" s="633"/>
      <c r="F2377" s="650"/>
    </row>
    <row r="2378" spans="3:6">
      <c r="C2378" s="631"/>
      <c r="D2378" s="631"/>
      <c r="E2378" s="633"/>
      <c r="F2378" s="650"/>
    </row>
    <row r="2379" spans="3:6">
      <c r="C2379" s="631"/>
      <c r="D2379" s="631"/>
      <c r="E2379" s="633"/>
      <c r="F2379" s="650"/>
    </row>
    <row r="2380" spans="3:6">
      <c r="C2380" s="631"/>
      <c r="D2380" s="631"/>
      <c r="E2380" s="633"/>
      <c r="F2380" s="650"/>
    </row>
    <row r="2381" spans="3:6">
      <c r="C2381" s="631"/>
      <c r="D2381" s="631"/>
      <c r="E2381" s="633"/>
      <c r="F2381" s="650"/>
    </row>
    <row r="2382" spans="3:6">
      <c r="C2382" s="631"/>
      <c r="D2382" s="631"/>
      <c r="E2382" s="633"/>
      <c r="F2382" s="650"/>
    </row>
    <row r="2383" spans="3:6">
      <c r="C2383" s="631"/>
      <c r="D2383" s="631"/>
      <c r="E2383" s="633"/>
      <c r="F2383" s="650"/>
    </row>
    <row r="2384" spans="3:6">
      <c r="C2384" s="631"/>
      <c r="D2384" s="631"/>
      <c r="E2384" s="633"/>
      <c r="F2384" s="650"/>
    </row>
    <row r="2385" spans="3:6">
      <c r="C2385" s="631"/>
      <c r="D2385" s="631"/>
      <c r="E2385" s="633"/>
      <c r="F2385" s="650"/>
    </row>
    <row r="2386" spans="3:6">
      <c r="C2386" s="631"/>
      <c r="D2386" s="631"/>
      <c r="E2386" s="633"/>
      <c r="F2386" s="650"/>
    </row>
    <row r="2387" spans="3:6">
      <c r="C2387" s="631"/>
      <c r="D2387" s="631"/>
      <c r="E2387" s="633"/>
      <c r="F2387" s="650"/>
    </row>
    <row r="2388" spans="3:6">
      <c r="C2388" s="631"/>
      <c r="D2388" s="631"/>
      <c r="E2388" s="633"/>
      <c r="F2388" s="650"/>
    </row>
    <row r="2389" spans="3:6">
      <c r="C2389" s="631"/>
      <c r="D2389" s="631"/>
      <c r="E2389" s="633"/>
      <c r="F2389" s="650"/>
    </row>
    <row r="2390" spans="3:6">
      <c r="C2390" s="631"/>
      <c r="D2390" s="631"/>
      <c r="E2390" s="633"/>
      <c r="F2390" s="650"/>
    </row>
    <row r="2391" spans="3:6">
      <c r="C2391" s="631"/>
      <c r="D2391" s="631"/>
      <c r="E2391" s="633"/>
      <c r="F2391" s="650"/>
    </row>
    <row r="2392" spans="3:6">
      <c r="C2392" s="631"/>
      <c r="D2392" s="631"/>
      <c r="E2392" s="633"/>
      <c r="F2392" s="650"/>
    </row>
    <row r="2393" spans="3:6">
      <c r="C2393" s="631"/>
      <c r="D2393" s="631"/>
      <c r="E2393" s="633"/>
      <c r="F2393" s="650"/>
    </row>
    <row r="2394" spans="3:6">
      <c r="C2394" s="631"/>
      <c r="D2394" s="631"/>
      <c r="E2394" s="633"/>
      <c r="F2394" s="650"/>
    </row>
    <row r="2395" spans="3:6">
      <c r="C2395" s="631"/>
      <c r="D2395" s="631"/>
      <c r="E2395" s="633"/>
      <c r="F2395" s="650"/>
    </row>
    <row r="2396" spans="3:6">
      <c r="C2396" s="631"/>
      <c r="D2396" s="631"/>
      <c r="E2396" s="633"/>
      <c r="F2396" s="650"/>
    </row>
    <row r="2397" spans="3:6">
      <c r="C2397" s="631"/>
      <c r="D2397" s="631"/>
      <c r="E2397" s="633"/>
      <c r="F2397" s="650"/>
    </row>
    <row r="2398" spans="3:6">
      <c r="C2398" s="631"/>
      <c r="D2398" s="631"/>
      <c r="E2398" s="633"/>
      <c r="F2398" s="650"/>
    </row>
    <row r="2399" spans="3:6">
      <c r="C2399" s="631"/>
      <c r="D2399" s="631"/>
      <c r="E2399" s="633"/>
      <c r="F2399" s="650"/>
    </row>
    <row r="2400" spans="3:6">
      <c r="C2400" s="631"/>
      <c r="D2400" s="631"/>
      <c r="E2400" s="633"/>
      <c r="F2400" s="650"/>
    </row>
    <row r="2401" spans="3:6">
      <c r="C2401" s="631"/>
      <c r="D2401" s="631"/>
      <c r="E2401" s="633"/>
      <c r="F2401" s="650"/>
    </row>
    <row r="2402" spans="3:6">
      <c r="C2402" s="631"/>
      <c r="D2402" s="631"/>
      <c r="E2402" s="633"/>
      <c r="F2402" s="650"/>
    </row>
    <row r="2403" spans="3:6">
      <c r="C2403" s="631"/>
      <c r="D2403" s="631"/>
      <c r="E2403" s="633"/>
      <c r="F2403" s="650"/>
    </row>
    <row r="2404" spans="3:6">
      <c r="C2404" s="631"/>
      <c r="D2404" s="631"/>
      <c r="E2404" s="633"/>
      <c r="F2404" s="650"/>
    </row>
    <row r="2405" spans="3:6">
      <c r="C2405" s="631"/>
      <c r="D2405" s="631"/>
      <c r="E2405" s="633"/>
      <c r="F2405" s="650"/>
    </row>
    <row r="2406" spans="3:6">
      <c r="C2406" s="631"/>
      <c r="D2406" s="631"/>
      <c r="E2406" s="633"/>
      <c r="F2406" s="650"/>
    </row>
    <row r="2407" spans="3:6">
      <c r="C2407" s="631"/>
      <c r="D2407" s="631"/>
      <c r="E2407" s="633"/>
      <c r="F2407" s="650"/>
    </row>
    <row r="2408" spans="3:6">
      <c r="C2408" s="631"/>
      <c r="D2408" s="631"/>
      <c r="E2408" s="633"/>
      <c r="F2408" s="650"/>
    </row>
    <row r="2409" spans="3:6">
      <c r="C2409" s="631"/>
      <c r="D2409" s="631"/>
      <c r="E2409" s="633"/>
      <c r="F2409" s="650"/>
    </row>
    <row r="2410" spans="3:6">
      <c r="C2410" s="631"/>
      <c r="D2410" s="631"/>
      <c r="E2410" s="633"/>
      <c r="F2410" s="650"/>
    </row>
    <row r="2411" spans="3:6">
      <c r="C2411" s="631"/>
      <c r="D2411" s="631"/>
      <c r="E2411" s="633"/>
      <c r="F2411" s="650"/>
    </row>
    <row r="2412" spans="3:6">
      <c r="C2412" s="631"/>
      <c r="D2412" s="631"/>
      <c r="E2412" s="633"/>
      <c r="F2412" s="650"/>
    </row>
    <row r="2413" spans="3:6">
      <c r="C2413" s="631"/>
      <c r="D2413" s="631"/>
      <c r="E2413" s="633"/>
      <c r="F2413" s="650"/>
    </row>
    <row r="2414" spans="3:6">
      <c r="C2414" s="631"/>
      <c r="D2414" s="631"/>
      <c r="E2414" s="633"/>
      <c r="F2414" s="650"/>
    </row>
    <row r="2415" spans="3:6">
      <c r="C2415" s="631"/>
      <c r="D2415" s="631"/>
      <c r="E2415" s="633"/>
      <c r="F2415" s="650"/>
    </row>
    <row r="2416" spans="3:6">
      <c r="C2416" s="631"/>
      <c r="D2416" s="631"/>
      <c r="E2416" s="633"/>
      <c r="F2416" s="650"/>
    </row>
    <row r="2417" spans="3:6">
      <c r="C2417" s="631"/>
      <c r="D2417" s="631"/>
      <c r="E2417" s="633"/>
      <c r="F2417" s="650"/>
    </row>
    <row r="2418" spans="3:6">
      <c r="C2418" s="631"/>
      <c r="D2418" s="631"/>
      <c r="E2418" s="633"/>
      <c r="F2418" s="650"/>
    </row>
    <row r="2419" spans="3:6">
      <c r="C2419" s="631"/>
      <c r="D2419" s="631"/>
      <c r="E2419" s="633"/>
      <c r="F2419" s="650"/>
    </row>
    <row r="2420" spans="3:6">
      <c r="C2420" s="631"/>
      <c r="D2420" s="631"/>
      <c r="E2420" s="633"/>
      <c r="F2420" s="650"/>
    </row>
    <row r="2421" spans="3:6">
      <c r="C2421" s="631"/>
      <c r="D2421" s="631"/>
      <c r="E2421" s="633"/>
      <c r="F2421" s="650"/>
    </row>
    <row r="2422" spans="3:6">
      <c r="C2422" s="631"/>
      <c r="D2422" s="631"/>
      <c r="E2422" s="633"/>
      <c r="F2422" s="650"/>
    </row>
    <row r="2423" spans="3:6">
      <c r="C2423" s="631"/>
      <c r="D2423" s="631"/>
      <c r="E2423" s="633"/>
      <c r="F2423" s="650"/>
    </row>
    <row r="2424" spans="3:6">
      <c r="C2424" s="631"/>
      <c r="D2424" s="631"/>
      <c r="E2424" s="633"/>
      <c r="F2424" s="650"/>
    </row>
    <row r="2425" spans="3:6">
      <c r="C2425" s="631"/>
      <c r="D2425" s="631"/>
      <c r="E2425" s="633"/>
      <c r="F2425" s="650"/>
    </row>
    <row r="2426" spans="3:6">
      <c r="C2426" s="631"/>
      <c r="D2426" s="631"/>
      <c r="E2426" s="633"/>
      <c r="F2426" s="650"/>
    </row>
    <row r="2427" spans="3:6">
      <c r="C2427" s="631"/>
      <c r="D2427" s="631"/>
      <c r="E2427" s="633"/>
      <c r="F2427" s="650"/>
    </row>
    <row r="2428" spans="3:6">
      <c r="C2428" s="631"/>
      <c r="D2428" s="631"/>
      <c r="E2428" s="633"/>
      <c r="F2428" s="650"/>
    </row>
    <row r="2429" spans="3:6">
      <c r="C2429" s="631"/>
      <c r="D2429" s="631"/>
      <c r="E2429" s="633"/>
      <c r="F2429" s="650"/>
    </row>
    <row r="2430" spans="3:6">
      <c r="C2430" s="631"/>
      <c r="D2430" s="631"/>
      <c r="E2430" s="633"/>
      <c r="F2430" s="650"/>
    </row>
    <row r="2431" spans="3:6">
      <c r="C2431" s="631"/>
      <c r="D2431" s="631"/>
      <c r="E2431" s="633"/>
      <c r="F2431" s="650"/>
    </row>
    <row r="2432" spans="3:6">
      <c r="C2432" s="631"/>
      <c r="D2432" s="631"/>
      <c r="E2432" s="633"/>
      <c r="F2432" s="650"/>
    </row>
    <row r="2433" spans="3:6">
      <c r="C2433" s="631"/>
      <c r="D2433" s="631"/>
      <c r="E2433" s="633"/>
      <c r="F2433" s="650"/>
    </row>
    <row r="2434" spans="3:6">
      <c r="C2434" s="631"/>
      <c r="D2434" s="631"/>
      <c r="E2434" s="633"/>
      <c r="F2434" s="650"/>
    </row>
    <row r="2435" spans="3:6">
      <c r="C2435" s="631"/>
      <c r="D2435" s="631"/>
      <c r="E2435" s="633"/>
      <c r="F2435" s="650"/>
    </row>
    <row r="2436" spans="3:6">
      <c r="C2436" s="631"/>
      <c r="D2436" s="631"/>
      <c r="E2436" s="633"/>
      <c r="F2436" s="650"/>
    </row>
    <row r="2437" spans="3:6">
      <c r="C2437" s="631"/>
      <c r="D2437" s="631"/>
      <c r="E2437" s="633"/>
      <c r="F2437" s="650"/>
    </row>
    <row r="2438" spans="3:6">
      <c r="C2438" s="631"/>
      <c r="D2438" s="631"/>
      <c r="E2438" s="633"/>
      <c r="F2438" s="650"/>
    </row>
    <row r="2439" spans="3:6">
      <c r="C2439" s="631"/>
      <c r="D2439" s="631"/>
      <c r="E2439" s="633"/>
      <c r="F2439" s="650"/>
    </row>
    <row r="2440" spans="3:6">
      <c r="C2440" s="631"/>
      <c r="D2440" s="631"/>
      <c r="E2440" s="633"/>
      <c r="F2440" s="650"/>
    </row>
    <row r="2441" spans="3:6">
      <c r="C2441" s="631"/>
      <c r="D2441" s="631"/>
      <c r="E2441" s="633"/>
      <c r="F2441" s="650"/>
    </row>
    <row r="2442" spans="3:6">
      <c r="C2442" s="631"/>
      <c r="D2442" s="631"/>
      <c r="E2442" s="633"/>
      <c r="F2442" s="650"/>
    </row>
    <row r="2443" spans="3:6">
      <c r="C2443" s="631"/>
      <c r="D2443" s="631"/>
      <c r="E2443" s="633"/>
      <c r="F2443" s="650"/>
    </row>
    <row r="2444" spans="3:6">
      <c r="C2444" s="631"/>
      <c r="D2444" s="631"/>
      <c r="E2444" s="633"/>
      <c r="F2444" s="650"/>
    </row>
    <row r="2445" spans="3:6">
      <c r="C2445" s="631"/>
      <c r="D2445" s="631"/>
      <c r="E2445" s="633"/>
      <c r="F2445" s="650"/>
    </row>
    <row r="2446" spans="3:6">
      <c r="C2446" s="631"/>
      <c r="D2446" s="631"/>
      <c r="E2446" s="633"/>
      <c r="F2446" s="650"/>
    </row>
    <row r="2447" spans="3:6">
      <c r="C2447" s="631"/>
      <c r="D2447" s="631"/>
      <c r="E2447" s="633"/>
      <c r="F2447" s="650"/>
    </row>
    <row r="2448" spans="3:6">
      <c r="C2448" s="631"/>
      <c r="D2448" s="631"/>
      <c r="E2448" s="633"/>
      <c r="F2448" s="650"/>
    </row>
    <row r="2449" spans="3:6">
      <c r="C2449" s="631"/>
      <c r="D2449" s="631"/>
      <c r="E2449" s="633"/>
      <c r="F2449" s="650"/>
    </row>
    <row r="2450" spans="3:6">
      <c r="C2450" s="631"/>
      <c r="D2450" s="631"/>
      <c r="E2450" s="633"/>
      <c r="F2450" s="650"/>
    </row>
    <row r="2451" spans="3:6">
      <c r="C2451" s="631"/>
      <c r="D2451" s="631"/>
      <c r="E2451" s="633"/>
      <c r="F2451" s="650"/>
    </row>
    <row r="2452" spans="3:6">
      <c r="C2452" s="631"/>
      <c r="D2452" s="631"/>
      <c r="E2452" s="633"/>
      <c r="F2452" s="650"/>
    </row>
    <row r="2453" spans="3:6">
      <c r="C2453" s="631"/>
      <c r="D2453" s="631"/>
      <c r="E2453" s="633"/>
      <c r="F2453" s="650"/>
    </row>
    <row r="2454" spans="3:6">
      <c r="C2454" s="631"/>
      <c r="D2454" s="631"/>
      <c r="E2454" s="633"/>
      <c r="F2454" s="650"/>
    </row>
    <row r="2455" spans="3:6">
      <c r="C2455" s="631"/>
      <c r="D2455" s="631"/>
      <c r="E2455" s="633"/>
      <c r="F2455" s="650"/>
    </row>
    <row r="2456" spans="3:6">
      <c r="C2456" s="631"/>
      <c r="D2456" s="631"/>
      <c r="E2456" s="633"/>
      <c r="F2456" s="650"/>
    </row>
    <row r="2457" spans="3:6">
      <c r="C2457" s="631"/>
      <c r="D2457" s="631"/>
      <c r="E2457" s="633"/>
      <c r="F2457" s="650"/>
    </row>
    <row r="2458" spans="3:6">
      <c r="C2458" s="631"/>
      <c r="D2458" s="631"/>
      <c r="E2458" s="633"/>
      <c r="F2458" s="650"/>
    </row>
    <row r="2459" spans="3:6">
      <c r="C2459" s="631"/>
      <c r="D2459" s="631"/>
      <c r="E2459" s="633"/>
      <c r="F2459" s="650"/>
    </row>
    <row r="2460" spans="3:6">
      <c r="C2460" s="631"/>
      <c r="D2460" s="631"/>
      <c r="E2460" s="633"/>
      <c r="F2460" s="650"/>
    </row>
    <row r="2461" spans="3:6">
      <c r="C2461" s="631"/>
      <c r="D2461" s="631"/>
      <c r="E2461" s="633"/>
      <c r="F2461" s="650"/>
    </row>
    <row r="2462" spans="3:6">
      <c r="C2462" s="631"/>
      <c r="D2462" s="631"/>
      <c r="E2462" s="633"/>
      <c r="F2462" s="650"/>
    </row>
    <row r="2463" spans="3:6">
      <c r="C2463" s="631"/>
      <c r="D2463" s="631"/>
      <c r="E2463" s="633"/>
      <c r="F2463" s="650"/>
    </row>
    <row r="2464" spans="3:6">
      <c r="C2464" s="631"/>
      <c r="D2464" s="631"/>
      <c r="E2464" s="633"/>
      <c r="F2464" s="650"/>
    </row>
    <row r="2465" spans="3:6">
      <c r="C2465" s="631"/>
      <c r="D2465" s="631"/>
      <c r="E2465" s="633"/>
      <c r="F2465" s="650"/>
    </row>
    <row r="2466" spans="3:6">
      <c r="C2466" s="631"/>
      <c r="D2466" s="631"/>
      <c r="E2466" s="633"/>
      <c r="F2466" s="650"/>
    </row>
    <row r="2467" spans="3:6">
      <c r="C2467" s="631"/>
      <c r="D2467" s="631"/>
      <c r="E2467" s="633"/>
      <c r="F2467" s="650"/>
    </row>
    <row r="2468" spans="3:6">
      <c r="C2468" s="631"/>
      <c r="D2468" s="631"/>
      <c r="E2468" s="633"/>
      <c r="F2468" s="650"/>
    </row>
    <row r="2469" spans="3:6">
      <c r="C2469" s="631"/>
      <c r="D2469" s="631"/>
      <c r="E2469" s="633"/>
      <c r="F2469" s="650"/>
    </row>
    <row r="2470" spans="3:6">
      <c r="C2470" s="631"/>
      <c r="D2470" s="631"/>
      <c r="E2470" s="633"/>
      <c r="F2470" s="650"/>
    </row>
    <row r="2471" spans="3:6">
      <c r="C2471" s="631"/>
      <c r="D2471" s="631"/>
      <c r="E2471" s="633"/>
      <c r="F2471" s="650"/>
    </row>
    <row r="2472" spans="3:6">
      <c r="C2472" s="631"/>
      <c r="D2472" s="631"/>
      <c r="E2472" s="633"/>
      <c r="F2472" s="650"/>
    </row>
    <row r="2473" spans="3:6">
      <c r="C2473" s="631"/>
      <c r="D2473" s="631"/>
      <c r="E2473" s="633"/>
      <c r="F2473" s="650"/>
    </row>
    <row r="2474" spans="3:6">
      <c r="C2474" s="631"/>
      <c r="D2474" s="631"/>
      <c r="E2474" s="633"/>
      <c r="F2474" s="650"/>
    </row>
    <row r="2475" spans="3:6">
      <c r="C2475" s="631"/>
      <c r="D2475" s="631"/>
      <c r="E2475" s="633"/>
      <c r="F2475" s="650"/>
    </row>
    <row r="2476" spans="3:6">
      <c r="C2476" s="631"/>
      <c r="D2476" s="631"/>
      <c r="E2476" s="633"/>
      <c r="F2476" s="650"/>
    </row>
    <row r="2477" spans="3:6">
      <c r="C2477" s="631"/>
      <c r="D2477" s="631"/>
      <c r="E2477" s="633"/>
      <c r="F2477" s="650"/>
    </row>
    <row r="2478" spans="3:6">
      <c r="C2478" s="631"/>
      <c r="D2478" s="631"/>
      <c r="E2478" s="633"/>
      <c r="F2478" s="650"/>
    </row>
    <row r="2479" spans="3:6">
      <c r="C2479" s="631"/>
      <c r="D2479" s="631"/>
      <c r="E2479" s="633"/>
      <c r="F2479" s="650"/>
    </row>
    <row r="2480" spans="3:6">
      <c r="C2480" s="631"/>
      <c r="D2480" s="631"/>
      <c r="E2480" s="633"/>
      <c r="F2480" s="650"/>
    </row>
    <row r="2481" spans="3:6">
      <c r="C2481" s="631"/>
      <c r="D2481" s="631"/>
      <c r="E2481" s="633"/>
      <c r="F2481" s="650"/>
    </row>
    <row r="2482" spans="3:6">
      <c r="C2482" s="631"/>
      <c r="D2482" s="631"/>
      <c r="E2482" s="633"/>
      <c r="F2482" s="650"/>
    </row>
    <row r="2483" spans="3:6">
      <c r="C2483" s="631"/>
      <c r="D2483" s="631"/>
      <c r="E2483" s="633"/>
      <c r="F2483" s="650"/>
    </row>
    <row r="2484" spans="3:6">
      <c r="C2484" s="631"/>
      <c r="D2484" s="631"/>
      <c r="E2484" s="633"/>
      <c r="F2484" s="650"/>
    </row>
    <row r="2485" spans="3:6">
      <c r="C2485" s="631"/>
      <c r="D2485" s="631"/>
      <c r="E2485" s="633"/>
      <c r="F2485" s="650"/>
    </row>
    <row r="2486" spans="3:6">
      <c r="C2486" s="631"/>
      <c r="D2486" s="631"/>
      <c r="E2486" s="633"/>
      <c r="F2486" s="650"/>
    </row>
    <row r="2487" spans="3:6">
      <c r="C2487" s="631"/>
      <c r="D2487" s="631"/>
      <c r="E2487" s="633"/>
      <c r="F2487" s="650"/>
    </row>
    <row r="2488" spans="3:6">
      <c r="C2488" s="631"/>
      <c r="D2488" s="631"/>
      <c r="E2488" s="633"/>
      <c r="F2488" s="650"/>
    </row>
    <row r="2489" spans="3:6">
      <c r="C2489" s="631"/>
      <c r="D2489" s="631"/>
      <c r="E2489" s="633"/>
      <c r="F2489" s="650"/>
    </row>
    <row r="2490" spans="3:6">
      <c r="C2490" s="631"/>
      <c r="D2490" s="631"/>
      <c r="E2490" s="633"/>
      <c r="F2490" s="650"/>
    </row>
    <row r="2491" spans="3:6">
      <c r="C2491" s="631"/>
      <c r="D2491" s="631"/>
      <c r="E2491" s="633"/>
      <c r="F2491" s="650"/>
    </row>
    <row r="2492" spans="3:6">
      <c r="C2492" s="631"/>
      <c r="D2492" s="631"/>
      <c r="E2492" s="633"/>
      <c r="F2492" s="650"/>
    </row>
    <row r="2493" spans="3:6">
      <c r="C2493" s="631"/>
      <c r="D2493" s="631"/>
      <c r="E2493" s="633"/>
      <c r="F2493" s="650"/>
    </row>
    <row r="2494" spans="3:6">
      <c r="C2494" s="631"/>
      <c r="D2494" s="631"/>
      <c r="E2494" s="633"/>
      <c r="F2494" s="650"/>
    </row>
    <row r="2495" spans="3:6">
      <c r="C2495" s="631"/>
      <c r="D2495" s="631"/>
      <c r="E2495" s="633"/>
      <c r="F2495" s="650"/>
    </row>
    <row r="2496" spans="3:6">
      <c r="C2496" s="631"/>
      <c r="D2496" s="631"/>
      <c r="E2496" s="633"/>
      <c r="F2496" s="650"/>
    </row>
    <row r="2497" spans="3:6">
      <c r="C2497" s="631"/>
      <c r="D2497" s="631"/>
      <c r="E2497" s="633"/>
      <c r="F2497" s="650"/>
    </row>
    <row r="2498" spans="3:6">
      <c r="C2498" s="631"/>
      <c r="D2498" s="631"/>
      <c r="E2498" s="633"/>
      <c r="F2498" s="650"/>
    </row>
    <row r="2499" spans="3:6">
      <c r="C2499" s="631"/>
      <c r="D2499" s="631"/>
      <c r="E2499" s="633"/>
      <c r="F2499" s="650"/>
    </row>
    <row r="2500" spans="3:6">
      <c r="C2500" s="631"/>
      <c r="D2500" s="631"/>
      <c r="E2500" s="633"/>
      <c r="F2500" s="650"/>
    </row>
    <row r="2501" spans="3:6">
      <c r="C2501" s="631"/>
      <c r="D2501" s="631"/>
      <c r="E2501" s="633"/>
      <c r="F2501" s="650"/>
    </row>
    <row r="2502" spans="3:6">
      <c r="C2502" s="631"/>
      <c r="D2502" s="631"/>
      <c r="E2502" s="633"/>
      <c r="F2502" s="650"/>
    </row>
    <row r="2503" spans="3:6">
      <c r="C2503" s="631"/>
      <c r="D2503" s="631"/>
      <c r="E2503" s="633"/>
      <c r="F2503" s="650"/>
    </row>
    <row r="2504" spans="3:6">
      <c r="C2504" s="631"/>
      <c r="D2504" s="631"/>
      <c r="E2504" s="633"/>
      <c r="F2504" s="650"/>
    </row>
    <row r="2505" spans="3:6">
      <c r="C2505" s="631"/>
      <c r="D2505" s="631"/>
      <c r="E2505" s="633"/>
      <c r="F2505" s="650"/>
    </row>
    <row r="2506" spans="3:6">
      <c r="C2506" s="631"/>
      <c r="D2506" s="631"/>
      <c r="E2506" s="633"/>
      <c r="F2506" s="650"/>
    </row>
    <row r="2507" spans="3:6">
      <c r="C2507" s="631"/>
      <c r="D2507" s="631"/>
      <c r="E2507" s="633"/>
      <c r="F2507" s="650"/>
    </row>
    <row r="2508" spans="3:6">
      <c r="C2508" s="631"/>
      <c r="D2508" s="631"/>
      <c r="E2508" s="633"/>
      <c r="F2508" s="650"/>
    </row>
    <row r="2509" spans="3:6">
      <c r="C2509" s="631"/>
      <c r="D2509" s="631"/>
      <c r="E2509" s="633"/>
      <c r="F2509" s="650"/>
    </row>
    <row r="2510" spans="3:6">
      <c r="C2510" s="631"/>
      <c r="D2510" s="631"/>
      <c r="E2510" s="633"/>
      <c r="F2510" s="650"/>
    </row>
    <row r="2511" spans="3:6">
      <c r="C2511" s="631"/>
      <c r="D2511" s="631"/>
      <c r="E2511" s="633"/>
      <c r="F2511" s="650"/>
    </row>
    <row r="2512" spans="3:6">
      <c r="C2512" s="631"/>
      <c r="D2512" s="631"/>
      <c r="E2512" s="633"/>
      <c r="F2512" s="650"/>
    </row>
    <row r="2513" spans="3:6">
      <c r="C2513" s="631"/>
      <c r="D2513" s="631"/>
      <c r="E2513" s="633"/>
      <c r="F2513" s="650"/>
    </row>
    <row r="2514" spans="3:6">
      <c r="C2514" s="631"/>
      <c r="D2514" s="631"/>
      <c r="E2514" s="633"/>
      <c r="F2514" s="650"/>
    </row>
    <row r="2515" spans="3:6">
      <c r="C2515" s="631"/>
      <c r="D2515" s="631"/>
      <c r="E2515" s="633"/>
      <c r="F2515" s="650"/>
    </row>
    <row r="2516" spans="3:6">
      <c r="C2516" s="631"/>
      <c r="D2516" s="631"/>
      <c r="E2516" s="633"/>
      <c r="F2516" s="650"/>
    </row>
    <row r="2517" spans="3:6">
      <c r="C2517" s="631"/>
      <c r="D2517" s="631"/>
      <c r="E2517" s="633"/>
      <c r="F2517" s="650"/>
    </row>
    <row r="2518" spans="3:6">
      <c r="C2518" s="631"/>
      <c r="D2518" s="631"/>
      <c r="E2518" s="633"/>
      <c r="F2518" s="650"/>
    </row>
    <row r="2519" spans="3:6">
      <c r="C2519" s="631"/>
      <c r="D2519" s="631"/>
      <c r="E2519" s="633"/>
      <c r="F2519" s="650"/>
    </row>
    <row r="2520" spans="3:6">
      <c r="C2520" s="631"/>
      <c r="D2520" s="631"/>
      <c r="E2520" s="633"/>
      <c r="F2520" s="650"/>
    </row>
    <row r="2521" spans="3:6">
      <c r="C2521" s="631"/>
      <c r="D2521" s="631"/>
      <c r="E2521" s="633"/>
      <c r="F2521" s="650"/>
    </row>
    <row r="2522" spans="3:6">
      <c r="C2522" s="631"/>
      <c r="D2522" s="631"/>
      <c r="E2522" s="633"/>
      <c r="F2522" s="650"/>
    </row>
    <row r="2523" spans="3:6">
      <c r="C2523" s="631"/>
      <c r="D2523" s="631"/>
      <c r="E2523" s="633"/>
      <c r="F2523" s="650"/>
    </row>
    <row r="2524" spans="3:6">
      <c r="C2524" s="631"/>
      <c r="D2524" s="631"/>
      <c r="E2524" s="633"/>
      <c r="F2524" s="650"/>
    </row>
    <row r="2525" spans="3:6">
      <c r="C2525" s="631"/>
      <c r="D2525" s="631"/>
      <c r="E2525" s="633"/>
      <c r="F2525" s="650"/>
    </row>
    <row r="2526" spans="3:6">
      <c r="C2526" s="631"/>
      <c r="D2526" s="631"/>
      <c r="E2526" s="633"/>
      <c r="F2526" s="650"/>
    </row>
    <row r="2527" spans="3:6">
      <c r="C2527" s="631"/>
      <c r="D2527" s="631"/>
      <c r="E2527" s="633"/>
      <c r="F2527" s="650"/>
    </row>
    <row r="2528" spans="3:6">
      <c r="C2528" s="631"/>
      <c r="D2528" s="631"/>
      <c r="E2528" s="633"/>
      <c r="F2528" s="650"/>
    </row>
    <row r="2529" spans="3:6">
      <c r="C2529" s="631"/>
      <c r="D2529" s="631"/>
      <c r="E2529" s="633"/>
      <c r="F2529" s="650"/>
    </row>
    <row r="2530" spans="3:6">
      <c r="C2530" s="631"/>
      <c r="D2530" s="631"/>
      <c r="E2530" s="633"/>
      <c r="F2530" s="650"/>
    </row>
    <row r="2531" spans="3:6">
      <c r="C2531" s="631"/>
      <c r="D2531" s="631"/>
      <c r="E2531" s="633"/>
      <c r="F2531" s="650"/>
    </row>
    <row r="2532" spans="3:6">
      <c r="C2532" s="631"/>
      <c r="D2532" s="631"/>
      <c r="E2532" s="633"/>
      <c r="F2532" s="650"/>
    </row>
    <row r="2533" spans="3:6">
      <c r="C2533" s="631"/>
      <c r="D2533" s="631"/>
      <c r="E2533" s="633"/>
      <c r="F2533" s="650"/>
    </row>
    <row r="2534" spans="3:6">
      <c r="C2534" s="631"/>
      <c r="D2534" s="631"/>
      <c r="E2534" s="633"/>
      <c r="F2534" s="650"/>
    </row>
    <row r="2535" spans="3:6">
      <c r="C2535" s="631"/>
      <c r="D2535" s="631"/>
      <c r="E2535" s="633"/>
      <c r="F2535" s="650"/>
    </row>
    <row r="2536" spans="3:6">
      <c r="C2536" s="631"/>
      <c r="D2536" s="631"/>
      <c r="E2536" s="633"/>
      <c r="F2536" s="650"/>
    </row>
    <row r="2537" spans="3:6">
      <c r="C2537" s="631"/>
      <c r="D2537" s="631"/>
      <c r="E2537" s="633"/>
      <c r="F2537" s="650"/>
    </row>
    <row r="2538" spans="3:6">
      <c r="C2538" s="631"/>
      <c r="D2538" s="631"/>
      <c r="E2538" s="633"/>
      <c r="F2538" s="650"/>
    </row>
    <row r="2539" spans="3:6">
      <c r="C2539" s="631"/>
      <c r="D2539" s="631"/>
      <c r="E2539" s="633"/>
      <c r="F2539" s="650"/>
    </row>
    <row r="2540" spans="3:6">
      <c r="C2540" s="631"/>
      <c r="D2540" s="631"/>
      <c r="E2540" s="633"/>
      <c r="F2540" s="650"/>
    </row>
    <row r="2541" spans="3:6">
      <c r="C2541" s="631"/>
      <c r="D2541" s="631"/>
      <c r="E2541" s="633"/>
      <c r="F2541" s="650"/>
    </row>
    <row r="2542" spans="3:6">
      <c r="C2542" s="631"/>
      <c r="D2542" s="631"/>
      <c r="E2542" s="633"/>
      <c r="F2542" s="650"/>
    </row>
    <row r="2543" spans="3:6">
      <c r="C2543" s="631"/>
      <c r="D2543" s="631"/>
      <c r="E2543" s="633"/>
      <c r="F2543" s="650"/>
    </row>
    <row r="2544" spans="3:6">
      <c r="C2544" s="631"/>
      <c r="D2544" s="631"/>
      <c r="E2544" s="633"/>
      <c r="F2544" s="650"/>
    </row>
    <row r="2545" spans="3:6">
      <c r="C2545" s="631"/>
      <c r="D2545" s="631"/>
      <c r="E2545" s="633"/>
      <c r="F2545" s="650"/>
    </row>
    <row r="2546" spans="3:6">
      <c r="C2546" s="631"/>
      <c r="D2546" s="631"/>
      <c r="E2546" s="633"/>
      <c r="F2546" s="650"/>
    </row>
    <row r="2547" spans="3:6">
      <c r="C2547" s="631"/>
      <c r="D2547" s="631"/>
      <c r="E2547" s="633"/>
      <c r="F2547" s="650"/>
    </row>
    <row r="2548" spans="3:6">
      <c r="C2548" s="631"/>
      <c r="D2548" s="631"/>
      <c r="E2548" s="633"/>
      <c r="F2548" s="650"/>
    </row>
    <row r="2549" spans="3:6">
      <c r="C2549" s="631"/>
      <c r="D2549" s="631"/>
      <c r="E2549" s="633"/>
      <c r="F2549" s="650"/>
    </row>
    <row r="2550" spans="3:6">
      <c r="C2550" s="631"/>
      <c r="D2550" s="631"/>
      <c r="E2550" s="633"/>
      <c r="F2550" s="650"/>
    </row>
    <row r="2551" spans="3:6">
      <c r="C2551" s="631"/>
      <c r="D2551" s="631"/>
      <c r="E2551" s="633"/>
      <c r="F2551" s="650"/>
    </row>
    <row r="2552" spans="3:6">
      <c r="C2552" s="631"/>
      <c r="D2552" s="631"/>
      <c r="E2552" s="633"/>
      <c r="F2552" s="650"/>
    </row>
    <row r="2553" spans="3:6">
      <c r="C2553" s="631"/>
      <c r="D2553" s="631"/>
      <c r="E2553" s="633"/>
      <c r="F2553" s="650"/>
    </row>
    <row r="2554" spans="3:6">
      <c r="C2554" s="631"/>
      <c r="D2554" s="631"/>
      <c r="E2554" s="633"/>
      <c r="F2554" s="650"/>
    </row>
    <row r="2555" spans="3:6">
      <c r="C2555" s="631"/>
      <c r="D2555" s="631"/>
      <c r="E2555" s="633"/>
      <c r="F2555" s="650"/>
    </row>
    <row r="2556" spans="3:6">
      <c r="C2556" s="631"/>
      <c r="D2556" s="631"/>
      <c r="E2556" s="633"/>
      <c r="F2556" s="650"/>
    </row>
    <row r="2557" spans="3:6">
      <c r="C2557" s="631"/>
      <c r="D2557" s="631"/>
      <c r="E2557" s="633"/>
      <c r="F2557" s="650"/>
    </row>
    <row r="2558" spans="3:6">
      <c r="C2558" s="631"/>
      <c r="D2558" s="631"/>
      <c r="E2558" s="633"/>
      <c r="F2558" s="650"/>
    </row>
    <row r="2559" spans="3:6">
      <c r="C2559" s="631"/>
      <c r="D2559" s="631"/>
      <c r="E2559" s="633"/>
      <c r="F2559" s="650"/>
    </row>
    <row r="2560" spans="3:6">
      <c r="C2560" s="631"/>
      <c r="D2560" s="631"/>
      <c r="E2560" s="633"/>
      <c r="F2560" s="650"/>
    </row>
    <row r="2561" spans="3:6">
      <c r="C2561" s="631"/>
      <c r="D2561" s="631"/>
      <c r="E2561" s="633"/>
      <c r="F2561" s="650"/>
    </row>
    <row r="2562" spans="3:6">
      <c r="C2562" s="631"/>
      <c r="D2562" s="631"/>
      <c r="E2562" s="633"/>
      <c r="F2562" s="650"/>
    </row>
    <row r="2563" spans="3:6">
      <c r="C2563" s="631"/>
      <c r="D2563" s="631"/>
      <c r="E2563" s="633"/>
      <c r="F2563" s="650"/>
    </row>
    <row r="2564" spans="3:6">
      <c r="C2564" s="631"/>
      <c r="D2564" s="631"/>
      <c r="E2564" s="633"/>
      <c r="F2564" s="650"/>
    </row>
    <row r="2565" spans="3:6">
      <c r="C2565" s="631"/>
      <c r="D2565" s="631"/>
      <c r="E2565" s="633"/>
      <c r="F2565" s="650"/>
    </row>
    <row r="2566" spans="3:6">
      <c r="C2566" s="631"/>
      <c r="D2566" s="631"/>
      <c r="E2566" s="633"/>
      <c r="F2566" s="650"/>
    </row>
    <row r="2567" spans="3:6">
      <c r="C2567" s="631"/>
      <c r="D2567" s="631"/>
      <c r="E2567" s="633"/>
      <c r="F2567" s="650"/>
    </row>
    <row r="2568" spans="3:6">
      <c r="C2568" s="631"/>
      <c r="D2568" s="631"/>
      <c r="E2568" s="633"/>
      <c r="F2568" s="650"/>
    </row>
    <row r="2569" spans="3:6">
      <c r="C2569" s="631"/>
      <c r="D2569" s="631"/>
      <c r="E2569" s="633"/>
      <c r="F2569" s="650"/>
    </row>
    <row r="2570" spans="3:6">
      <c r="C2570" s="631"/>
      <c r="D2570" s="631"/>
      <c r="E2570" s="633"/>
      <c r="F2570" s="650"/>
    </row>
    <row r="2571" spans="3:6">
      <c r="C2571" s="631"/>
      <c r="D2571" s="631"/>
      <c r="E2571" s="633"/>
      <c r="F2571" s="650"/>
    </row>
    <row r="2572" spans="3:6">
      <c r="C2572" s="631"/>
      <c r="D2572" s="631"/>
      <c r="E2572" s="633"/>
      <c r="F2572" s="650"/>
    </row>
    <row r="2573" spans="3:6">
      <c r="C2573" s="631"/>
      <c r="D2573" s="631"/>
      <c r="E2573" s="633"/>
      <c r="F2573" s="650"/>
    </row>
    <row r="2574" spans="3:6">
      <c r="C2574" s="631"/>
      <c r="D2574" s="631"/>
      <c r="E2574" s="633"/>
      <c r="F2574" s="650"/>
    </row>
    <row r="2575" spans="3:6">
      <c r="C2575" s="631"/>
      <c r="D2575" s="631"/>
      <c r="E2575" s="633"/>
      <c r="F2575" s="650"/>
    </row>
    <row r="2576" spans="3:6">
      <c r="C2576" s="631"/>
      <c r="D2576" s="631"/>
      <c r="E2576" s="633"/>
      <c r="F2576" s="650"/>
    </row>
    <row r="2577" spans="3:6">
      <c r="C2577" s="631"/>
      <c r="D2577" s="631"/>
      <c r="E2577" s="633"/>
      <c r="F2577" s="650"/>
    </row>
    <row r="2578" spans="3:6">
      <c r="C2578" s="631"/>
      <c r="D2578" s="631"/>
      <c r="E2578" s="633"/>
      <c r="F2578" s="650"/>
    </row>
    <row r="2579" spans="3:6">
      <c r="C2579" s="631"/>
      <c r="D2579" s="631"/>
      <c r="E2579" s="633"/>
      <c r="F2579" s="650"/>
    </row>
    <row r="2580" spans="3:6">
      <c r="C2580" s="631"/>
      <c r="D2580" s="631"/>
      <c r="E2580" s="633"/>
      <c r="F2580" s="650"/>
    </row>
    <row r="2581" spans="3:6">
      <c r="C2581" s="631"/>
      <c r="D2581" s="631"/>
      <c r="E2581" s="633"/>
      <c r="F2581" s="650"/>
    </row>
    <row r="2582" spans="3:6">
      <c r="C2582" s="631"/>
      <c r="D2582" s="631"/>
      <c r="E2582" s="633"/>
      <c r="F2582" s="650"/>
    </row>
    <row r="2583" spans="3:6">
      <c r="C2583" s="631"/>
      <c r="D2583" s="631"/>
      <c r="E2583" s="633"/>
      <c r="F2583" s="650"/>
    </row>
    <row r="2584" spans="3:6">
      <c r="C2584" s="631"/>
      <c r="D2584" s="631"/>
      <c r="E2584" s="633"/>
      <c r="F2584" s="650"/>
    </row>
    <row r="2585" spans="3:6">
      <c r="C2585" s="631"/>
      <c r="D2585" s="631"/>
      <c r="E2585" s="633"/>
      <c r="F2585" s="650"/>
    </row>
    <row r="2586" spans="3:6">
      <c r="C2586" s="631"/>
      <c r="D2586" s="631"/>
      <c r="E2586" s="633"/>
      <c r="F2586" s="650"/>
    </row>
    <row r="2587" spans="3:6">
      <c r="C2587" s="631"/>
      <c r="D2587" s="631"/>
      <c r="E2587" s="633"/>
      <c r="F2587" s="650"/>
    </row>
    <row r="2588" spans="3:6">
      <c r="C2588" s="631"/>
      <c r="D2588" s="631"/>
      <c r="E2588" s="633"/>
      <c r="F2588" s="650"/>
    </row>
    <row r="2589" spans="3:6">
      <c r="C2589" s="631"/>
      <c r="D2589" s="631"/>
      <c r="E2589" s="633"/>
      <c r="F2589" s="650"/>
    </row>
    <row r="2590" spans="3:6">
      <c r="C2590" s="631"/>
      <c r="D2590" s="631"/>
      <c r="E2590" s="633"/>
      <c r="F2590" s="650"/>
    </row>
    <row r="2591" spans="3:6">
      <c r="C2591" s="631"/>
      <c r="D2591" s="631"/>
      <c r="E2591" s="633"/>
      <c r="F2591" s="650"/>
    </row>
    <row r="2592" spans="3:6">
      <c r="C2592" s="631"/>
      <c r="D2592" s="631"/>
      <c r="E2592" s="633"/>
      <c r="F2592" s="650"/>
    </row>
    <row r="2593" spans="3:6">
      <c r="C2593" s="631"/>
      <c r="D2593" s="631"/>
      <c r="E2593" s="633"/>
      <c r="F2593" s="650"/>
    </row>
    <row r="2594" spans="3:6">
      <c r="C2594" s="631"/>
      <c r="D2594" s="631"/>
      <c r="E2594" s="633"/>
      <c r="F2594" s="650"/>
    </row>
    <row r="2595" spans="3:6">
      <c r="C2595" s="631"/>
      <c r="D2595" s="631"/>
      <c r="E2595" s="633"/>
      <c r="F2595" s="650"/>
    </row>
    <row r="2596" spans="3:6">
      <c r="C2596" s="631"/>
      <c r="D2596" s="631"/>
      <c r="E2596" s="633"/>
      <c r="F2596" s="650"/>
    </row>
    <row r="2597" spans="3:6">
      <c r="C2597" s="631"/>
      <c r="D2597" s="631"/>
      <c r="E2597" s="633"/>
      <c r="F2597" s="650"/>
    </row>
    <row r="2598" spans="3:6">
      <c r="C2598" s="631"/>
      <c r="D2598" s="631"/>
      <c r="E2598" s="633"/>
      <c r="F2598" s="650"/>
    </row>
    <row r="2599" spans="3:6">
      <c r="C2599" s="631"/>
      <c r="D2599" s="631"/>
      <c r="E2599" s="633"/>
      <c r="F2599" s="650"/>
    </row>
    <row r="2600" spans="3:6">
      <c r="C2600" s="631"/>
      <c r="D2600" s="631"/>
      <c r="E2600" s="633"/>
      <c r="F2600" s="650"/>
    </row>
    <row r="2601" spans="3:6">
      <c r="C2601" s="631"/>
      <c r="D2601" s="631"/>
      <c r="E2601" s="633"/>
      <c r="F2601" s="650"/>
    </row>
    <row r="2602" spans="3:6">
      <c r="C2602" s="631"/>
      <c r="D2602" s="631"/>
      <c r="E2602" s="633"/>
      <c r="F2602" s="650"/>
    </row>
    <row r="2603" spans="3:6">
      <c r="C2603" s="631"/>
      <c r="D2603" s="631"/>
      <c r="E2603" s="633"/>
      <c r="F2603" s="650"/>
    </row>
    <row r="2604" spans="3:6">
      <c r="C2604" s="631"/>
      <c r="D2604" s="631"/>
      <c r="E2604" s="633"/>
      <c r="F2604" s="650"/>
    </row>
    <row r="2605" spans="3:6">
      <c r="C2605" s="631"/>
      <c r="D2605" s="631"/>
      <c r="E2605" s="633"/>
      <c r="F2605" s="650"/>
    </row>
    <row r="2606" spans="3:6">
      <c r="C2606" s="631"/>
      <c r="D2606" s="631"/>
      <c r="E2606" s="633"/>
      <c r="F2606" s="650"/>
    </row>
    <row r="2607" spans="3:6">
      <c r="C2607" s="631"/>
      <c r="D2607" s="631"/>
      <c r="E2607" s="633"/>
      <c r="F2607" s="650"/>
    </row>
    <row r="2608" spans="3:6">
      <c r="C2608" s="631"/>
      <c r="D2608" s="631"/>
      <c r="E2608" s="633"/>
      <c r="F2608" s="650"/>
    </row>
    <row r="2609" spans="3:6">
      <c r="C2609" s="631"/>
      <c r="D2609" s="631"/>
      <c r="E2609" s="633"/>
      <c r="F2609" s="650"/>
    </row>
    <row r="2610" spans="3:6">
      <c r="C2610" s="631"/>
      <c r="D2610" s="631"/>
      <c r="E2610" s="633"/>
      <c r="F2610" s="650"/>
    </row>
    <row r="2611" spans="3:6">
      <c r="C2611" s="631"/>
      <c r="D2611" s="631"/>
      <c r="E2611" s="633"/>
      <c r="F2611" s="650"/>
    </row>
    <row r="2612" spans="3:6">
      <c r="C2612" s="631"/>
      <c r="D2612" s="631"/>
      <c r="E2612" s="633"/>
      <c r="F2612" s="650"/>
    </row>
    <row r="2613" spans="3:6">
      <c r="C2613" s="631"/>
      <c r="D2613" s="631"/>
      <c r="E2613" s="633"/>
      <c r="F2613" s="650"/>
    </row>
    <row r="2614" spans="3:6">
      <c r="C2614" s="631"/>
      <c r="D2614" s="631"/>
      <c r="E2614" s="633"/>
      <c r="F2614" s="650"/>
    </row>
    <row r="2615" spans="3:6">
      <c r="C2615" s="631"/>
      <c r="D2615" s="631"/>
      <c r="E2615" s="633"/>
      <c r="F2615" s="650"/>
    </row>
    <row r="2616" spans="3:6">
      <c r="C2616" s="631"/>
      <c r="D2616" s="631"/>
      <c r="E2616" s="633"/>
      <c r="F2616" s="650"/>
    </row>
    <row r="2617" spans="3:6">
      <c r="C2617" s="631"/>
      <c r="D2617" s="631"/>
      <c r="E2617" s="633"/>
      <c r="F2617" s="650"/>
    </row>
    <row r="2618" spans="3:6">
      <c r="C2618" s="631"/>
      <c r="D2618" s="631"/>
      <c r="E2618" s="633"/>
      <c r="F2618" s="650"/>
    </row>
    <row r="2619" spans="3:6">
      <c r="C2619" s="631"/>
      <c r="D2619" s="631"/>
      <c r="E2619" s="633"/>
      <c r="F2619" s="650"/>
    </row>
    <row r="2620" spans="3:6">
      <c r="C2620" s="631"/>
      <c r="D2620" s="631"/>
      <c r="E2620" s="633"/>
      <c r="F2620" s="650"/>
    </row>
    <row r="2621" spans="3:6">
      <c r="C2621" s="631"/>
      <c r="D2621" s="631"/>
      <c r="E2621" s="633"/>
      <c r="F2621" s="650"/>
    </row>
    <row r="2622" spans="3:6">
      <c r="C2622" s="631"/>
      <c r="D2622" s="631"/>
      <c r="E2622" s="633"/>
      <c r="F2622" s="650"/>
    </row>
    <row r="2623" spans="3:6">
      <c r="C2623" s="631"/>
      <c r="D2623" s="631"/>
      <c r="E2623" s="633"/>
      <c r="F2623" s="650"/>
    </row>
    <row r="2624" spans="3:6">
      <c r="C2624" s="631"/>
      <c r="D2624" s="631"/>
      <c r="E2624" s="633"/>
      <c r="F2624" s="650"/>
    </row>
    <row r="2625" spans="3:6">
      <c r="C2625" s="631"/>
      <c r="D2625" s="631"/>
      <c r="E2625" s="633"/>
      <c r="F2625" s="650"/>
    </row>
    <row r="2626" spans="3:6">
      <c r="C2626" s="631"/>
      <c r="D2626" s="631"/>
      <c r="E2626" s="633"/>
      <c r="F2626" s="650"/>
    </row>
    <row r="2627" spans="3:6">
      <c r="C2627" s="631"/>
      <c r="D2627" s="631"/>
      <c r="E2627" s="633"/>
      <c r="F2627" s="650"/>
    </row>
    <row r="2628" spans="3:6">
      <c r="C2628" s="631"/>
      <c r="D2628" s="631"/>
      <c r="E2628" s="633"/>
      <c r="F2628" s="650"/>
    </row>
    <row r="2629" spans="3:6">
      <c r="C2629" s="631"/>
      <c r="D2629" s="631"/>
      <c r="E2629" s="633"/>
      <c r="F2629" s="650"/>
    </row>
    <row r="2630" spans="3:6">
      <c r="C2630" s="631"/>
      <c r="D2630" s="631"/>
      <c r="E2630" s="633"/>
      <c r="F2630" s="650"/>
    </row>
    <row r="2631" spans="3:6">
      <c r="C2631" s="631"/>
      <c r="D2631" s="631"/>
      <c r="E2631" s="633"/>
      <c r="F2631" s="650"/>
    </row>
    <row r="2632" spans="3:6">
      <c r="C2632" s="631"/>
      <c r="D2632" s="631"/>
      <c r="E2632" s="633"/>
      <c r="F2632" s="650"/>
    </row>
    <row r="2633" spans="3:6">
      <c r="C2633" s="631"/>
      <c r="D2633" s="631"/>
      <c r="E2633" s="633"/>
      <c r="F2633" s="650"/>
    </row>
    <row r="2634" spans="3:6">
      <c r="C2634" s="631"/>
      <c r="D2634" s="631"/>
      <c r="E2634" s="633"/>
      <c r="F2634" s="650"/>
    </row>
    <row r="2635" spans="3:6">
      <c r="C2635" s="631"/>
      <c r="D2635" s="631"/>
      <c r="E2635" s="633"/>
      <c r="F2635" s="650"/>
    </row>
    <row r="2636" spans="3:6">
      <c r="C2636" s="631"/>
      <c r="D2636" s="631"/>
      <c r="E2636" s="633"/>
      <c r="F2636" s="650"/>
    </row>
    <row r="2637" spans="3:6">
      <c r="C2637" s="631"/>
      <c r="D2637" s="631"/>
      <c r="E2637" s="633"/>
      <c r="F2637" s="650"/>
    </row>
    <row r="2638" spans="3:6">
      <c r="C2638" s="631"/>
      <c r="D2638" s="631"/>
      <c r="E2638" s="633"/>
      <c r="F2638" s="650"/>
    </row>
    <row r="2639" spans="3:6">
      <c r="C2639" s="631"/>
      <c r="D2639" s="631"/>
      <c r="E2639" s="633"/>
      <c r="F2639" s="650"/>
    </row>
    <row r="2640" spans="3:6">
      <c r="C2640" s="631"/>
      <c r="D2640" s="631"/>
      <c r="E2640" s="633"/>
      <c r="F2640" s="650"/>
    </row>
    <row r="2641" spans="3:6">
      <c r="C2641" s="631"/>
      <c r="D2641" s="631"/>
      <c r="E2641" s="633"/>
      <c r="F2641" s="650"/>
    </row>
    <row r="2642" spans="3:6">
      <c r="C2642" s="631"/>
      <c r="D2642" s="631"/>
      <c r="E2642" s="633"/>
      <c r="F2642" s="650"/>
    </row>
    <row r="2643" spans="3:6">
      <c r="C2643" s="631"/>
      <c r="D2643" s="631"/>
      <c r="E2643" s="633"/>
      <c r="F2643" s="650"/>
    </row>
    <row r="2644" spans="3:6">
      <c r="C2644" s="631"/>
      <c r="D2644" s="631"/>
      <c r="E2644" s="633"/>
      <c r="F2644" s="650"/>
    </row>
    <row r="2645" spans="3:6">
      <c r="C2645" s="631"/>
      <c r="D2645" s="631"/>
      <c r="E2645" s="633"/>
      <c r="F2645" s="650"/>
    </row>
    <row r="2646" spans="3:6">
      <c r="C2646" s="631"/>
      <c r="D2646" s="631"/>
      <c r="E2646" s="633"/>
      <c r="F2646" s="650"/>
    </row>
    <row r="2647" spans="3:6">
      <c r="C2647" s="631"/>
      <c r="D2647" s="631"/>
      <c r="E2647" s="633"/>
      <c r="F2647" s="650"/>
    </row>
    <row r="2648" spans="3:6">
      <c r="C2648" s="631"/>
      <c r="D2648" s="631"/>
      <c r="E2648" s="633"/>
      <c r="F2648" s="650"/>
    </row>
    <row r="2649" spans="3:6">
      <c r="C2649" s="631"/>
      <c r="D2649" s="631"/>
      <c r="E2649" s="633"/>
      <c r="F2649" s="650"/>
    </row>
    <row r="2650" spans="3:6">
      <c r="C2650" s="631"/>
      <c r="D2650" s="631"/>
      <c r="E2650" s="633"/>
      <c r="F2650" s="650"/>
    </row>
    <row r="2651" spans="3:6">
      <c r="C2651" s="631"/>
      <c r="D2651" s="631"/>
      <c r="E2651" s="633"/>
      <c r="F2651" s="650"/>
    </row>
    <row r="2652" spans="3:6">
      <c r="C2652" s="631"/>
      <c r="D2652" s="631"/>
      <c r="E2652" s="633"/>
      <c r="F2652" s="650"/>
    </row>
    <row r="2653" spans="3:6">
      <c r="C2653" s="631"/>
      <c r="D2653" s="631"/>
      <c r="E2653" s="633"/>
      <c r="F2653" s="650"/>
    </row>
    <row r="2654" spans="3:6">
      <c r="C2654" s="631"/>
      <c r="D2654" s="631"/>
      <c r="E2654" s="633"/>
      <c r="F2654" s="650"/>
    </row>
    <row r="2655" spans="3:6">
      <c r="C2655" s="631"/>
      <c r="D2655" s="631"/>
      <c r="E2655" s="633"/>
      <c r="F2655" s="650"/>
    </row>
    <row r="2656" spans="3:6">
      <c r="C2656" s="631"/>
      <c r="D2656" s="631"/>
      <c r="E2656" s="633"/>
      <c r="F2656" s="650"/>
    </row>
    <row r="2657" spans="3:6">
      <c r="C2657" s="631"/>
      <c r="D2657" s="631"/>
      <c r="E2657" s="633"/>
      <c r="F2657" s="650"/>
    </row>
    <row r="2658" spans="3:6">
      <c r="C2658" s="631"/>
      <c r="D2658" s="631"/>
      <c r="E2658" s="633"/>
      <c r="F2658" s="650"/>
    </row>
    <row r="2659" spans="3:6">
      <c r="C2659" s="631"/>
      <c r="D2659" s="631"/>
      <c r="E2659" s="633"/>
      <c r="F2659" s="650"/>
    </row>
    <row r="2660" spans="3:6">
      <c r="C2660" s="631"/>
      <c r="D2660" s="631"/>
      <c r="E2660" s="633"/>
      <c r="F2660" s="650"/>
    </row>
    <row r="2661" spans="3:6">
      <c r="C2661" s="631"/>
      <c r="D2661" s="631"/>
      <c r="E2661" s="633"/>
      <c r="F2661" s="650"/>
    </row>
    <row r="2662" spans="3:6">
      <c r="C2662" s="631"/>
      <c r="D2662" s="631"/>
      <c r="E2662" s="633"/>
      <c r="F2662" s="650"/>
    </row>
    <row r="2663" spans="3:6">
      <c r="C2663" s="631"/>
      <c r="D2663" s="631"/>
      <c r="E2663" s="633"/>
      <c r="F2663" s="650"/>
    </row>
    <row r="2664" spans="3:6">
      <c r="C2664" s="631"/>
      <c r="D2664" s="631"/>
      <c r="E2664" s="633"/>
      <c r="F2664" s="650"/>
    </row>
    <row r="2665" spans="3:6">
      <c r="C2665" s="631"/>
      <c r="D2665" s="631"/>
      <c r="E2665" s="633"/>
      <c r="F2665" s="650"/>
    </row>
    <row r="2666" spans="3:6">
      <c r="C2666" s="631"/>
      <c r="D2666" s="631"/>
      <c r="E2666" s="633"/>
      <c r="F2666" s="650"/>
    </row>
    <row r="2667" spans="3:6">
      <c r="C2667" s="631"/>
      <c r="D2667" s="631"/>
      <c r="E2667" s="633"/>
      <c r="F2667" s="650"/>
    </row>
    <row r="2668" spans="3:6">
      <c r="C2668" s="631"/>
      <c r="D2668" s="631"/>
      <c r="E2668" s="633"/>
      <c r="F2668" s="650"/>
    </row>
    <row r="2669" spans="3:6">
      <c r="C2669" s="631"/>
      <c r="D2669" s="631"/>
      <c r="E2669" s="633"/>
      <c r="F2669" s="650"/>
    </row>
    <row r="2670" spans="3:6">
      <c r="C2670" s="631"/>
      <c r="D2670" s="631"/>
      <c r="E2670" s="633"/>
      <c r="F2670" s="650"/>
    </row>
    <row r="2671" spans="3:6">
      <c r="C2671" s="631"/>
      <c r="D2671" s="631"/>
      <c r="E2671" s="633"/>
      <c r="F2671" s="650"/>
    </row>
    <row r="2672" spans="3:6">
      <c r="C2672" s="631"/>
      <c r="D2672" s="631"/>
      <c r="E2672" s="633"/>
      <c r="F2672" s="650"/>
    </row>
    <row r="2673" spans="3:6">
      <c r="C2673" s="631"/>
      <c r="D2673" s="631"/>
      <c r="E2673" s="633"/>
      <c r="F2673" s="650"/>
    </row>
    <row r="2674" spans="3:6">
      <c r="C2674" s="631"/>
      <c r="D2674" s="631"/>
      <c r="E2674" s="633"/>
      <c r="F2674" s="650"/>
    </row>
    <row r="2675" spans="3:6">
      <c r="C2675" s="631"/>
      <c r="D2675" s="631"/>
      <c r="E2675" s="633"/>
      <c r="F2675" s="650"/>
    </row>
    <row r="2676" spans="3:6">
      <c r="C2676" s="631"/>
      <c r="D2676" s="631"/>
      <c r="E2676" s="633"/>
      <c r="F2676" s="650"/>
    </row>
    <row r="2677" spans="3:6">
      <c r="C2677" s="631"/>
      <c r="D2677" s="631"/>
      <c r="E2677" s="633"/>
      <c r="F2677" s="650"/>
    </row>
    <row r="2678" spans="3:6">
      <c r="C2678" s="631"/>
      <c r="D2678" s="631"/>
      <c r="E2678" s="633"/>
      <c r="F2678" s="650"/>
    </row>
    <row r="2679" spans="3:6">
      <c r="C2679" s="631"/>
      <c r="D2679" s="631"/>
      <c r="E2679" s="633"/>
      <c r="F2679" s="650"/>
    </row>
    <row r="2680" spans="3:6">
      <c r="C2680" s="631"/>
      <c r="D2680" s="631"/>
      <c r="E2680" s="633"/>
      <c r="F2680" s="650"/>
    </row>
    <row r="2681" spans="3:6">
      <c r="C2681" s="631"/>
      <c r="D2681" s="631"/>
      <c r="E2681" s="633"/>
      <c r="F2681" s="650"/>
    </row>
    <row r="2682" spans="3:6">
      <c r="C2682" s="631"/>
      <c r="D2682" s="631"/>
      <c r="E2682" s="633"/>
      <c r="F2682" s="650"/>
    </row>
    <row r="2683" spans="3:6">
      <c r="C2683" s="631"/>
      <c r="D2683" s="631"/>
      <c r="E2683" s="633"/>
      <c r="F2683" s="650"/>
    </row>
    <row r="2684" spans="3:6">
      <c r="C2684" s="631"/>
      <c r="D2684" s="631"/>
      <c r="E2684" s="633"/>
      <c r="F2684" s="650"/>
    </row>
    <row r="2685" spans="3:6">
      <c r="C2685" s="631"/>
      <c r="D2685" s="631"/>
      <c r="E2685" s="633"/>
      <c r="F2685" s="650"/>
    </row>
    <row r="2686" spans="3:6">
      <c r="C2686" s="631"/>
      <c r="D2686" s="631"/>
      <c r="E2686" s="633"/>
      <c r="F2686" s="650"/>
    </row>
    <row r="2687" spans="3:6">
      <c r="C2687" s="631"/>
      <c r="D2687" s="631"/>
      <c r="E2687" s="633"/>
      <c r="F2687" s="650"/>
    </row>
    <row r="2688" spans="3:6">
      <c r="C2688" s="631"/>
      <c r="D2688" s="631"/>
      <c r="E2688" s="633"/>
      <c r="F2688" s="650"/>
    </row>
    <row r="2689" spans="3:6">
      <c r="C2689" s="631"/>
      <c r="D2689" s="631"/>
      <c r="E2689" s="633"/>
      <c r="F2689" s="650"/>
    </row>
    <row r="2690" spans="3:6">
      <c r="C2690" s="631"/>
      <c r="D2690" s="631"/>
      <c r="E2690" s="633"/>
      <c r="F2690" s="650"/>
    </row>
    <row r="2691" spans="3:6">
      <c r="C2691" s="631"/>
      <c r="D2691" s="631"/>
      <c r="E2691" s="633"/>
      <c r="F2691" s="650"/>
    </row>
    <row r="2692" spans="3:6">
      <c r="C2692" s="631"/>
      <c r="D2692" s="631"/>
      <c r="E2692" s="633"/>
      <c r="F2692" s="650"/>
    </row>
    <row r="2693" spans="3:6">
      <c r="C2693" s="631"/>
      <c r="D2693" s="631"/>
      <c r="E2693" s="633"/>
      <c r="F2693" s="650"/>
    </row>
    <row r="2694" spans="3:6">
      <c r="C2694" s="631"/>
      <c r="D2694" s="631"/>
      <c r="E2694" s="633"/>
      <c r="F2694" s="650"/>
    </row>
    <row r="2695" spans="3:6">
      <c r="C2695" s="631"/>
      <c r="D2695" s="631"/>
      <c r="E2695" s="633"/>
      <c r="F2695" s="650"/>
    </row>
    <row r="2696" spans="3:6">
      <c r="C2696" s="631"/>
      <c r="D2696" s="631"/>
      <c r="E2696" s="633"/>
      <c r="F2696" s="650"/>
    </row>
    <row r="2697" spans="3:6">
      <c r="C2697" s="631"/>
      <c r="D2697" s="631"/>
      <c r="E2697" s="633"/>
      <c r="F2697" s="650"/>
    </row>
    <row r="2698" spans="3:6">
      <c r="C2698" s="631"/>
      <c r="D2698" s="631"/>
      <c r="E2698" s="633"/>
      <c r="F2698" s="650"/>
    </row>
    <row r="2699" spans="3:6">
      <c r="C2699" s="631"/>
      <c r="D2699" s="631"/>
      <c r="E2699" s="633"/>
      <c r="F2699" s="650"/>
    </row>
    <row r="2700" spans="3:6">
      <c r="C2700" s="631"/>
      <c r="D2700" s="631"/>
      <c r="E2700" s="633"/>
      <c r="F2700" s="650"/>
    </row>
    <row r="2701" spans="3:6">
      <c r="C2701" s="631"/>
      <c r="D2701" s="631"/>
      <c r="E2701" s="633"/>
      <c r="F2701" s="650"/>
    </row>
    <row r="2702" spans="3:6">
      <c r="C2702" s="631"/>
      <c r="D2702" s="631"/>
      <c r="E2702" s="633"/>
      <c r="F2702" s="650"/>
    </row>
    <row r="2703" spans="3:6">
      <c r="C2703" s="631"/>
      <c r="D2703" s="631"/>
      <c r="E2703" s="633"/>
      <c r="F2703" s="650"/>
    </row>
    <row r="2704" spans="3:6">
      <c r="C2704" s="631"/>
      <c r="D2704" s="631"/>
      <c r="E2704" s="633"/>
      <c r="F2704" s="650"/>
    </row>
    <row r="2705" spans="3:6">
      <c r="C2705" s="631"/>
      <c r="D2705" s="631"/>
      <c r="E2705" s="633"/>
      <c r="F2705" s="650"/>
    </row>
    <row r="2706" spans="3:6">
      <c r="C2706" s="631"/>
      <c r="D2706" s="631"/>
      <c r="E2706" s="633"/>
      <c r="F2706" s="650"/>
    </row>
    <row r="2707" spans="3:6">
      <c r="C2707" s="631"/>
      <c r="D2707" s="631"/>
      <c r="E2707" s="633"/>
      <c r="F2707" s="650"/>
    </row>
    <row r="2708" spans="3:6">
      <c r="C2708" s="631"/>
      <c r="D2708" s="631"/>
      <c r="E2708" s="633"/>
      <c r="F2708" s="650"/>
    </row>
    <row r="2709" spans="3:6">
      <c r="C2709" s="631"/>
      <c r="D2709" s="631"/>
      <c r="E2709" s="633"/>
      <c r="F2709" s="650"/>
    </row>
    <row r="2710" spans="3:6">
      <c r="C2710" s="631"/>
      <c r="D2710" s="631"/>
      <c r="E2710" s="633"/>
      <c r="F2710" s="650"/>
    </row>
    <row r="2711" spans="3:6">
      <c r="C2711" s="631"/>
      <c r="D2711" s="631"/>
      <c r="E2711" s="633"/>
      <c r="F2711" s="650"/>
    </row>
    <row r="2712" spans="3:6">
      <c r="C2712" s="631"/>
      <c r="D2712" s="631"/>
      <c r="E2712" s="633"/>
      <c r="F2712" s="650"/>
    </row>
    <row r="2713" spans="3:6">
      <c r="C2713" s="631"/>
      <c r="D2713" s="631"/>
      <c r="E2713" s="633"/>
      <c r="F2713" s="650"/>
    </row>
    <row r="2714" spans="3:6">
      <c r="C2714" s="631"/>
      <c r="D2714" s="631"/>
      <c r="E2714" s="633"/>
      <c r="F2714" s="650"/>
    </row>
    <row r="2715" spans="3:6">
      <c r="C2715" s="631"/>
      <c r="D2715" s="631"/>
      <c r="E2715" s="633"/>
      <c r="F2715" s="650"/>
    </row>
    <row r="2716" spans="3:6">
      <c r="C2716" s="631"/>
      <c r="D2716" s="631"/>
      <c r="E2716" s="633"/>
      <c r="F2716" s="650"/>
    </row>
    <row r="2717" spans="3:6">
      <c r="C2717" s="631"/>
      <c r="D2717" s="631"/>
      <c r="E2717" s="633"/>
      <c r="F2717" s="650"/>
    </row>
    <row r="2718" spans="3:6">
      <c r="C2718" s="631"/>
      <c r="D2718" s="631"/>
      <c r="E2718" s="633"/>
      <c r="F2718" s="650"/>
    </row>
    <row r="2719" spans="3:6">
      <c r="C2719" s="631"/>
      <c r="D2719" s="631"/>
      <c r="E2719" s="633"/>
      <c r="F2719" s="650"/>
    </row>
    <row r="2720" spans="3:6">
      <c r="C2720" s="631"/>
      <c r="D2720" s="631"/>
      <c r="E2720" s="633"/>
      <c r="F2720" s="650"/>
    </row>
    <row r="2721" spans="3:6">
      <c r="C2721" s="631"/>
      <c r="D2721" s="631"/>
      <c r="E2721" s="633"/>
      <c r="F2721" s="650"/>
    </row>
    <row r="2722" spans="3:6">
      <c r="C2722" s="631"/>
      <c r="D2722" s="631"/>
      <c r="E2722" s="633"/>
      <c r="F2722" s="650"/>
    </row>
    <row r="2723" spans="3:6">
      <c r="C2723" s="631"/>
      <c r="D2723" s="631"/>
      <c r="E2723" s="633"/>
      <c r="F2723" s="650"/>
    </row>
    <row r="2724" spans="3:6">
      <c r="C2724" s="631"/>
      <c r="D2724" s="631"/>
      <c r="E2724" s="633"/>
      <c r="F2724" s="650"/>
    </row>
    <row r="2725" spans="3:6">
      <c r="C2725" s="631"/>
      <c r="D2725" s="631"/>
      <c r="E2725" s="633"/>
      <c r="F2725" s="650"/>
    </row>
    <row r="2726" spans="3:6">
      <c r="C2726" s="631"/>
      <c r="D2726" s="631"/>
      <c r="E2726" s="633"/>
      <c r="F2726" s="650"/>
    </row>
    <row r="2727" spans="3:6">
      <c r="C2727" s="631"/>
      <c r="D2727" s="631"/>
      <c r="E2727" s="633"/>
      <c r="F2727" s="650"/>
    </row>
    <row r="2728" spans="3:6">
      <c r="C2728" s="631"/>
      <c r="D2728" s="631"/>
      <c r="E2728" s="633"/>
      <c r="F2728" s="650"/>
    </row>
    <row r="2729" spans="3:6">
      <c r="C2729" s="631"/>
      <c r="D2729" s="631"/>
      <c r="E2729" s="633"/>
      <c r="F2729" s="650"/>
    </row>
    <row r="2730" spans="3:6">
      <c r="C2730" s="631"/>
      <c r="D2730" s="631"/>
      <c r="E2730" s="633"/>
      <c r="F2730" s="650"/>
    </row>
    <row r="2731" spans="3:6">
      <c r="C2731" s="631"/>
      <c r="D2731" s="631"/>
      <c r="E2731" s="633"/>
      <c r="F2731" s="650"/>
    </row>
    <row r="2732" spans="3:6">
      <c r="C2732" s="631"/>
      <c r="D2732" s="631"/>
      <c r="E2732" s="633"/>
      <c r="F2732" s="650"/>
    </row>
    <row r="2733" spans="3:6">
      <c r="C2733" s="631"/>
      <c r="D2733" s="631"/>
      <c r="E2733" s="633"/>
      <c r="F2733" s="650"/>
    </row>
    <row r="2734" spans="3:6">
      <c r="C2734" s="631"/>
      <c r="D2734" s="631"/>
      <c r="E2734" s="633"/>
      <c r="F2734" s="650"/>
    </row>
    <row r="2735" spans="3:6">
      <c r="C2735" s="631"/>
      <c r="D2735" s="631"/>
      <c r="E2735" s="633"/>
      <c r="F2735" s="650"/>
    </row>
    <row r="2736" spans="3:6">
      <c r="C2736" s="631"/>
      <c r="D2736" s="631"/>
      <c r="E2736" s="633"/>
      <c r="F2736" s="650"/>
    </row>
    <row r="2737" spans="3:6">
      <c r="C2737" s="631"/>
      <c r="D2737" s="631"/>
      <c r="E2737" s="633"/>
      <c r="F2737" s="650"/>
    </row>
    <row r="2738" spans="3:6">
      <c r="C2738" s="631"/>
      <c r="D2738" s="631"/>
      <c r="E2738" s="633"/>
      <c r="F2738" s="650"/>
    </row>
    <row r="2739" spans="3:6">
      <c r="C2739" s="631"/>
      <c r="D2739" s="631"/>
      <c r="E2739" s="633"/>
      <c r="F2739" s="650"/>
    </row>
    <row r="2740" spans="3:6">
      <c r="C2740" s="631"/>
      <c r="D2740" s="631"/>
      <c r="E2740" s="633"/>
      <c r="F2740" s="650"/>
    </row>
    <row r="2741" spans="3:6">
      <c r="C2741" s="631"/>
      <c r="D2741" s="631"/>
      <c r="E2741" s="633"/>
      <c r="F2741" s="650"/>
    </row>
    <row r="2742" spans="3:6">
      <c r="C2742" s="631"/>
      <c r="D2742" s="631"/>
      <c r="E2742" s="633"/>
      <c r="F2742" s="650"/>
    </row>
    <row r="2743" spans="3:6">
      <c r="C2743" s="631"/>
      <c r="D2743" s="631"/>
      <c r="E2743" s="633"/>
      <c r="F2743" s="650"/>
    </row>
    <row r="2744" spans="3:6">
      <c r="C2744" s="631"/>
      <c r="D2744" s="631"/>
      <c r="E2744" s="633"/>
      <c r="F2744" s="650"/>
    </row>
    <row r="2745" spans="3:6">
      <c r="C2745" s="631"/>
      <c r="D2745" s="631"/>
      <c r="E2745" s="633"/>
      <c r="F2745" s="650"/>
    </row>
    <row r="2746" spans="3:6">
      <c r="C2746" s="631"/>
      <c r="D2746" s="631"/>
      <c r="E2746" s="633"/>
      <c r="F2746" s="650"/>
    </row>
    <row r="2747" spans="3:6">
      <c r="C2747" s="631"/>
      <c r="D2747" s="631"/>
      <c r="E2747" s="633"/>
      <c r="F2747" s="650"/>
    </row>
    <row r="2748" spans="3:6">
      <c r="C2748" s="631"/>
      <c r="D2748" s="631"/>
      <c r="E2748" s="633"/>
      <c r="F2748" s="650"/>
    </row>
    <row r="2749" spans="3:6">
      <c r="C2749" s="631"/>
      <c r="D2749" s="631"/>
      <c r="E2749" s="633"/>
      <c r="F2749" s="650"/>
    </row>
    <row r="2750" spans="3:6">
      <c r="C2750" s="631"/>
      <c r="D2750" s="631"/>
      <c r="E2750" s="633"/>
      <c r="F2750" s="650"/>
    </row>
    <row r="2751" spans="3:6">
      <c r="C2751" s="631"/>
      <c r="D2751" s="631"/>
      <c r="E2751" s="633"/>
      <c r="F2751" s="650"/>
    </row>
    <row r="2752" spans="3:6">
      <c r="C2752" s="631"/>
      <c r="D2752" s="631"/>
      <c r="E2752" s="633"/>
      <c r="F2752" s="650"/>
    </row>
    <row r="2753" spans="3:6">
      <c r="C2753" s="631"/>
      <c r="D2753" s="631"/>
      <c r="E2753" s="633"/>
      <c r="F2753" s="650"/>
    </row>
    <row r="2754" spans="3:6">
      <c r="C2754" s="631"/>
      <c r="D2754" s="631"/>
      <c r="E2754" s="633"/>
      <c r="F2754" s="650"/>
    </row>
    <row r="2755" spans="3:6">
      <c r="C2755" s="631"/>
      <c r="D2755" s="631"/>
      <c r="E2755" s="633"/>
      <c r="F2755" s="650"/>
    </row>
    <row r="2756" spans="3:6">
      <c r="C2756" s="631"/>
      <c r="D2756" s="631"/>
      <c r="E2756" s="633"/>
      <c r="F2756" s="650"/>
    </row>
    <row r="2757" spans="3:6">
      <c r="C2757" s="631"/>
      <c r="D2757" s="631"/>
      <c r="E2757" s="633"/>
      <c r="F2757" s="650"/>
    </row>
    <row r="2758" spans="3:6">
      <c r="C2758" s="631"/>
      <c r="D2758" s="631"/>
      <c r="E2758" s="633"/>
      <c r="F2758" s="650"/>
    </row>
    <row r="2759" spans="3:6">
      <c r="C2759" s="631"/>
      <c r="D2759" s="631"/>
      <c r="E2759" s="633"/>
      <c r="F2759" s="650"/>
    </row>
    <row r="2760" spans="3:6">
      <c r="C2760" s="631"/>
      <c r="D2760" s="631"/>
      <c r="E2760" s="633"/>
      <c r="F2760" s="650"/>
    </row>
    <row r="2761" spans="3:6">
      <c r="C2761" s="631"/>
      <c r="D2761" s="631"/>
      <c r="E2761" s="633"/>
      <c r="F2761" s="650"/>
    </row>
    <row r="2762" spans="3:6">
      <c r="C2762" s="631"/>
      <c r="D2762" s="631"/>
      <c r="E2762" s="633"/>
      <c r="F2762" s="650"/>
    </row>
    <row r="2763" spans="3:6">
      <c r="C2763" s="631"/>
      <c r="D2763" s="631"/>
      <c r="E2763" s="633"/>
      <c r="F2763" s="650"/>
    </row>
    <row r="2764" spans="3:6">
      <c r="C2764" s="631"/>
      <c r="D2764" s="631"/>
      <c r="E2764" s="633"/>
      <c r="F2764" s="650"/>
    </row>
    <row r="2765" spans="3:6">
      <c r="C2765" s="631"/>
      <c r="D2765" s="631"/>
      <c r="E2765" s="633"/>
      <c r="F2765" s="650"/>
    </row>
    <row r="2766" spans="3:6">
      <c r="C2766" s="631"/>
      <c r="D2766" s="631"/>
      <c r="E2766" s="633"/>
      <c r="F2766" s="650"/>
    </row>
    <row r="2767" spans="3:6">
      <c r="C2767" s="631"/>
      <c r="D2767" s="631"/>
      <c r="E2767" s="633"/>
      <c r="F2767" s="650"/>
    </row>
    <row r="2768" spans="3:6">
      <c r="C2768" s="631"/>
      <c r="D2768" s="631"/>
      <c r="E2768" s="633"/>
      <c r="F2768" s="650"/>
    </row>
    <row r="2769" spans="3:6">
      <c r="C2769" s="631"/>
      <c r="D2769" s="631"/>
      <c r="E2769" s="633"/>
      <c r="F2769" s="650"/>
    </row>
    <row r="2770" spans="3:6">
      <c r="C2770" s="631"/>
      <c r="D2770" s="631"/>
      <c r="E2770" s="633"/>
      <c r="F2770" s="650"/>
    </row>
    <row r="2771" spans="3:6">
      <c r="C2771" s="631"/>
      <c r="D2771" s="631"/>
      <c r="E2771" s="633"/>
      <c r="F2771" s="650"/>
    </row>
    <row r="2772" spans="3:6">
      <c r="C2772" s="631"/>
      <c r="D2772" s="631"/>
      <c r="E2772" s="633"/>
      <c r="F2772" s="650"/>
    </row>
    <row r="2773" spans="3:6">
      <c r="C2773" s="631"/>
      <c r="D2773" s="631"/>
      <c r="E2773" s="633"/>
      <c r="F2773" s="650"/>
    </row>
    <row r="2774" spans="3:6">
      <c r="C2774" s="631"/>
      <c r="D2774" s="631"/>
      <c r="E2774" s="633"/>
      <c r="F2774" s="650"/>
    </row>
    <row r="2775" spans="3:6">
      <c r="C2775" s="631"/>
      <c r="D2775" s="631"/>
      <c r="E2775" s="633"/>
      <c r="F2775" s="650"/>
    </row>
    <row r="2776" spans="3:6">
      <c r="C2776" s="631"/>
      <c r="D2776" s="631"/>
      <c r="E2776" s="633"/>
      <c r="F2776" s="650"/>
    </row>
    <row r="2777" spans="3:6">
      <c r="C2777" s="631"/>
      <c r="D2777" s="631"/>
      <c r="E2777" s="633"/>
      <c r="F2777" s="650"/>
    </row>
    <row r="2778" spans="3:6">
      <c r="C2778" s="631"/>
      <c r="D2778" s="631"/>
      <c r="E2778" s="633"/>
      <c r="F2778" s="650"/>
    </row>
    <row r="2779" spans="3:6">
      <c r="C2779" s="631"/>
      <c r="D2779" s="631"/>
      <c r="E2779" s="633"/>
      <c r="F2779" s="650"/>
    </row>
    <row r="2780" spans="3:6">
      <c r="C2780" s="631"/>
      <c r="D2780" s="631"/>
      <c r="E2780" s="633"/>
      <c r="F2780" s="650"/>
    </row>
    <row r="2781" spans="3:6">
      <c r="C2781" s="631"/>
      <c r="D2781" s="631"/>
      <c r="E2781" s="633"/>
      <c r="F2781" s="650"/>
    </row>
    <row r="2782" spans="3:6">
      <c r="C2782" s="631"/>
      <c r="D2782" s="631"/>
      <c r="E2782" s="633"/>
      <c r="F2782" s="650"/>
    </row>
    <row r="2783" spans="3:6">
      <c r="C2783" s="631"/>
      <c r="D2783" s="631"/>
      <c r="E2783" s="633"/>
      <c r="F2783" s="650"/>
    </row>
    <row r="2784" spans="3:6">
      <c r="C2784" s="631"/>
      <c r="D2784" s="631"/>
      <c r="E2784" s="633"/>
      <c r="F2784" s="650"/>
    </row>
    <row r="2785" spans="3:6">
      <c r="C2785" s="631"/>
      <c r="D2785" s="631"/>
      <c r="E2785" s="633"/>
      <c r="F2785" s="650"/>
    </row>
    <row r="2786" spans="3:6">
      <c r="C2786" s="631"/>
      <c r="D2786" s="631"/>
      <c r="E2786" s="633"/>
      <c r="F2786" s="650"/>
    </row>
    <row r="2787" spans="3:6">
      <c r="C2787" s="631"/>
      <c r="D2787" s="631"/>
      <c r="E2787" s="633"/>
      <c r="F2787" s="650"/>
    </row>
    <row r="2788" spans="3:6">
      <c r="C2788" s="631"/>
      <c r="D2788" s="631"/>
      <c r="E2788" s="633"/>
      <c r="F2788" s="650"/>
    </row>
    <row r="2789" spans="3:6">
      <c r="C2789" s="631"/>
      <c r="D2789" s="631"/>
      <c r="E2789" s="633"/>
      <c r="F2789" s="650"/>
    </row>
    <row r="2790" spans="3:6">
      <c r="C2790" s="631"/>
      <c r="D2790" s="631"/>
      <c r="E2790" s="633"/>
      <c r="F2790" s="650"/>
    </row>
    <row r="2791" spans="3:6">
      <c r="C2791" s="631"/>
      <c r="D2791" s="631"/>
      <c r="E2791" s="633"/>
      <c r="F2791" s="650"/>
    </row>
    <row r="2792" spans="3:6">
      <c r="C2792" s="631"/>
      <c r="D2792" s="631"/>
      <c r="E2792" s="633"/>
      <c r="F2792" s="650"/>
    </row>
    <row r="2793" spans="3:6">
      <c r="C2793" s="631"/>
      <c r="D2793" s="631"/>
      <c r="E2793" s="633"/>
      <c r="F2793" s="650"/>
    </row>
    <row r="2794" spans="3:6">
      <c r="C2794" s="631"/>
      <c r="D2794" s="631"/>
      <c r="E2794" s="633"/>
      <c r="F2794" s="650"/>
    </row>
    <row r="2795" spans="3:6">
      <c r="C2795" s="631"/>
      <c r="D2795" s="631"/>
      <c r="E2795" s="633"/>
      <c r="F2795" s="650"/>
    </row>
    <row r="2796" spans="3:6">
      <c r="C2796" s="631"/>
      <c r="D2796" s="631"/>
      <c r="E2796" s="633"/>
      <c r="F2796" s="650"/>
    </row>
    <row r="2797" spans="3:6">
      <c r="C2797" s="631"/>
      <c r="D2797" s="631"/>
      <c r="E2797" s="633"/>
      <c r="F2797" s="650"/>
    </row>
    <row r="2798" spans="3:6">
      <c r="C2798" s="631"/>
      <c r="D2798" s="631"/>
      <c r="E2798" s="633"/>
      <c r="F2798" s="650"/>
    </row>
    <row r="2799" spans="3:6">
      <c r="C2799" s="631"/>
      <c r="D2799" s="631"/>
      <c r="E2799" s="633"/>
      <c r="F2799" s="650"/>
    </row>
    <row r="2800" spans="3:6">
      <c r="C2800" s="631"/>
      <c r="D2800" s="631"/>
      <c r="E2800" s="633"/>
      <c r="F2800" s="650"/>
    </row>
    <row r="2801" spans="3:6">
      <c r="C2801" s="631"/>
      <c r="D2801" s="631"/>
      <c r="E2801" s="633"/>
      <c r="F2801" s="650"/>
    </row>
    <row r="2802" spans="3:6">
      <c r="C2802" s="631"/>
      <c r="D2802" s="631"/>
      <c r="E2802" s="633"/>
      <c r="F2802" s="650"/>
    </row>
    <row r="2803" spans="3:6">
      <c r="C2803" s="631"/>
      <c r="D2803" s="631"/>
      <c r="E2803" s="633"/>
      <c r="F2803" s="650"/>
    </row>
    <row r="2804" spans="3:6">
      <c r="C2804" s="631"/>
      <c r="D2804" s="631"/>
      <c r="E2804" s="633"/>
      <c r="F2804" s="650"/>
    </row>
    <row r="2805" spans="3:6">
      <c r="C2805" s="631"/>
      <c r="D2805" s="631"/>
      <c r="E2805" s="633"/>
      <c r="F2805" s="650"/>
    </row>
    <row r="2806" spans="3:6">
      <c r="C2806" s="631"/>
      <c r="D2806" s="631"/>
      <c r="E2806" s="633"/>
      <c r="F2806" s="650"/>
    </row>
    <row r="2807" spans="3:6">
      <c r="C2807" s="631"/>
      <c r="D2807" s="631"/>
      <c r="E2807" s="633"/>
      <c r="F2807" s="650"/>
    </row>
    <row r="2808" spans="3:6">
      <c r="C2808" s="631"/>
      <c r="D2808" s="631"/>
      <c r="E2808" s="633"/>
      <c r="F2808" s="650"/>
    </row>
    <row r="2809" spans="3:6">
      <c r="C2809" s="631"/>
      <c r="D2809" s="631"/>
      <c r="E2809" s="633"/>
      <c r="F2809" s="650"/>
    </row>
    <row r="2810" spans="3:6">
      <c r="C2810" s="631"/>
      <c r="D2810" s="631"/>
      <c r="E2810" s="633"/>
      <c r="F2810" s="650"/>
    </row>
    <row r="2811" spans="3:6">
      <c r="C2811" s="631"/>
      <c r="D2811" s="631"/>
      <c r="E2811" s="633"/>
      <c r="F2811" s="650"/>
    </row>
    <row r="2812" spans="3:6">
      <c r="C2812" s="631"/>
      <c r="D2812" s="631"/>
      <c r="E2812" s="633"/>
      <c r="F2812" s="650"/>
    </row>
    <row r="2813" spans="3:6">
      <c r="C2813" s="631"/>
      <c r="D2813" s="631"/>
      <c r="E2813" s="633"/>
      <c r="F2813" s="650"/>
    </row>
    <row r="2814" spans="3:6">
      <c r="C2814" s="631"/>
      <c r="D2814" s="631"/>
      <c r="E2814" s="633"/>
      <c r="F2814" s="650"/>
    </row>
    <row r="2815" spans="3:6">
      <c r="C2815" s="631"/>
      <c r="D2815" s="631"/>
      <c r="E2815" s="633"/>
      <c r="F2815" s="650"/>
    </row>
    <row r="2816" spans="3:6">
      <c r="C2816" s="631"/>
      <c r="D2816" s="631"/>
      <c r="E2816" s="633"/>
      <c r="F2816" s="650"/>
    </row>
    <row r="2817" spans="3:6">
      <c r="C2817" s="631"/>
      <c r="D2817" s="631"/>
      <c r="E2817" s="633"/>
      <c r="F2817" s="650"/>
    </row>
    <row r="2818" spans="3:6">
      <c r="C2818" s="631"/>
      <c r="D2818" s="631"/>
      <c r="E2818" s="633"/>
      <c r="F2818" s="650"/>
    </row>
    <row r="2819" spans="3:6">
      <c r="C2819" s="631"/>
      <c r="D2819" s="631"/>
      <c r="E2819" s="633"/>
      <c r="F2819" s="650"/>
    </row>
    <row r="2820" spans="3:6">
      <c r="C2820" s="631"/>
      <c r="D2820" s="631"/>
      <c r="E2820" s="633"/>
      <c r="F2820" s="650"/>
    </row>
    <row r="2821" spans="3:6">
      <c r="C2821" s="631"/>
      <c r="D2821" s="631"/>
      <c r="E2821" s="633"/>
      <c r="F2821" s="650"/>
    </row>
    <row r="2822" spans="3:6">
      <c r="C2822" s="631"/>
      <c r="D2822" s="631"/>
      <c r="E2822" s="633"/>
      <c r="F2822" s="650"/>
    </row>
    <row r="2823" spans="3:6">
      <c r="C2823" s="631"/>
      <c r="D2823" s="631"/>
      <c r="E2823" s="633"/>
      <c r="F2823" s="650"/>
    </row>
    <row r="2824" spans="3:6">
      <c r="C2824" s="631"/>
      <c r="D2824" s="631"/>
      <c r="E2824" s="633"/>
      <c r="F2824" s="650"/>
    </row>
    <row r="2825" spans="3:6">
      <c r="C2825" s="631"/>
      <c r="D2825" s="631"/>
      <c r="E2825" s="633"/>
      <c r="F2825" s="650"/>
    </row>
    <row r="2826" spans="3:6">
      <c r="C2826" s="631"/>
      <c r="D2826" s="631"/>
      <c r="E2826" s="633"/>
      <c r="F2826" s="650"/>
    </row>
    <row r="2827" spans="3:6">
      <c r="C2827" s="631"/>
      <c r="D2827" s="631"/>
      <c r="E2827" s="633"/>
      <c r="F2827" s="650"/>
    </row>
    <row r="2828" spans="3:6">
      <c r="C2828" s="631"/>
      <c r="D2828" s="631"/>
      <c r="E2828" s="633"/>
      <c r="F2828" s="650"/>
    </row>
    <row r="2829" spans="3:6">
      <c r="C2829" s="631"/>
      <c r="D2829" s="631"/>
      <c r="E2829" s="633"/>
      <c r="F2829" s="650"/>
    </row>
    <row r="2830" spans="3:6">
      <c r="C2830" s="631"/>
      <c r="D2830" s="631"/>
      <c r="E2830" s="633"/>
      <c r="F2830" s="650"/>
    </row>
    <row r="2831" spans="3:6">
      <c r="C2831" s="631"/>
      <c r="D2831" s="631"/>
      <c r="E2831" s="633"/>
      <c r="F2831" s="650"/>
    </row>
    <row r="2832" spans="3:6">
      <c r="C2832" s="631"/>
      <c r="D2832" s="631"/>
      <c r="E2832" s="633"/>
      <c r="F2832" s="650"/>
    </row>
    <row r="2833" spans="3:6">
      <c r="C2833" s="631"/>
      <c r="D2833" s="631"/>
      <c r="E2833" s="633"/>
      <c r="F2833" s="650"/>
    </row>
    <row r="2834" spans="3:6">
      <c r="C2834" s="631"/>
      <c r="D2834" s="631"/>
      <c r="E2834" s="633"/>
      <c r="F2834" s="650"/>
    </row>
    <row r="2835" spans="3:6">
      <c r="C2835" s="631"/>
      <c r="D2835" s="631"/>
      <c r="E2835" s="633"/>
      <c r="F2835" s="650"/>
    </row>
    <row r="2836" spans="3:6">
      <c r="C2836" s="631"/>
      <c r="D2836" s="631"/>
      <c r="E2836" s="633"/>
      <c r="F2836" s="650"/>
    </row>
    <row r="2837" spans="3:6">
      <c r="C2837" s="631"/>
      <c r="D2837" s="631"/>
      <c r="E2837" s="633"/>
      <c r="F2837" s="650"/>
    </row>
    <row r="2838" spans="3:6">
      <c r="C2838" s="631"/>
      <c r="D2838" s="631"/>
      <c r="E2838" s="633"/>
      <c r="F2838" s="650"/>
    </row>
    <row r="2839" spans="3:6">
      <c r="C2839" s="631"/>
      <c r="D2839" s="631"/>
      <c r="E2839" s="633"/>
      <c r="F2839" s="650"/>
    </row>
    <row r="2840" spans="3:6">
      <c r="C2840" s="631"/>
      <c r="D2840" s="631"/>
      <c r="E2840" s="633"/>
      <c r="F2840" s="650"/>
    </row>
    <row r="2841" spans="3:6">
      <c r="C2841" s="631"/>
      <c r="D2841" s="631"/>
      <c r="E2841" s="633"/>
      <c r="F2841" s="650"/>
    </row>
    <row r="2842" spans="3:6">
      <c r="C2842" s="631"/>
      <c r="D2842" s="631"/>
      <c r="E2842" s="633"/>
      <c r="F2842" s="650"/>
    </row>
    <row r="2843" spans="3:6">
      <c r="C2843" s="631"/>
      <c r="D2843" s="631"/>
      <c r="E2843" s="633"/>
      <c r="F2843" s="650"/>
    </row>
    <row r="2844" spans="3:6">
      <c r="C2844" s="631"/>
      <c r="D2844" s="631"/>
      <c r="E2844" s="633"/>
      <c r="F2844" s="650"/>
    </row>
    <row r="2845" spans="3:6">
      <c r="C2845" s="631"/>
      <c r="D2845" s="631"/>
      <c r="E2845" s="633"/>
      <c r="F2845" s="650"/>
    </row>
    <row r="2846" spans="3:6">
      <c r="C2846" s="631"/>
      <c r="D2846" s="631"/>
      <c r="E2846" s="633"/>
      <c r="F2846" s="650"/>
    </row>
    <row r="2847" spans="3:6">
      <c r="C2847" s="631"/>
      <c r="D2847" s="631"/>
      <c r="E2847" s="633"/>
      <c r="F2847" s="650"/>
    </row>
    <row r="2848" spans="3:6">
      <c r="C2848" s="631"/>
      <c r="D2848" s="631"/>
      <c r="E2848" s="633"/>
      <c r="F2848" s="650"/>
    </row>
    <row r="2849" spans="3:6">
      <c r="C2849" s="631"/>
      <c r="D2849" s="631"/>
      <c r="E2849" s="633"/>
      <c r="F2849" s="650"/>
    </row>
    <row r="2850" spans="3:6">
      <c r="C2850" s="631"/>
      <c r="D2850" s="631"/>
      <c r="E2850" s="633"/>
      <c r="F2850" s="650"/>
    </row>
    <row r="2851" spans="3:6">
      <c r="C2851" s="631"/>
      <c r="D2851" s="631"/>
      <c r="E2851" s="633"/>
      <c r="F2851" s="650"/>
    </row>
    <row r="2852" spans="3:6">
      <c r="C2852" s="631"/>
      <c r="D2852" s="631"/>
      <c r="E2852" s="633"/>
      <c r="F2852" s="650"/>
    </row>
    <row r="2853" spans="3:6">
      <c r="C2853" s="631"/>
      <c r="D2853" s="631"/>
      <c r="E2853" s="633"/>
      <c r="F2853" s="650"/>
    </row>
    <row r="2854" spans="3:6">
      <c r="C2854" s="631"/>
      <c r="D2854" s="631"/>
      <c r="E2854" s="633"/>
      <c r="F2854" s="650"/>
    </row>
    <row r="2855" spans="3:6">
      <c r="C2855" s="631"/>
      <c r="D2855" s="631"/>
      <c r="E2855" s="633"/>
      <c r="F2855" s="650"/>
    </row>
    <row r="2856" spans="3:6">
      <c r="C2856" s="631"/>
      <c r="D2856" s="631"/>
      <c r="E2856" s="633"/>
      <c r="F2856" s="650"/>
    </row>
    <row r="2857" spans="3:6">
      <c r="C2857" s="631"/>
      <c r="D2857" s="631"/>
      <c r="E2857" s="633"/>
      <c r="F2857" s="650"/>
    </row>
    <row r="2858" spans="3:6">
      <c r="C2858" s="631"/>
      <c r="D2858" s="631"/>
      <c r="E2858" s="633"/>
      <c r="F2858" s="650"/>
    </row>
    <row r="2859" spans="3:6">
      <c r="C2859" s="631"/>
      <c r="D2859" s="631"/>
      <c r="E2859" s="633"/>
      <c r="F2859" s="650"/>
    </row>
    <row r="2860" spans="3:6">
      <c r="C2860" s="631"/>
      <c r="D2860" s="631"/>
      <c r="E2860" s="633"/>
      <c r="F2860" s="650"/>
    </row>
    <row r="2861" spans="3:6">
      <c r="C2861" s="631"/>
      <c r="D2861" s="631"/>
      <c r="E2861" s="633"/>
      <c r="F2861" s="650"/>
    </row>
    <row r="2862" spans="3:6">
      <c r="C2862" s="631"/>
      <c r="D2862" s="631"/>
      <c r="E2862" s="633"/>
      <c r="F2862" s="650"/>
    </row>
    <row r="2863" spans="3:6">
      <c r="C2863" s="631"/>
      <c r="D2863" s="631"/>
      <c r="E2863" s="633"/>
      <c r="F2863" s="650"/>
    </row>
    <row r="2864" spans="3:6">
      <c r="C2864" s="631"/>
      <c r="D2864" s="631"/>
      <c r="E2864" s="633"/>
      <c r="F2864" s="650"/>
    </row>
    <row r="2865" spans="3:6">
      <c r="C2865" s="631"/>
      <c r="D2865" s="631"/>
      <c r="E2865" s="633"/>
      <c r="F2865" s="650"/>
    </row>
    <row r="2866" spans="3:6">
      <c r="C2866" s="631"/>
      <c r="D2866" s="631"/>
      <c r="E2866" s="633"/>
      <c r="F2866" s="650"/>
    </row>
    <row r="2867" spans="3:6">
      <c r="C2867" s="631"/>
      <c r="D2867" s="631"/>
      <c r="E2867" s="633"/>
      <c r="F2867" s="650"/>
    </row>
    <row r="2868" spans="3:6">
      <c r="C2868" s="631"/>
      <c r="D2868" s="631"/>
      <c r="E2868" s="633"/>
      <c r="F2868" s="650"/>
    </row>
    <row r="2869" spans="3:6">
      <c r="C2869" s="631"/>
      <c r="D2869" s="631"/>
      <c r="E2869" s="633"/>
      <c r="F2869" s="650"/>
    </row>
    <row r="2870" spans="3:6">
      <c r="C2870" s="631"/>
      <c r="D2870" s="631"/>
      <c r="E2870" s="633"/>
      <c r="F2870" s="650"/>
    </row>
    <row r="2871" spans="3:6">
      <c r="C2871" s="631"/>
      <c r="D2871" s="631"/>
      <c r="E2871" s="633"/>
      <c r="F2871" s="650"/>
    </row>
    <row r="2872" spans="3:6">
      <c r="C2872" s="631"/>
      <c r="D2872" s="631"/>
      <c r="E2872" s="633"/>
      <c r="F2872" s="650"/>
    </row>
    <row r="2873" spans="3:6">
      <c r="C2873" s="631"/>
      <c r="D2873" s="631"/>
      <c r="E2873" s="633"/>
      <c r="F2873" s="650"/>
    </row>
    <row r="2874" spans="3:6">
      <c r="C2874" s="631"/>
      <c r="D2874" s="631"/>
      <c r="E2874" s="633"/>
      <c r="F2874" s="650"/>
    </row>
    <row r="2875" spans="3:6">
      <c r="C2875" s="631"/>
      <c r="D2875" s="631"/>
      <c r="E2875" s="633"/>
      <c r="F2875" s="650"/>
    </row>
    <row r="2876" spans="3:6">
      <c r="C2876" s="631"/>
      <c r="D2876" s="631"/>
      <c r="E2876" s="633"/>
      <c r="F2876" s="650"/>
    </row>
    <row r="2877" spans="3:6">
      <c r="C2877" s="631"/>
      <c r="D2877" s="631"/>
      <c r="E2877" s="633"/>
      <c r="F2877" s="650"/>
    </row>
    <row r="2878" spans="3:6">
      <c r="C2878" s="631"/>
      <c r="D2878" s="631"/>
      <c r="E2878" s="633"/>
      <c r="F2878" s="650"/>
    </row>
    <row r="2879" spans="3:6">
      <c r="C2879" s="631"/>
      <c r="D2879" s="631"/>
      <c r="E2879" s="633"/>
      <c r="F2879" s="650"/>
    </row>
    <row r="2880" spans="3:6">
      <c r="C2880" s="631"/>
      <c r="D2880" s="631"/>
      <c r="E2880" s="633"/>
      <c r="F2880" s="650"/>
    </row>
    <row r="2881" spans="3:6">
      <c r="C2881" s="631"/>
      <c r="D2881" s="631"/>
      <c r="E2881" s="633"/>
      <c r="F2881" s="650"/>
    </row>
    <row r="2882" spans="3:6">
      <c r="C2882" s="631"/>
      <c r="D2882" s="631"/>
      <c r="E2882" s="633"/>
      <c r="F2882" s="650"/>
    </row>
    <row r="2883" spans="3:6">
      <c r="C2883" s="631"/>
      <c r="D2883" s="631"/>
      <c r="E2883" s="633"/>
      <c r="F2883" s="650"/>
    </row>
    <row r="2884" spans="3:6">
      <c r="C2884" s="631"/>
      <c r="D2884" s="631"/>
      <c r="E2884" s="633"/>
      <c r="F2884" s="650"/>
    </row>
    <row r="2885" spans="3:6">
      <c r="C2885" s="631"/>
      <c r="D2885" s="631"/>
      <c r="E2885" s="633"/>
      <c r="F2885" s="650"/>
    </row>
    <row r="2886" spans="3:6">
      <c r="C2886" s="631"/>
      <c r="D2886" s="631"/>
      <c r="E2886" s="633"/>
      <c r="F2886" s="650"/>
    </row>
    <row r="2887" spans="3:6">
      <c r="C2887" s="631"/>
      <c r="D2887" s="631"/>
      <c r="E2887" s="633"/>
      <c r="F2887" s="650"/>
    </row>
    <row r="2888" spans="3:6">
      <c r="C2888" s="631"/>
      <c r="D2888" s="631"/>
      <c r="E2888" s="633"/>
      <c r="F2888" s="650"/>
    </row>
    <row r="2889" spans="3:6">
      <c r="C2889" s="631"/>
      <c r="D2889" s="631"/>
      <c r="E2889" s="633"/>
      <c r="F2889" s="650"/>
    </row>
    <row r="2890" spans="3:6">
      <c r="C2890" s="631"/>
      <c r="D2890" s="631"/>
      <c r="E2890" s="633"/>
      <c r="F2890" s="650"/>
    </row>
    <row r="2891" spans="3:6">
      <c r="C2891" s="631"/>
      <c r="D2891" s="631"/>
      <c r="E2891" s="633"/>
      <c r="F2891" s="650"/>
    </row>
    <row r="2892" spans="3:6">
      <c r="C2892" s="631"/>
      <c r="D2892" s="631"/>
      <c r="E2892" s="633"/>
      <c r="F2892" s="650"/>
    </row>
    <row r="2893" spans="3:6">
      <c r="C2893" s="631"/>
      <c r="D2893" s="631"/>
      <c r="E2893" s="633"/>
      <c r="F2893" s="650"/>
    </row>
    <row r="2894" spans="3:6">
      <c r="C2894" s="631"/>
      <c r="D2894" s="631"/>
      <c r="E2894" s="633"/>
      <c r="F2894" s="650"/>
    </row>
    <row r="2895" spans="3:6">
      <c r="C2895" s="631"/>
      <c r="D2895" s="631"/>
      <c r="E2895" s="633"/>
      <c r="F2895" s="650"/>
    </row>
    <row r="2896" spans="3:6">
      <c r="C2896" s="631"/>
      <c r="D2896" s="631"/>
      <c r="E2896" s="633"/>
      <c r="F2896" s="650"/>
    </row>
    <row r="2897" spans="3:6">
      <c r="C2897" s="631"/>
      <c r="D2897" s="631"/>
      <c r="E2897" s="633"/>
      <c r="F2897" s="650"/>
    </row>
    <row r="2898" spans="3:6">
      <c r="C2898" s="631"/>
      <c r="D2898" s="631"/>
      <c r="E2898" s="633"/>
      <c r="F2898" s="650"/>
    </row>
    <row r="2899" spans="3:6">
      <c r="C2899" s="631"/>
      <c r="D2899" s="631"/>
      <c r="E2899" s="633"/>
      <c r="F2899" s="650"/>
    </row>
    <row r="2900" spans="3:6">
      <c r="C2900" s="631"/>
      <c r="D2900" s="631"/>
      <c r="E2900" s="633"/>
      <c r="F2900" s="650"/>
    </row>
    <row r="2901" spans="3:6">
      <c r="C2901" s="631"/>
      <c r="D2901" s="631"/>
      <c r="E2901" s="633"/>
      <c r="F2901" s="650"/>
    </row>
    <row r="2902" spans="3:6">
      <c r="C2902" s="631"/>
      <c r="D2902" s="631"/>
      <c r="E2902" s="633"/>
      <c r="F2902" s="650"/>
    </row>
    <row r="2903" spans="3:6">
      <c r="C2903" s="631"/>
      <c r="D2903" s="631"/>
      <c r="E2903" s="633"/>
      <c r="F2903" s="650"/>
    </row>
    <row r="2904" spans="3:6">
      <c r="C2904" s="631"/>
      <c r="D2904" s="631"/>
      <c r="E2904" s="633"/>
      <c r="F2904" s="650"/>
    </row>
    <row r="2905" spans="3:6">
      <c r="C2905" s="631"/>
      <c r="D2905" s="631"/>
      <c r="E2905" s="633"/>
      <c r="F2905" s="650"/>
    </row>
    <row r="2906" spans="3:6">
      <c r="C2906" s="631"/>
      <c r="D2906" s="631"/>
      <c r="E2906" s="633"/>
      <c r="F2906" s="650"/>
    </row>
    <row r="2907" spans="3:6">
      <c r="C2907" s="631"/>
      <c r="D2907" s="631"/>
      <c r="E2907" s="633"/>
      <c r="F2907" s="650"/>
    </row>
    <row r="2908" spans="3:6">
      <c r="C2908" s="631"/>
      <c r="D2908" s="631"/>
      <c r="E2908" s="633"/>
      <c r="F2908" s="650"/>
    </row>
    <row r="2909" spans="3:6">
      <c r="C2909" s="631"/>
      <c r="D2909" s="631"/>
      <c r="E2909" s="633"/>
      <c r="F2909" s="650"/>
    </row>
    <row r="2910" spans="3:6">
      <c r="C2910" s="631"/>
      <c r="D2910" s="631"/>
      <c r="E2910" s="633"/>
      <c r="F2910" s="650"/>
    </row>
    <row r="2911" spans="3:6">
      <c r="C2911" s="631"/>
      <c r="D2911" s="631"/>
      <c r="E2911" s="633"/>
      <c r="F2911" s="650"/>
    </row>
    <row r="2912" spans="3:6">
      <c r="C2912" s="631"/>
      <c r="D2912" s="631"/>
      <c r="E2912" s="633"/>
      <c r="F2912" s="650"/>
    </row>
    <row r="2913" spans="3:6">
      <c r="C2913" s="631"/>
      <c r="D2913" s="631"/>
      <c r="E2913" s="633"/>
      <c r="F2913" s="650"/>
    </row>
    <row r="2914" spans="3:6">
      <c r="C2914" s="631"/>
      <c r="D2914" s="631"/>
      <c r="E2914" s="633"/>
      <c r="F2914" s="650"/>
    </row>
    <row r="2915" spans="3:6">
      <c r="C2915" s="631"/>
      <c r="D2915" s="631"/>
      <c r="E2915" s="633"/>
      <c r="F2915" s="650"/>
    </row>
    <row r="2916" spans="3:6">
      <c r="C2916" s="631"/>
      <c r="D2916" s="631"/>
      <c r="E2916" s="633"/>
      <c r="F2916" s="650"/>
    </row>
    <row r="2917" spans="3:6">
      <c r="C2917" s="631"/>
      <c r="D2917" s="631"/>
      <c r="E2917" s="633"/>
      <c r="F2917" s="650"/>
    </row>
    <row r="2918" spans="3:6">
      <c r="C2918" s="631"/>
      <c r="D2918" s="631"/>
      <c r="E2918" s="633"/>
      <c r="F2918" s="650"/>
    </row>
    <row r="2919" spans="3:6">
      <c r="C2919" s="631"/>
      <c r="D2919" s="631"/>
      <c r="E2919" s="633"/>
      <c r="F2919" s="650"/>
    </row>
    <row r="2920" spans="3:6">
      <c r="C2920" s="631"/>
      <c r="D2920" s="631"/>
      <c r="E2920" s="633"/>
      <c r="F2920" s="650"/>
    </row>
    <row r="2921" spans="3:6">
      <c r="C2921" s="631"/>
      <c r="D2921" s="631"/>
      <c r="E2921" s="633"/>
      <c r="F2921" s="650"/>
    </row>
    <row r="2922" spans="3:6">
      <c r="C2922" s="631"/>
      <c r="D2922" s="631"/>
      <c r="E2922" s="633"/>
      <c r="F2922" s="650"/>
    </row>
    <row r="2923" spans="3:6">
      <c r="C2923" s="631"/>
      <c r="D2923" s="631"/>
      <c r="E2923" s="633"/>
      <c r="F2923" s="650"/>
    </row>
    <row r="2924" spans="3:6">
      <c r="C2924" s="631"/>
      <c r="D2924" s="631"/>
      <c r="E2924" s="633"/>
      <c r="F2924" s="650"/>
    </row>
    <row r="2925" spans="3:6">
      <c r="C2925" s="631"/>
      <c r="D2925" s="631"/>
      <c r="E2925" s="633"/>
      <c r="F2925" s="650"/>
    </row>
    <row r="2926" spans="3:6">
      <c r="C2926" s="631"/>
      <c r="D2926" s="631"/>
      <c r="E2926" s="633"/>
      <c r="F2926" s="650"/>
    </row>
    <row r="2927" spans="3:6">
      <c r="C2927" s="631"/>
      <c r="D2927" s="631"/>
      <c r="E2927" s="633"/>
      <c r="F2927" s="650"/>
    </row>
    <row r="2928" spans="3:6">
      <c r="C2928" s="631"/>
      <c r="D2928" s="631"/>
      <c r="E2928" s="633"/>
      <c r="F2928" s="650"/>
    </row>
    <row r="2929" spans="3:6">
      <c r="C2929" s="631"/>
      <c r="D2929" s="631"/>
      <c r="E2929" s="633"/>
      <c r="F2929" s="650"/>
    </row>
    <row r="2930" spans="3:6">
      <c r="C2930" s="631"/>
      <c r="D2930" s="631"/>
      <c r="E2930" s="633"/>
      <c r="F2930" s="650"/>
    </row>
    <row r="2931" spans="3:6">
      <c r="C2931" s="631"/>
      <c r="D2931" s="631"/>
      <c r="E2931" s="633"/>
      <c r="F2931" s="650"/>
    </row>
    <row r="2932" spans="3:6">
      <c r="C2932" s="631"/>
      <c r="D2932" s="631"/>
      <c r="E2932" s="633"/>
      <c r="F2932" s="650"/>
    </row>
    <row r="2933" spans="3:6">
      <c r="C2933" s="631"/>
      <c r="D2933" s="631"/>
      <c r="E2933" s="633"/>
      <c r="F2933" s="650"/>
    </row>
    <row r="2934" spans="3:6">
      <c r="C2934" s="631"/>
      <c r="D2934" s="631"/>
      <c r="E2934" s="633"/>
      <c r="F2934" s="650"/>
    </row>
    <row r="2935" spans="3:6">
      <c r="C2935" s="631"/>
      <c r="D2935" s="631"/>
      <c r="E2935" s="633"/>
      <c r="F2935" s="650"/>
    </row>
    <row r="2936" spans="3:6">
      <c r="C2936" s="631"/>
      <c r="D2936" s="631"/>
      <c r="E2936" s="633"/>
      <c r="F2936" s="650"/>
    </row>
    <row r="2937" spans="3:6">
      <c r="C2937" s="631"/>
      <c r="D2937" s="631"/>
      <c r="E2937" s="633"/>
      <c r="F2937" s="650"/>
    </row>
    <row r="2938" spans="3:6">
      <c r="C2938" s="631"/>
      <c r="D2938" s="631"/>
      <c r="E2938" s="633"/>
      <c r="F2938" s="650"/>
    </row>
    <row r="2939" spans="3:6">
      <c r="C2939" s="631"/>
      <c r="D2939" s="631"/>
      <c r="E2939" s="633"/>
      <c r="F2939" s="650"/>
    </row>
    <row r="2940" spans="3:6">
      <c r="C2940" s="631"/>
      <c r="D2940" s="631"/>
      <c r="E2940" s="633"/>
      <c r="F2940" s="650"/>
    </row>
    <row r="2941" spans="3:6">
      <c r="C2941" s="631"/>
      <c r="D2941" s="631"/>
      <c r="E2941" s="633"/>
      <c r="F2941" s="650"/>
    </row>
    <row r="2942" spans="3:6">
      <c r="C2942" s="631"/>
      <c r="D2942" s="631"/>
      <c r="E2942" s="633"/>
      <c r="F2942" s="650"/>
    </row>
    <row r="2943" spans="3:6">
      <c r="C2943" s="631"/>
      <c r="D2943" s="631"/>
      <c r="E2943" s="633"/>
      <c r="F2943" s="650"/>
    </row>
    <row r="2944" spans="3:6">
      <c r="C2944" s="631"/>
      <c r="D2944" s="631"/>
      <c r="E2944" s="633"/>
      <c r="F2944" s="650"/>
    </row>
    <row r="2945" spans="3:6">
      <c r="C2945" s="631"/>
      <c r="D2945" s="631"/>
      <c r="E2945" s="633"/>
      <c r="F2945" s="650"/>
    </row>
    <row r="2946" spans="3:6">
      <c r="C2946" s="631"/>
      <c r="D2946" s="631"/>
      <c r="E2946" s="633"/>
      <c r="F2946" s="650"/>
    </row>
    <row r="2947" spans="3:6">
      <c r="C2947" s="631"/>
      <c r="D2947" s="631"/>
      <c r="E2947" s="633"/>
      <c r="F2947" s="650"/>
    </row>
    <row r="2948" spans="3:6">
      <c r="C2948" s="631"/>
      <c r="D2948" s="631"/>
      <c r="E2948" s="633"/>
      <c r="F2948" s="650"/>
    </row>
    <row r="2949" spans="3:6">
      <c r="C2949" s="631"/>
      <c r="D2949" s="631"/>
      <c r="E2949" s="633"/>
      <c r="F2949" s="650"/>
    </row>
    <row r="2950" spans="3:6">
      <c r="C2950" s="631"/>
      <c r="D2950" s="631"/>
      <c r="E2950" s="633"/>
      <c r="F2950" s="650"/>
    </row>
    <row r="2951" spans="3:6">
      <c r="C2951" s="631"/>
      <c r="D2951" s="631"/>
      <c r="E2951" s="633"/>
      <c r="F2951" s="650"/>
    </row>
    <row r="2952" spans="3:6">
      <c r="C2952" s="631"/>
      <c r="D2952" s="631"/>
      <c r="E2952" s="633"/>
      <c r="F2952" s="650"/>
    </row>
    <row r="2953" spans="3:6">
      <c r="C2953" s="631"/>
      <c r="D2953" s="631"/>
      <c r="E2953" s="633"/>
      <c r="F2953" s="650"/>
    </row>
    <row r="2954" spans="3:6">
      <c r="C2954" s="631"/>
      <c r="D2954" s="631"/>
      <c r="E2954" s="633"/>
      <c r="F2954" s="650"/>
    </row>
    <row r="2955" spans="3:6">
      <c r="C2955" s="631"/>
      <c r="D2955" s="631"/>
      <c r="E2955" s="633"/>
      <c r="F2955" s="650"/>
    </row>
    <row r="2956" spans="3:6">
      <c r="C2956" s="631"/>
      <c r="D2956" s="631"/>
      <c r="E2956" s="633"/>
      <c r="F2956" s="650"/>
    </row>
    <row r="2957" spans="3:6">
      <c r="C2957" s="631"/>
      <c r="D2957" s="631"/>
      <c r="E2957" s="633"/>
      <c r="F2957" s="650"/>
    </row>
    <row r="2958" spans="3:6">
      <c r="C2958" s="631"/>
      <c r="D2958" s="631"/>
      <c r="E2958" s="633"/>
      <c r="F2958" s="650"/>
    </row>
    <row r="2959" spans="3:6">
      <c r="C2959" s="631"/>
      <c r="D2959" s="631"/>
      <c r="E2959" s="633"/>
      <c r="F2959" s="650"/>
    </row>
    <row r="2960" spans="3:6">
      <c r="C2960" s="631"/>
      <c r="D2960" s="631"/>
      <c r="E2960" s="633"/>
      <c r="F2960" s="650"/>
    </row>
    <row r="2961" spans="3:6">
      <c r="C2961" s="631"/>
      <c r="D2961" s="631"/>
      <c r="E2961" s="633"/>
      <c r="F2961" s="650"/>
    </row>
    <row r="2962" spans="3:6">
      <c r="C2962" s="631"/>
      <c r="D2962" s="631"/>
      <c r="E2962" s="633"/>
      <c r="F2962" s="650"/>
    </row>
    <row r="2963" spans="3:6">
      <c r="C2963" s="631"/>
      <c r="D2963" s="631"/>
      <c r="E2963" s="633"/>
      <c r="F2963" s="650"/>
    </row>
    <row r="2964" spans="3:6">
      <c r="C2964" s="631"/>
      <c r="D2964" s="631"/>
      <c r="E2964" s="633"/>
      <c r="F2964" s="650"/>
    </row>
    <row r="2965" spans="3:6">
      <c r="C2965" s="631"/>
      <c r="D2965" s="631"/>
      <c r="E2965" s="633"/>
      <c r="F2965" s="650"/>
    </row>
    <row r="2966" spans="3:6">
      <c r="C2966" s="631"/>
      <c r="D2966" s="631"/>
      <c r="E2966" s="633"/>
      <c r="F2966" s="650"/>
    </row>
    <row r="2967" spans="3:6">
      <c r="C2967" s="631"/>
      <c r="D2967" s="631"/>
      <c r="E2967" s="633"/>
      <c r="F2967" s="650"/>
    </row>
    <row r="2968" spans="3:6">
      <c r="C2968" s="631"/>
      <c r="D2968" s="631"/>
      <c r="E2968" s="633"/>
      <c r="F2968" s="650"/>
    </row>
    <row r="2969" spans="3:6">
      <c r="C2969" s="631"/>
      <c r="D2969" s="631"/>
      <c r="E2969" s="633"/>
      <c r="F2969" s="650"/>
    </row>
    <row r="2970" spans="3:6">
      <c r="C2970" s="631"/>
      <c r="D2970" s="631"/>
      <c r="E2970" s="633"/>
      <c r="F2970" s="650"/>
    </row>
    <row r="2971" spans="3:6">
      <c r="C2971" s="631"/>
      <c r="D2971" s="631"/>
      <c r="E2971" s="633"/>
      <c r="F2971" s="650"/>
    </row>
    <row r="2972" spans="3:6">
      <c r="C2972" s="631"/>
      <c r="D2972" s="631"/>
      <c r="E2972" s="633"/>
      <c r="F2972" s="650"/>
    </row>
    <row r="2973" spans="3:6">
      <c r="C2973" s="631"/>
      <c r="D2973" s="631"/>
      <c r="E2973" s="633"/>
      <c r="F2973" s="650"/>
    </row>
    <row r="2974" spans="3:6">
      <c r="C2974" s="631"/>
      <c r="D2974" s="631"/>
      <c r="E2974" s="633"/>
      <c r="F2974" s="650"/>
    </row>
    <row r="2975" spans="3:6">
      <c r="C2975" s="631"/>
      <c r="D2975" s="631"/>
      <c r="E2975" s="633"/>
      <c r="F2975" s="650"/>
    </row>
    <row r="2976" spans="3:6">
      <c r="C2976" s="631"/>
      <c r="D2976" s="631"/>
      <c r="E2976" s="633"/>
      <c r="F2976" s="650"/>
    </row>
    <row r="2977" spans="3:6">
      <c r="C2977" s="631"/>
      <c r="D2977" s="631"/>
      <c r="E2977" s="633"/>
      <c r="F2977" s="650"/>
    </row>
    <row r="2978" spans="3:6">
      <c r="C2978" s="631"/>
      <c r="D2978" s="631"/>
      <c r="E2978" s="633"/>
      <c r="F2978" s="650"/>
    </row>
    <row r="2979" spans="3:6">
      <c r="C2979" s="631"/>
      <c r="D2979" s="631"/>
      <c r="E2979" s="633"/>
      <c r="F2979" s="650"/>
    </row>
    <row r="2980" spans="3:6">
      <c r="C2980" s="631"/>
      <c r="D2980" s="631"/>
      <c r="E2980" s="633"/>
      <c r="F2980" s="650"/>
    </row>
    <row r="2981" spans="3:6">
      <c r="C2981" s="631"/>
      <c r="D2981" s="631"/>
      <c r="E2981" s="633"/>
      <c r="F2981" s="650"/>
    </row>
    <row r="2982" spans="3:6">
      <c r="C2982" s="631"/>
      <c r="D2982" s="631"/>
      <c r="E2982" s="633"/>
      <c r="F2982" s="650"/>
    </row>
    <row r="2983" spans="3:6">
      <c r="C2983" s="631"/>
      <c r="D2983" s="631"/>
      <c r="E2983" s="633"/>
      <c r="F2983" s="650"/>
    </row>
    <row r="2984" spans="3:6">
      <c r="C2984" s="631"/>
      <c r="D2984" s="631"/>
      <c r="E2984" s="633"/>
      <c r="F2984" s="650"/>
    </row>
    <row r="2985" spans="3:6">
      <c r="C2985" s="631"/>
      <c r="D2985" s="631"/>
      <c r="E2985" s="633"/>
      <c r="F2985" s="650"/>
    </row>
    <row r="2986" spans="3:6">
      <c r="C2986" s="631"/>
      <c r="D2986" s="631"/>
      <c r="E2986" s="633"/>
      <c r="F2986" s="650"/>
    </row>
    <row r="2987" spans="3:6">
      <c r="C2987" s="631"/>
      <c r="D2987" s="631"/>
      <c r="E2987" s="633"/>
      <c r="F2987" s="650"/>
    </row>
    <row r="2988" spans="3:6">
      <c r="C2988" s="631"/>
      <c r="D2988" s="631"/>
      <c r="E2988" s="633"/>
      <c r="F2988" s="650"/>
    </row>
    <row r="2989" spans="3:6">
      <c r="C2989" s="631"/>
      <c r="D2989" s="631"/>
      <c r="E2989" s="633"/>
      <c r="F2989" s="650"/>
    </row>
    <row r="2990" spans="3:6">
      <c r="C2990" s="631"/>
      <c r="D2990" s="631"/>
      <c r="E2990" s="633"/>
      <c r="F2990" s="650"/>
    </row>
    <row r="2991" spans="3:6">
      <c r="C2991" s="631"/>
      <c r="D2991" s="631"/>
      <c r="E2991" s="633"/>
      <c r="F2991" s="650"/>
    </row>
    <row r="2992" spans="3:6">
      <c r="C2992" s="631"/>
      <c r="D2992" s="631"/>
      <c r="E2992" s="633"/>
      <c r="F2992" s="650"/>
    </row>
    <row r="2993" spans="3:6">
      <c r="C2993" s="631"/>
      <c r="D2993" s="631"/>
      <c r="E2993" s="633"/>
      <c r="F2993" s="650"/>
    </row>
    <row r="2994" spans="3:6">
      <c r="C2994" s="631"/>
      <c r="D2994" s="631"/>
      <c r="E2994" s="633"/>
      <c r="F2994" s="650"/>
    </row>
    <row r="2995" spans="3:6">
      <c r="C2995" s="631"/>
      <c r="D2995" s="631"/>
      <c r="E2995" s="633"/>
      <c r="F2995" s="650"/>
    </row>
    <row r="2996" spans="3:6">
      <c r="C2996" s="631"/>
      <c r="D2996" s="631"/>
      <c r="E2996" s="633"/>
      <c r="F2996" s="650"/>
    </row>
    <row r="2997" spans="3:6">
      <c r="C2997" s="631"/>
      <c r="D2997" s="631"/>
      <c r="E2997" s="633"/>
      <c r="F2997" s="650"/>
    </row>
    <row r="2998" spans="3:6">
      <c r="C2998" s="631"/>
      <c r="D2998" s="631"/>
      <c r="E2998" s="633"/>
      <c r="F2998" s="650"/>
    </row>
    <row r="2999" spans="3:6">
      <c r="C2999" s="631"/>
      <c r="D2999" s="631"/>
      <c r="E2999" s="633"/>
      <c r="F2999" s="650"/>
    </row>
    <row r="3000" spans="3:6">
      <c r="C3000" s="631"/>
      <c r="D3000" s="631"/>
      <c r="E3000" s="633"/>
      <c r="F3000" s="650"/>
    </row>
    <row r="3001" spans="3:6">
      <c r="C3001" s="631"/>
      <c r="D3001" s="631"/>
      <c r="E3001" s="633"/>
      <c r="F3001" s="650"/>
    </row>
    <row r="3002" spans="3:6">
      <c r="C3002" s="631"/>
      <c r="D3002" s="631"/>
      <c r="E3002" s="633"/>
      <c r="F3002" s="650"/>
    </row>
    <row r="3003" spans="3:6">
      <c r="C3003" s="631"/>
      <c r="D3003" s="631"/>
      <c r="E3003" s="633"/>
      <c r="F3003" s="650"/>
    </row>
    <row r="3004" spans="3:6">
      <c r="C3004" s="631"/>
      <c r="D3004" s="631"/>
      <c r="E3004" s="633"/>
      <c r="F3004" s="650"/>
    </row>
    <row r="3005" spans="3:6">
      <c r="C3005" s="631"/>
      <c r="D3005" s="631"/>
      <c r="E3005" s="633"/>
      <c r="F3005" s="650"/>
    </row>
    <row r="3006" spans="3:6">
      <c r="C3006" s="631"/>
      <c r="D3006" s="631"/>
      <c r="E3006" s="633"/>
      <c r="F3006" s="650"/>
    </row>
    <row r="3007" spans="3:6">
      <c r="C3007" s="631"/>
      <c r="D3007" s="631"/>
      <c r="E3007" s="633"/>
      <c r="F3007" s="650"/>
    </row>
    <row r="3008" spans="3:6">
      <c r="C3008" s="631"/>
      <c r="D3008" s="631"/>
      <c r="E3008" s="633"/>
      <c r="F3008" s="650"/>
    </row>
    <row r="3009" spans="3:6">
      <c r="C3009" s="631"/>
      <c r="D3009" s="631"/>
      <c r="E3009" s="633"/>
      <c r="F3009" s="650"/>
    </row>
    <row r="3010" spans="3:6">
      <c r="C3010" s="631"/>
      <c r="D3010" s="631"/>
      <c r="E3010" s="633"/>
      <c r="F3010" s="650"/>
    </row>
    <row r="3011" spans="3:6">
      <c r="C3011" s="631"/>
      <c r="D3011" s="631"/>
      <c r="E3011" s="633"/>
      <c r="F3011" s="650"/>
    </row>
    <row r="3012" spans="3:6">
      <c r="C3012" s="631"/>
      <c r="D3012" s="631"/>
      <c r="E3012" s="633"/>
      <c r="F3012" s="650"/>
    </row>
    <row r="3013" spans="3:6">
      <c r="C3013" s="631"/>
      <c r="D3013" s="631"/>
      <c r="E3013" s="633"/>
      <c r="F3013" s="650"/>
    </row>
    <row r="3014" spans="3:6">
      <c r="C3014" s="631"/>
      <c r="D3014" s="631"/>
      <c r="E3014" s="633"/>
      <c r="F3014" s="650"/>
    </row>
    <row r="3015" spans="3:6">
      <c r="C3015" s="631"/>
      <c r="D3015" s="631"/>
      <c r="E3015" s="633"/>
      <c r="F3015" s="650"/>
    </row>
    <row r="3016" spans="3:6">
      <c r="C3016" s="631"/>
      <c r="D3016" s="631"/>
      <c r="E3016" s="633"/>
      <c r="F3016" s="650"/>
    </row>
    <row r="3017" spans="3:6">
      <c r="C3017" s="631"/>
      <c r="D3017" s="631"/>
      <c r="E3017" s="633"/>
      <c r="F3017" s="650"/>
    </row>
    <row r="3018" spans="3:6">
      <c r="C3018" s="631"/>
      <c r="D3018" s="631"/>
      <c r="E3018" s="633"/>
      <c r="F3018" s="650"/>
    </row>
    <row r="3019" spans="3:6">
      <c r="C3019" s="631"/>
      <c r="D3019" s="631"/>
      <c r="E3019" s="633"/>
      <c r="F3019" s="650"/>
    </row>
    <row r="3020" spans="3:6">
      <c r="C3020" s="631"/>
      <c r="D3020" s="631"/>
      <c r="E3020" s="633"/>
      <c r="F3020" s="650"/>
    </row>
    <row r="3021" spans="3:6">
      <c r="C3021" s="631"/>
      <c r="D3021" s="631"/>
      <c r="E3021" s="633"/>
      <c r="F3021" s="650"/>
    </row>
    <row r="3022" spans="3:6">
      <c r="C3022" s="631"/>
      <c r="D3022" s="631"/>
      <c r="E3022" s="633"/>
      <c r="F3022" s="650"/>
    </row>
    <row r="3023" spans="3:6">
      <c r="C3023" s="631"/>
      <c r="D3023" s="631"/>
      <c r="E3023" s="633"/>
      <c r="F3023" s="650"/>
    </row>
    <row r="3024" spans="3:6">
      <c r="C3024" s="631"/>
      <c r="D3024" s="631"/>
      <c r="E3024" s="633"/>
      <c r="F3024" s="650"/>
    </row>
    <row r="3025" spans="3:6">
      <c r="C3025" s="631"/>
      <c r="D3025" s="631"/>
      <c r="E3025" s="633"/>
      <c r="F3025" s="650"/>
    </row>
    <row r="3026" spans="3:6">
      <c r="C3026" s="631"/>
      <c r="D3026" s="631"/>
      <c r="E3026" s="633"/>
      <c r="F3026" s="650"/>
    </row>
    <row r="3027" spans="3:6">
      <c r="C3027" s="631"/>
      <c r="D3027" s="631"/>
      <c r="E3027" s="633"/>
      <c r="F3027" s="650"/>
    </row>
    <row r="3028" spans="3:6">
      <c r="C3028" s="631"/>
      <c r="D3028" s="631"/>
      <c r="E3028" s="633"/>
      <c r="F3028" s="650"/>
    </row>
    <row r="3029" spans="3:6">
      <c r="C3029" s="631"/>
      <c r="D3029" s="631"/>
      <c r="E3029" s="633"/>
      <c r="F3029" s="650"/>
    </row>
    <row r="3030" spans="3:6">
      <c r="C3030" s="631"/>
      <c r="D3030" s="631"/>
      <c r="E3030" s="633"/>
      <c r="F3030" s="650"/>
    </row>
    <row r="3031" spans="3:6">
      <c r="C3031" s="631"/>
      <c r="D3031" s="631"/>
      <c r="E3031" s="633"/>
      <c r="F3031" s="650"/>
    </row>
    <row r="3032" spans="3:6">
      <c r="C3032" s="631"/>
      <c r="D3032" s="631"/>
      <c r="E3032" s="633"/>
      <c r="F3032" s="650"/>
    </row>
    <row r="3033" spans="3:6">
      <c r="C3033" s="631"/>
      <c r="D3033" s="631"/>
      <c r="E3033" s="633"/>
      <c r="F3033" s="650"/>
    </row>
    <row r="3034" spans="3:6">
      <c r="C3034" s="631"/>
      <c r="D3034" s="631"/>
      <c r="E3034" s="633"/>
      <c r="F3034" s="650"/>
    </row>
    <row r="3035" spans="3:6">
      <c r="C3035" s="631"/>
      <c r="D3035" s="631"/>
      <c r="E3035" s="633"/>
      <c r="F3035" s="650"/>
    </row>
    <row r="3036" spans="3:6">
      <c r="C3036" s="631"/>
      <c r="D3036" s="631"/>
      <c r="E3036" s="633"/>
      <c r="F3036" s="650"/>
    </row>
    <row r="3037" spans="3:6">
      <c r="C3037" s="631"/>
      <c r="D3037" s="631"/>
      <c r="E3037" s="633"/>
      <c r="F3037" s="650"/>
    </row>
    <row r="3038" spans="3:6">
      <c r="C3038" s="631"/>
      <c r="D3038" s="631"/>
      <c r="E3038" s="633"/>
      <c r="F3038" s="650"/>
    </row>
    <row r="3039" spans="3:6">
      <c r="C3039" s="631"/>
      <c r="D3039" s="631"/>
      <c r="E3039" s="633"/>
      <c r="F3039" s="650"/>
    </row>
    <row r="3040" spans="3:6">
      <c r="C3040" s="631"/>
      <c r="D3040" s="631"/>
      <c r="E3040" s="633"/>
      <c r="F3040" s="650"/>
    </row>
    <row r="3041" spans="3:6">
      <c r="C3041" s="631"/>
      <c r="D3041" s="631"/>
      <c r="E3041" s="633"/>
      <c r="F3041" s="650"/>
    </row>
    <row r="3042" spans="3:6">
      <c r="C3042" s="631"/>
      <c r="D3042" s="631"/>
      <c r="E3042" s="633"/>
      <c r="F3042" s="650"/>
    </row>
    <row r="3043" spans="3:6">
      <c r="C3043" s="631"/>
      <c r="D3043" s="631"/>
      <c r="E3043" s="633"/>
      <c r="F3043" s="650"/>
    </row>
    <row r="3044" spans="3:6">
      <c r="C3044" s="631"/>
      <c r="D3044" s="631"/>
      <c r="E3044" s="633"/>
      <c r="F3044" s="650"/>
    </row>
    <row r="3045" spans="3:6">
      <c r="C3045" s="631"/>
      <c r="D3045" s="631"/>
      <c r="E3045" s="633"/>
      <c r="F3045" s="650"/>
    </row>
    <row r="3046" spans="3:6">
      <c r="C3046" s="631"/>
      <c r="D3046" s="631"/>
      <c r="E3046" s="633"/>
      <c r="F3046" s="650"/>
    </row>
    <row r="3047" spans="3:6">
      <c r="C3047" s="631"/>
      <c r="D3047" s="631"/>
      <c r="E3047" s="633"/>
      <c r="F3047" s="650"/>
    </row>
    <row r="3048" spans="3:6">
      <c r="C3048" s="631"/>
      <c r="D3048" s="631"/>
      <c r="E3048" s="633"/>
      <c r="F3048" s="650"/>
    </row>
    <row r="3049" spans="3:6">
      <c r="C3049" s="631"/>
      <c r="D3049" s="631"/>
      <c r="E3049" s="633"/>
      <c r="F3049" s="650"/>
    </row>
    <row r="3050" spans="3:6">
      <c r="C3050" s="631"/>
      <c r="D3050" s="631"/>
      <c r="E3050" s="633"/>
      <c r="F3050" s="650"/>
    </row>
    <row r="3051" spans="3:6">
      <c r="C3051" s="631"/>
      <c r="D3051" s="631"/>
      <c r="E3051" s="633"/>
      <c r="F3051" s="650"/>
    </row>
    <row r="3052" spans="3:6">
      <c r="C3052" s="631"/>
      <c r="D3052" s="631"/>
      <c r="E3052" s="633"/>
      <c r="F3052" s="650"/>
    </row>
    <row r="3053" spans="3:6">
      <c r="C3053" s="631"/>
      <c r="D3053" s="631"/>
      <c r="E3053" s="633"/>
      <c r="F3053" s="650"/>
    </row>
    <row r="3054" spans="3:6">
      <c r="C3054" s="631"/>
      <c r="D3054" s="631"/>
      <c r="E3054" s="633"/>
      <c r="F3054" s="650"/>
    </row>
    <row r="3055" spans="3:6">
      <c r="C3055" s="631"/>
      <c r="D3055" s="631"/>
      <c r="E3055" s="633"/>
      <c r="F3055" s="650"/>
    </row>
    <row r="3056" spans="3:6">
      <c r="C3056" s="631"/>
      <c r="D3056" s="631"/>
      <c r="E3056" s="633"/>
      <c r="F3056" s="650"/>
    </row>
    <row r="3057" spans="3:6">
      <c r="C3057" s="631"/>
      <c r="D3057" s="631"/>
      <c r="E3057" s="633"/>
      <c r="F3057" s="650"/>
    </row>
    <row r="3058" spans="3:6">
      <c r="C3058" s="631"/>
      <c r="D3058" s="631"/>
      <c r="E3058" s="633"/>
      <c r="F3058" s="650"/>
    </row>
    <row r="3059" spans="3:6">
      <c r="C3059" s="631"/>
      <c r="D3059" s="631"/>
      <c r="E3059" s="633"/>
      <c r="F3059" s="650"/>
    </row>
    <row r="3060" spans="3:6">
      <c r="C3060" s="631"/>
      <c r="D3060" s="631"/>
      <c r="E3060" s="633"/>
      <c r="F3060" s="650"/>
    </row>
    <row r="3061" spans="3:6">
      <c r="C3061" s="631"/>
      <c r="D3061" s="631"/>
      <c r="E3061" s="633"/>
      <c r="F3061" s="650"/>
    </row>
    <row r="3062" spans="3:6">
      <c r="C3062" s="631"/>
      <c r="D3062" s="631"/>
      <c r="E3062" s="633"/>
      <c r="F3062" s="650"/>
    </row>
    <row r="3063" spans="3:6">
      <c r="C3063" s="631"/>
      <c r="D3063" s="631"/>
      <c r="E3063" s="633"/>
      <c r="F3063" s="650"/>
    </row>
    <row r="3064" spans="3:6">
      <c r="C3064" s="631"/>
      <c r="D3064" s="631"/>
      <c r="E3064" s="633"/>
      <c r="F3064" s="650"/>
    </row>
    <row r="3065" spans="3:6">
      <c r="C3065" s="631"/>
      <c r="D3065" s="631"/>
      <c r="E3065" s="633"/>
      <c r="F3065" s="650"/>
    </row>
    <row r="3066" spans="3:6">
      <c r="C3066" s="631"/>
      <c r="D3066" s="631"/>
      <c r="E3066" s="633"/>
      <c r="F3066" s="650"/>
    </row>
    <row r="3067" spans="3:6">
      <c r="C3067" s="631"/>
      <c r="D3067" s="631"/>
      <c r="E3067" s="633"/>
      <c r="F3067" s="650"/>
    </row>
    <row r="3068" spans="3:6">
      <c r="C3068" s="631"/>
      <c r="D3068" s="631"/>
      <c r="E3068" s="633"/>
      <c r="F3068" s="650"/>
    </row>
    <row r="3069" spans="3:6">
      <c r="C3069" s="631"/>
      <c r="D3069" s="631"/>
      <c r="E3069" s="633"/>
      <c r="F3069" s="650"/>
    </row>
    <row r="3070" spans="3:6">
      <c r="C3070" s="631"/>
      <c r="D3070" s="631"/>
      <c r="E3070" s="633"/>
      <c r="F3070" s="650"/>
    </row>
    <row r="3071" spans="3:6">
      <c r="C3071" s="631"/>
      <c r="D3071" s="631"/>
      <c r="E3071" s="633"/>
      <c r="F3071" s="650"/>
    </row>
    <row r="3072" spans="3:6">
      <c r="C3072" s="631"/>
      <c r="D3072" s="631"/>
      <c r="E3072" s="633"/>
      <c r="F3072" s="650"/>
    </row>
    <row r="3073" spans="3:6">
      <c r="C3073" s="631"/>
      <c r="D3073" s="631"/>
      <c r="E3073" s="633"/>
      <c r="F3073" s="650"/>
    </row>
    <row r="3074" spans="3:6">
      <c r="C3074" s="631"/>
      <c r="D3074" s="631"/>
      <c r="E3074" s="633"/>
      <c r="F3074" s="650"/>
    </row>
    <row r="3075" spans="3:6">
      <c r="C3075" s="631"/>
      <c r="D3075" s="631"/>
      <c r="E3075" s="633"/>
      <c r="F3075" s="650"/>
    </row>
    <row r="3076" spans="3:6">
      <c r="C3076" s="631"/>
      <c r="D3076" s="631"/>
      <c r="E3076" s="633"/>
      <c r="F3076" s="650"/>
    </row>
    <row r="3077" spans="3:6">
      <c r="C3077" s="631"/>
      <c r="D3077" s="631"/>
      <c r="E3077" s="633"/>
      <c r="F3077" s="650"/>
    </row>
    <row r="3078" spans="3:6">
      <c r="C3078" s="631"/>
      <c r="D3078" s="631"/>
      <c r="E3078" s="633"/>
      <c r="F3078" s="650"/>
    </row>
    <row r="3079" spans="3:6">
      <c r="C3079" s="631"/>
      <c r="D3079" s="631"/>
      <c r="E3079" s="633"/>
      <c r="F3079" s="650"/>
    </row>
    <row r="3080" spans="3:6">
      <c r="C3080" s="631"/>
      <c r="D3080" s="631"/>
      <c r="E3080" s="633"/>
      <c r="F3080" s="650"/>
    </row>
    <row r="3081" spans="3:6">
      <c r="C3081" s="631"/>
      <c r="D3081" s="631"/>
      <c r="E3081" s="633"/>
      <c r="F3081" s="650"/>
    </row>
    <row r="3082" spans="3:6">
      <c r="C3082" s="631"/>
      <c r="D3082" s="631"/>
      <c r="E3082" s="633"/>
      <c r="F3082" s="650"/>
    </row>
    <row r="3083" spans="3:6">
      <c r="C3083" s="631"/>
      <c r="D3083" s="631"/>
      <c r="E3083" s="633"/>
      <c r="F3083" s="650"/>
    </row>
    <row r="3084" spans="3:6">
      <c r="C3084" s="631"/>
      <c r="D3084" s="631"/>
      <c r="E3084" s="633"/>
      <c r="F3084" s="650"/>
    </row>
    <row r="3085" spans="3:6">
      <c r="C3085" s="631"/>
      <c r="D3085" s="631"/>
      <c r="E3085" s="633"/>
      <c r="F3085" s="650"/>
    </row>
    <row r="3086" spans="3:6">
      <c r="C3086" s="631"/>
      <c r="D3086" s="631"/>
      <c r="E3086" s="633"/>
      <c r="F3086" s="650"/>
    </row>
    <row r="3087" spans="3:6">
      <c r="C3087" s="631"/>
      <c r="D3087" s="631"/>
      <c r="E3087" s="633"/>
      <c r="F3087" s="650"/>
    </row>
    <row r="3088" spans="3:6">
      <c r="C3088" s="631"/>
      <c r="D3088" s="631"/>
      <c r="E3088" s="633"/>
      <c r="F3088" s="650"/>
    </row>
    <row r="3089" spans="3:6">
      <c r="C3089" s="631"/>
      <c r="D3089" s="631"/>
      <c r="E3089" s="633"/>
      <c r="F3089" s="650"/>
    </row>
    <row r="3090" spans="3:6">
      <c r="C3090" s="631"/>
      <c r="D3090" s="631"/>
      <c r="E3090" s="633"/>
      <c r="F3090" s="650"/>
    </row>
    <row r="3091" spans="3:6">
      <c r="C3091" s="631"/>
      <c r="D3091" s="631"/>
      <c r="E3091" s="633"/>
      <c r="F3091" s="650"/>
    </row>
    <row r="3092" spans="3:6">
      <c r="C3092" s="631"/>
      <c r="D3092" s="631"/>
      <c r="E3092" s="633"/>
      <c r="F3092" s="650"/>
    </row>
    <row r="3093" spans="3:6">
      <c r="C3093" s="631"/>
      <c r="D3093" s="631"/>
      <c r="E3093" s="633"/>
      <c r="F3093" s="650"/>
    </row>
    <row r="3094" spans="3:6">
      <c r="C3094" s="631"/>
      <c r="D3094" s="631"/>
      <c r="E3094" s="633"/>
      <c r="F3094" s="650"/>
    </row>
    <row r="3095" spans="3:6">
      <c r="C3095" s="631"/>
      <c r="D3095" s="631"/>
      <c r="E3095" s="633"/>
      <c r="F3095" s="650"/>
    </row>
    <row r="3096" spans="3:6">
      <c r="C3096" s="631"/>
      <c r="D3096" s="631"/>
      <c r="E3096" s="633"/>
      <c r="F3096" s="650"/>
    </row>
    <row r="3097" spans="3:6">
      <c r="C3097" s="631"/>
      <c r="D3097" s="631"/>
      <c r="E3097" s="633"/>
      <c r="F3097" s="650"/>
    </row>
    <row r="3098" spans="3:6">
      <c r="C3098" s="631"/>
      <c r="D3098" s="631"/>
      <c r="E3098" s="633"/>
      <c r="F3098" s="650"/>
    </row>
    <row r="3099" spans="3:6">
      <c r="C3099" s="631"/>
      <c r="D3099" s="631"/>
      <c r="E3099" s="633"/>
      <c r="F3099" s="650"/>
    </row>
    <row r="3100" spans="3:6">
      <c r="C3100" s="631"/>
      <c r="D3100" s="631"/>
      <c r="E3100" s="633"/>
      <c r="F3100" s="650"/>
    </row>
    <row r="3101" spans="3:6">
      <c r="C3101" s="631"/>
      <c r="D3101" s="631"/>
      <c r="E3101" s="633"/>
      <c r="F3101" s="650"/>
    </row>
    <row r="3102" spans="3:6">
      <c r="C3102" s="631"/>
      <c r="D3102" s="631"/>
      <c r="E3102" s="633"/>
      <c r="F3102" s="650"/>
    </row>
    <row r="3103" spans="3:6">
      <c r="C3103" s="631"/>
      <c r="D3103" s="631"/>
      <c r="E3103" s="633"/>
      <c r="F3103" s="650"/>
    </row>
    <row r="3104" spans="3:6">
      <c r="C3104" s="631"/>
      <c r="D3104" s="631"/>
      <c r="E3104" s="633"/>
      <c r="F3104" s="650"/>
    </row>
    <row r="3105" spans="3:6">
      <c r="C3105" s="631"/>
      <c r="D3105" s="631"/>
      <c r="E3105" s="633"/>
      <c r="F3105" s="650"/>
    </row>
    <row r="3106" spans="3:6">
      <c r="C3106" s="631"/>
      <c r="D3106" s="631"/>
      <c r="E3106" s="633"/>
      <c r="F3106" s="650"/>
    </row>
    <row r="3107" spans="3:6">
      <c r="C3107" s="631"/>
      <c r="D3107" s="631"/>
      <c r="E3107" s="633"/>
      <c r="F3107" s="650"/>
    </row>
    <row r="3108" spans="3:6">
      <c r="C3108" s="631"/>
      <c r="D3108" s="631"/>
      <c r="E3108" s="633"/>
      <c r="F3108" s="650"/>
    </row>
    <row r="3109" spans="3:6">
      <c r="C3109" s="631"/>
      <c r="D3109" s="631"/>
      <c r="E3109" s="633"/>
      <c r="F3109" s="650"/>
    </row>
    <row r="3110" spans="3:6">
      <c r="C3110" s="631"/>
      <c r="D3110" s="631"/>
      <c r="E3110" s="633"/>
      <c r="F3110" s="650"/>
    </row>
    <row r="3111" spans="3:6">
      <c r="C3111" s="631"/>
      <c r="D3111" s="631"/>
      <c r="E3111" s="633"/>
      <c r="F3111" s="650"/>
    </row>
    <row r="3112" spans="3:6">
      <c r="C3112" s="631"/>
      <c r="D3112" s="631"/>
      <c r="E3112" s="633"/>
      <c r="F3112" s="650"/>
    </row>
    <row r="3113" spans="3:6">
      <c r="C3113" s="631"/>
      <c r="D3113" s="631"/>
      <c r="E3113" s="633"/>
      <c r="F3113" s="650"/>
    </row>
    <row r="3114" spans="3:6">
      <c r="C3114" s="631"/>
      <c r="D3114" s="631"/>
      <c r="E3114" s="633"/>
      <c r="F3114" s="650"/>
    </row>
    <row r="3115" spans="3:6">
      <c r="C3115" s="631"/>
      <c r="D3115" s="631"/>
      <c r="E3115" s="633"/>
      <c r="F3115" s="650"/>
    </row>
    <row r="3116" spans="3:6">
      <c r="C3116" s="631"/>
      <c r="D3116" s="631"/>
      <c r="E3116" s="633"/>
      <c r="F3116" s="650"/>
    </row>
    <row r="3117" spans="3:6">
      <c r="C3117" s="631"/>
      <c r="D3117" s="631"/>
      <c r="E3117" s="633"/>
      <c r="F3117" s="650"/>
    </row>
    <row r="3118" spans="3:6">
      <c r="C3118" s="631"/>
      <c r="D3118" s="631"/>
      <c r="E3118" s="633"/>
      <c r="F3118" s="650"/>
    </row>
    <row r="3119" spans="3:6">
      <c r="C3119" s="631"/>
      <c r="D3119" s="631"/>
      <c r="E3119" s="633"/>
      <c r="F3119" s="650"/>
    </row>
    <row r="3120" spans="3:6">
      <c r="C3120" s="631"/>
      <c r="D3120" s="631"/>
      <c r="E3120" s="633"/>
      <c r="F3120" s="650"/>
    </row>
    <row r="3121" spans="3:6">
      <c r="C3121" s="631"/>
      <c r="D3121" s="631"/>
      <c r="E3121" s="633"/>
      <c r="F3121" s="650"/>
    </row>
    <row r="3122" spans="3:6">
      <c r="C3122" s="631"/>
      <c r="D3122" s="631"/>
      <c r="E3122" s="633"/>
      <c r="F3122" s="650"/>
    </row>
    <row r="3123" spans="3:6">
      <c r="C3123" s="631"/>
      <c r="D3123" s="631"/>
      <c r="E3123" s="633"/>
      <c r="F3123" s="650"/>
    </row>
    <row r="3124" spans="3:6">
      <c r="C3124" s="631"/>
      <c r="D3124" s="631"/>
      <c r="E3124" s="633"/>
      <c r="F3124" s="650"/>
    </row>
    <row r="3125" spans="3:6">
      <c r="C3125" s="631"/>
      <c r="D3125" s="631"/>
      <c r="E3125" s="633"/>
      <c r="F3125" s="650"/>
    </row>
    <row r="3126" spans="3:6">
      <c r="C3126" s="631"/>
      <c r="D3126" s="631"/>
      <c r="E3126" s="633"/>
      <c r="F3126" s="650"/>
    </row>
    <row r="3127" spans="3:6">
      <c r="C3127" s="631"/>
      <c r="D3127" s="631"/>
      <c r="E3127" s="633"/>
      <c r="F3127" s="650"/>
    </row>
    <row r="3128" spans="3:6">
      <c r="C3128" s="631"/>
      <c r="D3128" s="631"/>
      <c r="E3128" s="633"/>
      <c r="F3128" s="650"/>
    </row>
    <row r="3129" spans="3:6">
      <c r="C3129" s="631"/>
      <c r="D3129" s="631"/>
      <c r="E3129" s="633"/>
      <c r="F3129" s="650"/>
    </row>
    <row r="3130" spans="3:6">
      <c r="C3130" s="631"/>
      <c r="D3130" s="631"/>
      <c r="E3130" s="633"/>
      <c r="F3130" s="650"/>
    </row>
    <row r="3131" spans="3:6">
      <c r="C3131" s="631"/>
      <c r="D3131" s="631"/>
      <c r="E3131" s="633"/>
      <c r="F3131" s="650"/>
    </row>
    <row r="3132" spans="3:6">
      <c r="C3132" s="631"/>
      <c r="D3132" s="631"/>
      <c r="E3132" s="633"/>
      <c r="F3132" s="650"/>
    </row>
    <row r="3133" spans="3:6">
      <c r="C3133" s="631"/>
      <c r="D3133" s="631"/>
      <c r="E3133" s="633"/>
      <c r="F3133" s="650"/>
    </row>
    <row r="3134" spans="3:6">
      <c r="C3134" s="631"/>
      <c r="D3134" s="631"/>
      <c r="E3134" s="633"/>
      <c r="F3134" s="650"/>
    </row>
    <row r="3135" spans="3:6">
      <c r="C3135" s="631"/>
      <c r="D3135" s="631"/>
      <c r="E3135" s="633"/>
      <c r="F3135" s="650"/>
    </row>
    <row r="3136" spans="3:6">
      <c r="C3136" s="631"/>
      <c r="D3136" s="631"/>
      <c r="E3136" s="633"/>
      <c r="F3136" s="650"/>
    </row>
    <row r="3137" spans="3:6">
      <c r="C3137" s="631"/>
      <c r="D3137" s="631"/>
      <c r="E3137" s="633"/>
      <c r="F3137" s="650"/>
    </row>
    <row r="3138" spans="3:6">
      <c r="C3138" s="631"/>
      <c r="D3138" s="631"/>
      <c r="E3138" s="633"/>
      <c r="F3138" s="650"/>
    </row>
    <row r="3139" spans="3:6">
      <c r="C3139" s="631"/>
      <c r="D3139" s="631"/>
      <c r="E3139" s="633"/>
      <c r="F3139" s="650"/>
    </row>
    <row r="3140" spans="3:6">
      <c r="C3140" s="631"/>
      <c r="D3140" s="631"/>
      <c r="E3140" s="633"/>
      <c r="F3140" s="650"/>
    </row>
    <row r="3141" spans="3:6">
      <c r="C3141" s="631"/>
      <c r="D3141" s="631"/>
      <c r="E3141" s="633"/>
      <c r="F3141" s="650"/>
    </row>
    <row r="3142" spans="3:6">
      <c r="C3142" s="631"/>
      <c r="D3142" s="631"/>
      <c r="E3142" s="633"/>
      <c r="F3142" s="650"/>
    </row>
    <row r="3143" spans="3:6">
      <c r="C3143" s="631"/>
      <c r="D3143" s="631"/>
      <c r="E3143" s="633"/>
      <c r="F3143" s="650"/>
    </row>
    <row r="3144" spans="3:6">
      <c r="C3144" s="631"/>
      <c r="D3144" s="631"/>
      <c r="E3144" s="633"/>
      <c r="F3144" s="650"/>
    </row>
    <row r="3145" spans="3:6">
      <c r="C3145" s="631"/>
      <c r="D3145" s="631"/>
      <c r="E3145" s="633"/>
      <c r="F3145" s="650"/>
    </row>
    <row r="3146" spans="3:6">
      <c r="C3146" s="631"/>
      <c r="D3146" s="631"/>
      <c r="E3146" s="633"/>
      <c r="F3146" s="650"/>
    </row>
    <row r="3147" spans="3:6">
      <c r="C3147" s="631"/>
      <c r="D3147" s="631"/>
      <c r="E3147" s="633"/>
      <c r="F3147" s="650"/>
    </row>
    <row r="3148" spans="3:6">
      <c r="C3148" s="631"/>
      <c r="D3148" s="631"/>
      <c r="E3148" s="633"/>
      <c r="F3148" s="650"/>
    </row>
    <row r="3149" spans="3:6">
      <c r="C3149" s="631"/>
      <c r="D3149" s="631"/>
      <c r="E3149" s="633"/>
      <c r="F3149" s="650"/>
    </row>
    <row r="3150" spans="3:6">
      <c r="C3150" s="631"/>
      <c r="D3150" s="631"/>
      <c r="E3150" s="633"/>
      <c r="F3150" s="650"/>
    </row>
    <row r="3151" spans="3:6">
      <c r="C3151" s="631"/>
      <c r="D3151" s="631"/>
      <c r="E3151" s="633"/>
      <c r="F3151" s="650"/>
    </row>
    <row r="3152" spans="3:6">
      <c r="C3152" s="631"/>
      <c r="D3152" s="631"/>
      <c r="E3152" s="633"/>
      <c r="F3152" s="650"/>
    </row>
    <row r="3153" spans="3:6">
      <c r="C3153" s="631"/>
      <c r="D3153" s="631"/>
      <c r="E3153" s="633"/>
      <c r="F3153" s="650"/>
    </row>
    <row r="3154" spans="3:6">
      <c r="C3154" s="631"/>
      <c r="D3154" s="631"/>
      <c r="E3154" s="633"/>
      <c r="F3154" s="650"/>
    </row>
    <row r="3155" spans="3:6">
      <c r="C3155" s="631"/>
      <c r="D3155" s="631"/>
      <c r="E3155" s="633"/>
      <c r="F3155" s="650"/>
    </row>
    <row r="3156" spans="3:6">
      <c r="C3156" s="631"/>
      <c r="D3156" s="631"/>
      <c r="E3156" s="633"/>
      <c r="F3156" s="650"/>
    </row>
    <row r="3157" spans="3:6">
      <c r="C3157" s="631"/>
      <c r="D3157" s="631"/>
      <c r="E3157" s="633"/>
      <c r="F3157" s="650"/>
    </row>
    <row r="3158" spans="3:6">
      <c r="C3158" s="631"/>
      <c r="D3158" s="631"/>
      <c r="E3158" s="633"/>
      <c r="F3158" s="650"/>
    </row>
    <row r="3159" spans="3:6">
      <c r="C3159" s="631"/>
      <c r="D3159" s="631"/>
      <c r="E3159" s="633"/>
      <c r="F3159" s="650"/>
    </row>
    <row r="3160" spans="3:6">
      <c r="C3160" s="631"/>
      <c r="D3160" s="631"/>
      <c r="E3160" s="633"/>
      <c r="F3160" s="650"/>
    </row>
    <row r="3161" spans="3:6">
      <c r="C3161" s="631"/>
      <c r="D3161" s="631"/>
      <c r="E3161" s="633"/>
      <c r="F3161" s="650"/>
    </row>
    <row r="3162" spans="3:6">
      <c r="C3162" s="631"/>
      <c r="D3162" s="631"/>
      <c r="E3162" s="633"/>
      <c r="F3162" s="650"/>
    </row>
    <row r="3163" spans="3:6">
      <c r="C3163" s="631"/>
      <c r="D3163" s="631"/>
      <c r="E3163" s="633"/>
      <c r="F3163" s="650"/>
    </row>
    <row r="3164" spans="3:6">
      <c r="C3164" s="631"/>
      <c r="D3164" s="631"/>
      <c r="E3164" s="633"/>
      <c r="F3164" s="650"/>
    </row>
    <row r="3165" spans="3:6">
      <c r="C3165" s="631"/>
      <c r="D3165" s="631"/>
      <c r="E3165" s="633"/>
      <c r="F3165" s="650"/>
    </row>
    <row r="3166" spans="3:6">
      <c r="C3166" s="631"/>
      <c r="D3166" s="631"/>
      <c r="E3166" s="633"/>
      <c r="F3166" s="650"/>
    </row>
    <row r="3167" spans="3:6">
      <c r="C3167" s="631"/>
      <c r="D3167" s="631"/>
      <c r="E3167" s="633"/>
      <c r="F3167" s="650"/>
    </row>
    <row r="3168" spans="3:6">
      <c r="C3168" s="631"/>
      <c r="D3168" s="631"/>
      <c r="E3168" s="633"/>
      <c r="F3168" s="650"/>
    </row>
    <row r="3169" spans="3:6">
      <c r="C3169" s="631"/>
      <c r="D3169" s="631"/>
      <c r="E3169" s="633"/>
      <c r="F3169" s="650"/>
    </row>
    <row r="3170" spans="3:6">
      <c r="C3170" s="631"/>
      <c r="D3170" s="631"/>
      <c r="E3170" s="633"/>
      <c r="F3170" s="650"/>
    </row>
    <row r="3171" spans="3:6">
      <c r="C3171" s="631"/>
      <c r="D3171" s="631"/>
      <c r="E3171" s="633"/>
      <c r="F3171" s="650"/>
    </row>
    <row r="3172" spans="3:6">
      <c r="C3172" s="631"/>
      <c r="D3172" s="631"/>
      <c r="E3172" s="633"/>
      <c r="F3172" s="650"/>
    </row>
    <row r="3173" spans="3:6">
      <c r="C3173" s="631"/>
      <c r="D3173" s="631"/>
      <c r="E3173" s="633"/>
      <c r="F3173" s="650"/>
    </row>
    <row r="3174" spans="3:6">
      <c r="C3174" s="631"/>
      <c r="D3174" s="631"/>
      <c r="E3174" s="633"/>
      <c r="F3174" s="650"/>
    </row>
    <row r="3175" spans="3:6">
      <c r="C3175" s="631"/>
      <c r="D3175" s="631"/>
      <c r="E3175" s="633"/>
      <c r="F3175" s="650"/>
    </row>
    <row r="3176" spans="3:6">
      <c r="C3176" s="631"/>
      <c r="D3176" s="631"/>
      <c r="E3176" s="633"/>
      <c r="F3176" s="650"/>
    </row>
    <row r="3177" spans="3:6">
      <c r="C3177" s="631"/>
      <c r="D3177" s="631"/>
      <c r="E3177" s="633"/>
      <c r="F3177" s="650"/>
    </row>
    <row r="3178" spans="3:6">
      <c r="C3178" s="631"/>
      <c r="D3178" s="631"/>
      <c r="E3178" s="633"/>
      <c r="F3178" s="650"/>
    </row>
    <row r="3179" spans="3:6">
      <c r="C3179" s="631"/>
      <c r="D3179" s="631"/>
      <c r="E3179" s="633"/>
      <c r="F3179" s="650"/>
    </row>
    <row r="3180" spans="3:6">
      <c r="C3180" s="631"/>
      <c r="D3180" s="631"/>
      <c r="E3180" s="633"/>
      <c r="F3180" s="650"/>
    </row>
    <row r="3181" spans="3:6">
      <c r="C3181" s="631"/>
      <c r="D3181" s="631"/>
      <c r="E3181" s="633"/>
      <c r="F3181" s="650"/>
    </row>
    <row r="3182" spans="3:6">
      <c r="C3182" s="631"/>
      <c r="D3182" s="631"/>
      <c r="E3182" s="633"/>
      <c r="F3182" s="650"/>
    </row>
    <row r="3183" spans="3:6">
      <c r="C3183" s="631"/>
      <c r="D3183" s="631"/>
      <c r="E3183" s="633"/>
      <c r="F3183" s="650"/>
    </row>
    <row r="3184" spans="3:6">
      <c r="C3184" s="631"/>
      <c r="D3184" s="631"/>
      <c r="E3184" s="633"/>
      <c r="F3184" s="650"/>
    </row>
    <row r="3185" spans="3:6">
      <c r="C3185" s="631"/>
      <c r="D3185" s="631"/>
      <c r="E3185" s="633"/>
      <c r="F3185" s="650"/>
    </row>
    <row r="3186" spans="3:6">
      <c r="C3186" s="631"/>
      <c r="D3186" s="631"/>
      <c r="E3186" s="633"/>
      <c r="F3186" s="650"/>
    </row>
    <row r="3187" spans="3:6">
      <c r="C3187" s="631"/>
      <c r="D3187" s="631"/>
      <c r="E3187" s="633"/>
      <c r="F3187" s="650"/>
    </row>
    <row r="3188" spans="3:6">
      <c r="C3188" s="631"/>
      <c r="D3188" s="631"/>
      <c r="E3188" s="633"/>
      <c r="F3188" s="650"/>
    </row>
    <row r="3189" spans="3:6">
      <c r="C3189" s="631"/>
      <c r="D3189" s="631"/>
      <c r="E3189" s="633"/>
      <c r="F3189" s="650"/>
    </row>
    <row r="3190" spans="3:6">
      <c r="C3190" s="631"/>
      <c r="D3190" s="631"/>
      <c r="E3190" s="633"/>
      <c r="F3190" s="650"/>
    </row>
    <row r="3191" spans="3:6">
      <c r="C3191" s="631"/>
      <c r="D3191" s="631"/>
      <c r="E3191" s="633"/>
      <c r="F3191" s="650"/>
    </row>
    <row r="3192" spans="3:6">
      <c r="C3192" s="631"/>
      <c r="D3192" s="631"/>
      <c r="E3192" s="633"/>
      <c r="F3192" s="650"/>
    </row>
    <row r="3193" spans="3:6">
      <c r="C3193" s="631"/>
      <c r="D3193" s="631"/>
      <c r="E3193" s="633"/>
      <c r="F3193" s="650"/>
    </row>
    <row r="3194" spans="3:6">
      <c r="C3194" s="631"/>
      <c r="D3194" s="631"/>
      <c r="E3194" s="633"/>
      <c r="F3194" s="650"/>
    </row>
    <row r="3195" spans="3:6">
      <c r="C3195" s="631"/>
      <c r="D3195" s="631"/>
      <c r="E3195" s="633"/>
      <c r="F3195" s="650"/>
    </row>
    <row r="3196" spans="3:6">
      <c r="C3196" s="631"/>
      <c r="D3196" s="631"/>
      <c r="E3196" s="633"/>
      <c r="F3196" s="650"/>
    </row>
    <row r="3197" spans="3:6">
      <c r="C3197" s="631"/>
      <c r="D3197" s="631"/>
      <c r="E3197" s="633"/>
      <c r="F3197" s="650"/>
    </row>
    <row r="3198" spans="3:6">
      <c r="C3198" s="631"/>
      <c r="D3198" s="631"/>
      <c r="E3198" s="633"/>
      <c r="F3198" s="650"/>
    </row>
    <row r="3199" spans="3:6">
      <c r="C3199" s="631"/>
      <c r="D3199" s="631"/>
      <c r="E3199" s="633"/>
      <c r="F3199" s="650"/>
    </row>
    <row r="3200" spans="3:6">
      <c r="C3200" s="631"/>
      <c r="D3200" s="631"/>
      <c r="E3200" s="633"/>
      <c r="F3200" s="650"/>
    </row>
    <row r="3201" spans="3:6">
      <c r="C3201" s="631"/>
      <c r="D3201" s="631"/>
      <c r="E3201" s="633"/>
      <c r="F3201" s="650"/>
    </row>
    <row r="3202" spans="3:6">
      <c r="C3202" s="631"/>
      <c r="D3202" s="631"/>
      <c r="E3202" s="633"/>
      <c r="F3202" s="650"/>
    </row>
    <row r="3203" spans="3:6">
      <c r="C3203" s="631"/>
      <c r="D3203" s="631"/>
      <c r="E3203" s="633"/>
      <c r="F3203" s="650"/>
    </row>
    <row r="3204" spans="3:6">
      <c r="C3204" s="631"/>
      <c r="D3204" s="631"/>
      <c r="E3204" s="633"/>
      <c r="F3204" s="650"/>
    </row>
    <row r="3205" spans="3:6">
      <c r="C3205" s="631"/>
      <c r="D3205" s="631"/>
      <c r="E3205" s="633"/>
      <c r="F3205" s="650"/>
    </row>
    <row r="3206" spans="3:6">
      <c r="C3206" s="631"/>
      <c r="D3206" s="631"/>
      <c r="E3206" s="633"/>
      <c r="F3206" s="650"/>
    </row>
    <row r="3207" spans="3:6">
      <c r="C3207" s="631"/>
      <c r="D3207" s="631"/>
      <c r="E3207" s="633"/>
      <c r="F3207" s="650"/>
    </row>
    <row r="3208" spans="3:6">
      <c r="C3208" s="631"/>
      <c r="D3208" s="631"/>
      <c r="E3208" s="633"/>
      <c r="F3208" s="650"/>
    </row>
    <row r="3209" spans="3:6">
      <c r="C3209" s="631"/>
      <c r="D3209" s="631"/>
      <c r="E3209" s="633"/>
      <c r="F3209" s="650"/>
    </row>
    <row r="3210" spans="3:6">
      <c r="C3210" s="631"/>
      <c r="D3210" s="631"/>
      <c r="E3210" s="633"/>
      <c r="F3210" s="650"/>
    </row>
    <row r="3211" spans="3:6">
      <c r="C3211" s="631"/>
      <c r="D3211" s="631"/>
      <c r="E3211" s="633"/>
      <c r="F3211" s="650"/>
    </row>
    <row r="3212" spans="3:6">
      <c r="C3212" s="631"/>
      <c r="D3212" s="631"/>
      <c r="E3212" s="633"/>
      <c r="F3212" s="650"/>
    </row>
    <row r="3213" spans="3:6">
      <c r="C3213" s="631"/>
      <c r="D3213" s="631"/>
      <c r="E3213" s="633"/>
      <c r="F3213" s="650"/>
    </row>
    <row r="3214" spans="3:6">
      <c r="C3214" s="631"/>
      <c r="D3214" s="631"/>
      <c r="E3214" s="633"/>
      <c r="F3214" s="650"/>
    </row>
    <row r="3215" spans="3:6">
      <c r="C3215" s="631"/>
      <c r="D3215" s="631"/>
      <c r="E3215" s="633"/>
      <c r="F3215" s="650"/>
    </row>
    <row r="3216" spans="3:6">
      <c r="C3216" s="631"/>
      <c r="D3216" s="631"/>
      <c r="E3216" s="633"/>
      <c r="F3216" s="650"/>
    </row>
    <row r="3217" spans="3:6">
      <c r="C3217" s="631"/>
      <c r="D3217" s="631"/>
      <c r="E3217" s="633"/>
      <c r="F3217" s="650"/>
    </row>
    <row r="3218" spans="3:6">
      <c r="C3218" s="631"/>
      <c r="D3218" s="631"/>
      <c r="E3218" s="633"/>
      <c r="F3218" s="650"/>
    </row>
    <row r="3219" spans="3:6">
      <c r="C3219" s="631"/>
      <c r="D3219" s="631"/>
      <c r="E3219" s="633"/>
      <c r="F3219" s="650"/>
    </row>
    <row r="3220" spans="3:6">
      <c r="C3220" s="631"/>
      <c r="D3220" s="631"/>
      <c r="E3220" s="633"/>
      <c r="F3220" s="650"/>
    </row>
    <row r="3221" spans="3:6">
      <c r="C3221" s="631"/>
      <c r="D3221" s="631"/>
      <c r="E3221" s="633"/>
      <c r="F3221" s="650"/>
    </row>
    <row r="3222" spans="3:6">
      <c r="C3222" s="631"/>
      <c r="D3222" s="631"/>
      <c r="E3222" s="633"/>
      <c r="F3222" s="650"/>
    </row>
    <row r="3223" spans="3:6">
      <c r="C3223" s="631"/>
      <c r="D3223" s="631"/>
      <c r="E3223" s="633"/>
      <c r="F3223" s="650"/>
    </row>
    <row r="3224" spans="3:6">
      <c r="C3224" s="631"/>
      <c r="D3224" s="631"/>
      <c r="E3224" s="633"/>
      <c r="F3224" s="650"/>
    </row>
    <row r="3225" spans="3:6">
      <c r="C3225" s="631"/>
      <c r="D3225" s="631"/>
      <c r="E3225" s="633"/>
      <c r="F3225" s="650"/>
    </row>
    <row r="3226" spans="3:6">
      <c r="C3226" s="631"/>
      <c r="D3226" s="631"/>
      <c r="E3226" s="633"/>
      <c r="F3226" s="650"/>
    </row>
    <row r="3227" spans="3:6">
      <c r="C3227" s="631"/>
      <c r="D3227" s="631"/>
      <c r="E3227" s="633"/>
      <c r="F3227" s="650"/>
    </row>
    <row r="3228" spans="3:6">
      <c r="C3228" s="631"/>
      <c r="D3228" s="631"/>
      <c r="E3228" s="633"/>
      <c r="F3228" s="650"/>
    </row>
    <row r="3229" spans="3:6">
      <c r="C3229" s="631"/>
      <c r="D3229" s="631"/>
      <c r="E3229" s="633"/>
      <c r="F3229" s="650"/>
    </row>
    <row r="3230" spans="3:6">
      <c r="C3230" s="631"/>
      <c r="D3230" s="631"/>
      <c r="E3230" s="633"/>
      <c r="F3230" s="650"/>
    </row>
    <row r="3231" spans="3:6">
      <c r="C3231" s="631"/>
      <c r="D3231" s="631"/>
      <c r="E3231" s="633"/>
      <c r="F3231" s="650"/>
    </row>
    <row r="3232" spans="3:6">
      <c r="C3232" s="631"/>
      <c r="D3232" s="631"/>
      <c r="E3232" s="633"/>
      <c r="F3232" s="650"/>
    </row>
    <row r="3233" spans="3:6">
      <c r="C3233" s="631"/>
      <c r="D3233" s="631"/>
      <c r="E3233" s="633"/>
      <c r="F3233" s="650"/>
    </row>
    <row r="3234" spans="3:6">
      <c r="C3234" s="631"/>
      <c r="D3234" s="631"/>
      <c r="E3234" s="633"/>
      <c r="F3234" s="650"/>
    </row>
    <row r="3235" spans="3:6">
      <c r="C3235" s="631"/>
      <c r="D3235" s="631"/>
      <c r="E3235" s="633"/>
      <c r="F3235" s="650"/>
    </row>
    <row r="3236" spans="3:6">
      <c r="C3236" s="631"/>
      <c r="D3236" s="631"/>
      <c r="E3236" s="633"/>
      <c r="F3236" s="650"/>
    </row>
    <row r="3237" spans="3:6">
      <c r="C3237" s="631"/>
      <c r="D3237" s="631"/>
      <c r="E3237" s="633"/>
      <c r="F3237" s="650"/>
    </row>
    <row r="3238" spans="3:6">
      <c r="C3238" s="631"/>
      <c r="D3238" s="631"/>
      <c r="E3238" s="633"/>
      <c r="F3238" s="650"/>
    </row>
    <row r="3239" spans="3:6">
      <c r="C3239" s="631"/>
      <c r="D3239" s="631"/>
      <c r="E3239" s="633"/>
      <c r="F3239" s="650"/>
    </row>
    <row r="3240" spans="3:6">
      <c r="C3240" s="631"/>
      <c r="D3240" s="631"/>
      <c r="E3240" s="633"/>
      <c r="F3240" s="650"/>
    </row>
    <row r="3241" spans="3:6">
      <c r="C3241" s="631"/>
      <c r="D3241" s="631"/>
      <c r="E3241" s="633"/>
      <c r="F3241" s="650"/>
    </row>
    <row r="3242" spans="3:6">
      <c r="C3242" s="631"/>
      <c r="D3242" s="631"/>
      <c r="E3242" s="633"/>
      <c r="F3242" s="650"/>
    </row>
    <row r="3243" spans="3:6">
      <c r="C3243" s="631"/>
      <c r="D3243" s="631"/>
      <c r="E3243" s="633"/>
      <c r="F3243" s="650"/>
    </row>
    <row r="3244" spans="3:6">
      <c r="C3244" s="631"/>
      <c r="D3244" s="631"/>
      <c r="E3244" s="633"/>
      <c r="F3244" s="650"/>
    </row>
    <row r="3245" spans="3:6">
      <c r="C3245" s="631"/>
      <c r="D3245" s="631"/>
      <c r="E3245" s="633"/>
      <c r="F3245" s="650"/>
    </row>
    <row r="3246" spans="3:6">
      <c r="C3246" s="631"/>
      <c r="D3246" s="631"/>
      <c r="E3246" s="633"/>
      <c r="F3246" s="650"/>
    </row>
    <row r="3247" spans="3:6">
      <c r="C3247" s="631"/>
      <c r="D3247" s="631"/>
      <c r="E3247" s="633"/>
      <c r="F3247" s="650"/>
    </row>
    <row r="3248" spans="3:6">
      <c r="C3248" s="631"/>
      <c r="D3248" s="631"/>
      <c r="E3248" s="633"/>
      <c r="F3248" s="650"/>
    </row>
    <row r="3249" spans="3:6">
      <c r="C3249" s="631"/>
      <c r="D3249" s="631"/>
      <c r="E3249" s="633"/>
      <c r="F3249" s="650"/>
    </row>
    <row r="3250" spans="3:6">
      <c r="C3250" s="631"/>
      <c r="D3250" s="631"/>
      <c r="E3250" s="633"/>
      <c r="F3250" s="650"/>
    </row>
    <row r="3251" spans="3:6">
      <c r="C3251" s="631"/>
      <c r="D3251" s="631"/>
      <c r="E3251" s="633"/>
      <c r="F3251" s="650"/>
    </row>
    <row r="3252" spans="3:6">
      <c r="C3252" s="631"/>
      <c r="D3252" s="631"/>
      <c r="E3252" s="633"/>
      <c r="F3252" s="650"/>
    </row>
    <row r="3253" spans="3:6">
      <c r="C3253" s="631"/>
      <c r="D3253" s="631"/>
      <c r="E3253" s="633"/>
      <c r="F3253" s="650"/>
    </row>
    <row r="3254" spans="3:6">
      <c r="C3254" s="631"/>
      <c r="D3254" s="631"/>
      <c r="E3254" s="633"/>
      <c r="F3254" s="650"/>
    </row>
    <row r="3255" spans="3:6">
      <c r="C3255" s="631"/>
      <c r="D3255" s="631"/>
      <c r="E3255" s="633"/>
      <c r="F3255" s="650"/>
    </row>
    <row r="3256" spans="3:6">
      <c r="C3256" s="631"/>
      <c r="D3256" s="631"/>
      <c r="E3256" s="633"/>
      <c r="F3256" s="650"/>
    </row>
    <row r="3257" spans="3:6">
      <c r="C3257" s="631"/>
      <c r="D3257" s="631"/>
      <c r="E3257" s="633"/>
      <c r="F3257" s="650"/>
    </row>
    <row r="3258" spans="3:6">
      <c r="C3258" s="631"/>
      <c r="D3258" s="631"/>
      <c r="E3258" s="633"/>
      <c r="F3258" s="650"/>
    </row>
    <row r="3259" spans="3:6">
      <c r="C3259" s="631"/>
      <c r="D3259" s="631"/>
      <c r="E3259" s="633"/>
      <c r="F3259" s="650"/>
    </row>
    <row r="3260" spans="3:6">
      <c r="C3260" s="631"/>
      <c r="D3260" s="631"/>
      <c r="E3260" s="633"/>
      <c r="F3260" s="650"/>
    </row>
    <row r="3261" spans="3:6">
      <c r="C3261" s="631"/>
      <c r="D3261" s="631"/>
      <c r="E3261" s="633"/>
      <c r="F3261" s="650"/>
    </row>
    <row r="3262" spans="3:6">
      <c r="C3262" s="631"/>
      <c r="D3262" s="631"/>
      <c r="E3262" s="633"/>
      <c r="F3262" s="650"/>
    </row>
    <row r="3263" spans="3:6">
      <c r="C3263" s="631"/>
      <c r="D3263" s="631"/>
      <c r="E3263" s="633"/>
      <c r="F3263" s="650"/>
    </row>
    <row r="3264" spans="3:6">
      <c r="C3264" s="631"/>
      <c r="D3264" s="631"/>
      <c r="E3264" s="633"/>
      <c r="F3264" s="650"/>
    </row>
    <row r="3265" spans="3:6">
      <c r="C3265" s="631"/>
      <c r="D3265" s="631"/>
      <c r="E3265" s="633"/>
      <c r="F3265" s="650"/>
    </row>
    <row r="3266" spans="3:6">
      <c r="C3266" s="631"/>
      <c r="D3266" s="631"/>
      <c r="E3266" s="633"/>
      <c r="F3266" s="650"/>
    </row>
    <row r="3267" spans="3:6">
      <c r="C3267" s="631"/>
      <c r="D3267" s="631"/>
      <c r="E3267" s="633"/>
      <c r="F3267" s="650"/>
    </row>
    <row r="3268" spans="3:6">
      <c r="C3268" s="631"/>
      <c r="D3268" s="631"/>
      <c r="E3268" s="633"/>
      <c r="F3268" s="650"/>
    </row>
    <row r="3269" spans="3:6">
      <c r="C3269" s="631"/>
      <c r="D3269" s="631"/>
      <c r="E3269" s="633"/>
      <c r="F3269" s="650"/>
    </row>
    <row r="3270" spans="3:6">
      <c r="C3270" s="631"/>
      <c r="D3270" s="631"/>
      <c r="E3270" s="633"/>
      <c r="F3270" s="650"/>
    </row>
    <row r="3271" spans="3:6">
      <c r="C3271" s="631"/>
      <c r="D3271" s="631"/>
      <c r="E3271" s="633"/>
      <c r="F3271" s="650"/>
    </row>
    <row r="3272" spans="3:6">
      <c r="C3272" s="631"/>
      <c r="D3272" s="631"/>
      <c r="E3272" s="633"/>
      <c r="F3272" s="650"/>
    </row>
    <row r="3273" spans="3:6">
      <c r="C3273" s="631"/>
      <c r="D3273" s="631"/>
      <c r="E3273" s="633"/>
      <c r="F3273" s="650"/>
    </row>
    <row r="3274" spans="3:6">
      <c r="C3274" s="631"/>
      <c r="D3274" s="631"/>
      <c r="E3274" s="633"/>
      <c r="F3274" s="650"/>
    </row>
    <row r="3275" spans="3:6">
      <c r="C3275" s="631"/>
      <c r="D3275" s="631"/>
      <c r="E3275" s="633"/>
      <c r="F3275" s="650"/>
    </row>
    <row r="3276" spans="3:6">
      <c r="C3276" s="631"/>
      <c r="D3276" s="631"/>
      <c r="E3276" s="633"/>
      <c r="F3276" s="650"/>
    </row>
    <row r="3277" spans="3:6">
      <c r="C3277" s="631"/>
      <c r="D3277" s="631"/>
      <c r="E3277" s="633"/>
      <c r="F3277" s="650"/>
    </row>
    <row r="3278" spans="3:6">
      <c r="C3278" s="631"/>
      <c r="D3278" s="631"/>
      <c r="E3278" s="633"/>
      <c r="F3278" s="650"/>
    </row>
    <row r="3279" spans="3:6">
      <c r="C3279" s="631"/>
      <c r="D3279" s="631"/>
      <c r="E3279" s="633"/>
      <c r="F3279" s="650"/>
    </row>
    <row r="3280" spans="3:6">
      <c r="C3280" s="631"/>
      <c r="D3280" s="631"/>
      <c r="E3280" s="633"/>
      <c r="F3280" s="650"/>
    </row>
    <row r="3281" spans="3:6">
      <c r="C3281" s="631"/>
      <c r="D3281" s="631"/>
      <c r="E3281" s="633"/>
      <c r="F3281" s="650"/>
    </row>
    <row r="3282" spans="3:6">
      <c r="C3282" s="631"/>
      <c r="D3282" s="631"/>
      <c r="E3282" s="633"/>
      <c r="F3282" s="650"/>
    </row>
    <row r="3283" spans="3:6">
      <c r="C3283" s="631"/>
      <c r="D3283" s="631"/>
      <c r="E3283" s="633"/>
      <c r="F3283" s="650"/>
    </row>
    <row r="3284" spans="3:6">
      <c r="C3284" s="631"/>
      <c r="D3284" s="631"/>
      <c r="E3284" s="633"/>
      <c r="F3284" s="650"/>
    </row>
    <row r="3285" spans="3:6">
      <c r="C3285" s="631"/>
      <c r="D3285" s="631"/>
      <c r="E3285" s="633"/>
      <c r="F3285" s="650"/>
    </row>
    <row r="3286" spans="3:6">
      <c r="C3286" s="631"/>
      <c r="D3286" s="631"/>
      <c r="E3286" s="633"/>
      <c r="F3286" s="650"/>
    </row>
    <row r="3287" spans="3:6">
      <c r="C3287" s="631"/>
      <c r="D3287" s="631"/>
      <c r="E3287" s="633"/>
      <c r="F3287" s="650"/>
    </row>
    <row r="3288" spans="3:6">
      <c r="C3288" s="631"/>
      <c r="D3288" s="631"/>
      <c r="E3288" s="633"/>
      <c r="F3288" s="650"/>
    </row>
    <row r="3289" spans="3:6">
      <c r="C3289" s="631"/>
      <c r="D3289" s="631"/>
      <c r="E3289" s="633"/>
      <c r="F3289" s="650"/>
    </row>
    <row r="3290" spans="3:6">
      <c r="C3290" s="631"/>
      <c r="D3290" s="631"/>
      <c r="E3290" s="633"/>
      <c r="F3290" s="650"/>
    </row>
    <row r="3291" spans="3:6">
      <c r="C3291" s="631"/>
      <c r="D3291" s="631"/>
      <c r="E3291" s="633"/>
      <c r="F3291" s="650"/>
    </row>
    <row r="3292" spans="3:6">
      <c r="C3292" s="631"/>
      <c r="D3292" s="631"/>
      <c r="E3292" s="633"/>
      <c r="F3292" s="650"/>
    </row>
    <row r="3293" spans="3:6">
      <c r="C3293" s="631"/>
      <c r="D3293" s="631"/>
      <c r="E3293" s="633"/>
      <c r="F3293" s="650"/>
    </row>
    <row r="3294" spans="3:6">
      <c r="C3294" s="631"/>
      <c r="D3294" s="631"/>
      <c r="E3294" s="633"/>
      <c r="F3294" s="650"/>
    </row>
    <row r="3295" spans="3:6">
      <c r="C3295" s="631"/>
      <c r="D3295" s="631"/>
      <c r="E3295" s="633"/>
      <c r="F3295" s="650"/>
    </row>
    <row r="3296" spans="3:6">
      <c r="C3296" s="631"/>
      <c r="D3296" s="631"/>
      <c r="E3296" s="633"/>
      <c r="F3296" s="650"/>
    </row>
    <row r="3297" spans="3:6">
      <c r="C3297" s="631"/>
      <c r="D3297" s="631"/>
      <c r="E3297" s="633"/>
      <c r="F3297" s="650"/>
    </row>
    <row r="3298" spans="3:6">
      <c r="C3298" s="631"/>
      <c r="D3298" s="631"/>
      <c r="E3298" s="633"/>
      <c r="F3298" s="650"/>
    </row>
    <row r="3299" spans="3:6">
      <c r="C3299" s="631"/>
      <c r="D3299" s="631"/>
      <c r="E3299" s="633"/>
      <c r="F3299" s="650"/>
    </row>
    <row r="3300" spans="3:6">
      <c r="C3300" s="631"/>
      <c r="D3300" s="631"/>
      <c r="E3300" s="633"/>
      <c r="F3300" s="650"/>
    </row>
    <row r="3301" spans="3:6">
      <c r="C3301" s="631"/>
      <c r="D3301" s="631"/>
      <c r="E3301" s="633"/>
      <c r="F3301" s="650"/>
    </row>
    <row r="3302" spans="3:6">
      <c r="C3302" s="631"/>
      <c r="D3302" s="631"/>
      <c r="E3302" s="633"/>
      <c r="F3302" s="650"/>
    </row>
    <row r="3303" spans="3:6">
      <c r="C3303" s="631"/>
      <c r="D3303" s="631"/>
      <c r="E3303" s="633"/>
      <c r="F3303" s="650"/>
    </row>
    <row r="3304" spans="3:6">
      <c r="C3304" s="631"/>
      <c r="D3304" s="631"/>
      <c r="E3304" s="633"/>
      <c r="F3304" s="650"/>
    </row>
    <row r="3305" spans="3:6">
      <c r="C3305" s="631"/>
      <c r="D3305" s="631"/>
      <c r="E3305" s="633"/>
      <c r="F3305" s="650"/>
    </row>
    <row r="3306" spans="3:6">
      <c r="C3306" s="631"/>
      <c r="D3306" s="631"/>
      <c r="E3306" s="633"/>
      <c r="F3306" s="650"/>
    </row>
    <row r="3307" spans="3:6">
      <c r="C3307" s="631"/>
      <c r="D3307" s="631"/>
      <c r="E3307" s="633"/>
      <c r="F3307" s="650"/>
    </row>
    <row r="3308" spans="3:6">
      <c r="C3308" s="631"/>
      <c r="D3308" s="631"/>
      <c r="E3308" s="633"/>
      <c r="F3308" s="650"/>
    </row>
    <row r="3309" spans="3:6">
      <c r="C3309" s="631"/>
      <c r="D3309" s="631"/>
      <c r="E3309" s="633"/>
      <c r="F3309" s="650"/>
    </row>
    <row r="3310" spans="3:6">
      <c r="C3310" s="631"/>
      <c r="D3310" s="631"/>
      <c r="E3310" s="633"/>
      <c r="F3310" s="650"/>
    </row>
    <row r="3311" spans="3:6">
      <c r="C3311" s="631"/>
      <c r="D3311" s="631"/>
      <c r="E3311" s="633"/>
      <c r="F3311" s="650"/>
    </row>
    <row r="3312" spans="3:6">
      <c r="C3312" s="631"/>
      <c r="D3312" s="631"/>
      <c r="E3312" s="633"/>
      <c r="F3312" s="650"/>
    </row>
    <row r="3313" spans="3:6">
      <c r="C3313" s="631"/>
      <c r="D3313" s="631"/>
      <c r="E3313" s="633"/>
      <c r="F3313" s="650"/>
    </row>
    <row r="3314" spans="3:6">
      <c r="C3314" s="631"/>
      <c r="D3314" s="631"/>
      <c r="E3314" s="633"/>
      <c r="F3314" s="650"/>
    </row>
    <row r="3315" spans="3:6">
      <c r="C3315" s="631"/>
      <c r="D3315" s="631"/>
      <c r="E3315" s="633"/>
      <c r="F3315" s="650"/>
    </row>
    <row r="3316" spans="3:6">
      <c r="C3316" s="631"/>
      <c r="D3316" s="631"/>
      <c r="E3316" s="633"/>
      <c r="F3316" s="650"/>
    </row>
    <row r="3317" spans="3:6">
      <c r="C3317" s="631"/>
      <c r="D3317" s="631"/>
      <c r="E3317" s="633"/>
      <c r="F3317" s="650"/>
    </row>
    <row r="3318" spans="3:6">
      <c r="C3318" s="631"/>
      <c r="D3318" s="631"/>
      <c r="E3318" s="633"/>
      <c r="F3318" s="650"/>
    </row>
    <row r="3319" spans="3:6">
      <c r="C3319" s="631"/>
      <c r="D3319" s="631"/>
      <c r="E3319" s="633"/>
      <c r="F3319" s="650"/>
    </row>
    <row r="3320" spans="3:6">
      <c r="C3320" s="631"/>
      <c r="D3320" s="631"/>
      <c r="E3320" s="633"/>
      <c r="F3320" s="650"/>
    </row>
    <row r="3321" spans="3:6">
      <c r="C3321" s="631"/>
      <c r="D3321" s="631"/>
      <c r="E3321" s="633"/>
      <c r="F3321" s="650"/>
    </row>
    <row r="3322" spans="3:6">
      <c r="C3322" s="631"/>
      <c r="D3322" s="631"/>
      <c r="E3322" s="633"/>
      <c r="F3322" s="650"/>
    </row>
    <row r="3323" spans="3:6">
      <c r="C3323" s="631"/>
      <c r="D3323" s="631"/>
      <c r="E3323" s="633"/>
      <c r="F3323" s="650"/>
    </row>
    <row r="3324" spans="3:6">
      <c r="C3324" s="631"/>
      <c r="D3324" s="631"/>
      <c r="E3324" s="633"/>
      <c r="F3324" s="650"/>
    </row>
    <row r="3325" spans="3:6">
      <c r="C3325" s="631"/>
      <c r="D3325" s="631"/>
      <c r="E3325" s="633"/>
      <c r="F3325" s="650"/>
    </row>
    <row r="3326" spans="3:6">
      <c r="C3326" s="631"/>
      <c r="D3326" s="631"/>
      <c r="E3326" s="633"/>
      <c r="F3326" s="650"/>
    </row>
    <row r="3327" spans="3:6">
      <c r="C3327" s="631"/>
      <c r="D3327" s="631"/>
      <c r="E3327" s="633"/>
      <c r="F3327" s="650"/>
    </row>
    <row r="3328" spans="3:6">
      <c r="C3328" s="631"/>
      <c r="D3328" s="631"/>
      <c r="E3328" s="633"/>
      <c r="F3328" s="650"/>
    </row>
    <row r="3329" spans="3:6">
      <c r="C3329" s="631"/>
      <c r="D3329" s="631"/>
      <c r="E3329" s="633"/>
      <c r="F3329" s="650"/>
    </row>
    <row r="3330" spans="3:6">
      <c r="C3330" s="631"/>
      <c r="D3330" s="631"/>
      <c r="E3330" s="633"/>
      <c r="F3330" s="650"/>
    </row>
    <row r="3331" spans="3:6">
      <c r="C3331" s="631"/>
      <c r="D3331" s="631"/>
      <c r="E3331" s="633"/>
      <c r="F3331" s="650"/>
    </row>
    <row r="3332" spans="3:6">
      <c r="C3332" s="631"/>
      <c r="D3332" s="631"/>
      <c r="E3332" s="633"/>
      <c r="F3332" s="650"/>
    </row>
    <row r="3333" spans="3:6">
      <c r="C3333" s="631"/>
      <c r="D3333" s="631"/>
      <c r="E3333" s="633"/>
      <c r="F3333" s="650"/>
    </row>
    <row r="3334" spans="3:6">
      <c r="C3334" s="631"/>
      <c r="D3334" s="631"/>
      <c r="E3334" s="633"/>
      <c r="F3334" s="650"/>
    </row>
    <row r="3335" spans="3:6">
      <c r="C3335" s="631"/>
      <c r="D3335" s="631"/>
      <c r="E3335" s="633"/>
      <c r="F3335" s="650"/>
    </row>
    <row r="3336" spans="3:6">
      <c r="C3336" s="631"/>
      <c r="D3336" s="631"/>
      <c r="E3336" s="633"/>
      <c r="F3336" s="650"/>
    </row>
    <row r="3337" spans="3:6">
      <c r="C3337" s="631"/>
      <c r="D3337" s="631"/>
      <c r="E3337" s="633"/>
      <c r="F3337" s="650"/>
    </row>
    <row r="3338" spans="3:6">
      <c r="C3338" s="631"/>
      <c r="D3338" s="631"/>
      <c r="E3338" s="633"/>
      <c r="F3338" s="650"/>
    </row>
    <row r="3339" spans="3:6">
      <c r="C3339" s="631"/>
      <c r="D3339" s="631"/>
      <c r="E3339" s="633"/>
      <c r="F3339" s="650"/>
    </row>
    <row r="3340" spans="3:6">
      <c r="C3340" s="631"/>
      <c r="D3340" s="631"/>
      <c r="E3340" s="633"/>
      <c r="F3340" s="650"/>
    </row>
    <row r="3341" spans="3:6">
      <c r="C3341" s="631"/>
      <c r="D3341" s="631"/>
      <c r="E3341" s="633"/>
      <c r="F3341" s="650"/>
    </row>
    <row r="3342" spans="3:6">
      <c r="C3342" s="631"/>
      <c r="D3342" s="631"/>
      <c r="E3342" s="633"/>
      <c r="F3342" s="650"/>
    </row>
    <row r="3343" spans="3:6">
      <c r="C3343" s="631"/>
      <c r="D3343" s="631"/>
      <c r="E3343" s="633"/>
      <c r="F3343" s="650"/>
    </row>
    <row r="3344" spans="3:6">
      <c r="C3344" s="631"/>
      <c r="D3344" s="631"/>
      <c r="E3344" s="633"/>
      <c r="F3344" s="650"/>
    </row>
    <row r="3345" spans="3:6">
      <c r="C3345" s="631"/>
      <c r="D3345" s="631"/>
      <c r="E3345" s="633"/>
      <c r="F3345" s="650"/>
    </row>
    <row r="3346" spans="3:6">
      <c r="C3346" s="631"/>
      <c r="D3346" s="631"/>
      <c r="E3346" s="633"/>
      <c r="F3346" s="650"/>
    </row>
    <row r="3347" spans="3:6">
      <c r="C3347" s="631"/>
      <c r="D3347" s="631"/>
      <c r="E3347" s="633"/>
      <c r="F3347" s="650"/>
    </row>
    <row r="3348" spans="3:6">
      <c r="C3348" s="631"/>
      <c r="D3348" s="631"/>
      <c r="E3348" s="633"/>
      <c r="F3348" s="650"/>
    </row>
    <row r="3349" spans="3:6">
      <c r="C3349" s="631"/>
      <c r="D3349" s="631"/>
      <c r="E3349" s="633"/>
      <c r="F3349" s="650"/>
    </row>
    <row r="3350" spans="3:6">
      <c r="C3350" s="631"/>
      <c r="D3350" s="631"/>
      <c r="E3350" s="633"/>
      <c r="F3350" s="650"/>
    </row>
    <row r="3351" spans="3:6">
      <c r="C3351" s="631"/>
      <c r="D3351" s="631"/>
      <c r="E3351" s="633"/>
      <c r="F3351" s="650"/>
    </row>
    <row r="3352" spans="3:6">
      <c r="C3352" s="631"/>
      <c r="D3352" s="631"/>
      <c r="E3352" s="633"/>
      <c r="F3352" s="650"/>
    </row>
    <row r="3353" spans="3:6">
      <c r="C3353" s="631"/>
      <c r="D3353" s="631"/>
      <c r="E3353" s="633"/>
      <c r="F3353" s="650"/>
    </row>
    <row r="3354" spans="3:6">
      <c r="C3354" s="631"/>
      <c r="D3354" s="631"/>
      <c r="E3354" s="633"/>
      <c r="F3354" s="650"/>
    </row>
    <row r="3355" spans="3:6">
      <c r="C3355" s="631"/>
      <c r="D3355" s="631"/>
      <c r="E3355" s="633"/>
      <c r="F3355" s="650"/>
    </row>
    <row r="3356" spans="3:6">
      <c r="C3356" s="631"/>
      <c r="D3356" s="631"/>
      <c r="E3356" s="633"/>
      <c r="F3356" s="650"/>
    </row>
    <row r="3357" spans="3:6">
      <c r="C3357" s="631"/>
      <c r="D3357" s="631"/>
      <c r="E3357" s="633"/>
      <c r="F3357" s="650"/>
    </row>
    <row r="3358" spans="3:6">
      <c r="C3358" s="631"/>
      <c r="D3358" s="631"/>
      <c r="E3358" s="633"/>
      <c r="F3358" s="650"/>
    </row>
    <row r="3359" spans="3:6">
      <c r="C3359" s="631"/>
      <c r="D3359" s="631"/>
      <c r="E3359" s="633"/>
      <c r="F3359" s="650"/>
    </row>
    <row r="3360" spans="3:6">
      <c r="C3360" s="631"/>
      <c r="D3360" s="631"/>
      <c r="E3360" s="633"/>
      <c r="F3360" s="650"/>
    </row>
    <row r="3361" spans="3:6">
      <c r="C3361" s="631"/>
      <c r="D3361" s="631"/>
      <c r="E3361" s="633"/>
      <c r="F3361" s="650"/>
    </row>
    <row r="3362" spans="3:6">
      <c r="C3362" s="631"/>
      <c r="D3362" s="631"/>
      <c r="E3362" s="633"/>
      <c r="F3362" s="650"/>
    </row>
    <row r="3363" spans="3:6">
      <c r="C3363" s="631"/>
      <c r="D3363" s="631"/>
      <c r="E3363" s="633"/>
      <c r="F3363" s="650"/>
    </row>
    <row r="3364" spans="3:6">
      <c r="C3364" s="631"/>
      <c r="D3364" s="631"/>
      <c r="E3364" s="633"/>
      <c r="F3364" s="650"/>
    </row>
    <row r="3365" spans="3:6">
      <c r="C3365" s="631"/>
      <c r="D3365" s="631"/>
      <c r="E3365" s="633"/>
      <c r="F3365" s="650"/>
    </row>
    <row r="3366" spans="3:6">
      <c r="C3366" s="631"/>
      <c r="D3366" s="631"/>
      <c r="E3366" s="633"/>
      <c r="F3366" s="650"/>
    </row>
    <row r="3367" spans="3:6">
      <c r="C3367" s="631"/>
      <c r="D3367" s="631"/>
      <c r="E3367" s="633"/>
      <c r="F3367" s="650"/>
    </row>
    <row r="3368" spans="3:6">
      <c r="C3368" s="631"/>
      <c r="D3368" s="631"/>
      <c r="E3368" s="633"/>
      <c r="F3368" s="650"/>
    </row>
    <row r="3369" spans="3:6">
      <c r="C3369" s="631"/>
      <c r="D3369" s="631"/>
      <c r="E3369" s="633"/>
      <c r="F3369" s="650"/>
    </row>
    <row r="3370" spans="3:6">
      <c r="C3370" s="631"/>
      <c r="D3370" s="631"/>
      <c r="E3370" s="633"/>
      <c r="F3370" s="650"/>
    </row>
    <row r="3371" spans="3:6">
      <c r="C3371" s="631"/>
      <c r="D3371" s="631"/>
      <c r="E3371" s="633"/>
      <c r="F3371" s="650"/>
    </row>
    <row r="3372" spans="3:6">
      <c r="C3372" s="631"/>
      <c r="D3372" s="631"/>
      <c r="E3372" s="633"/>
      <c r="F3372" s="650"/>
    </row>
    <row r="3373" spans="3:6">
      <c r="C3373" s="631"/>
      <c r="D3373" s="631"/>
      <c r="E3373" s="633"/>
      <c r="F3373" s="650"/>
    </row>
    <row r="3374" spans="3:6">
      <c r="C3374" s="631"/>
      <c r="D3374" s="631"/>
      <c r="E3374" s="633"/>
      <c r="F3374" s="650"/>
    </row>
    <row r="3375" spans="3:6">
      <c r="C3375" s="631"/>
      <c r="D3375" s="631"/>
      <c r="E3375" s="633"/>
      <c r="F3375" s="650"/>
    </row>
    <row r="3376" spans="3:6">
      <c r="C3376" s="631"/>
      <c r="D3376" s="631"/>
      <c r="E3376" s="633"/>
      <c r="F3376" s="650"/>
    </row>
    <row r="3377" spans="3:6">
      <c r="C3377" s="631"/>
      <c r="D3377" s="631"/>
      <c r="E3377" s="633"/>
      <c r="F3377" s="650"/>
    </row>
    <row r="3378" spans="3:6">
      <c r="C3378" s="631"/>
      <c r="D3378" s="631"/>
      <c r="E3378" s="633"/>
      <c r="F3378" s="650"/>
    </row>
    <row r="3379" spans="3:6">
      <c r="C3379" s="631"/>
      <c r="D3379" s="631"/>
      <c r="E3379" s="633"/>
      <c r="F3379" s="650"/>
    </row>
    <row r="3380" spans="3:6">
      <c r="C3380" s="631"/>
      <c r="D3380" s="631"/>
      <c r="E3380" s="633"/>
      <c r="F3380" s="650"/>
    </row>
    <row r="3381" spans="3:6">
      <c r="C3381" s="631"/>
      <c r="D3381" s="631"/>
      <c r="E3381" s="633"/>
      <c r="F3381" s="650"/>
    </row>
    <row r="3382" spans="3:6">
      <c r="C3382" s="631"/>
      <c r="D3382" s="631"/>
      <c r="E3382" s="633"/>
      <c r="F3382" s="650"/>
    </row>
    <row r="3383" spans="3:6">
      <c r="C3383" s="631"/>
      <c r="D3383" s="631"/>
      <c r="E3383" s="633"/>
      <c r="F3383" s="650"/>
    </row>
    <row r="3384" spans="3:6">
      <c r="C3384" s="631"/>
      <c r="D3384" s="631"/>
      <c r="E3384" s="633"/>
      <c r="F3384" s="650"/>
    </row>
    <row r="3385" spans="3:6">
      <c r="C3385" s="631"/>
      <c r="D3385" s="631"/>
      <c r="E3385" s="633"/>
      <c r="F3385" s="650"/>
    </row>
    <row r="3386" spans="3:6">
      <c r="C3386" s="631"/>
      <c r="D3386" s="631"/>
      <c r="E3386" s="633"/>
      <c r="F3386" s="650"/>
    </row>
    <row r="3387" spans="3:6">
      <c r="C3387" s="631"/>
      <c r="D3387" s="631"/>
      <c r="E3387" s="633"/>
      <c r="F3387" s="650"/>
    </row>
    <row r="3388" spans="3:6">
      <c r="C3388" s="631"/>
      <c r="D3388" s="631"/>
      <c r="E3388" s="633"/>
      <c r="F3388" s="650"/>
    </row>
    <row r="3389" spans="3:6">
      <c r="C3389" s="631"/>
      <c r="D3389" s="631"/>
      <c r="E3389" s="633"/>
      <c r="F3389" s="650"/>
    </row>
    <row r="3390" spans="3:6">
      <c r="C3390" s="631"/>
      <c r="D3390" s="631"/>
      <c r="E3390" s="633"/>
      <c r="F3390" s="650"/>
    </row>
    <row r="3391" spans="3:6">
      <c r="C3391" s="631"/>
      <c r="D3391" s="631"/>
      <c r="E3391" s="633"/>
      <c r="F3391" s="650"/>
    </row>
    <row r="3392" spans="3:6">
      <c r="C3392" s="631"/>
      <c r="D3392" s="631"/>
      <c r="E3392" s="633"/>
      <c r="F3392" s="650"/>
    </row>
    <row r="3393" spans="3:6">
      <c r="C3393" s="631"/>
      <c r="D3393" s="631"/>
      <c r="E3393" s="633"/>
      <c r="F3393" s="650"/>
    </row>
    <row r="3394" spans="3:6">
      <c r="C3394" s="631"/>
      <c r="D3394" s="631"/>
      <c r="E3394" s="633"/>
      <c r="F3394" s="650"/>
    </row>
    <row r="3395" spans="3:6">
      <c r="C3395" s="631"/>
      <c r="D3395" s="631"/>
      <c r="E3395" s="633"/>
      <c r="F3395" s="650"/>
    </row>
    <row r="3396" spans="3:6">
      <c r="C3396" s="631"/>
      <c r="D3396" s="631"/>
      <c r="E3396" s="633"/>
      <c r="F3396" s="650"/>
    </row>
    <row r="3397" spans="3:6">
      <c r="C3397" s="631"/>
      <c r="D3397" s="631"/>
      <c r="E3397" s="633"/>
      <c r="F3397" s="650"/>
    </row>
    <row r="3398" spans="3:6">
      <c r="C3398" s="631"/>
      <c r="D3398" s="631"/>
      <c r="E3398" s="633"/>
      <c r="F3398" s="650"/>
    </row>
    <row r="3399" spans="3:6">
      <c r="C3399" s="631"/>
      <c r="D3399" s="631"/>
      <c r="E3399" s="633"/>
      <c r="F3399" s="650"/>
    </row>
    <row r="3400" spans="3:6">
      <c r="C3400" s="631"/>
      <c r="D3400" s="631"/>
      <c r="E3400" s="633"/>
      <c r="F3400" s="650"/>
    </row>
    <row r="3401" spans="3:6">
      <c r="C3401" s="631"/>
      <c r="D3401" s="631"/>
      <c r="E3401" s="633"/>
      <c r="F3401" s="650"/>
    </row>
    <row r="3402" spans="3:6">
      <c r="C3402" s="631"/>
      <c r="D3402" s="631"/>
      <c r="E3402" s="633"/>
      <c r="F3402" s="650"/>
    </row>
    <row r="3403" spans="3:6">
      <c r="C3403" s="631"/>
      <c r="D3403" s="631"/>
      <c r="E3403" s="633"/>
      <c r="F3403" s="650"/>
    </row>
    <row r="3404" spans="3:6">
      <c r="C3404" s="631"/>
      <c r="D3404" s="631"/>
      <c r="E3404" s="633"/>
      <c r="F3404" s="650"/>
    </row>
    <row r="3405" spans="3:6">
      <c r="C3405" s="631"/>
      <c r="D3405" s="631"/>
      <c r="E3405" s="633"/>
      <c r="F3405" s="650"/>
    </row>
    <row r="3406" spans="3:6">
      <c r="C3406" s="631"/>
      <c r="D3406" s="631"/>
      <c r="E3406" s="633"/>
      <c r="F3406" s="650"/>
    </row>
    <row r="3407" spans="3:6">
      <c r="C3407" s="631"/>
      <c r="D3407" s="631"/>
      <c r="E3407" s="633"/>
      <c r="F3407" s="650"/>
    </row>
    <row r="3408" spans="3:6">
      <c r="C3408" s="631"/>
      <c r="D3408" s="631"/>
      <c r="E3408" s="633"/>
      <c r="F3408" s="650"/>
    </row>
    <row r="3409" spans="3:6">
      <c r="C3409" s="631"/>
      <c r="D3409" s="631"/>
      <c r="E3409" s="633"/>
      <c r="F3409" s="650"/>
    </row>
    <row r="3410" spans="3:6">
      <c r="C3410" s="631"/>
      <c r="D3410" s="631"/>
      <c r="E3410" s="633"/>
      <c r="F3410" s="650"/>
    </row>
    <row r="3411" spans="3:6">
      <c r="C3411" s="631"/>
      <c r="D3411" s="631"/>
      <c r="E3411" s="633"/>
      <c r="F3411" s="650"/>
    </row>
    <row r="3412" spans="3:6">
      <c r="C3412" s="631"/>
      <c r="D3412" s="631"/>
      <c r="E3412" s="633"/>
      <c r="F3412" s="650"/>
    </row>
    <row r="3413" spans="3:6">
      <c r="C3413" s="631"/>
      <c r="D3413" s="631"/>
      <c r="E3413" s="633"/>
      <c r="F3413" s="650"/>
    </row>
    <row r="3414" spans="3:6">
      <c r="C3414" s="631"/>
      <c r="D3414" s="631"/>
      <c r="E3414" s="633"/>
      <c r="F3414" s="650"/>
    </row>
    <row r="3415" spans="3:6">
      <c r="C3415" s="631"/>
      <c r="D3415" s="631"/>
      <c r="E3415" s="633"/>
      <c r="F3415" s="650"/>
    </row>
    <row r="3416" spans="3:6">
      <c r="C3416" s="631"/>
      <c r="D3416" s="631"/>
      <c r="E3416" s="633"/>
      <c r="F3416" s="650"/>
    </row>
    <row r="3417" spans="3:6">
      <c r="C3417" s="631"/>
      <c r="D3417" s="631"/>
      <c r="E3417" s="633"/>
      <c r="F3417" s="650"/>
    </row>
    <row r="3418" spans="3:6">
      <c r="C3418" s="631"/>
      <c r="D3418" s="631"/>
      <c r="E3418" s="633"/>
      <c r="F3418" s="650"/>
    </row>
    <row r="3419" spans="3:6">
      <c r="C3419" s="631"/>
      <c r="D3419" s="631"/>
      <c r="E3419" s="633"/>
      <c r="F3419" s="650"/>
    </row>
    <row r="3420" spans="3:6">
      <c r="C3420" s="631"/>
      <c r="D3420" s="631"/>
      <c r="E3420" s="633"/>
      <c r="F3420" s="650"/>
    </row>
    <row r="3421" spans="3:6">
      <c r="C3421" s="631"/>
      <c r="D3421" s="631"/>
      <c r="E3421" s="633"/>
      <c r="F3421" s="650"/>
    </row>
    <row r="3422" spans="3:6">
      <c r="C3422" s="631"/>
      <c r="D3422" s="631"/>
      <c r="E3422" s="633"/>
      <c r="F3422" s="650"/>
    </row>
    <row r="3423" spans="3:6">
      <c r="C3423" s="631"/>
      <c r="D3423" s="631"/>
      <c r="E3423" s="633"/>
      <c r="F3423" s="650"/>
    </row>
    <row r="3424" spans="3:6">
      <c r="C3424" s="631"/>
      <c r="D3424" s="631"/>
      <c r="E3424" s="633"/>
      <c r="F3424" s="650"/>
    </row>
    <row r="3425" spans="3:6">
      <c r="C3425" s="631"/>
      <c r="D3425" s="631"/>
      <c r="E3425" s="633"/>
      <c r="F3425" s="650"/>
    </row>
    <row r="3426" spans="3:6">
      <c r="C3426" s="631"/>
      <c r="D3426" s="631"/>
      <c r="E3426" s="633"/>
      <c r="F3426" s="650"/>
    </row>
    <row r="3427" spans="3:6">
      <c r="C3427" s="631"/>
      <c r="D3427" s="631"/>
      <c r="E3427" s="633"/>
      <c r="F3427" s="650"/>
    </row>
    <row r="3428" spans="3:6">
      <c r="C3428" s="631"/>
      <c r="D3428" s="631"/>
      <c r="E3428" s="633"/>
      <c r="F3428" s="650"/>
    </row>
    <row r="3429" spans="3:6">
      <c r="C3429" s="631"/>
      <c r="D3429" s="631"/>
      <c r="E3429" s="633"/>
      <c r="F3429" s="650"/>
    </row>
    <row r="3430" spans="3:6">
      <c r="C3430" s="631"/>
      <c r="D3430" s="631"/>
      <c r="E3430" s="633"/>
      <c r="F3430" s="650"/>
    </row>
    <row r="3431" spans="3:6">
      <c r="C3431" s="631"/>
      <c r="D3431" s="631"/>
      <c r="E3431" s="633"/>
      <c r="F3431" s="650"/>
    </row>
    <row r="3432" spans="3:6">
      <c r="C3432" s="631"/>
      <c r="D3432" s="631"/>
      <c r="E3432" s="633"/>
      <c r="F3432" s="650"/>
    </row>
    <row r="3433" spans="3:6">
      <c r="C3433" s="631"/>
      <c r="D3433" s="631"/>
      <c r="E3433" s="633"/>
      <c r="F3433" s="650"/>
    </row>
    <row r="3434" spans="3:6">
      <c r="C3434" s="631"/>
      <c r="D3434" s="631"/>
      <c r="E3434" s="633"/>
      <c r="F3434" s="650"/>
    </row>
    <row r="3435" spans="3:6">
      <c r="C3435" s="631"/>
      <c r="D3435" s="631"/>
      <c r="E3435" s="633"/>
      <c r="F3435" s="650"/>
    </row>
    <row r="3436" spans="3:6">
      <c r="C3436" s="631"/>
      <c r="D3436" s="631"/>
      <c r="E3436" s="633"/>
      <c r="F3436" s="650"/>
    </row>
    <row r="3437" spans="3:6">
      <c r="C3437" s="631"/>
      <c r="D3437" s="631"/>
      <c r="E3437" s="633"/>
      <c r="F3437" s="650"/>
    </row>
    <row r="3438" spans="3:6">
      <c r="C3438" s="631"/>
      <c r="D3438" s="631"/>
      <c r="E3438" s="633"/>
      <c r="F3438" s="650"/>
    </row>
    <row r="3439" spans="3:6">
      <c r="C3439" s="631"/>
      <c r="D3439" s="631"/>
      <c r="E3439" s="633"/>
      <c r="F3439" s="650"/>
    </row>
    <row r="3440" spans="3:6">
      <c r="C3440" s="631"/>
      <c r="D3440" s="631"/>
      <c r="E3440" s="633"/>
      <c r="F3440" s="650"/>
    </row>
    <row r="3441" spans="3:6">
      <c r="C3441" s="631"/>
      <c r="D3441" s="631"/>
      <c r="E3441" s="633"/>
      <c r="F3441" s="650"/>
    </row>
    <row r="3442" spans="3:6">
      <c r="C3442" s="631"/>
      <c r="D3442" s="631"/>
      <c r="E3442" s="633"/>
      <c r="F3442" s="650"/>
    </row>
    <row r="3443" spans="3:6">
      <c r="C3443" s="631"/>
      <c r="D3443" s="631"/>
      <c r="E3443" s="633"/>
      <c r="F3443" s="650"/>
    </row>
    <row r="3444" spans="3:6">
      <c r="C3444" s="631"/>
      <c r="D3444" s="631"/>
      <c r="E3444" s="633"/>
      <c r="F3444" s="650"/>
    </row>
    <row r="3445" spans="3:6">
      <c r="C3445" s="631"/>
      <c r="D3445" s="631"/>
      <c r="E3445" s="633"/>
      <c r="F3445" s="650"/>
    </row>
    <row r="3446" spans="3:6">
      <c r="C3446" s="631"/>
      <c r="D3446" s="631"/>
      <c r="E3446" s="633"/>
      <c r="F3446" s="650"/>
    </row>
    <row r="3447" spans="3:6">
      <c r="C3447" s="631"/>
      <c r="D3447" s="631"/>
      <c r="E3447" s="633"/>
      <c r="F3447" s="650"/>
    </row>
    <row r="3448" spans="3:6">
      <c r="C3448" s="631"/>
      <c r="D3448" s="631"/>
      <c r="E3448" s="633"/>
      <c r="F3448" s="650"/>
    </row>
    <row r="3449" spans="3:6">
      <c r="C3449" s="631"/>
      <c r="D3449" s="631"/>
      <c r="E3449" s="633"/>
      <c r="F3449" s="650"/>
    </row>
    <row r="3450" spans="3:6">
      <c r="C3450" s="631"/>
      <c r="D3450" s="631"/>
      <c r="E3450" s="633"/>
      <c r="F3450" s="650"/>
    </row>
    <row r="3451" spans="3:6">
      <c r="C3451" s="631"/>
      <c r="D3451" s="631"/>
      <c r="E3451" s="633"/>
      <c r="F3451" s="650"/>
    </row>
    <row r="3452" spans="3:6">
      <c r="C3452" s="631"/>
      <c r="D3452" s="631"/>
      <c r="E3452" s="633"/>
      <c r="F3452" s="650"/>
    </row>
    <row r="3453" spans="3:6">
      <c r="C3453" s="631"/>
      <c r="D3453" s="631"/>
      <c r="E3453" s="633"/>
      <c r="F3453" s="650"/>
    </row>
    <row r="3454" spans="3:6">
      <c r="C3454" s="631"/>
      <c r="D3454" s="631"/>
      <c r="E3454" s="633"/>
      <c r="F3454" s="650"/>
    </row>
    <row r="3455" spans="3:6">
      <c r="C3455" s="631"/>
      <c r="D3455" s="631"/>
      <c r="E3455" s="633"/>
      <c r="F3455" s="650"/>
    </row>
    <row r="3456" spans="3:6">
      <c r="C3456" s="631"/>
      <c r="D3456" s="631"/>
      <c r="E3456" s="633"/>
      <c r="F3456" s="650"/>
    </row>
    <row r="3457" spans="3:6">
      <c r="C3457" s="631"/>
      <c r="D3457" s="631"/>
      <c r="E3457" s="633"/>
      <c r="F3457" s="650"/>
    </row>
    <row r="3458" spans="3:6">
      <c r="C3458" s="631"/>
      <c r="D3458" s="631"/>
      <c r="E3458" s="633"/>
      <c r="F3458" s="650"/>
    </row>
    <row r="3459" spans="3:6">
      <c r="C3459" s="631"/>
      <c r="D3459" s="631"/>
      <c r="E3459" s="633"/>
      <c r="F3459" s="650"/>
    </row>
    <row r="3460" spans="3:6">
      <c r="C3460" s="631"/>
      <c r="D3460" s="631"/>
      <c r="E3460" s="633"/>
      <c r="F3460" s="650"/>
    </row>
    <row r="3461" spans="3:6">
      <c r="C3461" s="631"/>
      <c r="D3461" s="631"/>
      <c r="E3461" s="633"/>
      <c r="F3461" s="650"/>
    </row>
    <row r="3462" spans="3:6">
      <c r="C3462" s="631"/>
      <c r="D3462" s="631"/>
      <c r="E3462" s="633"/>
      <c r="F3462" s="650"/>
    </row>
    <row r="3463" spans="3:6">
      <c r="C3463" s="631"/>
      <c r="D3463" s="631"/>
      <c r="E3463" s="633"/>
      <c r="F3463" s="650"/>
    </row>
    <row r="3464" spans="3:6">
      <c r="C3464" s="631"/>
      <c r="D3464" s="631"/>
      <c r="E3464" s="633"/>
      <c r="F3464" s="650"/>
    </row>
    <row r="3465" spans="3:6">
      <c r="C3465" s="631"/>
      <c r="D3465" s="631"/>
      <c r="E3465" s="633"/>
      <c r="F3465" s="650"/>
    </row>
    <row r="3466" spans="3:6">
      <c r="C3466" s="631"/>
      <c r="D3466" s="631"/>
      <c r="E3466" s="633"/>
      <c r="F3466" s="650"/>
    </row>
    <row r="3467" spans="3:6">
      <c r="C3467" s="631"/>
      <c r="D3467" s="631"/>
      <c r="E3467" s="633"/>
      <c r="F3467" s="650"/>
    </row>
    <row r="3468" spans="3:6">
      <c r="C3468" s="631"/>
      <c r="D3468" s="631"/>
      <c r="E3468" s="633"/>
      <c r="F3468" s="650"/>
    </row>
    <row r="3469" spans="3:6">
      <c r="C3469" s="631"/>
      <c r="D3469" s="631"/>
      <c r="E3469" s="633"/>
      <c r="F3469" s="650"/>
    </row>
    <row r="3470" spans="3:6">
      <c r="C3470" s="631"/>
      <c r="D3470" s="631"/>
      <c r="E3470" s="633"/>
      <c r="F3470" s="650"/>
    </row>
    <row r="3471" spans="3:6">
      <c r="C3471" s="631"/>
      <c r="D3471" s="631"/>
      <c r="E3471" s="633"/>
      <c r="F3471" s="650"/>
    </row>
    <row r="3472" spans="3:6">
      <c r="C3472" s="631"/>
      <c r="D3472" s="631"/>
      <c r="E3472" s="633"/>
      <c r="F3472" s="650"/>
    </row>
    <row r="3473" spans="3:6">
      <c r="C3473" s="631"/>
      <c r="D3473" s="631"/>
      <c r="E3473" s="633"/>
      <c r="F3473" s="650"/>
    </row>
    <row r="3474" spans="3:6">
      <c r="C3474" s="631"/>
      <c r="D3474" s="631"/>
      <c r="E3474" s="633"/>
      <c r="F3474" s="650"/>
    </row>
    <row r="3475" spans="3:6">
      <c r="C3475" s="631"/>
      <c r="D3475" s="631"/>
      <c r="E3475" s="633"/>
      <c r="F3475" s="650"/>
    </row>
    <row r="3476" spans="3:6">
      <c r="C3476" s="631"/>
      <c r="D3476" s="631"/>
      <c r="E3476" s="633"/>
      <c r="F3476" s="650"/>
    </row>
    <row r="3477" spans="3:6">
      <c r="C3477" s="631"/>
      <c r="D3477" s="631"/>
      <c r="E3477" s="633"/>
      <c r="F3477" s="650"/>
    </row>
    <row r="3478" spans="3:6">
      <c r="C3478" s="631"/>
      <c r="D3478" s="631"/>
      <c r="E3478" s="633"/>
      <c r="F3478" s="650"/>
    </row>
    <row r="3479" spans="3:6">
      <c r="C3479" s="631"/>
      <c r="D3479" s="631"/>
      <c r="E3479" s="633"/>
      <c r="F3479" s="650"/>
    </row>
    <row r="3480" spans="3:6">
      <c r="C3480" s="631"/>
      <c r="D3480" s="631"/>
      <c r="E3480" s="633"/>
      <c r="F3480" s="650"/>
    </row>
    <row r="3481" spans="3:6">
      <c r="C3481" s="631"/>
      <c r="D3481" s="631"/>
      <c r="E3481" s="633"/>
      <c r="F3481" s="650"/>
    </row>
    <row r="3482" spans="3:6">
      <c r="C3482" s="631"/>
      <c r="D3482" s="631"/>
      <c r="E3482" s="633"/>
      <c r="F3482" s="650"/>
    </row>
    <row r="3483" spans="3:6">
      <c r="C3483" s="631"/>
      <c r="D3483" s="631"/>
      <c r="E3483" s="633"/>
      <c r="F3483" s="650"/>
    </row>
    <row r="3484" spans="3:6">
      <c r="C3484" s="631"/>
      <c r="D3484" s="631"/>
      <c r="E3484" s="633"/>
      <c r="F3484" s="650"/>
    </row>
    <row r="3485" spans="3:6">
      <c r="C3485" s="631"/>
      <c r="D3485" s="631"/>
      <c r="E3485" s="633"/>
      <c r="F3485" s="650"/>
    </row>
    <row r="3486" spans="3:6">
      <c r="C3486" s="631"/>
      <c r="D3486" s="631"/>
      <c r="E3486" s="633"/>
      <c r="F3486" s="650"/>
    </row>
    <row r="3487" spans="3:6">
      <c r="C3487" s="631"/>
      <c r="D3487" s="631"/>
      <c r="E3487" s="633"/>
      <c r="F3487" s="650"/>
    </row>
    <row r="3488" spans="3:6">
      <c r="C3488" s="631"/>
      <c r="D3488" s="631"/>
      <c r="E3488" s="633"/>
      <c r="F3488" s="650"/>
    </row>
    <row r="3489" spans="3:6">
      <c r="C3489" s="631"/>
      <c r="D3489" s="631"/>
      <c r="E3489" s="633"/>
      <c r="F3489" s="650"/>
    </row>
    <row r="3490" spans="3:6">
      <c r="C3490" s="631"/>
      <c r="D3490" s="631"/>
      <c r="E3490" s="633"/>
      <c r="F3490" s="650"/>
    </row>
    <row r="3491" spans="3:6">
      <c r="C3491" s="631"/>
      <c r="D3491" s="631"/>
      <c r="E3491" s="633"/>
      <c r="F3491" s="650"/>
    </row>
    <row r="3492" spans="3:6">
      <c r="C3492" s="631"/>
      <c r="D3492" s="631"/>
      <c r="E3492" s="633"/>
      <c r="F3492" s="650"/>
    </row>
    <row r="3493" spans="3:6">
      <c r="C3493" s="631"/>
      <c r="D3493" s="631"/>
      <c r="E3493" s="633"/>
      <c r="F3493" s="650"/>
    </row>
    <row r="3494" spans="3:6">
      <c r="C3494" s="631"/>
      <c r="D3494" s="631"/>
      <c r="E3494" s="633"/>
      <c r="F3494" s="650"/>
    </row>
    <row r="3495" spans="3:6">
      <c r="C3495" s="631"/>
      <c r="D3495" s="631"/>
      <c r="E3495" s="633"/>
      <c r="F3495" s="650"/>
    </row>
    <row r="3496" spans="3:6">
      <c r="C3496" s="631"/>
      <c r="D3496" s="631"/>
      <c r="E3496" s="633"/>
      <c r="F3496" s="650"/>
    </row>
    <row r="3497" spans="3:6">
      <c r="C3497" s="631"/>
      <c r="D3497" s="631"/>
      <c r="E3497" s="633"/>
      <c r="F3497" s="650"/>
    </row>
    <row r="3498" spans="3:6">
      <c r="C3498" s="631"/>
      <c r="D3498" s="631"/>
      <c r="E3498" s="633"/>
      <c r="F3498" s="650"/>
    </row>
    <row r="3499" spans="3:6">
      <c r="C3499" s="631"/>
      <c r="D3499" s="631"/>
      <c r="E3499" s="633"/>
      <c r="F3499" s="650"/>
    </row>
    <row r="3500" spans="3:6">
      <c r="C3500" s="631"/>
      <c r="D3500" s="631"/>
      <c r="E3500" s="633"/>
      <c r="F3500" s="650"/>
    </row>
    <row r="3501" spans="3:6">
      <c r="C3501" s="631"/>
      <c r="D3501" s="631"/>
      <c r="E3501" s="633"/>
      <c r="F3501" s="650"/>
    </row>
    <row r="3502" spans="3:6">
      <c r="C3502" s="631"/>
      <c r="D3502" s="631"/>
      <c r="E3502" s="633"/>
      <c r="F3502" s="650"/>
    </row>
    <row r="3503" spans="3:6">
      <c r="C3503" s="631"/>
      <c r="D3503" s="631"/>
      <c r="E3503" s="633"/>
      <c r="F3503" s="650"/>
    </row>
    <row r="3504" spans="3:6">
      <c r="C3504" s="631"/>
      <c r="D3504" s="631"/>
      <c r="E3504" s="633"/>
      <c r="F3504" s="650"/>
    </row>
    <row r="3505" spans="3:6">
      <c r="C3505" s="631"/>
      <c r="D3505" s="631"/>
      <c r="E3505" s="633"/>
      <c r="F3505" s="650"/>
    </row>
    <row r="3506" spans="3:6">
      <c r="C3506" s="631"/>
      <c r="D3506" s="631"/>
      <c r="E3506" s="633"/>
      <c r="F3506" s="650"/>
    </row>
    <row r="3507" spans="3:6">
      <c r="C3507" s="631"/>
      <c r="D3507" s="631"/>
      <c r="E3507" s="633"/>
      <c r="F3507" s="650"/>
    </row>
    <row r="3508" spans="3:6">
      <c r="C3508" s="631"/>
      <c r="D3508" s="631"/>
      <c r="E3508" s="633"/>
      <c r="F3508" s="650"/>
    </row>
    <row r="3509" spans="3:6">
      <c r="C3509" s="631"/>
      <c r="D3509" s="631"/>
      <c r="E3509" s="633"/>
      <c r="F3509" s="650"/>
    </row>
    <row r="3510" spans="3:6">
      <c r="C3510" s="631"/>
      <c r="D3510" s="631"/>
      <c r="E3510" s="633"/>
      <c r="F3510" s="650"/>
    </row>
    <row r="3511" spans="3:6">
      <c r="C3511" s="631"/>
      <c r="D3511" s="631"/>
      <c r="E3511" s="633"/>
      <c r="F3511" s="650"/>
    </row>
    <row r="3512" spans="3:6">
      <c r="C3512" s="631"/>
      <c r="D3512" s="631"/>
      <c r="E3512" s="633"/>
      <c r="F3512" s="650"/>
    </row>
    <row r="3513" spans="3:6">
      <c r="C3513" s="631"/>
      <c r="D3513" s="631"/>
      <c r="E3513" s="633"/>
      <c r="F3513" s="650"/>
    </row>
    <row r="3514" spans="3:6">
      <c r="C3514" s="631"/>
      <c r="D3514" s="631"/>
      <c r="E3514" s="633"/>
      <c r="F3514" s="650"/>
    </row>
    <row r="3515" spans="3:6">
      <c r="C3515" s="631"/>
      <c r="D3515" s="631"/>
      <c r="E3515" s="633"/>
      <c r="F3515" s="650"/>
    </row>
    <row r="3516" spans="3:6">
      <c r="C3516" s="631"/>
      <c r="D3516" s="631"/>
      <c r="E3516" s="633"/>
      <c r="F3516" s="650"/>
    </row>
    <row r="3517" spans="3:6">
      <c r="C3517" s="631"/>
      <c r="D3517" s="631"/>
      <c r="E3517" s="633"/>
      <c r="F3517" s="650"/>
    </row>
    <row r="3518" spans="3:6">
      <c r="C3518" s="631"/>
      <c r="D3518" s="631"/>
      <c r="E3518" s="633"/>
      <c r="F3518" s="650"/>
    </row>
    <row r="3519" spans="3:6">
      <c r="C3519" s="631"/>
      <c r="D3519" s="631"/>
      <c r="E3519" s="633"/>
      <c r="F3519" s="650"/>
    </row>
    <row r="3520" spans="3:6">
      <c r="C3520" s="631"/>
      <c r="D3520" s="631"/>
      <c r="E3520" s="633"/>
      <c r="F3520" s="650"/>
    </row>
    <row r="3521" spans="3:6">
      <c r="C3521" s="631"/>
      <c r="D3521" s="631"/>
      <c r="E3521" s="633"/>
      <c r="F3521" s="650"/>
    </row>
    <row r="3522" spans="3:6">
      <c r="C3522" s="631"/>
      <c r="D3522" s="631"/>
      <c r="E3522" s="633"/>
      <c r="F3522" s="650"/>
    </row>
    <row r="3523" spans="3:6">
      <c r="C3523" s="631"/>
      <c r="D3523" s="631"/>
      <c r="E3523" s="633"/>
      <c r="F3523" s="650"/>
    </row>
    <row r="3524" spans="3:6">
      <c r="C3524" s="631"/>
      <c r="D3524" s="631"/>
      <c r="E3524" s="633"/>
      <c r="F3524" s="650"/>
    </row>
    <row r="3525" spans="3:6">
      <c r="C3525" s="631"/>
      <c r="D3525" s="631"/>
      <c r="E3525" s="633"/>
      <c r="F3525" s="650"/>
    </row>
    <row r="3526" spans="3:6">
      <c r="C3526" s="631"/>
      <c r="D3526" s="631"/>
      <c r="E3526" s="633"/>
      <c r="F3526" s="650"/>
    </row>
    <row r="3527" spans="3:6">
      <c r="C3527" s="631"/>
      <c r="D3527" s="631"/>
      <c r="E3527" s="633"/>
      <c r="F3527" s="650"/>
    </row>
    <row r="3528" spans="3:6">
      <c r="C3528" s="631"/>
      <c r="D3528" s="631"/>
      <c r="E3528" s="633"/>
      <c r="F3528" s="650"/>
    </row>
    <row r="3529" spans="3:6">
      <c r="C3529" s="631"/>
      <c r="D3529" s="631"/>
      <c r="E3529" s="633"/>
      <c r="F3529" s="650"/>
    </row>
    <row r="3530" spans="3:6">
      <c r="C3530" s="631"/>
      <c r="D3530" s="631"/>
      <c r="E3530" s="633"/>
      <c r="F3530" s="650"/>
    </row>
    <row r="3531" spans="3:6">
      <c r="C3531" s="631"/>
      <c r="D3531" s="631"/>
      <c r="E3531" s="633"/>
      <c r="F3531" s="650"/>
    </row>
    <row r="3532" spans="3:6">
      <c r="C3532" s="631"/>
      <c r="D3532" s="631"/>
      <c r="E3532" s="633"/>
      <c r="F3532" s="650"/>
    </row>
    <row r="3533" spans="3:6">
      <c r="C3533" s="631"/>
      <c r="D3533" s="631"/>
      <c r="E3533" s="633"/>
      <c r="F3533" s="650"/>
    </row>
    <row r="3534" spans="3:6">
      <c r="C3534" s="631"/>
      <c r="D3534" s="631"/>
      <c r="E3534" s="633"/>
      <c r="F3534" s="650"/>
    </row>
    <row r="3535" spans="3:6">
      <c r="C3535" s="631"/>
      <c r="D3535" s="631"/>
      <c r="E3535" s="633"/>
      <c r="F3535" s="650"/>
    </row>
    <row r="3536" spans="3:6">
      <c r="C3536" s="631"/>
      <c r="D3536" s="631"/>
      <c r="E3536" s="633"/>
      <c r="F3536" s="650"/>
    </row>
    <row r="3537" spans="3:6">
      <c r="C3537" s="631"/>
      <c r="D3537" s="631"/>
      <c r="E3537" s="633"/>
      <c r="F3537" s="650"/>
    </row>
    <row r="3538" spans="3:6">
      <c r="C3538" s="631"/>
      <c r="D3538" s="631"/>
      <c r="E3538" s="633"/>
      <c r="F3538" s="650"/>
    </row>
    <row r="3539" spans="3:6">
      <c r="C3539" s="631"/>
      <c r="D3539" s="631"/>
      <c r="E3539" s="633"/>
      <c r="F3539" s="650"/>
    </row>
    <row r="3540" spans="3:6">
      <c r="C3540" s="631"/>
      <c r="D3540" s="631"/>
      <c r="E3540" s="633"/>
      <c r="F3540" s="650"/>
    </row>
    <row r="3541" spans="3:6">
      <c r="C3541" s="631"/>
      <c r="D3541" s="631"/>
      <c r="E3541" s="633"/>
      <c r="F3541" s="650"/>
    </row>
    <row r="3542" spans="3:6">
      <c r="C3542" s="631"/>
      <c r="D3542" s="631"/>
      <c r="E3542" s="633"/>
      <c r="F3542" s="650"/>
    </row>
    <row r="3543" spans="3:6">
      <c r="C3543" s="631"/>
      <c r="D3543" s="631"/>
      <c r="E3543" s="633"/>
      <c r="F3543" s="650"/>
    </row>
    <row r="3544" spans="3:6">
      <c r="C3544" s="631"/>
      <c r="D3544" s="631"/>
      <c r="E3544" s="633"/>
      <c r="F3544" s="650"/>
    </row>
    <row r="3545" spans="3:6">
      <c r="C3545" s="631"/>
      <c r="D3545" s="631"/>
      <c r="E3545" s="633"/>
      <c r="F3545" s="650"/>
    </row>
    <row r="3546" spans="3:6">
      <c r="C3546" s="631"/>
      <c r="D3546" s="631"/>
      <c r="E3546" s="633"/>
      <c r="F3546" s="650"/>
    </row>
    <row r="3547" spans="3:6">
      <c r="C3547" s="631"/>
      <c r="D3547" s="631"/>
      <c r="E3547" s="633"/>
      <c r="F3547" s="650"/>
    </row>
    <row r="3548" spans="3:6">
      <c r="C3548" s="631"/>
      <c r="D3548" s="631"/>
      <c r="E3548" s="633"/>
      <c r="F3548" s="650"/>
    </row>
    <row r="3549" spans="3:6">
      <c r="C3549" s="631"/>
      <c r="D3549" s="631"/>
      <c r="E3549" s="633"/>
      <c r="F3549" s="650"/>
    </row>
    <row r="3550" spans="3:6">
      <c r="C3550" s="631"/>
      <c r="D3550" s="631"/>
      <c r="E3550" s="633"/>
      <c r="F3550" s="650"/>
    </row>
    <row r="3551" spans="3:6">
      <c r="C3551" s="631"/>
      <c r="D3551" s="631"/>
      <c r="E3551" s="633"/>
      <c r="F3551" s="650"/>
    </row>
    <row r="3552" spans="3:6">
      <c r="C3552" s="631"/>
      <c r="D3552" s="631"/>
      <c r="E3552" s="633"/>
      <c r="F3552" s="650"/>
    </row>
    <row r="3553" spans="3:6">
      <c r="C3553" s="631"/>
      <c r="D3553" s="631"/>
      <c r="E3553" s="633"/>
      <c r="F3553" s="650"/>
    </row>
    <row r="3554" spans="3:6">
      <c r="C3554" s="631"/>
      <c r="D3554" s="631"/>
      <c r="E3554" s="633"/>
      <c r="F3554" s="650"/>
    </row>
    <row r="3555" spans="3:6">
      <c r="C3555" s="631"/>
      <c r="D3555" s="631"/>
      <c r="E3555" s="633"/>
      <c r="F3555" s="650"/>
    </row>
    <row r="3556" spans="3:6">
      <c r="C3556" s="631"/>
      <c r="D3556" s="631"/>
      <c r="E3556" s="633"/>
      <c r="F3556" s="650"/>
    </row>
    <row r="3557" spans="3:6">
      <c r="C3557" s="631"/>
      <c r="D3557" s="631"/>
      <c r="E3557" s="633"/>
      <c r="F3557" s="650"/>
    </row>
    <row r="3558" spans="3:6">
      <c r="C3558" s="631"/>
      <c r="D3558" s="631"/>
      <c r="E3558" s="633"/>
      <c r="F3558" s="650"/>
    </row>
    <row r="3559" spans="3:6">
      <c r="C3559" s="631"/>
      <c r="D3559" s="631"/>
      <c r="E3559" s="633"/>
      <c r="F3559" s="650"/>
    </row>
    <row r="3560" spans="3:6">
      <c r="C3560" s="631"/>
      <c r="D3560" s="631"/>
      <c r="E3560" s="633"/>
      <c r="F3560" s="650"/>
    </row>
    <row r="3561" spans="3:6">
      <c r="C3561" s="631"/>
      <c r="D3561" s="631"/>
      <c r="E3561" s="633"/>
      <c r="F3561" s="650"/>
    </row>
    <row r="3562" spans="3:6">
      <c r="C3562" s="631"/>
      <c r="D3562" s="631"/>
      <c r="E3562" s="633"/>
      <c r="F3562" s="650"/>
    </row>
    <row r="3563" spans="3:6">
      <c r="C3563" s="631"/>
      <c r="D3563" s="631"/>
      <c r="E3563" s="633"/>
      <c r="F3563" s="650"/>
    </row>
    <row r="3564" spans="3:6">
      <c r="C3564" s="631"/>
      <c r="D3564" s="631"/>
      <c r="E3564" s="633"/>
      <c r="F3564" s="650"/>
    </row>
    <row r="3565" spans="3:6">
      <c r="C3565" s="631"/>
      <c r="D3565" s="631"/>
      <c r="E3565" s="633"/>
      <c r="F3565" s="650"/>
    </row>
    <row r="3566" spans="3:6">
      <c r="C3566" s="631"/>
      <c r="D3566" s="631"/>
      <c r="E3566" s="633"/>
      <c r="F3566" s="650"/>
    </row>
    <row r="3567" spans="3:6">
      <c r="C3567" s="631"/>
      <c r="D3567" s="631"/>
      <c r="E3567" s="633"/>
      <c r="F3567" s="650"/>
    </row>
    <row r="3568" spans="3:6">
      <c r="C3568" s="631"/>
      <c r="D3568" s="631"/>
      <c r="E3568" s="633"/>
      <c r="F3568" s="650"/>
    </row>
    <row r="3569" spans="3:6">
      <c r="C3569" s="631"/>
      <c r="D3569" s="631"/>
      <c r="E3569" s="633"/>
      <c r="F3569" s="650"/>
    </row>
    <row r="3570" spans="3:6">
      <c r="C3570" s="631"/>
      <c r="D3570" s="631"/>
      <c r="E3570" s="633"/>
      <c r="F3570" s="650"/>
    </row>
    <row r="3571" spans="3:6">
      <c r="C3571" s="631"/>
      <c r="D3571" s="631"/>
      <c r="E3571" s="633"/>
      <c r="F3571" s="650"/>
    </row>
    <row r="3572" spans="3:6">
      <c r="C3572" s="631"/>
      <c r="D3572" s="631"/>
      <c r="E3572" s="633"/>
      <c r="F3572" s="650"/>
    </row>
    <row r="3573" spans="3:6">
      <c r="C3573" s="631"/>
      <c r="D3573" s="631"/>
      <c r="E3573" s="633"/>
      <c r="F3573" s="650"/>
    </row>
    <row r="3574" spans="3:6">
      <c r="C3574" s="631"/>
      <c r="D3574" s="631"/>
      <c r="E3574" s="633"/>
      <c r="F3574" s="650"/>
    </row>
    <row r="3575" spans="3:6">
      <c r="C3575" s="631"/>
      <c r="D3575" s="631"/>
      <c r="E3575" s="633"/>
      <c r="F3575" s="650"/>
    </row>
    <row r="3576" spans="3:6">
      <c r="C3576" s="631"/>
      <c r="D3576" s="631"/>
      <c r="E3576" s="633"/>
      <c r="F3576" s="650"/>
    </row>
    <row r="3577" spans="3:6">
      <c r="C3577" s="631"/>
      <c r="D3577" s="631"/>
      <c r="E3577" s="633"/>
      <c r="F3577" s="650"/>
    </row>
    <row r="3578" spans="3:6">
      <c r="C3578" s="631"/>
      <c r="D3578" s="631"/>
      <c r="E3578" s="633"/>
      <c r="F3578" s="650"/>
    </row>
    <row r="3579" spans="3:6">
      <c r="C3579" s="631"/>
      <c r="D3579" s="631"/>
      <c r="E3579" s="633"/>
      <c r="F3579" s="650"/>
    </row>
    <row r="3580" spans="3:6">
      <c r="C3580" s="631"/>
      <c r="D3580" s="631"/>
      <c r="E3580" s="633"/>
      <c r="F3580" s="650"/>
    </row>
    <row r="3581" spans="3:6">
      <c r="C3581" s="631"/>
      <c r="D3581" s="631"/>
      <c r="E3581" s="633"/>
      <c r="F3581" s="650"/>
    </row>
    <row r="3582" spans="3:6">
      <c r="C3582" s="631"/>
      <c r="D3582" s="631"/>
      <c r="E3582" s="633"/>
      <c r="F3582" s="650"/>
    </row>
    <row r="3583" spans="3:6">
      <c r="C3583" s="631"/>
      <c r="D3583" s="631"/>
      <c r="E3583" s="633"/>
      <c r="F3583" s="650"/>
    </row>
    <row r="3584" spans="3:6">
      <c r="C3584" s="631"/>
      <c r="D3584" s="631"/>
      <c r="E3584" s="633"/>
      <c r="F3584" s="650"/>
    </row>
    <row r="3585" spans="3:6">
      <c r="C3585" s="631"/>
      <c r="D3585" s="631"/>
      <c r="E3585" s="633"/>
      <c r="F3585" s="650"/>
    </row>
    <row r="3586" spans="3:6">
      <c r="C3586" s="631"/>
      <c r="D3586" s="631"/>
      <c r="E3586" s="633"/>
      <c r="F3586" s="650"/>
    </row>
    <row r="3587" spans="3:6">
      <c r="C3587" s="631"/>
      <c r="D3587" s="631"/>
      <c r="E3587" s="633"/>
      <c r="F3587" s="650"/>
    </row>
    <row r="3588" spans="3:6">
      <c r="C3588" s="631"/>
      <c r="D3588" s="631"/>
      <c r="E3588" s="633"/>
      <c r="F3588" s="650"/>
    </row>
    <row r="3589" spans="3:6">
      <c r="C3589" s="631"/>
      <c r="D3589" s="631"/>
      <c r="E3589" s="633"/>
      <c r="F3589" s="650"/>
    </row>
    <row r="3590" spans="3:6">
      <c r="C3590" s="631"/>
      <c r="D3590" s="631"/>
      <c r="E3590" s="633"/>
      <c r="F3590" s="650"/>
    </row>
    <row r="3591" spans="3:6">
      <c r="C3591" s="631"/>
      <c r="D3591" s="631"/>
      <c r="E3591" s="633"/>
      <c r="F3591" s="650"/>
    </row>
    <row r="3592" spans="3:6">
      <c r="C3592" s="631"/>
      <c r="D3592" s="631"/>
      <c r="E3592" s="633"/>
      <c r="F3592" s="650"/>
    </row>
    <row r="3593" spans="3:6">
      <c r="C3593" s="631"/>
      <c r="D3593" s="631"/>
      <c r="E3593" s="633"/>
      <c r="F3593" s="650"/>
    </row>
    <row r="3594" spans="3:6">
      <c r="C3594" s="631"/>
      <c r="D3594" s="631"/>
      <c r="E3594" s="633"/>
      <c r="F3594" s="650"/>
    </row>
    <row r="3595" spans="3:6">
      <c r="C3595" s="631"/>
      <c r="D3595" s="631"/>
      <c r="E3595" s="633"/>
      <c r="F3595" s="650"/>
    </row>
    <row r="3596" spans="3:6">
      <c r="C3596" s="631"/>
      <c r="D3596" s="631"/>
      <c r="E3596" s="633"/>
      <c r="F3596" s="650"/>
    </row>
    <row r="3597" spans="3:6">
      <c r="C3597" s="631"/>
      <c r="D3597" s="631"/>
      <c r="E3597" s="633"/>
      <c r="F3597" s="650"/>
    </row>
    <row r="3598" spans="3:6">
      <c r="C3598" s="631"/>
      <c r="D3598" s="631"/>
      <c r="E3598" s="633"/>
      <c r="F3598" s="650"/>
    </row>
    <row r="3599" spans="3:6">
      <c r="C3599" s="631"/>
      <c r="D3599" s="631"/>
      <c r="E3599" s="633"/>
      <c r="F3599" s="650"/>
    </row>
    <row r="3600" spans="3:6">
      <c r="C3600" s="631"/>
      <c r="D3600" s="631"/>
      <c r="E3600" s="633"/>
      <c r="F3600" s="650"/>
    </row>
    <row r="3601" spans="3:6">
      <c r="C3601" s="631"/>
      <c r="D3601" s="631"/>
      <c r="E3601" s="633"/>
      <c r="F3601" s="650"/>
    </row>
    <row r="3602" spans="3:6">
      <c r="C3602" s="631"/>
      <c r="D3602" s="631"/>
      <c r="E3602" s="633"/>
      <c r="F3602" s="650"/>
    </row>
    <row r="3603" spans="3:6">
      <c r="C3603" s="631"/>
      <c r="D3603" s="631"/>
      <c r="E3603" s="633"/>
      <c r="F3603" s="650"/>
    </row>
    <row r="3604" spans="3:6">
      <c r="C3604" s="631"/>
      <c r="D3604" s="631"/>
      <c r="E3604" s="633"/>
      <c r="F3604" s="650"/>
    </row>
    <row r="3605" spans="3:6">
      <c r="C3605" s="631"/>
      <c r="D3605" s="631"/>
      <c r="E3605" s="633"/>
      <c r="F3605" s="650"/>
    </row>
    <row r="3606" spans="3:6">
      <c r="C3606" s="631"/>
      <c r="D3606" s="631"/>
      <c r="E3606" s="633"/>
      <c r="F3606" s="650"/>
    </row>
    <row r="3607" spans="3:6">
      <c r="C3607" s="631"/>
      <c r="D3607" s="631"/>
      <c r="E3607" s="633"/>
      <c r="F3607" s="650"/>
    </row>
    <row r="3608" spans="3:6">
      <c r="C3608" s="631"/>
      <c r="D3608" s="631"/>
      <c r="E3608" s="633"/>
      <c r="F3608" s="650"/>
    </row>
    <row r="3609" spans="3:6">
      <c r="C3609" s="631"/>
      <c r="D3609" s="631"/>
      <c r="E3609" s="633"/>
      <c r="F3609" s="650"/>
    </row>
    <row r="3610" spans="3:6">
      <c r="C3610" s="631"/>
      <c r="D3610" s="631"/>
      <c r="E3610" s="633"/>
      <c r="F3610" s="650"/>
    </row>
    <row r="3611" spans="3:6">
      <c r="C3611" s="631"/>
      <c r="D3611" s="631"/>
      <c r="E3611" s="633"/>
      <c r="F3611" s="650"/>
    </row>
    <row r="3612" spans="3:6">
      <c r="C3612" s="631"/>
      <c r="D3612" s="631"/>
      <c r="E3612" s="633"/>
      <c r="F3612" s="650"/>
    </row>
    <row r="3613" spans="3:6">
      <c r="C3613" s="631"/>
      <c r="D3613" s="631"/>
      <c r="E3613" s="633"/>
      <c r="F3613" s="650"/>
    </row>
    <row r="3614" spans="3:6">
      <c r="C3614" s="631"/>
      <c r="D3614" s="631"/>
      <c r="E3614" s="633"/>
      <c r="F3614" s="650"/>
    </row>
    <row r="3615" spans="3:6">
      <c r="C3615" s="631"/>
      <c r="D3615" s="631"/>
      <c r="E3615" s="633"/>
      <c r="F3615" s="650"/>
    </row>
    <row r="3616" spans="3:6">
      <c r="C3616" s="631"/>
      <c r="D3616" s="631"/>
      <c r="E3616" s="633"/>
      <c r="F3616" s="650"/>
    </row>
    <row r="3617" spans="3:6">
      <c r="C3617" s="631"/>
      <c r="D3617" s="631"/>
      <c r="E3617" s="633"/>
      <c r="F3617" s="650"/>
    </row>
    <row r="3618" spans="3:6">
      <c r="C3618" s="631"/>
      <c r="D3618" s="631"/>
      <c r="E3618" s="633"/>
      <c r="F3618" s="650"/>
    </row>
    <row r="3619" spans="3:6">
      <c r="C3619" s="631"/>
      <c r="D3619" s="631"/>
      <c r="E3619" s="633"/>
      <c r="F3619" s="650"/>
    </row>
    <row r="3620" spans="3:6">
      <c r="C3620" s="631"/>
      <c r="D3620" s="631"/>
      <c r="E3620" s="633"/>
      <c r="F3620" s="650"/>
    </row>
    <row r="3621" spans="3:6">
      <c r="C3621" s="631"/>
      <c r="D3621" s="631"/>
      <c r="E3621" s="633"/>
      <c r="F3621" s="650"/>
    </row>
    <row r="3622" spans="3:6">
      <c r="C3622" s="631"/>
      <c r="D3622" s="631"/>
      <c r="E3622" s="633"/>
      <c r="F3622" s="650"/>
    </row>
    <row r="3623" spans="3:6">
      <c r="C3623" s="631"/>
      <c r="D3623" s="631"/>
      <c r="E3623" s="633"/>
      <c r="F3623" s="650"/>
    </row>
    <row r="3624" spans="3:6">
      <c r="C3624" s="631"/>
      <c r="D3624" s="631"/>
      <c r="E3624" s="633"/>
      <c r="F3624" s="650"/>
    </row>
    <row r="3625" spans="3:6">
      <c r="C3625" s="631"/>
      <c r="D3625" s="631"/>
      <c r="E3625" s="633"/>
      <c r="F3625" s="650"/>
    </row>
    <row r="3626" spans="3:6">
      <c r="C3626" s="631"/>
      <c r="D3626" s="631"/>
      <c r="E3626" s="633"/>
      <c r="F3626" s="650"/>
    </row>
    <row r="3627" spans="3:6">
      <c r="C3627" s="631"/>
      <c r="D3627" s="631"/>
      <c r="E3627" s="633"/>
      <c r="F3627" s="650"/>
    </row>
    <row r="3628" spans="3:6">
      <c r="C3628" s="631"/>
      <c r="D3628" s="631"/>
      <c r="E3628" s="633"/>
      <c r="F3628" s="650"/>
    </row>
    <row r="3629" spans="3:6">
      <c r="C3629" s="631"/>
      <c r="D3629" s="631"/>
      <c r="E3629" s="633"/>
      <c r="F3629" s="650"/>
    </row>
    <row r="3630" spans="3:6">
      <c r="C3630" s="631"/>
      <c r="D3630" s="631"/>
      <c r="E3630" s="633"/>
      <c r="F3630" s="650"/>
    </row>
    <row r="3631" spans="3:6">
      <c r="C3631" s="631"/>
      <c r="D3631" s="631"/>
      <c r="E3631" s="633"/>
      <c r="F3631" s="650"/>
    </row>
    <row r="3632" spans="3:6">
      <c r="C3632" s="631"/>
      <c r="D3632" s="631"/>
      <c r="E3632" s="633"/>
      <c r="F3632" s="650"/>
    </row>
    <row r="3633" spans="3:6">
      <c r="C3633" s="631"/>
      <c r="D3633" s="631"/>
      <c r="E3633" s="633"/>
      <c r="F3633" s="650"/>
    </row>
    <row r="3634" spans="3:6">
      <c r="C3634" s="631"/>
      <c r="D3634" s="631"/>
      <c r="E3634" s="633"/>
      <c r="F3634" s="650"/>
    </row>
    <row r="3635" spans="3:6">
      <c r="C3635" s="631"/>
      <c r="D3635" s="631"/>
      <c r="E3635" s="633"/>
      <c r="F3635" s="650"/>
    </row>
    <row r="3636" spans="3:6">
      <c r="C3636" s="631"/>
      <c r="D3636" s="631"/>
      <c r="E3636" s="633"/>
      <c r="F3636" s="650"/>
    </row>
    <row r="3637" spans="3:6">
      <c r="C3637" s="631"/>
      <c r="D3637" s="631"/>
      <c r="E3637" s="633"/>
      <c r="F3637" s="650"/>
    </row>
    <row r="3638" spans="3:6">
      <c r="C3638" s="631"/>
      <c r="D3638" s="631"/>
      <c r="E3638" s="633"/>
      <c r="F3638" s="650"/>
    </row>
    <row r="3639" spans="3:6">
      <c r="C3639" s="631"/>
      <c r="D3639" s="631"/>
      <c r="E3639" s="633"/>
      <c r="F3639" s="650"/>
    </row>
    <row r="3640" spans="3:6">
      <c r="C3640" s="631"/>
      <c r="D3640" s="631"/>
      <c r="E3640" s="633"/>
      <c r="F3640" s="650"/>
    </row>
    <row r="3641" spans="3:6">
      <c r="C3641" s="631"/>
      <c r="D3641" s="631"/>
      <c r="E3641" s="633"/>
      <c r="F3641" s="650"/>
    </row>
    <row r="3642" spans="3:6">
      <c r="C3642" s="631"/>
      <c r="D3642" s="631"/>
      <c r="E3642" s="633"/>
      <c r="F3642" s="650"/>
    </row>
    <row r="3643" spans="3:6">
      <c r="C3643" s="631"/>
      <c r="D3643" s="631"/>
      <c r="E3643" s="633"/>
      <c r="F3643" s="650"/>
    </row>
    <row r="3644" spans="3:6">
      <c r="C3644" s="631"/>
      <c r="D3644" s="631"/>
      <c r="E3644" s="633"/>
      <c r="F3644" s="650"/>
    </row>
    <row r="3645" spans="3:6">
      <c r="C3645" s="631"/>
      <c r="D3645" s="631"/>
      <c r="E3645" s="633"/>
      <c r="F3645" s="650"/>
    </row>
    <row r="3646" spans="3:6">
      <c r="C3646" s="631"/>
      <c r="D3646" s="631"/>
      <c r="E3646" s="633"/>
      <c r="F3646" s="650"/>
    </row>
    <row r="3647" spans="3:6">
      <c r="C3647" s="631"/>
      <c r="D3647" s="631"/>
      <c r="E3647" s="633"/>
      <c r="F3647" s="650"/>
    </row>
    <row r="3648" spans="3:6">
      <c r="C3648" s="631"/>
      <c r="D3648" s="631"/>
      <c r="E3648" s="633"/>
      <c r="F3648" s="650"/>
    </row>
    <row r="3649" spans="3:6">
      <c r="C3649" s="631"/>
      <c r="D3649" s="631"/>
      <c r="E3649" s="633"/>
      <c r="F3649" s="650"/>
    </row>
    <row r="3650" spans="3:6">
      <c r="C3650" s="631"/>
      <c r="D3650" s="631"/>
      <c r="E3650" s="633"/>
      <c r="F3650" s="650"/>
    </row>
    <row r="3651" spans="3:6">
      <c r="C3651" s="631"/>
      <c r="D3651" s="631"/>
      <c r="E3651" s="633"/>
      <c r="F3651" s="650"/>
    </row>
    <row r="3652" spans="3:6">
      <c r="C3652" s="631"/>
      <c r="D3652" s="631"/>
      <c r="E3652" s="633"/>
      <c r="F3652" s="650"/>
    </row>
    <row r="3653" spans="3:6">
      <c r="C3653" s="631"/>
      <c r="D3653" s="631"/>
      <c r="E3653" s="633"/>
      <c r="F3653" s="650"/>
    </row>
    <row r="3654" spans="3:6">
      <c r="C3654" s="631"/>
      <c r="D3654" s="631"/>
      <c r="E3654" s="633"/>
      <c r="F3654" s="650"/>
    </row>
    <row r="3655" spans="3:6">
      <c r="C3655" s="631"/>
      <c r="D3655" s="631"/>
      <c r="E3655" s="633"/>
      <c r="F3655" s="650"/>
    </row>
    <row r="3656" spans="3:6">
      <c r="C3656" s="631"/>
      <c r="D3656" s="631"/>
      <c r="E3656" s="633"/>
      <c r="F3656" s="650"/>
    </row>
    <row r="3657" spans="3:6">
      <c r="C3657" s="631"/>
      <c r="D3657" s="631"/>
      <c r="E3657" s="633"/>
      <c r="F3657" s="650"/>
    </row>
    <row r="3658" spans="3:6">
      <c r="C3658" s="631"/>
      <c r="D3658" s="631"/>
      <c r="E3658" s="633"/>
      <c r="F3658" s="650"/>
    </row>
    <row r="3659" spans="3:6">
      <c r="C3659" s="631"/>
      <c r="D3659" s="631"/>
      <c r="E3659" s="633"/>
      <c r="F3659" s="650"/>
    </row>
    <row r="3660" spans="3:6">
      <c r="C3660" s="631"/>
      <c r="D3660" s="631"/>
      <c r="E3660" s="633"/>
      <c r="F3660" s="650"/>
    </row>
    <row r="3661" spans="3:6">
      <c r="C3661" s="631"/>
      <c r="D3661" s="631"/>
      <c r="E3661" s="633"/>
      <c r="F3661" s="650"/>
    </row>
    <row r="3662" spans="3:6">
      <c r="C3662" s="631"/>
      <c r="D3662" s="631"/>
      <c r="E3662" s="633"/>
      <c r="F3662" s="650"/>
    </row>
    <row r="3663" spans="3:6">
      <c r="C3663" s="631"/>
      <c r="D3663" s="631"/>
      <c r="E3663" s="633"/>
      <c r="F3663" s="650"/>
    </row>
    <row r="3664" spans="3:6">
      <c r="C3664" s="631"/>
      <c r="D3664" s="631"/>
      <c r="E3664" s="633"/>
      <c r="F3664" s="650"/>
    </row>
    <row r="3665" spans="3:6">
      <c r="C3665" s="631"/>
      <c r="D3665" s="631"/>
      <c r="E3665" s="633"/>
      <c r="F3665" s="650"/>
    </row>
    <row r="3666" spans="3:6">
      <c r="C3666" s="631"/>
      <c r="D3666" s="631"/>
      <c r="E3666" s="633"/>
      <c r="F3666" s="650"/>
    </row>
    <row r="3667" spans="3:6">
      <c r="C3667" s="631"/>
      <c r="D3667" s="631"/>
      <c r="E3667" s="633"/>
      <c r="F3667" s="650"/>
    </row>
    <row r="3668" spans="3:6">
      <c r="C3668" s="631"/>
      <c r="D3668" s="631"/>
      <c r="E3668" s="633"/>
      <c r="F3668" s="650"/>
    </row>
    <row r="3669" spans="3:6">
      <c r="C3669" s="631"/>
      <c r="D3669" s="631"/>
      <c r="E3669" s="633"/>
      <c r="F3669" s="650"/>
    </row>
    <row r="3670" spans="3:6">
      <c r="C3670" s="631"/>
      <c r="D3670" s="631"/>
      <c r="E3670" s="633"/>
      <c r="F3670" s="650"/>
    </row>
    <row r="3671" spans="3:6">
      <c r="C3671" s="631"/>
      <c r="D3671" s="631"/>
      <c r="E3671" s="633"/>
      <c r="F3671" s="650"/>
    </row>
    <row r="3672" spans="3:6">
      <c r="C3672" s="631"/>
      <c r="D3672" s="631"/>
      <c r="E3672" s="633"/>
      <c r="F3672" s="650"/>
    </row>
    <row r="3673" spans="3:6">
      <c r="C3673" s="631"/>
      <c r="D3673" s="631"/>
      <c r="E3673" s="633"/>
      <c r="F3673" s="650"/>
    </row>
    <row r="3674" spans="3:6">
      <c r="C3674" s="631"/>
      <c r="D3674" s="631"/>
      <c r="E3674" s="633"/>
      <c r="F3674" s="650"/>
    </row>
    <row r="3675" spans="3:6">
      <c r="C3675" s="631"/>
      <c r="D3675" s="631"/>
      <c r="E3675" s="633"/>
      <c r="F3675" s="650"/>
    </row>
    <row r="3676" spans="3:6">
      <c r="C3676" s="631"/>
      <c r="D3676" s="631"/>
      <c r="E3676" s="633"/>
      <c r="F3676" s="650"/>
    </row>
    <row r="3677" spans="3:6">
      <c r="C3677" s="631"/>
      <c r="D3677" s="631"/>
      <c r="E3677" s="633"/>
      <c r="F3677" s="650"/>
    </row>
    <row r="3678" spans="3:6">
      <c r="C3678" s="631"/>
      <c r="D3678" s="631"/>
      <c r="E3678" s="633"/>
      <c r="F3678" s="650"/>
    </row>
    <row r="3679" spans="3:6">
      <c r="C3679" s="631"/>
      <c r="D3679" s="631"/>
      <c r="E3679" s="633"/>
      <c r="F3679" s="650"/>
    </row>
    <row r="3680" spans="3:6">
      <c r="C3680" s="631"/>
      <c r="D3680" s="631"/>
      <c r="E3680" s="633"/>
      <c r="F3680" s="650"/>
    </row>
    <row r="3681" spans="3:6">
      <c r="C3681" s="631"/>
      <c r="D3681" s="631"/>
      <c r="E3681" s="633"/>
      <c r="F3681" s="650"/>
    </row>
    <row r="3682" spans="3:6">
      <c r="C3682" s="631"/>
      <c r="D3682" s="631"/>
      <c r="E3682" s="633"/>
      <c r="F3682" s="650"/>
    </row>
    <row r="3683" spans="3:6">
      <c r="C3683" s="631"/>
      <c r="D3683" s="631"/>
      <c r="E3683" s="633"/>
      <c r="F3683" s="650"/>
    </row>
    <row r="3684" spans="3:6">
      <c r="C3684" s="631"/>
      <c r="D3684" s="631"/>
      <c r="E3684" s="633"/>
      <c r="F3684" s="650"/>
    </row>
    <row r="3685" spans="3:6">
      <c r="C3685" s="631"/>
      <c r="D3685" s="631"/>
      <c r="E3685" s="633"/>
      <c r="F3685" s="650"/>
    </row>
    <row r="3686" spans="3:6">
      <c r="C3686" s="631"/>
      <c r="D3686" s="631"/>
      <c r="E3686" s="633"/>
      <c r="F3686" s="650"/>
    </row>
    <row r="3687" spans="3:6">
      <c r="C3687" s="631"/>
      <c r="D3687" s="631"/>
      <c r="E3687" s="633"/>
      <c r="F3687" s="650"/>
    </row>
    <row r="3688" spans="3:6">
      <c r="C3688" s="631"/>
      <c r="D3688" s="631"/>
      <c r="E3688" s="633"/>
      <c r="F3688" s="650"/>
    </row>
    <row r="3689" spans="3:6">
      <c r="C3689" s="631"/>
      <c r="D3689" s="631"/>
      <c r="E3689" s="633"/>
      <c r="F3689" s="650"/>
    </row>
    <row r="3690" spans="3:6">
      <c r="C3690" s="631"/>
      <c r="D3690" s="631"/>
      <c r="E3690" s="633"/>
      <c r="F3690" s="650"/>
    </row>
    <row r="3691" spans="3:6">
      <c r="C3691" s="631"/>
      <c r="D3691" s="631"/>
      <c r="E3691" s="633"/>
      <c r="F3691" s="650"/>
    </row>
    <row r="3692" spans="3:6">
      <c r="C3692" s="631"/>
      <c r="D3692" s="631"/>
      <c r="E3692" s="633"/>
      <c r="F3692" s="650"/>
    </row>
    <row r="3693" spans="3:6">
      <c r="C3693" s="631"/>
      <c r="D3693" s="631"/>
      <c r="E3693" s="633"/>
      <c r="F3693" s="650"/>
    </row>
    <row r="3694" spans="3:6">
      <c r="C3694" s="631"/>
      <c r="D3694" s="631"/>
      <c r="E3694" s="633"/>
      <c r="F3694" s="650"/>
    </row>
    <row r="3695" spans="3:6">
      <c r="C3695" s="631"/>
      <c r="D3695" s="631"/>
      <c r="E3695" s="633"/>
      <c r="F3695" s="650"/>
    </row>
    <row r="3696" spans="3:6">
      <c r="C3696" s="631"/>
      <c r="D3696" s="631"/>
      <c r="E3696" s="633"/>
      <c r="F3696" s="650"/>
    </row>
    <row r="3697" spans="3:6">
      <c r="C3697" s="631"/>
      <c r="D3697" s="631"/>
      <c r="E3697" s="633"/>
      <c r="F3697" s="650"/>
    </row>
    <row r="3698" spans="3:6">
      <c r="C3698" s="631"/>
      <c r="D3698" s="631"/>
      <c r="E3698" s="633"/>
      <c r="F3698" s="650"/>
    </row>
    <row r="3699" spans="3:6">
      <c r="C3699" s="631"/>
      <c r="D3699" s="631"/>
      <c r="E3699" s="633"/>
      <c r="F3699" s="650"/>
    </row>
    <row r="3700" spans="3:6">
      <c r="C3700" s="631"/>
      <c r="D3700" s="631"/>
      <c r="E3700" s="633"/>
      <c r="F3700" s="650"/>
    </row>
    <row r="3701" spans="3:6">
      <c r="C3701" s="631"/>
      <c r="D3701" s="631"/>
      <c r="E3701" s="633"/>
      <c r="F3701" s="650"/>
    </row>
    <row r="3702" spans="3:6">
      <c r="C3702" s="631"/>
      <c r="D3702" s="631"/>
      <c r="E3702" s="633"/>
      <c r="F3702" s="650"/>
    </row>
    <row r="3703" spans="3:6">
      <c r="C3703" s="631"/>
      <c r="D3703" s="631"/>
      <c r="E3703" s="633"/>
      <c r="F3703" s="650"/>
    </row>
    <row r="3704" spans="3:6">
      <c r="C3704" s="631"/>
      <c r="D3704" s="631"/>
      <c r="E3704" s="633"/>
      <c r="F3704" s="650"/>
    </row>
    <row r="3705" spans="3:6">
      <c r="C3705" s="631"/>
      <c r="D3705" s="631"/>
      <c r="E3705" s="633"/>
      <c r="F3705" s="650"/>
    </row>
    <row r="3706" spans="3:6">
      <c r="C3706" s="631"/>
      <c r="D3706" s="631"/>
      <c r="E3706" s="633"/>
      <c r="F3706" s="650"/>
    </row>
    <row r="3707" spans="3:6">
      <c r="C3707" s="631"/>
      <c r="D3707" s="631"/>
      <c r="E3707" s="633"/>
      <c r="F3707" s="650"/>
    </row>
    <row r="3708" spans="3:6">
      <c r="C3708" s="631"/>
      <c r="D3708" s="631"/>
      <c r="E3708" s="633"/>
      <c r="F3708" s="650"/>
    </row>
    <row r="3709" spans="3:6">
      <c r="C3709" s="631"/>
      <c r="D3709" s="631"/>
      <c r="E3709" s="633"/>
      <c r="F3709" s="650"/>
    </row>
    <row r="3710" spans="3:6">
      <c r="C3710" s="631"/>
      <c r="D3710" s="631"/>
      <c r="E3710" s="633"/>
      <c r="F3710" s="650"/>
    </row>
    <row r="3711" spans="3:6">
      <c r="C3711" s="631"/>
      <c r="D3711" s="631"/>
      <c r="E3711" s="633"/>
      <c r="F3711" s="650"/>
    </row>
    <row r="3712" spans="3:6">
      <c r="C3712" s="631"/>
      <c r="D3712" s="631"/>
      <c r="E3712" s="633"/>
      <c r="F3712" s="650"/>
    </row>
    <row r="3713" spans="3:6">
      <c r="C3713" s="631"/>
      <c r="D3713" s="631"/>
      <c r="E3713" s="633"/>
      <c r="F3713" s="650"/>
    </row>
    <row r="3714" spans="3:6">
      <c r="C3714" s="631"/>
      <c r="D3714" s="631"/>
      <c r="E3714" s="633"/>
      <c r="F3714" s="650"/>
    </row>
    <row r="3715" spans="3:6">
      <c r="C3715" s="631"/>
      <c r="D3715" s="631"/>
      <c r="E3715" s="633"/>
      <c r="F3715" s="650"/>
    </row>
    <row r="3716" spans="3:6">
      <c r="C3716" s="631"/>
      <c r="D3716" s="631"/>
      <c r="E3716" s="633"/>
      <c r="F3716" s="650"/>
    </row>
    <row r="3717" spans="3:6">
      <c r="C3717" s="631"/>
      <c r="D3717" s="631"/>
      <c r="E3717" s="633"/>
      <c r="F3717" s="650"/>
    </row>
    <row r="3718" spans="3:6">
      <c r="C3718" s="631"/>
      <c r="D3718" s="631"/>
      <c r="E3718" s="633"/>
      <c r="F3718" s="650"/>
    </row>
    <row r="3719" spans="3:6">
      <c r="C3719" s="631"/>
      <c r="D3719" s="631"/>
      <c r="E3719" s="633"/>
      <c r="F3719" s="650"/>
    </row>
    <row r="3720" spans="3:6">
      <c r="C3720" s="631"/>
      <c r="D3720" s="631"/>
      <c r="E3720" s="633"/>
      <c r="F3720" s="650"/>
    </row>
    <row r="3721" spans="3:6">
      <c r="C3721" s="631"/>
      <c r="D3721" s="631"/>
      <c r="E3721" s="633"/>
      <c r="F3721" s="650"/>
    </row>
    <row r="3722" spans="3:6">
      <c r="C3722" s="631"/>
      <c r="D3722" s="631"/>
      <c r="E3722" s="633"/>
      <c r="F3722" s="650"/>
    </row>
    <row r="3723" spans="3:6">
      <c r="C3723" s="631"/>
      <c r="D3723" s="631"/>
      <c r="E3723" s="633"/>
      <c r="F3723" s="650"/>
    </row>
    <row r="3724" spans="3:6">
      <c r="C3724" s="631"/>
      <c r="D3724" s="631"/>
      <c r="E3724" s="633"/>
      <c r="F3724" s="650"/>
    </row>
    <row r="3725" spans="3:6">
      <c r="C3725" s="631"/>
      <c r="D3725" s="631"/>
      <c r="E3725" s="633"/>
      <c r="F3725" s="650"/>
    </row>
    <row r="3726" spans="3:6">
      <c r="C3726" s="631"/>
      <c r="D3726" s="631"/>
      <c r="E3726" s="633"/>
      <c r="F3726" s="650"/>
    </row>
    <row r="3727" spans="3:6">
      <c r="C3727" s="631"/>
      <c r="D3727" s="631"/>
      <c r="E3727" s="633"/>
      <c r="F3727" s="650"/>
    </row>
    <row r="3728" spans="3:6">
      <c r="C3728" s="631"/>
      <c r="D3728" s="631"/>
      <c r="E3728" s="633"/>
      <c r="F3728" s="650"/>
    </row>
    <row r="3729" spans="3:6">
      <c r="C3729" s="631"/>
      <c r="D3729" s="631"/>
      <c r="E3729" s="633"/>
      <c r="F3729" s="650"/>
    </row>
    <row r="3730" spans="3:6">
      <c r="C3730" s="631"/>
      <c r="D3730" s="631"/>
      <c r="E3730" s="633"/>
      <c r="F3730" s="650"/>
    </row>
    <row r="3731" spans="3:6">
      <c r="C3731" s="631"/>
      <c r="D3731" s="631"/>
      <c r="E3731" s="633"/>
      <c r="F3731" s="650"/>
    </row>
    <row r="3732" spans="3:6">
      <c r="C3732" s="631"/>
      <c r="D3732" s="631"/>
      <c r="E3732" s="633"/>
      <c r="F3732" s="650"/>
    </row>
    <row r="3733" spans="3:6">
      <c r="C3733" s="631"/>
      <c r="D3733" s="631"/>
      <c r="E3733" s="633"/>
      <c r="F3733" s="650"/>
    </row>
    <row r="3734" spans="3:6">
      <c r="C3734" s="631"/>
      <c r="D3734" s="631"/>
      <c r="E3734" s="633"/>
      <c r="F3734" s="650"/>
    </row>
    <row r="3735" spans="3:6">
      <c r="C3735" s="631"/>
      <c r="D3735" s="631"/>
      <c r="E3735" s="633"/>
      <c r="F3735" s="650"/>
    </row>
    <row r="3736" spans="3:6">
      <c r="C3736" s="631"/>
      <c r="D3736" s="631"/>
      <c r="E3736" s="633"/>
      <c r="F3736" s="650"/>
    </row>
    <row r="3737" spans="3:6">
      <c r="C3737" s="631"/>
      <c r="D3737" s="631"/>
      <c r="E3737" s="633"/>
      <c r="F3737" s="650"/>
    </row>
    <row r="3738" spans="3:6">
      <c r="C3738" s="631"/>
      <c r="D3738" s="631"/>
      <c r="E3738" s="633"/>
      <c r="F3738" s="650"/>
    </row>
    <row r="3739" spans="3:6">
      <c r="C3739" s="631"/>
      <c r="D3739" s="631"/>
      <c r="E3739" s="633"/>
      <c r="F3739" s="650"/>
    </row>
    <row r="3740" spans="3:6">
      <c r="C3740" s="631"/>
      <c r="D3740" s="631"/>
      <c r="E3740" s="633"/>
      <c r="F3740" s="650"/>
    </row>
    <row r="3741" spans="3:6">
      <c r="C3741" s="631"/>
      <c r="D3741" s="631"/>
      <c r="E3741" s="633"/>
      <c r="F3741" s="650"/>
    </row>
    <row r="3742" spans="3:6">
      <c r="C3742" s="631"/>
      <c r="D3742" s="631"/>
      <c r="E3742" s="633"/>
      <c r="F3742" s="650"/>
    </row>
    <row r="3743" spans="3:6">
      <c r="C3743" s="631"/>
      <c r="D3743" s="631"/>
      <c r="E3743" s="633"/>
      <c r="F3743" s="650"/>
    </row>
    <row r="3744" spans="3:6">
      <c r="C3744" s="631"/>
      <c r="D3744" s="631"/>
      <c r="E3744" s="633"/>
      <c r="F3744" s="650"/>
    </row>
    <row r="3745" spans="3:6">
      <c r="C3745" s="631"/>
      <c r="D3745" s="631"/>
      <c r="E3745" s="633"/>
      <c r="F3745" s="650"/>
    </row>
    <row r="3746" spans="3:6">
      <c r="C3746" s="631"/>
      <c r="D3746" s="631"/>
      <c r="E3746" s="633"/>
      <c r="F3746" s="650"/>
    </row>
    <row r="3747" spans="3:6">
      <c r="C3747" s="631"/>
      <c r="D3747" s="631"/>
      <c r="E3747" s="633"/>
      <c r="F3747" s="650"/>
    </row>
    <row r="3748" spans="3:6">
      <c r="C3748" s="631"/>
      <c r="D3748" s="631"/>
      <c r="E3748" s="633"/>
      <c r="F3748" s="650"/>
    </row>
    <row r="3749" spans="3:6">
      <c r="C3749" s="631"/>
      <c r="D3749" s="631"/>
      <c r="E3749" s="633"/>
      <c r="F3749" s="650"/>
    </row>
    <row r="3750" spans="3:6">
      <c r="C3750" s="631"/>
      <c r="D3750" s="631"/>
      <c r="E3750" s="633"/>
      <c r="F3750" s="650"/>
    </row>
    <row r="3751" spans="3:6">
      <c r="C3751" s="631"/>
      <c r="D3751" s="631"/>
      <c r="E3751" s="633"/>
      <c r="F3751" s="650"/>
    </row>
    <row r="3752" spans="3:6">
      <c r="C3752" s="631"/>
      <c r="D3752" s="631"/>
      <c r="E3752" s="633"/>
      <c r="F3752" s="650"/>
    </row>
    <row r="3753" spans="3:6">
      <c r="C3753" s="631"/>
      <c r="D3753" s="631"/>
      <c r="E3753" s="633"/>
      <c r="F3753" s="650"/>
    </row>
    <row r="3754" spans="3:6">
      <c r="C3754" s="631"/>
      <c r="D3754" s="631"/>
      <c r="E3754" s="633"/>
      <c r="F3754" s="650"/>
    </row>
    <row r="3755" spans="3:6">
      <c r="C3755" s="631"/>
      <c r="D3755" s="631"/>
      <c r="E3755" s="633"/>
      <c r="F3755" s="650"/>
    </row>
    <row r="3756" spans="3:6">
      <c r="C3756" s="631"/>
      <c r="D3756" s="631"/>
      <c r="E3756" s="633"/>
      <c r="F3756" s="650"/>
    </row>
    <row r="3757" spans="3:6">
      <c r="C3757" s="631"/>
      <c r="D3757" s="631"/>
      <c r="E3757" s="633"/>
      <c r="F3757" s="650"/>
    </row>
    <row r="3758" spans="3:6">
      <c r="C3758" s="631"/>
      <c r="D3758" s="631"/>
      <c r="E3758" s="633"/>
      <c r="F3758" s="650"/>
    </row>
    <row r="3759" spans="3:6">
      <c r="C3759" s="631"/>
      <c r="D3759" s="631"/>
      <c r="E3759" s="633"/>
      <c r="F3759" s="650"/>
    </row>
    <row r="3760" spans="3:6">
      <c r="C3760" s="631"/>
      <c r="D3760" s="631"/>
      <c r="E3760" s="633"/>
      <c r="F3760" s="650"/>
    </row>
    <row r="3761" spans="3:6">
      <c r="C3761" s="631"/>
      <c r="D3761" s="631"/>
      <c r="E3761" s="633"/>
      <c r="F3761" s="650"/>
    </row>
    <row r="3762" spans="3:6">
      <c r="C3762" s="631"/>
      <c r="D3762" s="631"/>
      <c r="E3762" s="633"/>
      <c r="F3762" s="650"/>
    </row>
    <row r="3763" spans="3:6">
      <c r="C3763" s="631"/>
      <c r="D3763" s="631"/>
      <c r="E3763" s="633"/>
      <c r="F3763" s="650"/>
    </row>
    <row r="3764" spans="3:6">
      <c r="C3764" s="631"/>
      <c r="D3764" s="631"/>
      <c r="E3764" s="633"/>
      <c r="F3764" s="650"/>
    </row>
    <row r="3765" spans="3:6">
      <c r="C3765" s="631"/>
      <c r="D3765" s="631"/>
      <c r="E3765" s="633"/>
      <c r="F3765" s="650"/>
    </row>
    <row r="3766" spans="3:6">
      <c r="C3766" s="631"/>
      <c r="D3766" s="631"/>
      <c r="E3766" s="633"/>
      <c r="F3766" s="650"/>
    </row>
    <row r="3767" spans="3:6">
      <c r="C3767" s="631"/>
      <c r="D3767" s="631"/>
      <c r="E3767" s="633"/>
      <c r="F3767" s="650"/>
    </row>
    <row r="3768" spans="3:6">
      <c r="C3768" s="631"/>
      <c r="D3768" s="631"/>
      <c r="E3768" s="633"/>
      <c r="F3768" s="650"/>
    </row>
    <row r="3769" spans="3:6">
      <c r="C3769" s="631"/>
      <c r="D3769" s="631"/>
      <c r="E3769" s="633"/>
      <c r="F3769" s="650"/>
    </row>
    <row r="3770" spans="3:6">
      <c r="C3770" s="631"/>
      <c r="D3770" s="631"/>
      <c r="E3770" s="633"/>
      <c r="F3770" s="650"/>
    </row>
    <row r="3771" spans="3:6">
      <c r="C3771" s="631"/>
      <c r="D3771" s="631"/>
      <c r="E3771" s="633"/>
      <c r="F3771" s="650"/>
    </row>
    <row r="3772" spans="3:6">
      <c r="C3772" s="631"/>
      <c r="D3772" s="631"/>
      <c r="E3772" s="633"/>
      <c r="F3772" s="650"/>
    </row>
    <row r="3773" spans="3:6">
      <c r="C3773" s="631"/>
      <c r="D3773" s="631"/>
      <c r="E3773" s="633"/>
      <c r="F3773" s="650"/>
    </row>
    <row r="3774" spans="3:6">
      <c r="C3774" s="631"/>
      <c r="D3774" s="631"/>
      <c r="E3774" s="633"/>
      <c r="F3774" s="650"/>
    </row>
    <row r="3775" spans="3:6">
      <c r="C3775" s="631"/>
      <c r="D3775" s="631"/>
      <c r="E3775" s="633"/>
      <c r="F3775" s="650"/>
    </row>
    <row r="3776" spans="3:6">
      <c r="C3776" s="631"/>
      <c r="D3776" s="631"/>
      <c r="E3776" s="633"/>
      <c r="F3776" s="650"/>
    </row>
    <row r="3777" spans="3:6">
      <c r="C3777" s="631"/>
      <c r="D3777" s="631"/>
      <c r="E3777" s="633"/>
      <c r="F3777" s="650"/>
    </row>
    <row r="3778" spans="3:6">
      <c r="C3778" s="631"/>
      <c r="D3778" s="631"/>
      <c r="E3778" s="633"/>
      <c r="F3778" s="650"/>
    </row>
    <row r="3779" spans="3:6">
      <c r="C3779" s="631"/>
      <c r="D3779" s="631"/>
      <c r="E3779" s="633"/>
      <c r="F3779" s="650"/>
    </row>
    <row r="3780" spans="3:6">
      <c r="C3780" s="631"/>
      <c r="D3780" s="631"/>
      <c r="E3780" s="633"/>
      <c r="F3780" s="650"/>
    </row>
    <row r="3781" spans="3:6">
      <c r="C3781" s="631"/>
      <c r="D3781" s="631"/>
      <c r="E3781" s="633"/>
      <c r="F3781" s="650"/>
    </row>
    <row r="3782" spans="3:6">
      <c r="C3782" s="631"/>
      <c r="D3782" s="631"/>
      <c r="E3782" s="633"/>
      <c r="F3782" s="650"/>
    </row>
    <row r="3783" spans="3:6">
      <c r="C3783" s="631"/>
      <c r="D3783" s="631"/>
      <c r="E3783" s="633"/>
      <c r="F3783" s="650"/>
    </row>
    <row r="3784" spans="3:6">
      <c r="C3784" s="631"/>
      <c r="D3784" s="631"/>
      <c r="E3784" s="633"/>
      <c r="F3784" s="650"/>
    </row>
    <row r="3785" spans="3:6">
      <c r="C3785" s="631"/>
      <c r="D3785" s="631"/>
      <c r="E3785" s="633"/>
      <c r="F3785" s="650"/>
    </row>
    <row r="3786" spans="3:6">
      <c r="C3786" s="631"/>
      <c r="D3786" s="631"/>
      <c r="E3786" s="633"/>
      <c r="F3786" s="650"/>
    </row>
    <row r="3787" spans="3:6">
      <c r="C3787" s="631"/>
      <c r="D3787" s="631"/>
      <c r="E3787" s="633"/>
      <c r="F3787" s="650"/>
    </row>
    <row r="3788" spans="3:6">
      <c r="C3788" s="631"/>
      <c r="D3788" s="631"/>
      <c r="E3788" s="633"/>
      <c r="F3788" s="650"/>
    </row>
    <row r="3789" spans="3:6">
      <c r="C3789" s="631"/>
      <c r="D3789" s="631"/>
      <c r="E3789" s="633"/>
      <c r="F3789" s="650"/>
    </row>
    <row r="3790" spans="3:6">
      <c r="C3790" s="631"/>
      <c r="D3790" s="631"/>
      <c r="E3790" s="633"/>
      <c r="F3790" s="650"/>
    </row>
    <row r="3791" spans="3:6">
      <c r="C3791" s="631"/>
      <c r="D3791" s="631"/>
      <c r="E3791" s="633"/>
      <c r="F3791" s="650"/>
    </row>
    <row r="3792" spans="3:6">
      <c r="C3792" s="631"/>
      <c r="D3792" s="631"/>
      <c r="E3792" s="633"/>
      <c r="F3792" s="650"/>
    </row>
    <row r="3793" spans="3:6">
      <c r="C3793" s="631"/>
      <c r="D3793" s="631"/>
      <c r="E3793" s="633"/>
      <c r="F3793" s="650"/>
    </row>
    <row r="3794" spans="3:6">
      <c r="C3794" s="631"/>
      <c r="D3794" s="631"/>
      <c r="E3794" s="633"/>
      <c r="F3794" s="650"/>
    </row>
    <row r="3795" spans="3:6">
      <c r="C3795" s="631"/>
      <c r="D3795" s="631"/>
      <c r="E3795" s="633"/>
      <c r="F3795" s="650"/>
    </row>
    <row r="3796" spans="3:6">
      <c r="C3796" s="631"/>
      <c r="D3796" s="631"/>
      <c r="E3796" s="633"/>
      <c r="F3796" s="650"/>
    </row>
    <row r="3797" spans="3:6">
      <c r="C3797" s="631"/>
      <c r="D3797" s="631"/>
      <c r="E3797" s="633"/>
      <c r="F3797" s="650"/>
    </row>
    <row r="3798" spans="3:6">
      <c r="C3798" s="631"/>
      <c r="D3798" s="631"/>
      <c r="E3798" s="633"/>
      <c r="F3798" s="650"/>
    </row>
    <row r="3799" spans="3:6">
      <c r="C3799" s="631"/>
      <c r="D3799" s="631"/>
      <c r="E3799" s="633"/>
      <c r="F3799" s="650"/>
    </row>
    <row r="3800" spans="3:6">
      <c r="C3800" s="631"/>
      <c r="D3800" s="631"/>
      <c r="E3800" s="633"/>
      <c r="F3800" s="650"/>
    </row>
    <row r="3801" spans="3:6">
      <c r="C3801" s="631"/>
      <c r="D3801" s="631"/>
      <c r="E3801" s="633"/>
      <c r="F3801" s="650"/>
    </row>
    <row r="3802" spans="3:6">
      <c r="C3802" s="631"/>
      <c r="D3802" s="631"/>
      <c r="E3802" s="633"/>
      <c r="F3802" s="650"/>
    </row>
    <row r="3803" spans="3:6">
      <c r="C3803" s="631"/>
      <c r="D3803" s="631"/>
      <c r="E3803" s="633"/>
      <c r="F3803" s="650"/>
    </row>
    <row r="3804" spans="3:6">
      <c r="C3804" s="631"/>
      <c r="D3804" s="631"/>
      <c r="E3804" s="633"/>
      <c r="F3804" s="650"/>
    </row>
    <row r="3805" spans="3:6">
      <c r="C3805" s="631"/>
      <c r="D3805" s="631"/>
      <c r="E3805" s="633"/>
      <c r="F3805" s="650"/>
    </row>
    <row r="3806" spans="3:6">
      <c r="C3806" s="631"/>
      <c r="D3806" s="631"/>
      <c r="E3806" s="633"/>
      <c r="F3806" s="650"/>
    </row>
    <row r="3807" spans="3:6">
      <c r="C3807" s="631"/>
      <c r="D3807" s="631"/>
      <c r="E3807" s="633"/>
      <c r="F3807" s="650"/>
    </row>
    <row r="3808" spans="3:6">
      <c r="C3808" s="631"/>
      <c r="D3808" s="631"/>
      <c r="E3808" s="633"/>
      <c r="F3808" s="650"/>
    </row>
    <row r="3809" spans="3:6">
      <c r="C3809" s="631"/>
      <c r="D3809" s="631"/>
      <c r="E3809" s="633"/>
      <c r="F3809" s="650"/>
    </row>
    <row r="3810" spans="3:6">
      <c r="C3810" s="631"/>
      <c r="D3810" s="631"/>
      <c r="E3810" s="633"/>
      <c r="F3810" s="650"/>
    </row>
    <row r="3811" spans="3:6">
      <c r="C3811" s="631"/>
      <c r="D3811" s="631"/>
      <c r="E3811" s="633"/>
      <c r="F3811" s="650"/>
    </row>
    <row r="3812" spans="3:6">
      <c r="C3812" s="631"/>
      <c r="D3812" s="631"/>
      <c r="E3812" s="633"/>
      <c r="F3812" s="650"/>
    </row>
    <row r="3813" spans="3:6">
      <c r="C3813" s="631"/>
      <c r="D3813" s="631"/>
      <c r="E3813" s="633"/>
      <c r="F3813" s="650"/>
    </row>
    <row r="3814" spans="3:6">
      <c r="C3814" s="631"/>
      <c r="D3814" s="631"/>
      <c r="E3814" s="633"/>
      <c r="F3814" s="650"/>
    </row>
    <row r="3815" spans="3:6">
      <c r="C3815" s="631"/>
      <c r="D3815" s="631"/>
      <c r="E3815" s="633"/>
      <c r="F3815" s="650"/>
    </row>
    <row r="3816" spans="3:6">
      <c r="C3816" s="631"/>
      <c r="D3816" s="631"/>
      <c r="E3816" s="633"/>
      <c r="F3816" s="650"/>
    </row>
    <row r="3817" spans="3:6">
      <c r="C3817" s="631"/>
      <c r="D3817" s="631"/>
      <c r="E3817" s="633"/>
      <c r="F3817" s="650"/>
    </row>
    <row r="3818" spans="3:6">
      <c r="C3818" s="631"/>
      <c r="D3818" s="631"/>
      <c r="E3818" s="633"/>
      <c r="F3818" s="650"/>
    </row>
    <row r="3819" spans="3:6">
      <c r="C3819" s="631"/>
      <c r="D3819" s="631"/>
      <c r="E3819" s="633"/>
      <c r="F3819" s="650"/>
    </row>
    <row r="3820" spans="3:6">
      <c r="C3820" s="631"/>
      <c r="D3820" s="631"/>
      <c r="E3820" s="633"/>
      <c r="F3820" s="650"/>
    </row>
    <row r="3821" spans="3:6">
      <c r="C3821" s="631"/>
      <c r="D3821" s="631"/>
      <c r="E3821" s="633"/>
      <c r="F3821" s="650"/>
    </row>
    <row r="3822" spans="3:6">
      <c r="C3822" s="631"/>
      <c r="D3822" s="631"/>
      <c r="E3822" s="633"/>
      <c r="F3822" s="650"/>
    </row>
    <row r="3823" spans="3:6">
      <c r="C3823" s="631"/>
      <c r="D3823" s="631"/>
      <c r="E3823" s="633"/>
      <c r="F3823" s="650"/>
    </row>
    <row r="3824" spans="3:6">
      <c r="C3824" s="631"/>
      <c r="D3824" s="631"/>
      <c r="E3824" s="633"/>
      <c r="F3824" s="650"/>
    </row>
    <row r="3825" spans="3:6">
      <c r="C3825" s="631"/>
      <c r="D3825" s="631"/>
      <c r="E3825" s="633"/>
      <c r="F3825" s="650"/>
    </row>
    <row r="3826" spans="3:6">
      <c r="C3826" s="631"/>
      <c r="D3826" s="631"/>
      <c r="E3826" s="633"/>
      <c r="F3826" s="650"/>
    </row>
    <row r="3827" spans="3:6">
      <c r="C3827" s="631"/>
      <c r="D3827" s="631"/>
      <c r="E3827" s="633"/>
      <c r="F3827" s="650"/>
    </row>
    <row r="3828" spans="3:6">
      <c r="C3828" s="631"/>
      <c r="D3828" s="631"/>
      <c r="E3828" s="633"/>
      <c r="F3828" s="650"/>
    </row>
    <row r="3829" spans="3:6">
      <c r="C3829" s="631"/>
      <c r="D3829" s="631"/>
      <c r="E3829" s="633"/>
      <c r="F3829" s="650"/>
    </row>
    <row r="3830" spans="3:6">
      <c r="C3830" s="631"/>
      <c r="D3830" s="631"/>
      <c r="E3830" s="633"/>
      <c r="F3830" s="650"/>
    </row>
    <row r="3831" spans="3:6">
      <c r="C3831" s="631"/>
      <c r="D3831" s="631"/>
      <c r="E3831" s="633"/>
      <c r="F3831" s="650"/>
    </row>
    <row r="3832" spans="3:6">
      <c r="C3832" s="631"/>
      <c r="D3832" s="631"/>
      <c r="E3832" s="633"/>
      <c r="F3832" s="650"/>
    </row>
    <row r="3833" spans="3:6">
      <c r="C3833" s="631"/>
      <c r="D3833" s="631"/>
      <c r="E3833" s="633"/>
      <c r="F3833" s="650"/>
    </row>
    <row r="3834" spans="3:6">
      <c r="C3834" s="631"/>
      <c r="D3834" s="631"/>
      <c r="E3834" s="633"/>
      <c r="F3834" s="650"/>
    </row>
    <row r="3835" spans="3:6">
      <c r="C3835" s="631"/>
      <c r="D3835" s="631"/>
      <c r="E3835" s="633"/>
      <c r="F3835" s="650"/>
    </row>
    <row r="3836" spans="3:6">
      <c r="C3836" s="631"/>
      <c r="D3836" s="631"/>
      <c r="E3836" s="633"/>
      <c r="F3836" s="650"/>
    </row>
    <row r="3837" spans="3:6">
      <c r="C3837" s="631"/>
      <c r="D3837" s="631"/>
      <c r="E3837" s="633"/>
      <c r="F3837" s="650"/>
    </row>
    <row r="3838" spans="3:6">
      <c r="C3838" s="631"/>
      <c r="D3838" s="631"/>
      <c r="E3838" s="633"/>
      <c r="F3838" s="650"/>
    </row>
    <row r="3839" spans="3:6">
      <c r="C3839" s="631"/>
      <c r="D3839" s="631"/>
      <c r="E3839" s="633"/>
      <c r="F3839" s="650"/>
    </row>
    <row r="3840" spans="3:6">
      <c r="C3840" s="631"/>
      <c r="D3840" s="631"/>
      <c r="E3840" s="633"/>
      <c r="F3840" s="650"/>
    </row>
    <row r="3841" spans="3:6">
      <c r="C3841" s="631"/>
      <c r="D3841" s="631"/>
      <c r="E3841" s="633"/>
      <c r="F3841" s="650"/>
    </row>
    <row r="3842" spans="3:6">
      <c r="C3842" s="631"/>
      <c r="D3842" s="631"/>
      <c r="E3842" s="633"/>
      <c r="F3842" s="650"/>
    </row>
    <row r="3843" spans="3:6">
      <c r="C3843" s="631"/>
      <c r="D3843" s="631"/>
      <c r="E3843" s="633"/>
      <c r="F3843" s="650"/>
    </row>
    <row r="3844" spans="3:6">
      <c r="C3844" s="631"/>
      <c r="D3844" s="631"/>
      <c r="E3844" s="633"/>
      <c r="F3844" s="650"/>
    </row>
    <row r="3845" spans="3:6">
      <c r="C3845" s="631"/>
      <c r="D3845" s="631"/>
      <c r="E3845" s="633"/>
      <c r="F3845" s="650"/>
    </row>
    <row r="3846" spans="3:6">
      <c r="C3846" s="631"/>
      <c r="D3846" s="631"/>
      <c r="E3846" s="633"/>
      <c r="F3846" s="650"/>
    </row>
    <row r="3847" spans="3:6">
      <c r="C3847" s="631"/>
      <c r="D3847" s="631"/>
      <c r="E3847" s="633"/>
      <c r="F3847" s="650"/>
    </row>
    <row r="3848" spans="3:6">
      <c r="C3848" s="631"/>
      <c r="D3848" s="631"/>
      <c r="E3848" s="633"/>
      <c r="F3848" s="650"/>
    </row>
    <row r="3849" spans="3:6">
      <c r="C3849" s="631"/>
      <c r="D3849" s="631"/>
      <c r="E3849" s="633"/>
      <c r="F3849" s="650"/>
    </row>
    <row r="3850" spans="3:6">
      <c r="C3850" s="631"/>
      <c r="D3850" s="631"/>
      <c r="E3850" s="633"/>
      <c r="F3850" s="650"/>
    </row>
    <row r="3851" spans="3:6">
      <c r="C3851" s="631"/>
      <c r="D3851" s="631"/>
      <c r="E3851" s="633"/>
      <c r="F3851" s="650"/>
    </row>
    <row r="3852" spans="3:6">
      <c r="C3852" s="631"/>
      <c r="D3852" s="631"/>
      <c r="E3852" s="633"/>
      <c r="F3852" s="650"/>
    </row>
    <row r="3853" spans="3:6">
      <c r="C3853" s="631"/>
      <c r="D3853" s="631"/>
      <c r="E3853" s="633"/>
      <c r="F3853" s="650"/>
    </row>
    <row r="3854" spans="3:6">
      <c r="C3854" s="631"/>
      <c r="D3854" s="631"/>
      <c r="E3854" s="633"/>
      <c r="F3854" s="650"/>
    </row>
    <row r="3855" spans="3:6">
      <c r="C3855" s="631"/>
      <c r="D3855" s="631"/>
      <c r="E3855" s="633"/>
      <c r="F3855" s="650"/>
    </row>
    <row r="3856" spans="3:6">
      <c r="C3856" s="631"/>
      <c r="D3856" s="631"/>
      <c r="E3856" s="633"/>
      <c r="F3856" s="650"/>
    </row>
    <row r="3857" spans="3:6">
      <c r="C3857" s="631"/>
      <c r="D3857" s="631"/>
      <c r="E3857" s="633"/>
      <c r="F3857" s="650"/>
    </row>
    <row r="3858" spans="3:6">
      <c r="C3858" s="631"/>
      <c r="D3858" s="631"/>
      <c r="E3858" s="633"/>
      <c r="F3858" s="650"/>
    </row>
    <row r="3859" spans="3:6">
      <c r="C3859" s="631"/>
      <c r="D3859" s="631"/>
      <c r="E3859" s="633"/>
      <c r="F3859" s="650"/>
    </row>
    <row r="3860" spans="3:6">
      <c r="C3860" s="631"/>
      <c r="D3860" s="631"/>
      <c r="E3860" s="633"/>
      <c r="F3860" s="650"/>
    </row>
    <row r="3861" spans="3:6">
      <c r="C3861" s="631"/>
      <c r="D3861" s="631"/>
      <c r="E3861" s="633"/>
      <c r="F3861" s="650"/>
    </row>
    <row r="3862" spans="3:6">
      <c r="C3862" s="631"/>
      <c r="D3862" s="631"/>
      <c r="E3862" s="633"/>
      <c r="F3862" s="650"/>
    </row>
    <row r="3863" spans="3:6">
      <c r="C3863" s="631"/>
      <c r="D3863" s="631"/>
      <c r="E3863" s="633"/>
      <c r="F3863" s="650"/>
    </row>
    <row r="3864" spans="3:6">
      <c r="C3864" s="631"/>
      <c r="D3864" s="631"/>
      <c r="E3864" s="633"/>
      <c r="F3864" s="650"/>
    </row>
    <row r="3865" spans="3:6">
      <c r="C3865" s="631"/>
      <c r="D3865" s="631"/>
      <c r="E3865" s="633"/>
      <c r="F3865" s="650"/>
    </row>
    <row r="3866" spans="3:6">
      <c r="C3866" s="631"/>
      <c r="D3866" s="631"/>
      <c r="E3866" s="633"/>
      <c r="F3866" s="650"/>
    </row>
    <row r="3867" spans="3:6">
      <c r="C3867" s="631"/>
      <c r="D3867" s="631"/>
      <c r="E3867" s="633"/>
      <c r="F3867" s="650"/>
    </row>
    <row r="3868" spans="3:6">
      <c r="C3868" s="631"/>
      <c r="D3868" s="631"/>
      <c r="E3868" s="633"/>
      <c r="F3868" s="650"/>
    </row>
    <row r="3869" spans="3:6">
      <c r="C3869" s="631"/>
      <c r="D3869" s="631"/>
      <c r="E3869" s="633"/>
      <c r="F3869" s="650"/>
    </row>
    <row r="3870" spans="3:6">
      <c r="C3870" s="631"/>
      <c r="D3870" s="631"/>
      <c r="E3870" s="633"/>
      <c r="F3870" s="650"/>
    </row>
    <row r="3871" spans="3:6">
      <c r="C3871" s="631"/>
      <c r="D3871" s="631"/>
      <c r="E3871" s="633"/>
      <c r="F3871" s="650"/>
    </row>
    <row r="3872" spans="3:6">
      <c r="C3872" s="631"/>
      <c r="D3872" s="631"/>
      <c r="E3872" s="633"/>
      <c r="F3872" s="650"/>
    </row>
    <row r="3873" spans="3:6">
      <c r="C3873" s="631"/>
      <c r="D3873" s="631"/>
      <c r="E3873" s="633"/>
      <c r="F3873" s="650"/>
    </row>
    <row r="3874" spans="3:6">
      <c r="C3874" s="631"/>
      <c r="D3874" s="631"/>
      <c r="E3874" s="633"/>
      <c r="F3874" s="650"/>
    </row>
    <row r="3875" spans="3:6">
      <c r="C3875" s="631"/>
      <c r="D3875" s="631"/>
      <c r="E3875" s="633"/>
      <c r="F3875" s="650"/>
    </row>
    <row r="3876" spans="3:6">
      <c r="C3876" s="631"/>
      <c r="D3876" s="631"/>
      <c r="E3876" s="633"/>
      <c r="F3876" s="650"/>
    </row>
    <row r="3877" spans="3:6">
      <c r="C3877" s="631"/>
      <c r="D3877" s="631"/>
      <c r="E3877" s="633"/>
      <c r="F3877" s="650"/>
    </row>
    <row r="3878" spans="3:6">
      <c r="C3878" s="631"/>
      <c r="D3878" s="631"/>
      <c r="E3878" s="633"/>
      <c r="F3878" s="650"/>
    </row>
    <row r="3879" spans="3:6">
      <c r="C3879" s="631"/>
      <c r="D3879" s="631"/>
      <c r="E3879" s="633"/>
      <c r="F3879" s="650"/>
    </row>
    <row r="3880" spans="3:6">
      <c r="C3880" s="631"/>
      <c r="D3880" s="631"/>
      <c r="E3880" s="633"/>
      <c r="F3880" s="650"/>
    </row>
    <row r="3881" spans="3:6">
      <c r="C3881" s="631"/>
      <c r="D3881" s="631"/>
      <c r="E3881" s="633"/>
      <c r="F3881" s="650"/>
    </row>
    <row r="3882" spans="3:6">
      <c r="C3882" s="631"/>
      <c r="D3882" s="631"/>
      <c r="E3882" s="633"/>
      <c r="F3882" s="650"/>
    </row>
    <row r="3883" spans="3:6">
      <c r="C3883" s="631"/>
      <c r="D3883" s="631"/>
      <c r="E3883" s="633"/>
      <c r="F3883" s="650"/>
    </row>
    <row r="3884" spans="3:6">
      <c r="C3884" s="631"/>
      <c r="D3884" s="631"/>
      <c r="E3884" s="633"/>
      <c r="F3884" s="650"/>
    </row>
    <row r="3885" spans="3:6">
      <c r="C3885" s="631"/>
      <c r="D3885" s="631"/>
      <c r="E3885" s="633"/>
      <c r="F3885" s="650"/>
    </row>
    <row r="3886" spans="3:6">
      <c r="C3886" s="631"/>
      <c r="D3886" s="631"/>
      <c r="E3886" s="633"/>
      <c r="F3886" s="650"/>
    </row>
    <row r="3887" spans="3:6">
      <c r="C3887" s="631"/>
      <c r="D3887" s="631"/>
      <c r="E3887" s="633"/>
      <c r="F3887" s="650"/>
    </row>
    <row r="3888" spans="3:6">
      <c r="C3888" s="631"/>
      <c r="D3888" s="631"/>
      <c r="E3888" s="633"/>
      <c r="F3888" s="650"/>
    </row>
    <row r="3889" spans="3:6">
      <c r="C3889" s="631"/>
      <c r="D3889" s="631"/>
      <c r="E3889" s="633"/>
      <c r="F3889" s="650"/>
    </row>
    <row r="3890" spans="3:6">
      <c r="C3890" s="631"/>
      <c r="D3890" s="631"/>
      <c r="E3890" s="633"/>
      <c r="F3890" s="650"/>
    </row>
    <row r="3891" spans="3:6">
      <c r="C3891" s="631"/>
      <c r="D3891" s="631"/>
      <c r="E3891" s="633"/>
      <c r="F3891" s="650"/>
    </row>
    <row r="3892" spans="3:6">
      <c r="C3892" s="631"/>
      <c r="D3892" s="631"/>
      <c r="E3892" s="633"/>
      <c r="F3892" s="650"/>
    </row>
    <row r="3893" spans="3:6">
      <c r="C3893" s="631"/>
      <c r="D3893" s="631"/>
      <c r="E3893" s="633"/>
      <c r="F3893" s="650"/>
    </row>
    <row r="3894" spans="3:6">
      <c r="C3894" s="631"/>
      <c r="D3894" s="631"/>
      <c r="E3894" s="633"/>
      <c r="F3894" s="650"/>
    </row>
    <row r="3895" spans="3:6">
      <c r="C3895" s="631"/>
      <c r="D3895" s="631"/>
      <c r="E3895" s="633"/>
      <c r="F3895" s="650"/>
    </row>
    <row r="3896" spans="3:6">
      <c r="C3896" s="631"/>
      <c r="D3896" s="631"/>
      <c r="E3896" s="633"/>
      <c r="F3896" s="650"/>
    </row>
    <row r="3897" spans="3:6">
      <c r="C3897" s="631"/>
      <c r="D3897" s="631"/>
      <c r="E3897" s="633"/>
      <c r="F3897" s="650"/>
    </row>
    <row r="3898" spans="3:6">
      <c r="C3898" s="631"/>
      <c r="D3898" s="631"/>
      <c r="E3898" s="633"/>
      <c r="F3898" s="650"/>
    </row>
    <row r="3899" spans="3:6">
      <c r="C3899" s="631"/>
      <c r="D3899" s="631"/>
      <c r="E3899" s="633"/>
      <c r="F3899" s="650"/>
    </row>
    <row r="3900" spans="3:6">
      <c r="C3900" s="631"/>
      <c r="D3900" s="631"/>
      <c r="E3900" s="633"/>
      <c r="F3900" s="650"/>
    </row>
    <row r="3901" spans="3:6">
      <c r="C3901" s="631"/>
      <c r="D3901" s="631"/>
      <c r="E3901" s="633"/>
      <c r="F3901" s="650"/>
    </row>
    <row r="3902" spans="3:6">
      <c r="C3902" s="631"/>
      <c r="D3902" s="631"/>
      <c r="E3902" s="633"/>
      <c r="F3902" s="650"/>
    </row>
    <row r="3903" spans="3:6">
      <c r="C3903" s="631"/>
      <c r="D3903" s="631"/>
      <c r="E3903" s="633"/>
      <c r="F3903" s="650"/>
    </row>
    <row r="3904" spans="3:6">
      <c r="C3904" s="631"/>
      <c r="D3904" s="631"/>
      <c r="E3904" s="633"/>
      <c r="F3904" s="650"/>
    </row>
    <row r="3905" spans="3:6">
      <c r="C3905" s="631"/>
      <c r="D3905" s="631"/>
      <c r="E3905" s="633"/>
      <c r="F3905" s="650"/>
    </row>
    <row r="3906" spans="3:6">
      <c r="C3906" s="631"/>
      <c r="D3906" s="631"/>
      <c r="E3906" s="633"/>
      <c r="F3906" s="650"/>
    </row>
    <row r="3907" spans="3:6">
      <c r="C3907" s="631"/>
      <c r="D3907" s="631"/>
      <c r="E3907" s="633"/>
      <c r="F3907" s="650"/>
    </row>
    <row r="3908" spans="3:6">
      <c r="C3908" s="631"/>
      <c r="D3908" s="631"/>
      <c r="E3908" s="633"/>
      <c r="F3908" s="650"/>
    </row>
    <row r="3909" spans="3:6">
      <c r="C3909" s="631"/>
      <c r="D3909" s="631"/>
      <c r="E3909" s="633"/>
      <c r="F3909" s="650"/>
    </row>
    <row r="3910" spans="3:6">
      <c r="C3910" s="631"/>
      <c r="D3910" s="631"/>
      <c r="E3910" s="633"/>
      <c r="F3910" s="650"/>
    </row>
    <row r="3911" spans="3:6">
      <c r="C3911" s="631"/>
      <c r="D3911" s="631"/>
      <c r="E3911" s="633"/>
      <c r="F3911" s="650"/>
    </row>
    <row r="3912" spans="3:6">
      <c r="C3912" s="631"/>
      <c r="D3912" s="631"/>
      <c r="E3912" s="633"/>
      <c r="F3912" s="650"/>
    </row>
    <row r="3913" spans="3:6">
      <c r="C3913" s="631"/>
      <c r="D3913" s="631"/>
      <c r="E3913" s="633"/>
      <c r="F3913" s="650"/>
    </row>
    <row r="3914" spans="3:6">
      <c r="C3914" s="631"/>
      <c r="D3914" s="631"/>
      <c r="E3914" s="633"/>
      <c r="F3914" s="650"/>
    </row>
    <row r="3915" spans="3:6">
      <c r="C3915" s="631"/>
      <c r="D3915" s="631"/>
      <c r="E3915" s="633"/>
      <c r="F3915" s="650"/>
    </row>
    <row r="3916" spans="3:6">
      <c r="C3916" s="631"/>
      <c r="D3916" s="631"/>
      <c r="E3916" s="633"/>
      <c r="F3916" s="650"/>
    </row>
    <row r="3917" spans="3:6">
      <c r="C3917" s="631"/>
      <c r="D3917" s="631"/>
      <c r="E3917" s="633"/>
      <c r="F3917" s="650"/>
    </row>
    <row r="3918" spans="3:6">
      <c r="C3918" s="631"/>
      <c r="D3918" s="631"/>
      <c r="E3918" s="633"/>
      <c r="F3918" s="650"/>
    </row>
    <row r="3919" spans="3:6">
      <c r="C3919" s="631"/>
      <c r="D3919" s="631"/>
      <c r="E3919" s="633"/>
      <c r="F3919" s="650"/>
    </row>
    <row r="3920" spans="3:6">
      <c r="C3920" s="631"/>
      <c r="D3920" s="631"/>
      <c r="E3920" s="633"/>
      <c r="F3920" s="650"/>
    </row>
    <row r="3921" spans="3:6">
      <c r="C3921" s="631"/>
      <c r="D3921" s="631"/>
      <c r="E3921" s="633"/>
      <c r="F3921" s="650"/>
    </row>
    <row r="3922" spans="3:6">
      <c r="C3922" s="631"/>
      <c r="D3922" s="631"/>
      <c r="E3922" s="633"/>
      <c r="F3922" s="650"/>
    </row>
    <row r="3923" spans="3:6">
      <c r="C3923" s="631"/>
      <c r="D3923" s="631"/>
      <c r="E3923" s="633"/>
      <c r="F3923" s="650"/>
    </row>
    <row r="3924" spans="3:6">
      <c r="C3924" s="631"/>
      <c r="D3924" s="631"/>
      <c r="E3924" s="633"/>
      <c r="F3924" s="650"/>
    </row>
    <row r="3925" spans="3:6">
      <c r="C3925" s="631"/>
      <c r="D3925" s="631"/>
      <c r="E3925" s="633"/>
      <c r="F3925" s="650"/>
    </row>
    <row r="3926" spans="3:6">
      <c r="C3926" s="631"/>
      <c r="D3926" s="631"/>
      <c r="E3926" s="633"/>
      <c r="F3926" s="650"/>
    </row>
    <row r="3927" spans="3:6">
      <c r="C3927" s="631"/>
      <c r="D3927" s="631"/>
      <c r="E3927" s="633"/>
      <c r="F3927" s="650"/>
    </row>
    <row r="3928" spans="3:6">
      <c r="C3928" s="631"/>
      <c r="D3928" s="631"/>
      <c r="E3928" s="633"/>
      <c r="F3928" s="650"/>
    </row>
    <row r="3929" spans="3:6">
      <c r="C3929" s="631"/>
      <c r="D3929" s="631"/>
      <c r="E3929" s="633"/>
      <c r="F3929" s="650"/>
    </row>
    <row r="3930" spans="3:6">
      <c r="C3930" s="631"/>
      <c r="D3930" s="631"/>
      <c r="E3930" s="633"/>
      <c r="F3930" s="650"/>
    </row>
    <row r="3931" spans="3:6">
      <c r="C3931" s="631"/>
      <c r="D3931" s="631"/>
      <c r="E3931" s="633"/>
      <c r="F3931" s="650"/>
    </row>
    <row r="3932" spans="3:6">
      <c r="C3932" s="631"/>
      <c r="D3932" s="631"/>
      <c r="E3932" s="633"/>
      <c r="F3932" s="650"/>
    </row>
    <row r="3933" spans="3:6">
      <c r="C3933" s="631"/>
      <c r="D3933" s="631"/>
      <c r="E3933" s="633"/>
      <c r="F3933" s="650"/>
    </row>
    <row r="3934" spans="3:6">
      <c r="C3934" s="631"/>
      <c r="D3934" s="631"/>
      <c r="E3934" s="633"/>
      <c r="F3934" s="650"/>
    </row>
    <row r="3935" spans="3:6">
      <c r="C3935" s="631"/>
      <c r="D3935" s="631"/>
      <c r="E3935" s="633"/>
      <c r="F3935" s="650"/>
    </row>
    <row r="3936" spans="3:6">
      <c r="C3936" s="631"/>
      <c r="D3936" s="631"/>
      <c r="E3936" s="633"/>
      <c r="F3936" s="650"/>
    </row>
    <row r="3937" spans="3:6">
      <c r="C3937" s="631"/>
      <c r="D3937" s="631"/>
      <c r="E3937" s="633"/>
      <c r="F3937" s="650"/>
    </row>
    <row r="3938" spans="3:6">
      <c r="C3938" s="631"/>
      <c r="D3938" s="631"/>
      <c r="E3938" s="633"/>
      <c r="F3938" s="650"/>
    </row>
    <row r="3939" spans="3:6">
      <c r="C3939" s="631"/>
      <c r="D3939" s="631"/>
      <c r="E3939" s="633"/>
      <c r="F3939" s="650"/>
    </row>
    <row r="3940" spans="3:6">
      <c r="C3940" s="631"/>
      <c r="D3940" s="631"/>
      <c r="E3940" s="633"/>
      <c r="F3940" s="650"/>
    </row>
    <row r="3941" spans="3:6">
      <c r="C3941" s="631"/>
      <c r="D3941" s="631"/>
      <c r="E3941" s="633"/>
      <c r="F3941" s="650"/>
    </row>
    <row r="3942" spans="3:6">
      <c r="C3942" s="631"/>
      <c r="D3942" s="631"/>
      <c r="E3942" s="633"/>
      <c r="F3942" s="650"/>
    </row>
    <row r="3943" spans="3:6">
      <c r="C3943" s="631"/>
      <c r="D3943" s="631"/>
      <c r="E3943" s="633"/>
      <c r="F3943" s="650"/>
    </row>
    <row r="3944" spans="3:6">
      <c r="C3944" s="631"/>
      <c r="D3944" s="631"/>
      <c r="E3944" s="633"/>
      <c r="F3944" s="650"/>
    </row>
    <row r="3945" spans="3:6">
      <c r="C3945" s="631"/>
      <c r="D3945" s="631"/>
      <c r="E3945" s="633"/>
      <c r="F3945" s="650"/>
    </row>
    <row r="3946" spans="3:6">
      <c r="C3946" s="631"/>
      <c r="D3946" s="631"/>
      <c r="E3946" s="633"/>
      <c r="F3946" s="650"/>
    </row>
    <row r="3947" spans="3:6">
      <c r="C3947" s="631"/>
      <c r="D3947" s="631"/>
      <c r="E3947" s="633"/>
      <c r="F3947" s="650"/>
    </row>
    <row r="3948" spans="3:6">
      <c r="C3948" s="631"/>
      <c r="D3948" s="631"/>
      <c r="E3948" s="633"/>
      <c r="F3948" s="650"/>
    </row>
    <row r="3949" spans="3:6">
      <c r="C3949" s="631"/>
      <c r="D3949" s="631"/>
      <c r="E3949" s="633"/>
      <c r="F3949" s="650"/>
    </row>
    <row r="3950" spans="3:6">
      <c r="C3950" s="631"/>
      <c r="D3950" s="631"/>
      <c r="E3950" s="633"/>
      <c r="F3950" s="650"/>
    </row>
    <row r="3951" spans="3:6">
      <c r="C3951" s="631"/>
      <c r="D3951" s="631"/>
      <c r="E3951" s="633"/>
      <c r="F3951" s="650"/>
    </row>
    <row r="3952" spans="3:6">
      <c r="C3952" s="631"/>
      <c r="D3952" s="631"/>
      <c r="E3952" s="633"/>
      <c r="F3952" s="650"/>
    </row>
    <row r="3953" spans="3:6">
      <c r="C3953" s="631"/>
      <c r="D3953" s="631"/>
      <c r="E3953" s="633"/>
      <c r="F3953" s="650"/>
    </row>
    <row r="3954" spans="3:6">
      <c r="C3954" s="631"/>
      <c r="D3954" s="631"/>
      <c r="E3954" s="633"/>
      <c r="F3954" s="650"/>
    </row>
    <row r="3955" spans="3:6">
      <c r="C3955" s="631"/>
      <c r="D3955" s="631"/>
      <c r="E3955" s="633"/>
      <c r="F3955" s="650"/>
    </row>
    <row r="3956" spans="3:6">
      <c r="C3956" s="631"/>
      <c r="D3956" s="631"/>
      <c r="E3956" s="633"/>
      <c r="F3956" s="650"/>
    </row>
    <row r="3957" spans="3:6">
      <c r="C3957" s="631"/>
      <c r="D3957" s="631"/>
      <c r="E3957" s="633"/>
      <c r="F3957" s="650"/>
    </row>
    <row r="3958" spans="3:6">
      <c r="C3958" s="631"/>
      <c r="D3958" s="631"/>
      <c r="E3958" s="633"/>
      <c r="F3958" s="650"/>
    </row>
    <row r="3959" spans="3:6">
      <c r="C3959" s="631"/>
      <c r="D3959" s="631"/>
      <c r="E3959" s="633"/>
      <c r="F3959" s="650"/>
    </row>
    <row r="3960" spans="3:6">
      <c r="C3960" s="631"/>
      <c r="D3960" s="631"/>
      <c r="E3960" s="633"/>
      <c r="F3960" s="650"/>
    </row>
    <row r="3961" spans="3:6">
      <c r="C3961" s="631"/>
      <c r="D3961" s="631"/>
      <c r="E3961" s="633"/>
      <c r="F3961" s="650"/>
    </row>
    <row r="3962" spans="3:6">
      <c r="C3962" s="631"/>
      <c r="D3962" s="631"/>
      <c r="E3962" s="633"/>
      <c r="F3962" s="650"/>
    </row>
    <row r="3963" spans="3:6">
      <c r="C3963" s="631"/>
      <c r="D3963" s="631"/>
      <c r="E3963" s="633"/>
      <c r="F3963" s="650"/>
    </row>
    <row r="3964" spans="3:6">
      <c r="C3964" s="631"/>
      <c r="D3964" s="631"/>
      <c r="E3964" s="633"/>
      <c r="F3964" s="650"/>
    </row>
    <row r="3965" spans="3:6">
      <c r="C3965" s="631"/>
      <c r="D3965" s="631"/>
      <c r="E3965" s="633"/>
      <c r="F3965" s="650"/>
    </row>
    <row r="3966" spans="3:6">
      <c r="C3966" s="631"/>
      <c r="D3966" s="631"/>
      <c r="E3966" s="633"/>
      <c r="F3966" s="650"/>
    </row>
    <row r="3967" spans="3:6">
      <c r="C3967" s="631"/>
      <c r="D3967" s="631"/>
      <c r="E3967" s="633"/>
      <c r="F3967" s="650"/>
    </row>
    <row r="3968" spans="3:6">
      <c r="C3968" s="631"/>
      <c r="D3968" s="631"/>
      <c r="E3968" s="633"/>
      <c r="F3968" s="650"/>
    </row>
    <row r="3969" spans="3:6">
      <c r="C3969" s="631"/>
      <c r="D3969" s="631"/>
      <c r="E3969" s="633"/>
      <c r="F3969" s="650"/>
    </row>
    <row r="3970" spans="3:6">
      <c r="C3970" s="631"/>
      <c r="D3970" s="631"/>
      <c r="E3970" s="633"/>
      <c r="F3970" s="650"/>
    </row>
    <row r="3971" spans="3:6">
      <c r="C3971" s="631"/>
      <c r="D3971" s="631"/>
      <c r="E3971" s="633"/>
      <c r="F3971" s="650"/>
    </row>
    <row r="3972" spans="3:6">
      <c r="C3972" s="631"/>
      <c r="D3972" s="631"/>
      <c r="E3972" s="633"/>
      <c r="F3972" s="650"/>
    </row>
    <row r="3973" spans="3:6">
      <c r="C3973" s="631"/>
      <c r="D3973" s="631"/>
      <c r="E3973" s="633"/>
      <c r="F3973" s="650"/>
    </row>
    <row r="3974" spans="3:6">
      <c r="C3974" s="631"/>
      <c r="D3974" s="631"/>
      <c r="E3974" s="633"/>
      <c r="F3974" s="650"/>
    </row>
    <row r="3975" spans="3:6">
      <c r="C3975" s="631"/>
      <c r="D3975" s="631"/>
      <c r="E3975" s="633"/>
      <c r="F3975" s="650"/>
    </row>
    <row r="3976" spans="3:6">
      <c r="C3976" s="631"/>
      <c r="D3976" s="631"/>
      <c r="E3976" s="633"/>
      <c r="F3976" s="650"/>
    </row>
    <row r="3977" spans="3:6">
      <c r="C3977" s="631"/>
      <c r="D3977" s="631"/>
      <c r="E3977" s="633"/>
      <c r="F3977" s="650"/>
    </row>
    <row r="3978" spans="3:6">
      <c r="C3978" s="631"/>
      <c r="D3978" s="631"/>
      <c r="E3978" s="633"/>
      <c r="F3978" s="650"/>
    </row>
    <row r="3979" spans="3:6">
      <c r="C3979" s="631"/>
      <c r="D3979" s="631"/>
      <c r="E3979" s="633"/>
      <c r="F3979" s="650"/>
    </row>
    <row r="3980" spans="3:6">
      <c r="C3980" s="631"/>
      <c r="D3980" s="631"/>
      <c r="E3980" s="633"/>
      <c r="F3980" s="650"/>
    </row>
    <row r="3981" spans="3:6">
      <c r="C3981" s="631"/>
      <c r="D3981" s="631"/>
      <c r="E3981" s="633"/>
      <c r="F3981" s="650"/>
    </row>
    <row r="3982" spans="3:6">
      <c r="C3982" s="631"/>
      <c r="D3982" s="631"/>
      <c r="E3982" s="633"/>
      <c r="F3982" s="650"/>
    </row>
    <row r="3983" spans="3:6">
      <c r="C3983" s="631"/>
      <c r="D3983" s="631"/>
      <c r="E3983" s="633"/>
      <c r="F3983" s="650"/>
    </row>
    <row r="3984" spans="3:6">
      <c r="C3984" s="631"/>
      <c r="D3984" s="631"/>
      <c r="E3984" s="633"/>
      <c r="F3984" s="650"/>
    </row>
    <row r="3985" spans="3:6">
      <c r="C3985" s="631"/>
      <c r="D3985" s="631"/>
      <c r="E3985" s="633"/>
      <c r="F3985" s="650"/>
    </row>
    <row r="3986" spans="3:6">
      <c r="C3986" s="631"/>
      <c r="D3986" s="631"/>
      <c r="E3986" s="633"/>
      <c r="F3986" s="650"/>
    </row>
    <row r="3987" spans="3:6">
      <c r="C3987" s="631"/>
      <c r="D3987" s="631"/>
      <c r="E3987" s="633"/>
      <c r="F3987" s="650"/>
    </row>
    <row r="3988" spans="3:6">
      <c r="C3988" s="631"/>
      <c r="D3988" s="631"/>
      <c r="E3988" s="633"/>
      <c r="F3988" s="650"/>
    </row>
    <row r="3989" spans="3:6">
      <c r="C3989" s="631"/>
      <c r="D3989" s="631"/>
      <c r="E3989" s="633"/>
      <c r="F3989" s="650"/>
    </row>
    <row r="3990" spans="3:6">
      <c r="C3990" s="631"/>
      <c r="D3990" s="631"/>
      <c r="E3990" s="633"/>
      <c r="F3990" s="650"/>
    </row>
    <row r="3991" spans="3:6">
      <c r="C3991" s="631"/>
      <c r="D3991" s="631"/>
      <c r="E3991" s="633"/>
      <c r="F3991" s="650"/>
    </row>
    <row r="3992" spans="3:6">
      <c r="C3992" s="631"/>
      <c r="D3992" s="631"/>
      <c r="E3992" s="633"/>
      <c r="F3992" s="650"/>
    </row>
    <row r="3993" spans="3:6">
      <c r="C3993" s="631"/>
      <c r="D3993" s="631"/>
      <c r="E3993" s="633"/>
      <c r="F3993" s="650"/>
    </row>
    <row r="3994" spans="3:6">
      <c r="C3994" s="631"/>
      <c r="D3994" s="631"/>
      <c r="E3994" s="633"/>
      <c r="F3994" s="650"/>
    </row>
    <row r="3995" spans="3:6">
      <c r="C3995" s="631"/>
      <c r="D3995" s="631"/>
      <c r="E3995" s="633"/>
      <c r="F3995" s="650"/>
    </row>
    <row r="3996" spans="3:6">
      <c r="C3996" s="631"/>
      <c r="D3996" s="631"/>
      <c r="E3996" s="633"/>
      <c r="F3996" s="650"/>
    </row>
    <row r="3997" spans="3:6">
      <c r="C3997" s="631"/>
      <c r="D3997" s="631"/>
      <c r="E3997" s="633"/>
      <c r="F3997" s="650"/>
    </row>
    <row r="3998" spans="3:6">
      <c r="C3998" s="631"/>
      <c r="D3998" s="631"/>
      <c r="E3998" s="633"/>
      <c r="F3998" s="650"/>
    </row>
    <row r="3999" spans="3:6">
      <c r="C3999" s="631"/>
      <c r="D3999" s="631"/>
      <c r="E3999" s="633"/>
      <c r="F3999" s="650"/>
    </row>
    <row r="4000" spans="3:6">
      <c r="C4000" s="631"/>
      <c r="D4000" s="631"/>
      <c r="E4000" s="633"/>
      <c r="F4000" s="650"/>
    </row>
    <row r="4001" spans="3:6">
      <c r="C4001" s="631"/>
      <c r="D4001" s="631"/>
      <c r="E4001" s="633"/>
      <c r="F4001" s="650"/>
    </row>
    <row r="4002" spans="3:6">
      <c r="C4002" s="631"/>
      <c r="D4002" s="631"/>
      <c r="E4002" s="633"/>
      <c r="F4002" s="650"/>
    </row>
    <row r="4003" spans="3:6">
      <c r="C4003" s="631"/>
      <c r="D4003" s="631"/>
      <c r="E4003" s="633"/>
      <c r="F4003" s="650"/>
    </row>
    <row r="4004" spans="3:6">
      <c r="C4004" s="631"/>
      <c r="D4004" s="631"/>
      <c r="E4004" s="633"/>
      <c r="F4004" s="650"/>
    </row>
    <row r="4005" spans="3:6">
      <c r="C4005" s="631"/>
      <c r="D4005" s="631"/>
      <c r="E4005" s="633"/>
      <c r="F4005" s="650"/>
    </row>
    <row r="4006" spans="3:6">
      <c r="C4006" s="631"/>
      <c r="D4006" s="631"/>
      <c r="E4006" s="633"/>
      <c r="F4006" s="650"/>
    </row>
    <row r="4007" spans="3:6">
      <c r="C4007" s="631"/>
      <c r="D4007" s="631"/>
      <c r="E4007" s="633"/>
      <c r="F4007" s="650"/>
    </row>
    <row r="4008" spans="3:6">
      <c r="C4008" s="631"/>
      <c r="D4008" s="631"/>
      <c r="E4008" s="633"/>
      <c r="F4008" s="650"/>
    </row>
    <row r="4009" spans="3:6">
      <c r="C4009" s="631"/>
      <c r="D4009" s="631"/>
      <c r="E4009" s="633"/>
      <c r="F4009" s="650"/>
    </row>
    <row r="4010" spans="3:6">
      <c r="C4010" s="631"/>
      <c r="D4010" s="631"/>
      <c r="E4010" s="633"/>
      <c r="F4010" s="650"/>
    </row>
    <row r="4011" spans="3:6">
      <c r="C4011" s="631"/>
      <c r="D4011" s="631"/>
      <c r="E4011" s="633"/>
      <c r="F4011" s="650"/>
    </row>
    <row r="4012" spans="3:6">
      <c r="C4012" s="631"/>
      <c r="D4012" s="631"/>
      <c r="E4012" s="633"/>
      <c r="F4012" s="650"/>
    </row>
    <row r="4013" spans="3:6">
      <c r="C4013" s="631"/>
      <c r="D4013" s="631"/>
      <c r="E4013" s="633"/>
      <c r="F4013" s="650"/>
    </row>
    <row r="4014" spans="3:6">
      <c r="C4014" s="631"/>
      <c r="D4014" s="631"/>
      <c r="E4014" s="633"/>
      <c r="F4014" s="650"/>
    </row>
    <row r="4015" spans="3:6">
      <c r="C4015" s="631"/>
      <c r="D4015" s="631"/>
      <c r="E4015" s="633"/>
      <c r="F4015" s="650"/>
    </row>
    <row r="4016" spans="3:6">
      <c r="C4016" s="631"/>
      <c r="D4016" s="631"/>
      <c r="E4016" s="633"/>
      <c r="F4016" s="650"/>
    </row>
    <row r="4017" spans="3:6">
      <c r="C4017" s="631"/>
      <c r="D4017" s="631"/>
      <c r="E4017" s="633"/>
      <c r="F4017" s="650"/>
    </row>
    <row r="4018" spans="3:6">
      <c r="C4018" s="631"/>
      <c r="D4018" s="631"/>
      <c r="E4018" s="633"/>
      <c r="F4018" s="650"/>
    </row>
    <row r="4019" spans="3:6">
      <c r="C4019" s="631"/>
      <c r="D4019" s="631"/>
      <c r="E4019" s="633"/>
      <c r="F4019" s="650"/>
    </row>
    <row r="4020" spans="3:6">
      <c r="C4020" s="631"/>
      <c r="D4020" s="631"/>
      <c r="E4020" s="633"/>
      <c r="F4020" s="650"/>
    </row>
    <row r="4021" spans="3:6">
      <c r="C4021" s="631"/>
      <c r="D4021" s="631"/>
      <c r="E4021" s="633"/>
      <c r="F4021" s="650"/>
    </row>
    <row r="4022" spans="3:6">
      <c r="C4022" s="631"/>
      <c r="D4022" s="631"/>
      <c r="E4022" s="633"/>
      <c r="F4022" s="650"/>
    </row>
    <row r="4023" spans="3:6">
      <c r="C4023" s="631"/>
      <c r="D4023" s="631"/>
      <c r="E4023" s="633"/>
      <c r="F4023" s="650"/>
    </row>
    <row r="4024" spans="3:6">
      <c r="C4024" s="631"/>
      <c r="D4024" s="631"/>
      <c r="E4024" s="633"/>
      <c r="F4024" s="650"/>
    </row>
    <row r="4025" spans="3:6">
      <c r="C4025" s="631"/>
      <c r="D4025" s="631"/>
      <c r="E4025" s="633"/>
      <c r="F4025" s="650"/>
    </row>
    <row r="4026" spans="3:6">
      <c r="C4026" s="631"/>
      <c r="D4026" s="631"/>
      <c r="E4026" s="633"/>
      <c r="F4026" s="650"/>
    </row>
    <row r="4027" spans="3:6">
      <c r="C4027" s="631"/>
      <c r="D4027" s="631"/>
      <c r="E4027" s="633"/>
      <c r="F4027" s="650"/>
    </row>
    <row r="4028" spans="3:6">
      <c r="C4028" s="631"/>
      <c r="D4028" s="631"/>
      <c r="E4028" s="633"/>
      <c r="F4028" s="650"/>
    </row>
    <row r="4029" spans="3:6">
      <c r="C4029" s="631"/>
      <c r="D4029" s="631"/>
      <c r="E4029" s="633"/>
      <c r="F4029" s="650"/>
    </row>
    <row r="4030" spans="3:6">
      <c r="C4030" s="631"/>
      <c r="D4030" s="631"/>
      <c r="E4030" s="633"/>
      <c r="F4030" s="650"/>
    </row>
    <row r="4031" spans="3:6">
      <c r="C4031" s="631"/>
      <c r="D4031" s="631"/>
      <c r="E4031" s="633"/>
      <c r="F4031" s="650"/>
    </row>
    <row r="4032" spans="3:6">
      <c r="C4032" s="631"/>
      <c r="D4032" s="631"/>
      <c r="E4032" s="633"/>
      <c r="F4032" s="650"/>
    </row>
    <row r="4033" spans="3:6">
      <c r="C4033" s="631"/>
      <c r="D4033" s="631"/>
      <c r="E4033" s="633"/>
      <c r="F4033" s="650"/>
    </row>
    <row r="4034" spans="3:6">
      <c r="C4034" s="631"/>
      <c r="D4034" s="631"/>
      <c r="E4034" s="633"/>
      <c r="F4034" s="650"/>
    </row>
    <row r="4035" spans="3:6">
      <c r="C4035" s="631"/>
      <c r="D4035" s="631"/>
      <c r="E4035" s="633"/>
      <c r="F4035" s="650"/>
    </row>
    <row r="4036" spans="3:6">
      <c r="C4036" s="631"/>
      <c r="D4036" s="631"/>
      <c r="E4036" s="633"/>
      <c r="F4036" s="650"/>
    </row>
    <row r="4037" spans="3:6">
      <c r="C4037" s="631"/>
      <c r="D4037" s="631"/>
      <c r="E4037" s="633"/>
      <c r="F4037" s="650"/>
    </row>
    <row r="4038" spans="3:6">
      <c r="C4038" s="631"/>
      <c r="D4038" s="631"/>
      <c r="E4038" s="633"/>
      <c r="F4038" s="650"/>
    </row>
    <row r="4039" spans="3:6">
      <c r="C4039" s="631"/>
      <c r="D4039" s="631"/>
      <c r="E4039" s="633"/>
      <c r="F4039" s="650"/>
    </row>
    <row r="4040" spans="3:6">
      <c r="C4040" s="631"/>
      <c r="D4040" s="631"/>
      <c r="E4040" s="633"/>
      <c r="F4040" s="650"/>
    </row>
    <row r="4041" spans="3:6">
      <c r="C4041" s="631"/>
      <c r="D4041" s="631"/>
      <c r="E4041" s="633"/>
      <c r="F4041" s="650"/>
    </row>
    <row r="4042" spans="3:6">
      <c r="C4042" s="631"/>
      <c r="D4042" s="631"/>
      <c r="E4042" s="633"/>
      <c r="F4042" s="650"/>
    </row>
    <row r="4043" spans="3:6">
      <c r="C4043" s="631"/>
      <c r="D4043" s="631"/>
      <c r="E4043" s="633"/>
      <c r="F4043" s="650"/>
    </row>
    <row r="4044" spans="3:6">
      <c r="C4044" s="631"/>
      <c r="D4044" s="631"/>
      <c r="E4044" s="633"/>
      <c r="F4044" s="650"/>
    </row>
    <row r="4045" spans="3:6">
      <c r="C4045" s="631"/>
      <c r="D4045" s="631"/>
      <c r="E4045" s="633"/>
      <c r="F4045" s="650"/>
    </row>
    <row r="4046" spans="3:6">
      <c r="C4046" s="631"/>
      <c r="D4046" s="631"/>
      <c r="E4046" s="633"/>
      <c r="F4046" s="650"/>
    </row>
    <row r="4047" spans="3:6">
      <c r="C4047" s="631"/>
      <c r="D4047" s="631"/>
      <c r="E4047" s="633"/>
      <c r="F4047" s="650"/>
    </row>
    <row r="4048" spans="3:6">
      <c r="C4048" s="631"/>
      <c r="D4048" s="631"/>
      <c r="E4048" s="633"/>
      <c r="F4048" s="650"/>
    </row>
    <row r="4049" spans="3:6">
      <c r="C4049" s="631"/>
      <c r="D4049" s="631"/>
      <c r="E4049" s="633"/>
      <c r="F4049" s="650"/>
    </row>
    <row r="4050" spans="3:6">
      <c r="C4050" s="631"/>
      <c r="D4050" s="631"/>
      <c r="E4050" s="633"/>
      <c r="F4050" s="650"/>
    </row>
    <row r="4051" spans="3:6">
      <c r="C4051" s="631"/>
      <c r="D4051" s="631"/>
      <c r="E4051" s="633"/>
      <c r="F4051" s="650"/>
    </row>
    <row r="4052" spans="3:6">
      <c r="C4052" s="631"/>
      <c r="D4052" s="631"/>
      <c r="E4052" s="633"/>
      <c r="F4052" s="650"/>
    </row>
    <row r="4053" spans="3:6">
      <c r="C4053" s="631"/>
      <c r="D4053" s="631"/>
      <c r="E4053" s="633"/>
      <c r="F4053" s="650"/>
    </row>
    <row r="4054" spans="3:6">
      <c r="C4054" s="631"/>
      <c r="D4054" s="631"/>
      <c r="E4054" s="633"/>
      <c r="F4054" s="650"/>
    </row>
    <row r="4055" spans="3:6">
      <c r="C4055" s="631"/>
      <c r="D4055" s="631"/>
      <c r="E4055" s="633"/>
      <c r="F4055" s="650"/>
    </row>
    <row r="4056" spans="3:6">
      <c r="C4056" s="631"/>
      <c r="D4056" s="631"/>
      <c r="E4056" s="633"/>
      <c r="F4056" s="650"/>
    </row>
    <row r="4057" spans="3:6">
      <c r="C4057" s="631"/>
      <c r="D4057" s="631"/>
      <c r="E4057" s="633"/>
      <c r="F4057" s="650"/>
    </row>
    <row r="4058" spans="3:6">
      <c r="C4058" s="631"/>
      <c r="D4058" s="631"/>
      <c r="E4058" s="633"/>
      <c r="F4058" s="650"/>
    </row>
    <row r="4059" spans="3:6">
      <c r="C4059" s="631"/>
      <c r="D4059" s="631"/>
      <c r="E4059" s="633"/>
      <c r="F4059" s="650"/>
    </row>
    <row r="4060" spans="3:6">
      <c r="C4060" s="631"/>
      <c r="D4060" s="631"/>
      <c r="E4060" s="633"/>
      <c r="F4060" s="650"/>
    </row>
    <row r="4061" spans="3:6">
      <c r="C4061" s="631"/>
      <c r="D4061" s="631"/>
      <c r="E4061" s="633"/>
      <c r="F4061" s="650"/>
    </row>
    <row r="4062" spans="3:6">
      <c r="C4062" s="631"/>
      <c r="D4062" s="631"/>
      <c r="E4062" s="633"/>
      <c r="F4062" s="650"/>
    </row>
    <row r="4063" spans="3:6">
      <c r="C4063" s="631"/>
      <c r="D4063" s="631"/>
      <c r="E4063" s="633"/>
      <c r="F4063" s="650"/>
    </row>
    <row r="4064" spans="3:6">
      <c r="C4064" s="631"/>
      <c r="D4064" s="631"/>
      <c r="E4064" s="633"/>
      <c r="F4064" s="650"/>
    </row>
    <row r="4065" spans="3:6">
      <c r="C4065" s="631"/>
      <c r="D4065" s="631"/>
      <c r="E4065" s="633"/>
      <c r="F4065" s="650"/>
    </row>
    <row r="4066" spans="3:6">
      <c r="C4066" s="631"/>
      <c r="D4066" s="631"/>
      <c r="E4066" s="633"/>
      <c r="F4066" s="650"/>
    </row>
    <row r="4067" spans="3:6">
      <c r="C4067" s="631"/>
      <c r="D4067" s="631"/>
      <c r="E4067" s="633"/>
      <c r="F4067" s="650"/>
    </row>
    <row r="4068" spans="3:6">
      <c r="C4068" s="631"/>
      <c r="D4068" s="631"/>
      <c r="E4068" s="633"/>
      <c r="F4068" s="650"/>
    </row>
    <row r="4069" spans="3:6">
      <c r="C4069" s="631"/>
      <c r="D4069" s="631"/>
      <c r="E4069" s="633"/>
      <c r="F4069" s="650"/>
    </row>
    <row r="4070" spans="3:6">
      <c r="C4070" s="631"/>
      <c r="D4070" s="631"/>
      <c r="E4070" s="633"/>
      <c r="F4070" s="650"/>
    </row>
    <row r="4071" spans="3:6">
      <c r="C4071" s="631"/>
      <c r="D4071" s="631"/>
      <c r="E4071" s="633"/>
      <c r="F4071" s="650"/>
    </row>
    <row r="4072" spans="3:6">
      <c r="C4072" s="631"/>
      <c r="D4072" s="631"/>
      <c r="E4072" s="633"/>
      <c r="F4072" s="650"/>
    </row>
    <row r="4073" spans="3:6">
      <c r="C4073" s="631"/>
      <c r="D4073" s="631"/>
      <c r="E4073" s="633"/>
      <c r="F4073" s="650"/>
    </row>
    <row r="4074" spans="3:6">
      <c r="C4074" s="631"/>
      <c r="D4074" s="631"/>
      <c r="E4074" s="633"/>
      <c r="F4074" s="650"/>
    </row>
    <row r="4075" spans="3:6">
      <c r="C4075" s="631"/>
      <c r="D4075" s="631"/>
      <c r="E4075" s="633"/>
      <c r="F4075" s="650"/>
    </row>
    <row r="4076" spans="3:6">
      <c r="C4076" s="631"/>
      <c r="D4076" s="631"/>
      <c r="E4076" s="633"/>
      <c r="F4076" s="650"/>
    </row>
    <row r="4077" spans="3:6">
      <c r="C4077" s="631"/>
      <c r="D4077" s="631"/>
      <c r="E4077" s="633"/>
      <c r="F4077" s="650"/>
    </row>
    <row r="4078" spans="3:6">
      <c r="C4078" s="631"/>
      <c r="D4078" s="631"/>
      <c r="E4078" s="633"/>
      <c r="F4078" s="650"/>
    </row>
    <row r="4079" spans="3:6">
      <c r="C4079" s="631"/>
      <c r="D4079" s="631"/>
      <c r="E4079" s="633"/>
      <c r="F4079" s="650"/>
    </row>
    <row r="4080" spans="3:6">
      <c r="C4080" s="631"/>
      <c r="D4080" s="631"/>
      <c r="E4080" s="633"/>
      <c r="F4080" s="650"/>
    </row>
    <row r="4081" spans="3:6">
      <c r="C4081" s="631"/>
      <c r="D4081" s="631"/>
      <c r="E4081" s="633"/>
      <c r="F4081" s="650"/>
    </row>
    <row r="4082" spans="3:6">
      <c r="C4082" s="631"/>
      <c r="D4082" s="631"/>
      <c r="E4082" s="633"/>
      <c r="F4082" s="650"/>
    </row>
    <row r="4083" spans="3:6">
      <c r="C4083" s="631"/>
      <c r="D4083" s="631"/>
      <c r="E4083" s="633"/>
      <c r="F4083" s="650"/>
    </row>
    <row r="4084" spans="3:6">
      <c r="C4084" s="631"/>
      <c r="D4084" s="631"/>
      <c r="E4084" s="633"/>
      <c r="F4084" s="650"/>
    </row>
    <row r="4085" spans="3:6">
      <c r="C4085" s="631"/>
      <c r="D4085" s="631"/>
      <c r="E4085" s="633"/>
      <c r="F4085" s="650"/>
    </row>
    <row r="4086" spans="3:6">
      <c r="C4086" s="631"/>
      <c r="D4086" s="631"/>
      <c r="E4086" s="633"/>
      <c r="F4086" s="650"/>
    </row>
    <row r="4087" spans="3:6">
      <c r="C4087" s="631"/>
      <c r="D4087" s="631"/>
      <c r="E4087" s="633"/>
      <c r="F4087" s="650"/>
    </row>
    <row r="4088" spans="3:6">
      <c r="C4088" s="631"/>
      <c r="D4088" s="631"/>
      <c r="E4088" s="633"/>
      <c r="F4088" s="650"/>
    </row>
    <row r="4089" spans="3:6">
      <c r="C4089" s="631"/>
      <c r="D4089" s="631"/>
      <c r="E4089" s="633"/>
      <c r="F4089" s="650"/>
    </row>
    <row r="4090" spans="3:6">
      <c r="C4090" s="631"/>
      <c r="D4090" s="631"/>
      <c r="E4090" s="633"/>
      <c r="F4090" s="650"/>
    </row>
    <row r="4091" spans="3:6">
      <c r="C4091" s="631"/>
      <c r="D4091" s="631"/>
      <c r="E4091" s="633"/>
      <c r="F4091" s="650"/>
    </row>
    <row r="4092" spans="3:6">
      <c r="C4092" s="631"/>
      <c r="D4092" s="631"/>
      <c r="E4092" s="633"/>
      <c r="F4092" s="650"/>
    </row>
    <row r="4093" spans="3:6">
      <c r="C4093" s="631"/>
      <c r="D4093" s="631"/>
      <c r="E4093" s="633"/>
      <c r="F4093" s="650"/>
    </row>
    <row r="4094" spans="3:6">
      <c r="C4094" s="631"/>
      <c r="D4094" s="631"/>
      <c r="E4094" s="633"/>
      <c r="F4094" s="650"/>
    </row>
    <row r="4095" spans="3:6">
      <c r="C4095" s="631"/>
      <c r="D4095" s="631"/>
      <c r="E4095" s="633"/>
      <c r="F4095" s="650"/>
    </row>
    <row r="4096" spans="3:6">
      <c r="C4096" s="631"/>
      <c r="D4096" s="631"/>
      <c r="E4096" s="633"/>
      <c r="F4096" s="650"/>
    </row>
    <row r="4097" spans="3:6">
      <c r="C4097" s="631"/>
      <c r="D4097" s="631"/>
      <c r="E4097" s="633"/>
      <c r="F4097" s="650"/>
    </row>
    <row r="4098" spans="3:6">
      <c r="C4098" s="631"/>
      <c r="D4098" s="631"/>
      <c r="E4098" s="633"/>
      <c r="F4098" s="650"/>
    </row>
    <row r="4099" spans="3:6">
      <c r="C4099" s="631"/>
      <c r="D4099" s="631"/>
      <c r="E4099" s="633"/>
      <c r="F4099" s="650"/>
    </row>
    <row r="4100" spans="3:6">
      <c r="C4100" s="631"/>
      <c r="D4100" s="631"/>
      <c r="E4100" s="633"/>
      <c r="F4100" s="650"/>
    </row>
    <row r="4101" spans="3:6">
      <c r="C4101" s="631"/>
      <c r="D4101" s="631"/>
      <c r="E4101" s="633"/>
      <c r="F4101" s="650"/>
    </row>
    <row r="4102" spans="3:6">
      <c r="C4102" s="631"/>
      <c r="D4102" s="631"/>
      <c r="E4102" s="633"/>
      <c r="F4102" s="650"/>
    </row>
    <row r="4103" spans="3:6">
      <c r="C4103" s="631"/>
      <c r="D4103" s="631"/>
      <c r="E4103" s="633"/>
      <c r="F4103" s="650"/>
    </row>
    <row r="4104" spans="3:6">
      <c r="C4104" s="631"/>
      <c r="D4104" s="631"/>
      <c r="E4104" s="633"/>
      <c r="F4104" s="650"/>
    </row>
    <row r="4105" spans="3:6">
      <c r="C4105" s="631"/>
      <c r="D4105" s="631"/>
      <c r="E4105" s="633"/>
      <c r="F4105" s="650"/>
    </row>
    <row r="4106" spans="3:6">
      <c r="C4106" s="631"/>
      <c r="D4106" s="631"/>
      <c r="E4106" s="633"/>
      <c r="F4106" s="650"/>
    </row>
    <row r="4107" spans="3:6">
      <c r="C4107" s="631"/>
      <c r="D4107" s="631"/>
      <c r="E4107" s="633"/>
      <c r="F4107" s="650"/>
    </row>
    <row r="4108" spans="3:6">
      <c r="C4108" s="631"/>
      <c r="D4108" s="631"/>
      <c r="E4108" s="633"/>
      <c r="F4108" s="650"/>
    </row>
    <row r="4109" spans="3:6">
      <c r="C4109" s="631"/>
      <c r="D4109" s="631"/>
      <c r="E4109" s="633"/>
      <c r="F4109" s="650"/>
    </row>
    <row r="4110" spans="3:6">
      <c r="C4110" s="631"/>
      <c r="D4110" s="631"/>
      <c r="E4110" s="633"/>
      <c r="F4110" s="650"/>
    </row>
    <row r="4111" spans="3:6">
      <c r="C4111" s="631"/>
      <c r="D4111" s="631"/>
      <c r="E4111" s="633"/>
      <c r="F4111" s="650"/>
    </row>
    <row r="4112" spans="3:6">
      <c r="C4112" s="631"/>
      <c r="D4112" s="631"/>
      <c r="E4112" s="633"/>
      <c r="F4112" s="650"/>
    </row>
    <row r="4113" spans="3:6">
      <c r="C4113" s="631"/>
      <c r="D4113" s="631"/>
      <c r="E4113" s="633"/>
      <c r="F4113" s="650"/>
    </row>
    <row r="4114" spans="3:6">
      <c r="C4114" s="631"/>
      <c r="D4114" s="631"/>
      <c r="E4114" s="633"/>
      <c r="F4114" s="650"/>
    </row>
    <row r="4115" spans="3:6">
      <c r="C4115" s="631"/>
      <c r="D4115" s="631"/>
      <c r="E4115" s="633"/>
      <c r="F4115" s="650"/>
    </row>
    <row r="4116" spans="3:6">
      <c r="C4116" s="631"/>
      <c r="D4116" s="631"/>
      <c r="E4116" s="633"/>
      <c r="F4116" s="650"/>
    </row>
    <row r="4117" spans="3:6">
      <c r="C4117" s="631"/>
      <c r="D4117" s="631"/>
      <c r="E4117" s="633"/>
      <c r="F4117" s="650"/>
    </row>
    <row r="4118" spans="3:6">
      <c r="C4118" s="631"/>
      <c r="D4118" s="631"/>
      <c r="E4118" s="633"/>
      <c r="F4118" s="650"/>
    </row>
    <row r="4119" spans="3:6">
      <c r="C4119" s="631"/>
      <c r="D4119" s="631"/>
      <c r="E4119" s="633"/>
      <c r="F4119" s="650"/>
    </row>
    <row r="4120" spans="3:6">
      <c r="C4120" s="631"/>
      <c r="D4120" s="631"/>
      <c r="E4120" s="633"/>
      <c r="F4120" s="650"/>
    </row>
    <row r="4121" spans="3:6">
      <c r="C4121" s="631"/>
      <c r="D4121" s="631"/>
      <c r="E4121" s="633"/>
      <c r="F4121" s="650"/>
    </row>
    <row r="4122" spans="3:6">
      <c r="C4122" s="631"/>
      <c r="D4122" s="631"/>
      <c r="E4122" s="633"/>
      <c r="F4122" s="650"/>
    </row>
    <row r="4123" spans="3:6">
      <c r="C4123" s="631"/>
      <c r="D4123" s="631"/>
      <c r="E4123" s="633"/>
      <c r="F4123" s="650"/>
    </row>
    <row r="4124" spans="3:6">
      <c r="C4124" s="631"/>
      <c r="D4124" s="631"/>
      <c r="E4124" s="633"/>
      <c r="F4124" s="650"/>
    </row>
    <row r="4125" spans="3:6">
      <c r="C4125" s="631"/>
      <c r="D4125" s="631"/>
      <c r="E4125" s="633"/>
      <c r="F4125" s="650"/>
    </row>
    <row r="4126" spans="3:6">
      <c r="C4126" s="631"/>
      <c r="D4126" s="631"/>
      <c r="E4126" s="633"/>
      <c r="F4126" s="650"/>
    </row>
    <row r="4127" spans="3:6">
      <c r="C4127" s="631"/>
      <c r="D4127" s="631"/>
      <c r="E4127" s="633"/>
      <c r="F4127" s="650"/>
    </row>
    <row r="4128" spans="3:6">
      <c r="C4128" s="631"/>
      <c r="D4128" s="631"/>
      <c r="E4128" s="633"/>
      <c r="F4128" s="650"/>
    </row>
    <row r="4129" spans="3:6">
      <c r="C4129" s="631"/>
      <c r="D4129" s="631"/>
      <c r="E4129" s="633"/>
      <c r="F4129" s="650"/>
    </row>
    <row r="4130" spans="3:6">
      <c r="C4130" s="631"/>
      <c r="D4130" s="631"/>
      <c r="E4130" s="633"/>
      <c r="F4130" s="650"/>
    </row>
    <row r="4131" spans="3:6">
      <c r="C4131" s="631"/>
      <c r="D4131" s="631"/>
      <c r="E4131" s="633"/>
      <c r="F4131" s="650"/>
    </row>
    <row r="4132" spans="3:6">
      <c r="C4132" s="631"/>
      <c r="D4132" s="631"/>
      <c r="E4132" s="633"/>
      <c r="F4132" s="650"/>
    </row>
    <row r="4133" spans="3:6">
      <c r="C4133" s="631"/>
      <c r="D4133" s="631"/>
      <c r="E4133" s="633"/>
      <c r="F4133" s="650"/>
    </row>
    <row r="4134" spans="3:6">
      <c r="C4134" s="631"/>
      <c r="D4134" s="631"/>
      <c r="E4134" s="633"/>
      <c r="F4134" s="650"/>
    </row>
    <row r="4135" spans="3:6">
      <c r="C4135" s="631"/>
      <c r="D4135" s="631"/>
      <c r="E4135" s="633"/>
      <c r="F4135" s="650"/>
    </row>
    <row r="4136" spans="3:6">
      <c r="C4136" s="631"/>
      <c r="D4136" s="631"/>
      <c r="E4136" s="633"/>
      <c r="F4136" s="650"/>
    </row>
    <row r="4137" spans="3:6">
      <c r="C4137" s="631"/>
      <c r="D4137" s="631"/>
      <c r="E4137" s="633"/>
      <c r="F4137" s="650"/>
    </row>
    <row r="4138" spans="3:6">
      <c r="C4138" s="631"/>
      <c r="D4138" s="631"/>
      <c r="E4138" s="633"/>
      <c r="F4138" s="650"/>
    </row>
    <row r="4139" spans="3:6">
      <c r="C4139" s="631"/>
      <c r="D4139" s="631"/>
      <c r="E4139" s="633"/>
      <c r="F4139" s="650"/>
    </row>
    <row r="4140" spans="3:6">
      <c r="C4140" s="631"/>
      <c r="D4140" s="631"/>
      <c r="E4140" s="633"/>
      <c r="F4140" s="650"/>
    </row>
    <row r="4141" spans="3:6">
      <c r="C4141" s="631"/>
      <c r="D4141" s="631"/>
      <c r="E4141" s="633"/>
      <c r="F4141" s="650"/>
    </row>
    <row r="4142" spans="3:6">
      <c r="C4142" s="631"/>
      <c r="D4142" s="631"/>
      <c r="E4142" s="633"/>
      <c r="F4142" s="650"/>
    </row>
    <row r="4143" spans="3:6">
      <c r="C4143" s="631"/>
      <c r="D4143" s="631"/>
      <c r="E4143" s="633"/>
      <c r="F4143" s="650"/>
    </row>
    <row r="4144" spans="3:6">
      <c r="C4144" s="631"/>
      <c r="D4144" s="631"/>
      <c r="E4144" s="633"/>
      <c r="F4144" s="650"/>
    </row>
    <row r="4145" spans="3:6">
      <c r="C4145" s="631"/>
      <c r="D4145" s="631"/>
      <c r="E4145" s="633"/>
      <c r="F4145" s="650"/>
    </row>
    <row r="4146" spans="3:6">
      <c r="C4146" s="631"/>
      <c r="D4146" s="631"/>
      <c r="E4146" s="633"/>
      <c r="F4146" s="650"/>
    </row>
    <row r="4147" spans="3:6">
      <c r="C4147" s="631"/>
      <c r="D4147" s="631"/>
      <c r="E4147" s="633"/>
      <c r="F4147" s="650"/>
    </row>
    <row r="4148" spans="3:6">
      <c r="C4148" s="631"/>
      <c r="D4148" s="631"/>
      <c r="E4148" s="633"/>
      <c r="F4148" s="650"/>
    </row>
    <row r="4149" spans="3:6">
      <c r="C4149" s="631"/>
      <c r="D4149" s="631"/>
      <c r="E4149" s="633"/>
      <c r="F4149" s="650"/>
    </row>
    <row r="4150" spans="3:6">
      <c r="C4150" s="631"/>
      <c r="D4150" s="631"/>
      <c r="E4150" s="633"/>
      <c r="F4150" s="650"/>
    </row>
    <row r="4151" spans="3:6">
      <c r="C4151" s="631"/>
      <c r="D4151" s="631"/>
      <c r="E4151" s="633"/>
      <c r="F4151" s="650"/>
    </row>
    <row r="4152" spans="3:6">
      <c r="C4152" s="631"/>
      <c r="D4152" s="631"/>
      <c r="E4152" s="633"/>
      <c r="F4152" s="650"/>
    </row>
    <row r="4153" spans="3:6">
      <c r="C4153" s="631"/>
      <c r="D4153" s="631"/>
      <c r="E4153" s="633"/>
      <c r="F4153" s="650"/>
    </row>
    <row r="4154" spans="3:6">
      <c r="C4154" s="631"/>
      <c r="D4154" s="631"/>
      <c r="E4154" s="633"/>
      <c r="F4154" s="650"/>
    </row>
    <row r="4155" spans="3:6">
      <c r="C4155" s="631"/>
      <c r="D4155" s="631"/>
      <c r="E4155" s="633"/>
      <c r="F4155" s="650"/>
    </row>
    <row r="4156" spans="3:6">
      <c r="C4156" s="631"/>
      <c r="D4156" s="631"/>
      <c r="E4156" s="633"/>
      <c r="F4156" s="650"/>
    </row>
    <row r="4157" spans="3:6">
      <c r="C4157" s="631"/>
      <c r="D4157" s="631"/>
      <c r="E4157" s="633"/>
      <c r="F4157" s="650"/>
    </row>
    <row r="4158" spans="3:6">
      <c r="C4158" s="631"/>
      <c r="D4158" s="631"/>
      <c r="E4158" s="633"/>
      <c r="F4158" s="650"/>
    </row>
    <row r="4159" spans="3:6">
      <c r="C4159" s="631"/>
      <c r="D4159" s="631"/>
      <c r="E4159" s="633"/>
      <c r="F4159" s="650"/>
    </row>
    <row r="4160" spans="3:6">
      <c r="C4160" s="631"/>
      <c r="D4160" s="631"/>
      <c r="E4160" s="633"/>
      <c r="F4160" s="650"/>
    </row>
    <row r="4161" spans="3:6">
      <c r="C4161" s="631"/>
      <c r="D4161" s="631"/>
      <c r="E4161" s="633"/>
      <c r="F4161" s="650"/>
    </row>
    <row r="4162" spans="3:6">
      <c r="C4162" s="631"/>
      <c r="D4162" s="631"/>
      <c r="E4162" s="633"/>
      <c r="F4162" s="650"/>
    </row>
    <row r="4163" spans="3:6">
      <c r="C4163" s="631"/>
      <c r="D4163" s="631"/>
      <c r="E4163" s="633"/>
      <c r="F4163" s="650"/>
    </row>
    <row r="4164" spans="3:6">
      <c r="C4164" s="631"/>
      <c r="D4164" s="631"/>
      <c r="E4164" s="633"/>
      <c r="F4164" s="650"/>
    </row>
    <row r="4165" spans="3:6">
      <c r="C4165" s="631"/>
      <c r="D4165" s="631"/>
      <c r="E4165" s="633"/>
      <c r="F4165" s="650"/>
    </row>
    <row r="4166" spans="3:6">
      <c r="C4166" s="631"/>
      <c r="D4166" s="631"/>
      <c r="E4166" s="633"/>
      <c r="F4166" s="650"/>
    </row>
    <row r="4167" spans="3:6">
      <c r="C4167" s="631"/>
      <c r="D4167" s="631"/>
      <c r="E4167" s="633"/>
      <c r="F4167" s="650"/>
    </row>
    <row r="4168" spans="3:6">
      <c r="C4168" s="631"/>
      <c r="D4168" s="631"/>
      <c r="E4168" s="633"/>
      <c r="F4168" s="650"/>
    </row>
    <row r="4169" spans="3:6">
      <c r="C4169" s="631"/>
      <c r="D4169" s="631"/>
      <c r="E4169" s="633"/>
      <c r="F4169" s="650"/>
    </row>
    <row r="4170" spans="3:6">
      <c r="C4170" s="631"/>
      <c r="D4170" s="631"/>
      <c r="E4170" s="633"/>
      <c r="F4170" s="650"/>
    </row>
    <row r="4171" spans="3:6">
      <c r="C4171" s="631"/>
      <c r="D4171" s="631"/>
      <c r="E4171" s="633"/>
      <c r="F4171" s="650"/>
    </row>
    <row r="4172" spans="3:6">
      <c r="C4172" s="631"/>
      <c r="D4172" s="631"/>
      <c r="E4172" s="633"/>
      <c r="F4172" s="650"/>
    </row>
    <row r="4173" spans="3:6">
      <c r="C4173" s="631"/>
      <c r="D4173" s="631"/>
      <c r="E4173" s="633"/>
      <c r="F4173" s="650"/>
    </row>
    <row r="4174" spans="3:6">
      <c r="C4174" s="631"/>
      <c r="D4174" s="631"/>
      <c r="E4174" s="633"/>
      <c r="F4174" s="650"/>
    </row>
    <row r="4175" spans="3:6">
      <c r="C4175" s="631"/>
      <c r="D4175" s="631"/>
      <c r="E4175" s="633"/>
      <c r="F4175" s="650"/>
    </row>
    <row r="4176" spans="3:6">
      <c r="C4176" s="631"/>
      <c r="D4176" s="631"/>
      <c r="E4176" s="633"/>
      <c r="F4176" s="650"/>
    </row>
    <row r="4177" spans="3:6">
      <c r="C4177" s="631"/>
      <c r="D4177" s="631"/>
      <c r="E4177" s="633"/>
      <c r="F4177" s="650"/>
    </row>
    <row r="4178" spans="3:6">
      <c r="C4178" s="631"/>
      <c r="D4178" s="631"/>
      <c r="E4178" s="633"/>
      <c r="F4178" s="650"/>
    </row>
    <row r="4179" spans="3:6">
      <c r="C4179" s="631"/>
      <c r="D4179" s="631"/>
      <c r="E4179" s="633"/>
      <c r="F4179" s="650"/>
    </row>
    <row r="4180" spans="3:6">
      <c r="C4180" s="631"/>
      <c r="D4180" s="631"/>
      <c r="E4180" s="633"/>
      <c r="F4180" s="650"/>
    </row>
    <row r="4181" spans="3:6">
      <c r="C4181" s="631"/>
      <c r="D4181" s="631"/>
      <c r="E4181" s="633"/>
      <c r="F4181" s="650"/>
    </row>
    <row r="4182" spans="3:6">
      <c r="C4182" s="631"/>
      <c r="D4182" s="631"/>
      <c r="E4182" s="633"/>
      <c r="F4182" s="650"/>
    </row>
    <row r="4183" spans="3:6">
      <c r="C4183" s="631"/>
      <c r="D4183" s="631"/>
      <c r="E4183" s="633"/>
      <c r="F4183" s="650"/>
    </row>
    <row r="4184" spans="3:6">
      <c r="C4184" s="631"/>
      <c r="D4184" s="631"/>
      <c r="E4184" s="633"/>
      <c r="F4184" s="650"/>
    </row>
    <row r="4185" spans="3:6">
      <c r="C4185" s="631"/>
      <c r="D4185" s="631"/>
      <c r="E4185" s="633"/>
      <c r="F4185" s="650"/>
    </row>
    <row r="4186" spans="3:6">
      <c r="C4186" s="631"/>
      <c r="D4186" s="631"/>
      <c r="E4186" s="633"/>
      <c r="F4186" s="650"/>
    </row>
    <row r="4187" spans="3:6">
      <c r="C4187" s="631"/>
      <c r="D4187" s="631"/>
      <c r="E4187" s="633"/>
      <c r="F4187" s="650"/>
    </row>
    <row r="4188" spans="3:6">
      <c r="C4188" s="631"/>
      <c r="D4188" s="631"/>
      <c r="E4188" s="633"/>
      <c r="F4188" s="650"/>
    </row>
    <row r="4189" spans="3:6">
      <c r="C4189" s="631"/>
      <c r="D4189" s="631"/>
      <c r="E4189" s="633"/>
      <c r="F4189" s="650"/>
    </row>
    <row r="4190" spans="3:6">
      <c r="C4190" s="631"/>
      <c r="D4190" s="631"/>
      <c r="E4190" s="633"/>
      <c r="F4190" s="650"/>
    </row>
    <row r="4191" spans="3:6">
      <c r="C4191" s="631"/>
      <c r="D4191" s="631"/>
      <c r="E4191" s="633"/>
      <c r="F4191" s="650"/>
    </row>
    <row r="4192" spans="3:6">
      <c r="C4192" s="631"/>
      <c r="D4192" s="631"/>
      <c r="E4192" s="633"/>
      <c r="F4192" s="650"/>
    </row>
    <row r="4193" spans="3:6">
      <c r="C4193" s="631"/>
      <c r="D4193" s="631"/>
      <c r="E4193" s="633"/>
      <c r="F4193" s="650"/>
    </row>
    <row r="4194" spans="3:6">
      <c r="C4194" s="631"/>
      <c r="D4194" s="631"/>
      <c r="E4194" s="633"/>
      <c r="F4194" s="650"/>
    </row>
    <row r="4195" spans="3:6">
      <c r="C4195" s="631"/>
      <c r="D4195" s="631"/>
      <c r="E4195" s="633"/>
      <c r="F4195" s="650"/>
    </row>
    <row r="4196" spans="3:6">
      <c r="C4196" s="631"/>
      <c r="D4196" s="631"/>
      <c r="E4196" s="633"/>
      <c r="F4196" s="650"/>
    </row>
    <row r="4197" spans="3:6">
      <c r="C4197" s="631"/>
      <c r="D4197" s="631"/>
      <c r="E4197" s="633"/>
      <c r="F4197" s="650"/>
    </row>
    <row r="4198" spans="3:6">
      <c r="C4198" s="631"/>
      <c r="D4198" s="631"/>
      <c r="E4198" s="633"/>
      <c r="F4198" s="650"/>
    </row>
    <row r="4199" spans="3:6">
      <c r="C4199" s="631"/>
      <c r="D4199" s="631"/>
      <c r="E4199" s="633"/>
      <c r="F4199" s="650"/>
    </row>
    <row r="4200" spans="3:6">
      <c r="C4200" s="631"/>
      <c r="D4200" s="631"/>
      <c r="E4200" s="633"/>
      <c r="F4200" s="650"/>
    </row>
    <row r="4201" spans="3:6">
      <c r="C4201" s="631"/>
      <c r="D4201" s="631"/>
      <c r="E4201" s="633"/>
      <c r="F4201" s="650"/>
    </row>
    <row r="4202" spans="3:6">
      <c r="C4202" s="631"/>
      <c r="D4202" s="631"/>
      <c r="E4202" s="633"/>
      <c r="F4202" s="650"/>
    </row>
    <row r="4203" spans="3:6">
      <c r="C4203" s="631"/>
      <c r="D4203" s="631"/>
      <c r="E4203" s="633"/>
      <c r="F4203" s="650"/>
    </row>
    <row r="4204" spans="3:6">
      <c r="C4204" s="631"/>
      <c r="D4204" s="631"/>
      <c r="E4204" s="633"/>
      <c r="F4204" s="650"/>
    </row>
    <row r="4205" spans="3:6">
      <c r="C4205" s="631"/>
      <c r="D4205" s="631"/>
      <c r="E4205" s="633"/>
      <c r="F4205" s="650"/>
    </row>
    <row r="4206" spans="3:6">
      <c r="C4206" s="631"/>
      <c r="D4206" s="631"/>
      <c r="E4206" s="633"/>
      <c r="F4206" s="650"/>
    </row>
    <row r="4207" spans="3:6">
      <c r="C4207" s="631"/>
      <c r="D4207" s="631"/>
      <c r="E4207" s="633"/>
      <c r="F4207" s="650"/>
    </row>
    <row r="4208" spans="3:6">
      <c r="C4208" s="631"/>
      <c r="D4208" s="631"/>
      <c r="E4208" s="633"/>
      <c r="F4208" s="650"/>
    </row>
    <row r="4209" spans="3:6">
      <c r="C4209" s="631"/>
      <c r="D4209" s="631"/>
      <c r="E4209" s="633"/>
      <c r="F4209" s="650"/>
    </row>
    <row r="4210" spans="3:6">
      <c r="C4210" s="631"/>
      <c r="D4210" s="631"/>
      <c r="E4210" s="633"/>
      <c r="F4210" s="650"/>
    </row>
    <row r="4211" spans="3:6">
      <c r="C4211" s="631"/>
      <c r="D4211" s="631"/>
      <c r="E4211" s="633"/>
      <c r="F4211" s="650"/>
    </row>
    <row r="4212" spans="3:6">
      <c r="C4212" s="631"/>
      <c r="D4212" s="631"/>
      <c r="E4212" s="633"/>
      <c r="F4212" s="650"/>
    </row>
    <row r="4213" spans="3:6">
      <c r="C4213" s="631"/>
      <c r="D4213" s="631"/>
      <c r="E4213" s="633"/>
      <c r="F4213" s="650"/>
    </row>
    <row r="4214" spans="3:6">
      <c r="C4214" s="631"/>
      <c r="D4214" s="631"/>
      <c r="E4214" s="633"/>
      <c r="F4214" s="650"/>
    </row>
    <row r="4215" spans="3:6">
      <c r="C4215" s="631"/>
      <c r="D4215" s="631"/>
      <c r="E4215" s="633"/>
      <c r="F4215" s="650"/>
    </row>
    <row r="4216" spans="3:6">
      <c r="C4216" s="631"/>
      <c r="D4216" s="631"/>
      <c r="E4216" s="633"/>
      <c r="F4216" s="650"/>
    </row>
    <row r="4217" spans="3:6">
      <c r="C4217" s="631"/>
      <c r="D4217" s="631"/>
      <c r="E4217" s="633"/>
      <c r="F4217" s="650"/>
    </row>
    <row r="4218" spans="3:6">
      <c r="C4218" s="631"/>
      <c r="D4218" s="631"/>
      <c r="E4218" s="633"/>
      <c r="F4218" s="650"/>
    </row>
    <row r="4219" spans="3:6">
      <c r="C4219" s="631"/>
      <c r="D4219" s="631"/>
      <c r="E4219" s="633"/>
      <c r="F4219" s="650"/>
    </row>
    <row r="4220" spans="3:6">
      <c r="C4220" s="631"/>
      <c r="D4220" s="631"/>
      <c r="E4220" s="633"/>
      <c r="F4220" s="650"/>
    </row>
    <row r="4221" spans="3:6">
      <c r="C4221" s="631"/>
      <c r="D4221" s="631"/>
      <c r="E4221" s="633"/>
      <c r="F4221" s="650"/>
    </row>
    <row r="4222" spans="3:6">
      <c r="C4222" s="631"/>
      <c r="D4222" s="631"/>
      <c r="E4222" s="633"/>
      <c r="F4222" s="650"/>
    </row>
    <row r="4223" spans="3:6">
      <c r="C4223" s="631"/>
      <c r="D4223" s="631"/>
      <c r="E4223" s="633"/>
      <c r="F4223" s="650"/>
    </row>
    <row r="4224" spans="3:6">
      <c r="C4224" s="631"/>
      <c r="D4224" s="631"/>
      <c r="E4224" s="633"/>
      <c r="F4224" s="650"/>
    </row>
    <row r="4225" spans="3:6">
      <c r="C4225" s="631"/>
      <c r="D4225" s="631"/>
      <c r="E4225" s="633"/>
      <c r="F4225" s="650"/>
    </row>
    <row r="4226" spans="3:6">
      <c r="C4226" s="631"/>
      <c r="D4226" s="631"/>
      <c r="E4226" s="633"/>
      <c r="F4226" s="650"/>
    </row>
    <row r="4227" spans="3:6">
      <c r="C4227" s="631"/>
      <c r="D4227" s="631"/>
      <c r="E4227" s="633"/>
      <c r="F4227" s="650"/>
    </row>
    <row r="4228" spans="3:6">
      <c r="C4228" s="631"/>
      <c r="D4228" s="631"/>
      <c r="E4228" s="633"/>
      <c r="F4228" s="650"/>
    </row>
    <row r="4229" spans="3:6">
      <c r="C4229" s="631"/>
      <c r="D4229" s="631"/>
      <c r="E4229" s="633"/>
      <c r="F4229" s="650"/>
    </row>
    <row r="4230" spans="3:6">
      <c r="C4230" s="631"/>
      <c r="D4230" s="631"/>
      <c r="E4230" s="633"/>
      <c r="F4230" s="650"/>
    </row>
    <row r="4231" spans="3:6">
      <c r="C4231" s="631"/>
      <c r="D4231" s="631"/>
      <c r="E4231" s="633"/>
      <c r="F4231" s="650"/>
    </row>
    <row r="4232" spans="3:6">
      <c r="C4232" s="631"/>
      <c r="D4232" s="631"/>
      <c r="E4232" s="633"/>
      <c r="F4232" s="650"/>
    </row>
    <row r="4233" spans="3:6">
      <c r="C4233" s="631"/>
      <c r="D4233" s="631"/>
      <c r="E4233" s="633"/>
      <c r="F4233" s="650"/>
    </row>
    <row r="4234" spans="3:6">
      <c r="C4234" s="631"/>
      <c r="D4234" s="631"/>
      <c r="E4234" s="633"/>
      <c r="F4234" s="650"/>
    </row>
    <row r="4235" spans="3:6">
      <c r="C4235" s="631"/>
      <c r="D4235" s="631"/>
      <c r="E4235" s="633"/>
      <c r="F4235" s="650"/>
    </row>
    <row r="4236" spans="3:6">
      <c r="C4236" s="631"/>
      <c r="D4236" s="631"/>
      <c r="E4236" s="633"/>
      <c r="F4236" s="650"/>
    </row>
    <row r="4237" spans="3:6">
      <c r="C4237" s="631"/>
      <c r="D4237" s="631"/>
      <c r="E4237" s="633"/>
      <c r="F4237" s="650"/>
    </row>
    <row r="4238" spans="3:6">
      <c r="C4238" s="631"/>
      <c r="D4238" s="631"/>
      <c r="E4238" s="633"/>
      <c r="F4238" s="650"/>
    </row>
    <row r="4239" spans="3:6">
      <c r="C4239" s="631"/>
      <c r="D4239" s="631"/>
      <c r="E4239" s="633"/>
      <c r="F4239" s="650"/>
    </row>
    <row r="4240" spans="3:6">
      <c r="C4240" s="631"/>
      <c r="D4240" s="631"/>
      <c r="E4240" s="633"/>
      <c r="F4240" s="650"/>
    </row>
    <row r="4241" spans="3:6">
      <c r="C4241" s="631"/>
      <c r="D4241" s="631"/>
      <c r="E4241" s="633"/>
      <c r="F4241" s="650"/>
    </row>
    <row r="4242" spans="3:6">
      <c r="C4242" s="631"/>
      <c r="D4242" s="631"/>
      <c r="E4242" s="633"/>
      <c r="F4242" s="650"/>
    </row>
    <row r="4243" spans="3:6">
      <c r="C4243" s="631"/>
      <c r="D4243" s="631"/>
      <c r="E4243" s="633"/>
      <c r="F4243" s="650"/>
    </row>
    <row r="4244" spans="3:6">
      <c r="C4244" s="631"/>
      <c r="D4244" s="631"/>
      <c r="E4244" s="633"/>
      <c r="F4244" s="650"/>
    </row>
    <row r="4245" spans="3:6">
      <c r="C4245" s="631"/>
      <c r="D4245" s="631"/>
      <c r="E4245" s="633"/>
      <c r="F4245" s="650"/>
    </row>
    <row r="4246" spans="3:6">
      <c r="C4246" s="631"/>
      <c r="D4246" s="631"/>
      <c r="E4246" s="633"/>
      <c r="F4246" s="650"/>
    </row>
    <row r="4247" spans="3:6">
      <c r="C4247" s="631"/>
      <c r="D4247" s="631"/>
      <c r="E4247" s="633"/>
      <c r="F4247" s="650"/>
    </row>
    <row r="4248" spans="3:6">
      <c r="C4248" s="631"/>
      <c r="D4248" s="631"/>
      <c r="E4248" s="633"/>
      <c r="F4248" s="650"/>
    </row>
    <row r="4249" spans="3:6">
      <c r="C4249" s="631"/>
      <c r="D4249" s="631"/>
      <c r="E4249" s="633"/>
      <c r="F4249" s="650"/>
    </row>
    <row r="4250" spans="3:6">
      <c r="C4250" s="631"/>
      <c r="D4250" s="631"/>
      <c r="E4250" s="633"/>
      <c r="F4250" s="650"/>
    </row>
    <row r="4251" spans="3:6">
      <c r="C4251" s="631"/>
      <c r="D4251" s="631"/>
      <c r="E4251" s="633"/>
      <c r="F4251" s="650"/>
    </row>
    <row r="4252" spans="3:6">
      <c r="C4252" s="631"/>
      <c r="D4252" s="631"/>
      <c r="E4252" s="633"/>
      <c r="F4252" s="650"/>
    </row>
    <row r="4253" spans="3:6">
      <c r="C4253" s="631"/>
      <c r="D4253" s="631"/>
      <c r="E4253" s="633"/>
      <c r="F4253" s="650"/>
    </row>
    <row r="4254" spans="3:6">
      <c r="C4254" s="631"/>
      <c r="D4254" s="631"/>
      <c r="E4254" s="633"/>
      <c r="F4254" s="650"/>
    </row>
    <row r="4255" spans="3:6">
      <c r="C4255" s="631"/>
      <c r="D4255" s="631"/>
      <c r="E4255" s="633"/>
      <c r="F4255" s="650"/>
    </row>
    <row r="4256" spans="3:6">
      <c r="C4256" s="631"/>
      <c r="D4256" s="631"/>
      <c r="E4256" s="633"/>
      <c r="F4256" s="650"/>
    </row>
    <row r="4257" spans="3:6">
      <c r="C4257" s="631"/>
      <c r="D4257" s="631"/>
      <c r="E4257" s="633"/>
      <c r="F4257" s="650"/>
    </row>
    <row r="4258" spans="3:6">
      <c r="C4258" s="631"/>
      <c r="D4258" s="631"/>
      <c r="E4258" s="633"/>
      <c r="F4258" s="650"/>
    </row>
    <row r="4259" spans="3:6">
      <c r="C4259" s="631"/>
      <c r="D4259" s="631"/>
      <c r="E4259" s="633"/>
      <c r="F4259" s="650"/>
    </row>
    <row r="4260" spans="3:6">
      <c r="C4260" s="631"/>
      <c r="D4260" s="631"/>
      <c r="E4260" s="633"/>
      <c r="F4260" s="650"/>
    </row>
    <row r="4261" spans="3:6">
      <c r="C4261" s="631"/>
      <c r="D4261" s="631"/>
      <c r="E4261" s="633"/>
      <c r="F4261" s="650"/>
    </row>
    <row r="4262" spans="3:6">
      <c r="C4262" s="631"/>
      <c r="D4262" s="631"/>
      <c r="E4262" s="633"/>
      <c r="F4262" s="650"/>
    </row>
    <row r="4263" spans="3:6">
      <c r="C4263" s="631"/>
      <c r="D4263" s="631"/>
      <c r="E4263" s="633"/>
      <c r="F4263" s="650"/>
    </row>
    <row r="4264" spans="3:6">
      <c r="C4264" s="631"/>
      <c r="D4264" s="631"/>
      <c r="E4264" s="633"/>
      <c r="F4264" s="650"/>
    </row>
    <row r="4265" spans="3:6">
      <c r="C4265" s="631"/>
      <c r="D4265" s="631"/>
      <c r="E4265" s="633"/>
      <c r="F4265" s="650"/>
    </row>
    <row r="4266" spans="3:6">
      <c r="C4266" s="631"/>
      <c r="D4266" s="631"/>
      <c r="E4266" s="633"/>
      <c r="F4266" s="650"/>
    </row>
    <row r="4267" spans="3:6">
      <c r="C4267" s="631"/>
      <c r="D4267" s="631"/>
      <c r="E4267" s="633"/>
      <c r="F4267" s="650"/>
    </row>
    <row r="4268" spans="3:6">
      <c r="C4268" s="631"/>
      <c r="D4268" s="631"/>
      <c r="E4268" s="633"/>
      <c r="F4268" s="650"/>
    </row>
    <row r="4269" spans="3:6">
      <c r="C4269" s="631"/>
      <c r="D4269" s="631"/>
      <c r="E4269" s="633"/>
      <c r="F4269" s="650"/>
    </row>
    <row r="4270" spans="3:6">
      <c r="C4270" s="631"/>
      <c r="D4270" s="631"/>
      <c r="E4270" s="633"/>
      <c r="F4270" s="650"/>
    </row>
    <row r="4271" spans="3:6">
      <c r="C4271" s="631"/>
      <c r="D4271" s="631"/>
      <c r="E4271" s="633"/>
      <c r="F4271" s="650"/>
    </row>
    <row r="4272" spans="3:6">
      <c r="C4272" s="631"/>
      <c r="D4272" s="631"/>
      <c r="E4272" s="633"/>
      <c r="F4272" s="650"/>
    </row>
    <row r="4273" spans="3:6">
      <c r="C4273" s="631"/>
      <c r="D4273" s="631"/>
      <c r="E4273" s="633"/>
      <c r="F4273" s="650"/>
    </row>
    <row r="4274" spans="3:6">
      <c r="C4274" s="631"/>
      <c r="D4274" s="631"/>
      <c r="E4274" s="633"/>
      <c r="F4274" s="650"/>
    </row>
    <row r="4275" spans="3:6">
      <c r="C4275" s="631"/>
      <c r="D4275" s="631"/>
      <c r="E4275" s="633"/>
      <c r="F4275" s="650"/>
    </row>
    <row r="4276" spans="3:6">
      <c r="C4276" s="631"/>
      <c r="D4276" s="631"/>
      <c r="E4276" s="633"/>
      <c r="F4276" s="650"/>
    </row>
    <row r="4277" spans="3:6">
      <c r="C4277" s="631"/>
      <c r="D4277" s="631"/>
      <c r="E4277" s="633"/>
      <c r="F4277" s="650"/>
    </row>
    <row r="4278" spans="3:6">
      <c r="C4278" s="631"/>
      <c r="D4278" s="631"/>
      <c r="E4278" s="633"/>
      <c r="F4278" s="650"/>
    </row>
    <row r="4279" spans="3:6">
      <c r="C4279" s="631"/>
      <c r="D4279" s="631"/>
      <c r="E4279" s="633"/>
      <c r="F4279" s="650"/>
    </row>
    <row r="4280" spans="3:6">
      <c r="C4280" s="631"/>
      <c r="D4280" s="631"/>
      <c r="E4280" s="633"/>
      <c r="F4280" s="650"/>
    </row>
    <row r="4281" spans="3:6">
      <c r="C4281" s="631"/>
      <c r="D4281" s="631"/>
      <c r="E4281" s="633"/>
      <c r="F4281" s="650"/>
    </row>
    <row r="4282" spans="3:6">
      <c r="C4282" s="631"/>
      <c r="D4282" s="631"/>
      <c r="E4282" s="633"/>
      <c r="F4282" s="650"/>
    </row>
    <row r="4283" spans="3:6">
      <c r="C4283" s="631"/>
      <c r="D4283" s="631"/>
      <c r="E4283" s="633"/>
      <c r="F4283" s="650"/>
    </row>
    <row r="4284" spans="3:6">
      <c r="C4284" s="631"/>
      <c r="D4284" s="631"/>
      <c r="E4284" s="633"/>
      <c r="F4284" s="650"/>
    </row>
    <row r="4285" spans="3:6">
      <c r="C4285" s="631"/>
      <c r="D4285" s="631"/>
      <c r="E4285" s="633"/>
      <c r="F4285" s="650"/>
    </row>
    <row r="4286" spans="3:6">
      <c r="C4286" s="631"/>
      <c r="D4286" s="631"/>
      <c r="E4286" s="633"/>
      <c r="F4286" s="650"/>
    </row>
    <row r="4287" spans="3:6">
      <c r="C4287" s="631"/>
      <c r="D4287" s="631"/>
      <c r="E4287" s="633"/>
      <c r="F4287" s="650"/>
    </row>
    <row r="4288" spans="3:6">
      <c r="C4288" s="631"/>
      <c r="D4288" s="631"/>
      <c r="E4288" s="633"/>
      <c r="F4288" s="650"/>
    </row>
    <row r="4289" spans="3:6">
      <c r="C4289" s="631"/>
      <c r="D4289" s="631"/>
      <c r="E4289" s="633"/>
      <c r="F4289" s="650"/>
    </row>
    <row r="4290" spans="3:6">
      <c r="C4290" s="631"/>
      <c r="D4290" s="631"/>
      <c r="E4290" s="633"/>
      <c r="F4290" s="650"/>
    </row>
    <row r="4291" spans="3:6">
      <c r="C4291" s="631"/>
      <c r="D4291" s="631"/>
      <c r="E4291" s="633"/>
      <c r="F4291" s="650"/>
    </row>
    <row r="4292" spans="3:6">
      <c r="C4292" s="631"/>
      <c r="D4292" s="631"/>
      <c r="E4292" s="633"/>
      <c r="F4292" s="650"/>
    </row>
    <row r="4293" spans="3:6">
      <c r="C4293" s="631"/>
      <c r="D4293" s="631"/>
      <c r="E4293" s="633"/>
      <c r="F4293" s="650"/>
    </row>
    <row r="4294" spans="3:6">
      <c r="C4294" s="631"/>
      <c r="D4294" s="631"/>
      <c r="E4294" s="633"/>
      <c r="F4294" s="650"/>
    </row>
    <row r="4295" spans="3:6">
      <c r="C4295" s="631"/>
      <c r="D4295" s="631"/>
      <c r="E4295" s="633"/>
      <c r="F4295" s="650"/>
    </row>
    <row r="4296" spans="3:6">
      <c r="C4296" s="631"/>
      <c r="D4296" s="631"/>
      <c r="E4296" s="633"/>
      <c r="F4296" s="650"/>
    </row>
    <row r="4297" spans="3:6">
      <c r="C4297" s="631"/>
      <c r="D4297" s="631"/>
      <c r="E4297" s="633"/>
      <c r="F4297" s="650"/>
    </row>
    <row r="4298" spans="3:6">
      <c r="C4298" s="631"/>
      <c r="D4298" s="631"/>
      <c r="E4298" s="633"/>
      <c r="F4298" s="650"/>
    </row>
    <row r="4299" spans="3:6">
      <c r="C4299" s="631"/>
      <c r="D4299" s="631"/>
      <c r="E4299" s="633"/>
      <c r="F4299" s="650"/>
    </row>
    <row r="4300" spans="3:6">
      <c r="C4300" s="631"/>
      <c r="D4300" s="631"/>
      <c r="E4300" s="633"/>
      <c r="F4300" s="650"/>
    </row>
    <row r="4301" spans="3:6">
      <c r="C4301" s="631"/>
      <c r="D4301" s="631"/>
      <c r="E4301" s="633"/>
      <c r="F4301" s="650"/>
    </row>
    <row r="4302" spans="3:6">
      <c r="C4302" s="631"/>
      <c r="D4302" s="631"/>
      <c r="E4302" s="633"/>
      <c r="F4302" s="650"/>
    </row>
    <row r="4303" spans="3:6">
      <c r="C4303" s="631"/>
      <c r="D4303" s="631"/>
      <c r="E4303" s="633"/>
      <c r="F4303" s="650"/>
    </row>
    <row r="4304" spans="3:6">
      <c r="C4304" s="631"/>
      <c r="D4304" s="631"/>
      <c r="E4304" s="633"/>
      <c r="F4304" s="650"/>
    </row>
    <row r="4305" spans="3:6">
      <c r="C4305" s="631"/>
      <c r="D4305" s="631"/>
      <c r="E4305" s="633"/>
      <c r="F4305" s="650"/>
    </row>
    <row r="4306" spans="3:6">
      <c r="C4306" s="631"/>
      <c r="D4306" s="631"/>
      <c r="E4306" s="633"/>
      <c r="F4306" s="650"/>
    </row>
    <row r="4307" spans="3:6">
      <c r="C4307" s="631"/>
      <c r="D4307" s="631"/>
      <c r="E4307" s="633"/>
      <c r="F4307" s="650"/>
    </row>
    <row r="4308" spans="3:6">
      <c r="C4308" s="631"/>
      <c r="D4308" s="631"/>
      <c r="E4308" s="633"/>
      <c r="F4308" s="650"/>
    </row>
    <row r="4309" spans="3:6">
      <c r="C4309" s="631"/>
      <c r="D4309" s="631"/>
      <c r="E4309" s="633"/>
      <c r="F4309" s="650"/>
    </row>
    <row r="4310" spans="3:6">
      <c r="C4310" s="631"/>
      <c r="D4310" s="631"/>
      <c r="E4310" s="633"/>
      <c r="F4310" s="650"/>
    </row>
    <row r="4311" spans="3:6">
      <c r="C4311" s="631"/>
      <c r="D4311" s="631"/>
      <c r="E4311" s="633"/>
      <c r="F4311" s="650"/>
    </row>
    <row r="4312" spans="3:6">
      <c r="C4312" s="631"/>
      <c r="D4312" s="631"/>
      <c r="E4312" s="633"/>
      <c r="F4312" s="650"/>
    </row>
    <row r="4313" spans="3:6">
      <c r="C4313" s="631"/>
      <c r="D4313" s="631"/>
      <c r="E4313" s="633"/>
      <c r="F4313" s="650"/>
    </row>
    <row r="4314" spans="3:6">
      <c r="C4314" s="631"/>
      <c r="D4314" s="631"/>
      <c r="E4314" s="633"/>
      <c r="F4314" s="650"/>
    </row>
    <row r="4315" spans="3:6">
      <c r="C4315" s="631"/>
      <c r="D4315" s="631"/>
      <c r="E4315" s="633"/>
      <c r="F4315" s="650"/>
    </row>
    <row r="4316" spans="3:6">
      <c r="C4316" s="631"/>
      <c r="D4316" s="631"/>
      <c r="E4316" s="633"/>
      <c r="F4316" s="650"/>
    </row>
    <row r="4317" spans="3:6">
      <c r="C4317" s="631"/>
      <c r="D4317" s="631"/>
      <c r="E4317" s="633"/>
      <c r="F4317" s="650"/>
    </row>
    <row r="4318" spans="3:6">
      <c r="C4318" s="631"/>
      <c r="D4318" s="631"/>
      <c r="E4318" s="633"/>
      <c r="F4318" s="650"/>
    </row>
    <row r="4319" spans="3:6">
      <c r="C4319" s="631"/>
      <c r="D4319" s="631"/>
      <c r="E4319" s="633"/>
      <c r="F4319" s="650"/>
    </row>
    <row r="4320" spans="3:6">
      <c r="C4320" s="631"/>
      <c r="D4320" s="631"/>
      <c r="E4320" s="633"/>
      <c r="F4320" s="650"/>
    </row>
    <row r="4321" spans="3:6">
      <c r="C4321" s="631"/>
      <c r="D4321" s="631"/>
      <c r="E4321" s="633"/>
      <c r="F4321" s="650"/>
    </row>
    <row r="4322" spans="3:6">
      <c r="C4322" s="631"/>
      <c r="D4322" s="631"/>
      <c r="E4322" s="633"/>
      <c r="F4322" s="650"/>
    </row>
    <row r="4323" spans="3:6">
      <c r="C4323" s="631"/>
      <c r="D4323" s="631"/>
      <c r="E4323" s="633"/>
      <c r="F4323" s="650"/>
    </row>
    <row r="4324" spans="3:6">
      <c r="C4324" s="631"/>
      <c r="D4324" s="631"/>
      <c r="E4324" s="633"/>
      <c r="F4324" s="650"/>
    </row>
    <row r="4325" spans="3:6">
      <c r="C4325" s="631"/>
      <c r="D4325" s="631"/>
      <c r="E4325" s="633"/>
      <c r="F4325" s="650"/>
    </row>
    <row r="4326" spans="3:6">
      <c r="C4326" s="631"/>
      <c r="D4326" s="631"/>
      <c r="E4326" s="633"/>
      <c r="F4326" s="650"/>
    </row>
    <row r="4327" spans="3:6">
      <c r="C4327" s="631"/>
      <c r="D4327" s="631"/>
      <c r="E4327" s="633"/>
      <c r="F4327" s="650"/>
    </row>
    <row r="4328" spans="3:6">
      <c r="C4328" s="631"/>
      <c r="D4328" s="631"/>
      <c r="E4328" s="633"/>
      <c r="F4328" s="650"/>
    </row>
    <row r="4329" spans="3:6">
      <c r="C4329" s="631"/>
      <c r="D4329" s="631"/>
      <c r="E4329" s="633"/>
      <c r="F4329" s="650"/>
    </row>
    <row r="4330" spans="3:6">
      <c r="C4330" s="631"/>
      <c r="D4330" s="631"/>
      <c r="E4330" s="633"/>
      <c r="F4330" s="650"/>
    </row>
    <row r="4331" spans="3:6">
      <c r="C4331" s="631"/>
      <c r="D4331" s="631"/>
      <c r="E4331" s="633"/>
      <c r="F4331" s="650"/>
    </row>
    <row r="4332" spans="3:6">
      <c r="C4332" s="631"/>
      <c r="D4332" s="631"/>
      <c r="E4332" s="633"/>
      <c r="F4332" s="650"/>
    </row>
    <row r="4333" spans="3:6">
      <c r="C4333" s="631"/>
      <c r="D4333" s="631"/>
      <c r="E4333" s="633"/>
      <c r="F4333" s="650"/>
    </row>
    <row r="4334" spans="3:6">
      <c r="C4334" s="631"/>
      <c r="D4334" s="631"/>
      <c r="E4334" s="633"/>
      <c r="F4334" s="650"/>
    </row>
    <row r="4335" spans="3:6">
      <c r="C4335" s="631"/>
      <c r="D4335" s="631"/>
      <c r="E4335" s="633"/>
      <c r="F4335" s="650"/>
    </row>
    <row r="4336" spans="3:6">
      <c r="C4336" s="631"/>
      <c r="D4336" s="631"/>
      <c r="E4336" s="633"/>
      <c r="F4336" s="650"/>
    </row>
    <row r="4337" spans="3:6">
      <c r="C4337" s="631"/>
      <c r="D4337" s="631"/>
      <c r="E4337" s="633"/>
      <c r="F4337" s="650"/>
    </row>
    <row r="4338" spans="3:6">
      <c r="C4338" s="631"/>
      <c r="D4338" s="631"/>
      <c r="E4338" s="633"/>
      <c r="F4338" s="650"/>
    </row>
    <row r="4339" spans="3:6">
      <c r="C4339" s="631"/>
      <c r="D4339" s="631"/>
      <c r="E4339" s="633"/>
      <c r="F4339" s="650"/>
    </row>
    <row r="4340" spans="3:6">
      <c r="C4340" s="631"/>
      <c r="D4340" s="631"/>
      <c r="E4340" s="633"/>
      <c r="F4340" s="650"/>
    </row>
    <row r="4341" spans="3:6">
      <c r="C4341" s="631"/>
      <c r="D4341" s="631"/>
      <c r="E4341" s="633"/>
      <c r="F4341" s="650"/>
    </row>
    <row r="4342" spans="3:6">
      <c r="C4342" s="631"/>
      <c r="D4342" s="631"/>
      <c r="E4342" s="633"/>
      <c r="F4342" s="650"/>
    </row>
    <row r="4343" spans="3:6">
      <c r="C4343" s="631"/>
      <c r="D4343" s="631"/>
      <c r="E4343" s="633"/>
      <c r="F4343" s="650"/>
    </row>
    <row r="4344" spans="3:6">
      <c r="C4344" s="631"/>
      <c r="D4344" s="631"/>
      <c r="E4344" s="633"/>
      <c r="F4344" s="650"/>
    </row>
    <row r="4345" spans="3:6">
      <c r="C4345" s="631"/>
      <c r="D4345" s="631"/>
      <c r="E4345" s="633"/>
      <c r="F4345" s="650"/>
    </row>
    <row r="4346" spans="3:6">
      <c r="C4346" s="631"/>
      <c r="D4346" s="631"/>
      <c r="E4346" s="633"/>
      <c r="F4346" s="650"/>
    </row>
    <row r="4347" spans="3:6">
      <c r="C4347" s="631"/>
      <c r="D4347" s="631"/>
      <c r="E4347" s="633"/>
      <c r="F4347" s="650"/>
    </row>
    <row r="4348" spans="3:6">
      <c r="C4348" s="631"/>
      <c r="D4348" s="631"/>
      <c r="E4348" s="633"/>
      <c r="F4348" s="650"/>
    </row>
    <row r="4349" spans="3:6">
      <c r="C4349" s="631"/>
      <c r="D4349" s="631"/>
      <c r="E4349" s="633"/>
      <c r="F4349" s="650"/>
    </row>
    <row r="4350" spans="3:6">
      <c r="C4350" s="631"/>
      <c r="D4350" s="631"/>
      <c r="E4350" s="633"/>
      <c r="F4350" s="650"/>
    </row>
    <row r="4351" spans="3:6">
      <c r="C4351" s="631"/>
      <c r="D4351" s="631"/>
      <c r="E4351" s="633"/>
      <c r="F4351" s="650"/>
    </row>
    <row r="4352" spans="3:6">
      <c r="C4352" s="631"/>
      <c r="D4352" s="631"/>
      <c r="E4352" s="633"/>
      <c r="F4352" s="650"/>
    </row>
    <row r="4353" spans="3:6">
      <c r="C4353" s="631"/>
      <c r="D4353" s="631"/>
      <c r="E4353" s="633"/>
      <c r="F4353" s="650"/>
    </row>
    <row r="4354" spans="3:6">
      <c r="C4354" s="631"/>
      <c r="D4354" s="631"/>
      <c r="E4354" s="633"/>
      <c r="F4354" s="650"/>
    </row>
    <row r="4355" spans="3:6">
      <c r="C4355" s="631"/>
      <c r="D4355" s="631"/>
      <c r="E4355" s="633"/>
      <c r="F4355" s="650"/>
    </row>
    <row r="4356" spans="3:6">
      <c r="C4356" s="631"/>
      <c r="D4356" s="631"/>
      <c r="E4356" s="633"/>
      <c r="F4356" s="650"/>
    </row>
    <row r="4357" spans="3:6">
      <c r="C4357" s="631"/>
      <c r="D4357" s="631"/>
      <c r="E4357" s="633"/>
      <c r="F4357" s="650"/>
    </row>
    <row r="4358" spans="3:6">
      <c r="C4358" s="631"/>
      <c r="D4358" s="631"/>
      <c r="E4358" s="633"/>
      <c r="F4358" s="650"/>
    </row>
    <row r="4359" spans="3:6">
      <c r="C4359" s="631"/>
      <c r="D4359" s="631"/>
      <c r="E4359" s="633"/>
      <c r="F4359" s="650"/>
    </row>
    <row r="4360" spans="3:6">
      <c r="C4360" s="631"/>
      <c r="D4360" s="631"/>
      <c r="E4360" s="633"/>
      <c r="F4360" s="650"/>
    </row>
    <row r="4361" spans="3:6">
      <c r="C4361" s="631"/>
      <c r="D4361" s="631"/>
      <c r="E4361" s="633"/>
      <c r="F4361" s="650"/>
    </row>
    <row r="4362" spans="3:6">
      <c r="C4362" s="631"/>
      <c r="D4362" s="631"/>
      <c r="E4362" s="633"/>
      <c r="F4362" s="650"/>
    </row>
    <row r="4363" spans="3:6">
      <c r="C4363" s="631"/>
      <c r="D4363" s="631"/>
      <c r="E4363" s="633"/>
      <c r="F4363" s="650"/>
    </row>
    <row r="4364" spans="3:6">
      <c r="C4364" s="631"/>
      <c r="D4364" s="631"/>
      <c r="E4364" s="633"/>
      <c r="F4364" s="650"/>
    </row>
    <row r="4365" spans="3:6">
      <c r="C4365" s="631"/>
      <c r="D4365" s="631"/>
      <c r="E4365" s="633"/>
      <c r="F4365" s="650"/>
    </row>
    <row r="4366" spans="3:6">
      <c r="C4366" s="631"/>
      <c r="D4366" s="631"/>
      <c r="E4366" s="633"/>
      <c r="F4366" s="650"/>
    </row>
    <row r="4367" spans="3:6">
      <c r="C4367" s="631"/>
      <c r="D4367" s="631"/>
      <c r="E4367" s="633"/>
      <c r="F4367" s="650"/>
    </row>
    <row r="4368" spans="3:6">
      <c r="C4368" s="631"/>
      <c r="D4368" s="631"/>
      <c r="E4368" s="633"/>
      <c r="F4368" s="650"/>
    </row>
    <row r="4369" spans="3:6">
      <c r="C4369" s="631"/>
      <c r="D4369" s="631"/>
      <c r="E4369" s="633"/>
      <c r="F4369" s="650"/>
    </row>
    <row r="4370" spans="3:6">
      <c r="C4370" s="631"/>
      <c r="D4370" s="631"/>
      <c r="E4370" s="633"/>
      <c r="F4370" s="650"/>
    </row>
    <row r="4371" spans="3:6">
      <c r="C4371" s="631"/>
      <c r="D4371" s="631"/>
      <c r="E4371" s="633"/>
      <c r="F4371" s="650"/>
    </row>
    <row r="4372" spans="3:6">
      <c r="C4372" s="631"/>
      <c r="D4372" s="631"/>
      <c r="E4372" s="633"/>
      <c r="F4372" s="650"/>
    </row>
    <row r="4373" spans="3:6">
      <c r="C4373" s="631"/>
      <c r="D4373" s="631"/>
      <c r="E4373" s="633"/>
      <c r="F4373" s="650"/>
    </row>
    <row r="4374" spans="3:6">
      <c r="C4374" s="631"/>
      <c r="D4374" s="631"/>
      <c r="E4374" s="633"/>
      <c r="F4374" s="650"/>
    </row>
    <row r="4375" spans="3:6">
      <c r="C4375" s="631"/>
      <c r="D4375" s="631"/>
      <c r="E4375" s="633"/>
      <c r="F4375" s="650"/>
    </row>
    <row r="4376" spans="3:6">
      <c r="C4376" s="631"/>
      <c r="D4376" s="631"/>
      <c r="E4376" s="633"/>
      <c r="F4376" s="650"/>
    </row>
    <row r="4377" spans="3:6">
      <c r="C4377" s="631"/>
      <c r="D4377" s="631"/>
      <c r="E4377" s="633"/>
      <c r="F4377" s="650"/>
    </row>
    <row r="4378" spans="3:6">
      <c r="C4378" s="631"/>
      <c r="D4378" s="631"/>
      <c r="E4378" s="633"/>
      <c r="F4378" s="650"/>
    </row>
    <row r="4379" spans="3:6">
      <c r="C4379" s="631"/>
      <c r="D4379" s="631"/>
      <c r="E4379" s="633"/>
      <c r="F4379" s="650"/>
    </row>
    <row r="4380" spans="3:6">
      <c r="C4380" s="631"/>
      <c r="D4380" s="631"/>
      <c r="E4380" s="633"/>
      <c r="F4380" s="650"/>
    </row>
    <row r="4381" spans="3:6">
      <c r="C4381" s="631"/>
      <c r="D4381" s="631"/>
      <c r="E4381" s="633"/>
      <c r="F4381" s="650"/>
    </row>
    <row r="4382" spans="3:6">
      <c r="C4382" s="631"/>
      <c r="D4382" s="631"/>
      <c r="E4382" s="633"/>
      <c r="F4382" s="650"/>
    </row>
    <row r="4383" spans="3:6">
      <c r="C4383" s="631"/>
      <c r="D4383" s="631"/>
      <c r="E4383" s="633"/>
      <c r="F4383" s="650"/>
    </row>
    <row r="4384" spans="3:6">
      <c r="C4384" s="631"/>
      <c r="D4384" s="631"/>
      <c r="E4384" s="633"/>
      <c r="F4384" s="650"/>
    </row>
    <row r="4385" spans="3:6">
      <c r="C4385" s="631"/>
      <c r="D4385" s="631"/>
      <c r="E4385" s="633"/>
      <c r="F4385" s="650"/>
    </row>
    <row r="4386" spans="3:6">
      <c r="C4386" s="631"/>
      <c r="D4386" s="631"/>
      <c r="E4386" s="633"/>
      <c r="F4386" s="650"/>
    </row>
    <row r="4387" spans="3:6">
      <c r="C4387" s="631"/>
      <c r="D4387" s="631"/>
      <c r="E4387" s="633"/>
      <c r="F4387" s="650"/>
    </row>
    <row r="4388" spans="3:6">
      <c r="C4388" s="631"/>
      <c r="D4388" s="631"/>
      <c r="E4388" s="633"/>
      <c r="F4388" s="650"/>
    </row>
    <row r="4389" spans="3:6">
      <c r="C4389" s="631"/>
      <c r="D4389" s="631"/>
      <c r="E4389" s="633"/>
      <c r="F4389" s="650"/>
    </row>
    <row r="4390" spans="3:6">
      <c r="C4390" s="631"/>
      <c r="D4390" s="631"/>
      <c r="E4390" s="633"/>
      <c r="F4390" s="650"/>
    </row>
    <row r="4391" spans="3:6">
      <c r="C4391" s="631"/>
      <c r="D4391" s="631"/>
      <c r="E4391" s="633"/>
      <c r="F4391" s="650"/>
    </row>
    <row r="4392" spans="3:6">
      <c r="C4392" s="631"/>
      <c r="D4392" s="631"/>
      <c r="E4392" s="633"/>
      <c r="F4392" s="650"/>
    </row>
    <row r="4393" spans="3:6">
      <c r="C4393" s="631"/>
      <c r="D4393" s="631"/>
      <c r="E4393" s="633"/>
      <c r="F4393" s="650"/>
    </row>
    <row r="4394" spans="3:6">
      <c r="C4394" s="631"/>
      <c r="D4394" s="631"/>
      <c r="E4394" s="633"/>
      <c r="F4394" s="650"/>
    </row>
    <row r="4395" spans="3:6">
      <c r="C4395" s="631"/>
      <c r="D4395" s="631"/>
      <c r="E4395" s="633"/>
      <c r="F4395" s="650"/>
    </row>
    <row r="4396" spans="3:6">
      <c r="C4396" s="631"/>
      <c r="D4396" s="631"/>
      <c r="E4396" s="633"/>
      <c r="F4396" s="650"/>
    </row>
    <row r="4397" spans="3:6">
      <c r="C4397" s="631"/>
      <c r="D4397" s="631"/>
      <c r="E4397" s="633"/>
      <c r="F4397" s="650"/>
    </row>
    <row r="4398" spans="3:6">
      <c r="C4398" s="631"/>
      <c r="D4398" s="631"/>
      <c r="E4398" s="633"/>
      <c r="F4398" s="650"/>
    </row>
    <row r="4399" spans="3:6">
      <c r="C4399" s="631"/>
      <c r="D4399" s="631"/>
      <c r="E4399" s="633"/>
      <c r="F4399" s="650"/>
    </row>
    <row r="4400" spans="3:6">
      <c r="C4400" s="631"/>
      <c r="D4400" s="631"/>
      <c r="E4400" s="633"/>
      <c r="F4400" s="650"/>
    </row>
    <row r="4401" spans="3:6">
      <c r="C4401" s="631"/>
      <c r="D4401" s="631"/>
      <c r="E4401" s="633"/>
      <c r="F4401" s="650"/>
    </row>
    <row r="4402" spans="3:6">
      <c r="C4402" s="631"/>
      <c r="D4402" s="631"/>
      <c r="E4402" s="633"/>
      <c r="F4402" s="650"/>
    </row>
    <row r="4403" spans="3:6">
      <c r="C4403" s="631"/>
      <c r="D4403" s="631"/>
      <c r="E4403" s="633"/>
      <c r="F4403" s="650"/>
    </row>
    <row r="4404" spans="3:6">
      <c r="C4404" s="631"/>
      <c r="D4404" s="631"/>
      <c r="E4404" s="633"/>
      <c r="F4404" s="650"/>
    </row>
    <row r="4405" spans="3:6">
      <c r="C4405" s="631"/>
      <c r="D4405" s="631"/>
      <c r="E4405" s="633"/>
      <c r="F4405" s="650"/>
    </row>
    <row r="4406" spans="3:6">
      <c r="C4406" s="631"/>
      <c r="D4406" s="631"/>
      <c r="E4406" s="633"/>
      <c r="F4406" s="650"/>
    </row>
    <row r="4407" spans="3:6">
      <c r="C4407" s="631"/>
      <c r="D4407" s="631"/>
      <c r="E4407" s="633"/>
      <c r="F4407" s="650"/>
    </row>
    <row r="4408" spans="3:6">
      <c r="C4408" s="631"/>
      <c r="D4408" s="631"/>
      <c r="E4408" s="633"/>
      <c r="F4408" s="650"/>
    </row>
    <row r="4409" spans="3:6">
      <c r="C4409" s="631"/>
      <c r="D4409" s="631"/>
      <c r="E4409" s="633"/>
      <c r="F4409" s="650"/>
    </row>
    <row r="4410" spans="3:6">
      <c r="C4410" s="631"/>
      <c r="D4410" s="631"/>
      <c r="E4410" s="633"/>
      <c r="F4410" s="650"/>
    </row>
    <row r="4411" spans="3:6">
      <c r="C4411" s="631"/>
      <c r="D4411" s="631"/>
      <c r="E4411" s="633"/>
      <c r="F4411" s="650"/>
    </row>
    <row r="4412" spans="3:6">
      <c r="C4412" s="631"/>
      <c r="D4412" s="631"/>
      <c r="E4412" s="633"/>
      <c r="F4412" s="650"/>
    </row>
    <row r="4413" spans="3:6">
      <c r="C4413" s="631"/>
      <c r="D4413" s="631"/>
      <c r="E4413" s="633"/>
      <c r="F4413" s="650"/>
    </row>
    <row r="4414" spans="3:6">
      <c r="C4414" s="631"/>
      <c r="D4414" s="631"/>
      <c r="E4414" s="633"/>
      <c r="F4414" s="650"/>
    </row>
    <row r="4415" spans="3:6">
      <c r="C4415" s="631"/>
      <c r="D4415" s="631"/>
      <c r="E4415" s="633"/>
      <c r="F4415" s="650"/>
    </row>
    <row r="4416" spans="3:6">
      <c r="C4416" s="631"/>
      <c r="D4416" s="631"/>
      <c r="E4416" s="633"/>
      <c r="F4416" s="650"/>
    </row>
    <row r="4417" spans="3:6">
      <c r="C4417" s="631"/>
      <c r="D4417" s="631"/>
      <c r="E4417" s="633"/>
      <c r="F4417" s="650"/>
    </row>
    <row r="4418" spans="3:6">
      <c r="C4418" s="631"/>
      <c r="D4418" s="631"/>
      <c r="E4418" s="633"/>
      <c r="F4418" s="650"/>
    </row>
    <row r="4419" spans="3:6">
      <c r="C4419" s="631"/>
      <c r="D4419" s="631"/>
      <c r="E4419" s="633"/>
      <c r="F4419" s="650"/>
    </row>
    <row r="4420" spans="3:6">
      <c r="C4420" s="631"/>
      <c r="D4420" s="631"/>
      <c r="E4420" s="633"/>
      <c r="F4420" s="650"/>
    </row>
    <row r="4421" spans="3:6">
      <c r="C4421" s="631"/>
      <c r="D4421" s="631"/>
      <c r="E4421" s="633"/>
      <c r="F4421" s="650"/>
    </row>
    <row r="4422" spans="3:6">
      <c r="C4422" s="631"/>
      <c r="D4422" s="631"/>
      <c r="E4422" s="633"/>
      <c r="F4422" s="650"/>
    </row>
    <row r="4423" spans="3:6">
      <c r="C4423" s="631"/>
      <c r="D4423" s="631"/>
      <c r="E4423" s="633"/>
      <c r="F4423" s="650"/>
    </row>
    <row r="4424" spans="3:6">
      <c r="C4424" s="631"/>
      <c r="D4424" s="631"/>
      <c r="E4424" s="633"/>
      <c r="F4424" s="650"/>
    </row>
    <row r="4425" spans="3:6">
      <c r="C4425" s="631"/>
      <c r="D4425" s="631"/>
      <c r="E4425" s="633"/>
      <c r="F4425" s="650"/>
    </row>
    <row r="4426" spans="3:6">
      <c r="C4426" s="631"/>
      <c r="D4426" s="631"/>
      <c r="E4426" s="633"/>
      <c r="F4426" s="650"/>
    </row>
    <row r="4427" spans="3:6">
      <c r="C4427" s="631"/>
      <c r="D4427" s="631"/>
      <c r="E4427" s="633"/>
      <c r="F4427" s="650"/>
    </row>
    <row r="4428" spans="3:6">
      <c r="C4428" s="631"/>
      <c r="D4428" s="631"/>
      <c r="E4428" s="633"/>
      <c r="F4428" s="650"/>
    </row>
    <row r="4429" spans="3:6">
      <c r="C4429" s="631"/>
      <c r="D4429" s="631"/>
      <c r="E4429" s="633"/>
      <c r="F4429" s="650"/>
    </row>
    <row r="4430" spans="3:6">
      <c r="C4430" s="631"/>
      <c r="D4430" s="631"/>
      <c r="E4430" s="633"/>
      <c r="F4430" s="650"/>
    </row>
    <row r="4431" spans="3:6">
      <c r="C4431" s="631"/>
      <c r="D4431" s="631"/>
      <c r="E4431" s="633"/>
      <c r="F4431" s="650"/>
    </row>
    <row r="4432" spans="3:6">
      <c r="C4432" s="631"/>
      <c r="D4432" s="631"/>
      <c r="E4432" s="633"/>
      <c r="F4432" s="650"/>
    </row>
    <row r="4433" spans="3:6">
      <c r="C4433" s="631"/>
      <c r="D4433" s="631"/>
      <c r="E4433" s="633"/>
      <c r="F4433" s="650"/>
    </row>
    <row r="4434" spans="3:6">
      <c r="C4434" s="631"/>
      <c r="D4434" s="631"/>
      <c r="E4434" s="633"/>
      <c r="F4434" s="650"/>
    </row>
    <row r="4435" spans="3:6">
      <c r="C4435" s="631"/>
      <c r="D4435" s="631"/>
      <c r="E4435" s="633"/>
      <c r="F4435" s="650"/>
    </row>
    <row r="4436" spans="3:6">
      <c r="C4436" s="631"/>
      <c r="D4436" s="631"/>
      <c r="E4436" s="633"/>
      <c r="F4436" s="650"/>
    </row>
    <row r="4437" spans="3:6">
      <c r="C4437" s="631"/>
      <c r="D4437" s="631"/>
      <c r="E4437" s="633"/>
      <c r="F4437" s="650"/>
    </row>
    <row r="4438" spans="3:6">
      <c r="C4438" s="631"/>
      <c r="D4438" s="631"/>
      <c r="E4438" s="633"/>
      <c r="F4438" s="650"/>
    </row>
    <row r="4439" spans="3:6">
      <c r="C4439" s="631"/>
      <c r="D4439" s="631"/>
      <c r="E4439" s="633"/>
      <c r="F4439" s="650"/>
    </row>
    <row r="4440" spans="3:6">
      <c r="C4440" s="631"/>
      <c r="D4440" s="631"/>
      <c r="E4440" s="633"/>
      <c r="F4440" s="650"/>
    </row>
    <row r="4441" spans="3:6">
      <c r="C4441" s="631"/>
      <c r="D4441" s="631"/>
      <c r="E4441" s="633"/>
      <c r="F4441" s="650"/>
    </row>
    <row r="4442" spans="3:6">
      <c r="C4442" s="631"/>
      <c r="D4442" s="631"/>
      <c r="E4442" s="633"/>
      <c r="F4442" s="650"/>
    </row>
    <row r="4443" spans="3:6">
      <c r="C4443" s="631"/>
      <c r="D4443" s="631"/>
      <c r="E4443" s="633"/>
      <c r="F4443" s="650"/>
    </row>
    <row r="4444" spans="3:6">
      <c r="C4444" s="631"/>
      <c r="D4444" s="631"/>
      <c r="E4444" s="633"/>
      <c r="F4444" s="650"/>
    </row>
    <row r="4445" spans="3:6">
      <c r="C4445" s="631"/>
      <c r="D4445" s="631"/>
      <c r="E4445" s="633"/>
      <c r="F4445" s="650"/>
    </row>
    <row r="4446" spans="3:6">
      <c r="C4446" s="631"/>
      <c r="D4446" s="631"/>
      <c r="E4446" s="633"/>
      <c r="F4446" s="650"/>
    </row>
    <row r="4447" spans="3:6">
      <c r="C4447" s="631"/>
      <c r="D4447" s="631"/>
      <c r="E4447" s="633"/>
      <c r="F4447" s="650"/>
    </row>
    <row r="4448" spans="3:6">
      <c r="C4448" s="631"/>
      <c r="D4448" s="631"/>
      <c r="E4448" s="633"/>
      <c r="F4448" s="650"/>
    </row>
    <row r="4449" spans="3:6">
      <c r="C4449" s="631"/>
      <c r="D4449" s="631"/>
      <c r="E4449" s="633"/>
      <c r="F4449" s="650"/>
    </row>
    <row r="4450" spans="3:6">
      <c r="C4450" s="631"/>
      <c r="D4450" s="631"/>
      <c r="E4450" s="633"/>
      <c r="F4450" s="650"/>
    </row>
    <row r="4451" spans="3:6">
      <c r="C4451" s="631"/>
      <c r="D4451" s="631"/>
      <c r="E4451" s="633"/>
      <c r="F4451" s="650"/>
    </row>
    <row r="4452" spans="3:6">
      <c r="C4452" s="631"/>
      <c r="D4452" s="631"/>
      <c r="E4452" s="633"/>
      <c r="F4452" s="650"/>
    </row>
    <row r="4453" spans="3:6">
      <c r="C4453" s="631"/>
      <c r="D4453" s="631"/>
      <c r="E4453" s="633"/>
      <c r="F4453" s="650"/>
    </row>
    <row r="4454" spans="3:6">
      <c r="C4454" s="631"/>
      <c r="D4454" s="631"/>
      <c r="E4454" s="633"/>
      <c r="F4454" s="650"/>
    </row>
    <row r="4455" spans="3:6">
      <c r="C4455" s="631"/>
      <c r="D4455" s="631"/>
      <c r="E4455" s="633"/>
      <c r="F4455" s="650"/>
    </row>
    <row r="4456" spans="3:6">
      <c r="C4456" s="631"/>
      <c r="D4456" s="631"/>
      <c r="E4456" s="633"/>
      <c r="F4456" s="650"/>
    </row>
    <row r="4457" spans="3:6">
      <c r="C4457" s="631"/>
      <c r="D4457" s="631"/>
      <c r="E4457" s="633"/>
      <c r="F4457" s="650"/>
    </row>
    <row r="4458" spans="3:6">
      <c r="C4458" s="631"/>
      <c r="D4458" s="631"/>
      <c r="E4458" s="633"/>
      <c r="F4458" s="650"/>
    </row>
    <row r="4459" spans="3:6">
      <c r="C4459" s="631"/>
      <c r="D4459" s="631"/>
      <c r="E4459" s="633"/>
      <c r="F4459" s="650"/>
    </row>
    <row r="4460" spans="3:6">
      <c r="C4460" s="631"/>
      <c r="D4460" s="631"/>
      <c r="E4460" s="633"/>
      <c r="F4460" s="650"/>
    </row>
    <row r="4461" spans="3:6">
      <c r="C4461" s="631"/>
      <c r="D4461" s="631"/>
      <c r="E4461" s="633"/>
      <c r="F4461" s="650"/>
    </row>
    <row r="4462" spans="3:6">
      <c r="C4462" s="631"/>
      <c r="D4462" s="631"/>
      <c r="E4462" s="633"/>
      <c r="F4462" s="650"/>
    </row>
    <row r="4463" spans="3:6">
      <c r="C4463" s="631"/>
      <c r="D4463" s="631"/>
      <c r="E4463" s="633"/>
      <c r="F4463" s="650"/>
    </row>
    <row r="4464" spans="3:6">
      <c r="C4464" s="631"/>
      <c r="D4464" s="631"/>
      <c r="E4464" s="633"/>
      <c r="F4464" s="650"/>
    </row>
    <row r="4465" spans="3:6">
      <c r="C4465" s="631"/>
      <c r="D4465" s="631"/>
      <c r="E4465" s="633"/>
      <c r="F4465" s="650"/>
    </row>
    <row r="4466" spans="3:6">
      <c r="C4466" s="631"/>
      <c r="D4466" s="631"/>
      <c r="E4466" s="633"/>
      <c r="F4466" s="650"/>
    </row>
    <row r="4467" spans="3:6">
      <c r="C4467" s="631"/>
      <c r="D4467" s="631"/>
      <c r="E4467" s="633"/>
      <c r="F4467" s="650"/>
    </row>
    <row r="4468" spans="3:6">
      <c r="C4468" s="631"/>
      <c r="D4468" s="631"/>
      <c r="E4468" s="633"/>
      <c r="F4468" s="650"/>
    </row>
    <row r="4469" spans="3:6">
      <c r="C4469" s="631"/>
      <c r="D4469" s="631"/>
      <c r="E4469" s="633"/>
      <c r="F4469" s="650"/>
    </row>
    <row r="4470" spans="3:6">
      <c r="C4470" s="631"/>
      <c r="D4470" s="631"/>
      <c r="E4470" s="633"/>
      <c r="F4470" s="650"/>
    </row>
    <row r="4471" spans="3:6">
      <c r="C4471" s="631"/>
      <c r="D4471" s="631"/>
      <c r="E4471" s="633"/>
      <c r="F4471" s="650"/>
    </row>
    <row r="4472" spans="3:6">
      <c r="C4472" s="631"/>
      <c r="D4472" s="631"/>
      <c r="E4472" s="633"/>
      <c r="F4472" s="650"/>
    </row>
    <row r="4473" spans="3:6">
      <c r="C4473" s="631"/>
      <c r="D4473" s="631"/>
      <c r="E4473" s="633"/>
      <c r="F4473" s="650"/>
    </row>
    <row r="4474" spans="3:6">
      <c r="C4474" s="631"/>
      <c r="D4474" s="631"/>
      <c r="E4474" s="633"/>
      <c r="F4474" s="650"/>
    </row>
    <row r="4475" spans="3:6">
      <c r="C4475" s="631"/>
      <c r="D4475" s="631"/>
      <c r="E4475" s="633"/>
      <c r="F4475" s="650"/>
    </row>
    <row r="4476" spans="3:6">
      <c r="C4476" s="631"/>
      <c r="D4476" s="631"/>
      <c r="E4476" s="633"/>
      <c r="F4476" s="650"/>
    </row>
    <row r="4477" spans="3:6">
      <c r="C4477" s="631"/>
      <c r="D4477" s="631"/>
      <c r="E4477" s="633"/>
      <c r="F4477" s="650"/>
    </row>
    <row r="4478" spans="3:6">
      <c r="C4478" s="631"/>
      <c r="D4478" s="631"/>
      <c r="E4478" s="633"/>
      <c r="F4478" s="650"/>
    </row>
    <row r="4479" spans="3:6">
      <c r="C4479" s="631"/>
      <c r="D4479" s="631"/>
      <c r="E4479" s="633"/>
      <c r="F4479" s="650"/>
    </row>
    <row r="4480" spans="3:6">
      <c r="C4480" s="631"/>
      <c r="D4480" s="631"/>
      <c r="E4480" s="633"/>
      <c r="F4480" s="650"/>
    </row>
    <row r="4481" spans="3:6">
      <c r="C4481" s="631"/>
      <c r="D4481" s="631"/>
      <c r="E4481" s="633"/>
      <c r="F4481" s="650"/>
    </row>
    <row r="4482" spans="3:6">
      <c r="C4482" s="631"/>
      <c r="D4482" s="631"/>
      <c r="E4482" s="633"/>
      <c r="F4482" s="650"/>
    </row>
    <row r="4483" spans="3:6">
      <c r="C4483" s="631"/>
      <c r="D4483" s="631"/>
      <c r="E4483" s="633"/>
      <c r="F4483" s="650"/>
    </row>
    <row r="4484" spans="3:6">
      <c r="C4484" s="631"/>
      <c r="D4484" s="631"/>
      <c r="E4484" s="633"/>
      <c r="F4484" s="650"/>
    </row>
    <row r="4485" spans="3:6">
      <c r="C4485" s="631"/>
      <c r="D4485" s="631"/>
      <c r="E4485" s="633"/>
      <c r="F4485" s="650"/>
    </row>
    <row r="4486" spans="3:6">
      <c r="C4486" s="631"/>
      <c r="D4486" s="631"/>
      <c r="E4486" s="633"/>
      <c r="F4486" s="650"/>
    </row>
    <row r="4487" spans="3:6">
      <c r="C4487" s="631"/>
      <c r="D4487" s="631"/>
      <c r="E4487" s="633"/>
      <c r="F4487" s="650"/>
    </row>
    <row r="4488" spans="3:6">
      <c r="C4488" s="631"/>
      <c r="D4488" s="631"/>
      <c r="E4488" s="633"/>
      <c r="F4488" s="650"/>
    </row>
    <row r="4489" spans="3:6">
      <c r="C4489" s="631"/>
      <c r="D4489" s="631"/>
      <c r="E4489" s="633"/>
      <c r="F4489" s="650"/>
    </row>
    <row r="4490" spans="3:6">
      <c r="C4490" s="631"/>
      <c r="D4490" s="631"/>
      <c r="E4490" s="633"/>
      <c r="F4490" s="650"/>
    </row>
    <row r="4491" spans="3:6">
      <c r="C4491" s="631"/>
      <c r="D4491" s="631"/>
      <c r="E4491" s="633"/>
      <c r="F4491" s="650"/>
    </row>
    <row r="4492" spans="3:6">
      <c r="C4492" s="631"/>
      <c r="D4492" s="631"/>
      <c r="E4492" s="633"/>
      <c r="F4492" s="650"/>
    </row>
    <row r="4493" spans="3:6">
      <c r="C4493" s="631"/>
      <c r="D4493" s="631"/>
      <c r="E4493" s="633"/>
      <c r="F4493" s="650"/>
    </row>
    <row r="4494" spans="3:6">
      <c r="C4494" s="631"/>
      <c r="D4494" s="631"/>
      <c r="E4494" s="633"/>
      <c r="F4494" s="650"/>
    </row>
    <row r="4495" spans="3:6">
      <c r="C4495" s="631"/>
      <c r="D4495" s="631"/>
      <c r="E4495" s="633"/>
      <c r="F4495" s="650"/>
    </row>
    <row r="4496" spans="3:6">
      <c r="C4496" s="631"/>
      <c r="D4496" s="631"/>
      <c r="E4496" s="633"/>
      <c r="F4496" s="650"/>
    </row>
    <row r="4497" spans="3:6">
      <c r="C4497" s="631"/>
      <c r="D4497" s="631"/>
      <c r="E4497" s="633"/>
      <c r="F4497" s="650"/>
    </row>
    <row r="4498" spans="3:6">
      <c r="C4498" s="631"/>
      <c r="D4498" s="631"/>
      <c r="E4498" s="633"/>
      <c r="F4498" s="650"/>
    </row>
    <row r="4499" spans="3:6">
      <c r="C4499" s="631"/>
      <c r="D4499" s="631"/>
      <c r="E4499" s="633"/>
      <c r="F4499" s="650"/>
    </row>
    <row r="4500" spans="3:6">
      <c r="C4500" s="631"/>
      <c r="D4500" s="631"/>
      <c r="E4500" s="633"/>
      <c r="F4500" s="650"/>
    </row>
    <row r="4501" spans="3:6">
      <c r="C4501" s="631"/>
      <c r="D4501" s="631"/>
      <c r="E4501" s="633"/>
      <c r="F4501" s="650"/>
    </row>
    <row r="4502" spans="3:6">
      <c r="C4502" s="631"/>
      <c r="D4502" s="631"/>
      <c r="E4502" s="633"/>
      <c r="F4502" s="650"/>
    </row>
    <row r="4503" spans="3:6">
      <c r="C4503" s="631"/>
      <c r="D4503" s="631"/>
      <c r="E4503" s="633"/>
      <c r="F4503" s="650"/>
    </row>
    <row r="4504" spans="3:6">
      <c r="C4504" s="631"/>
      <c r="D4504" s="631"/>
      <c r="E4504" s="633"/>
      <c r="F4504" s="650"/>
    </row>
    <row r="4505" spans="3:6">
      <c r="C4505" s="631"/>
      <c r="D4505" s="631"/>
      <c r="E4505" s="633"/>
      <c r="F4505" s="650"/>
    </row>
    <row r="4506" spans="3:6">
      <c r="C4506" s="631"/>
      <c r="D4506" s="631"/>
      <c r="E4506" s="633"/>
      <c r="F4506" s="650"/>
    </row>
    <row r="4507" spans="3:6">
      <c r="C4507" s="631"/>
      <c r="D4507" s="631"/>
      <c r="E4507" s="633"/>
      <c r="F4507" s="650"/>
    </row>
    <row r="4508" spans="3:6">
      <c r="C4508" s="631"/>
      <c r="D4508" s="631"/>
      <c r="E4508" s="633"/>
      <c r="F4508" s="650"/>
    </row>
    <row r="4509" spans="3:6">
      <c r="C4509" s="631"/>
      <c r="D4509" s="631"/>
      <c r="E4509" s="633"/>
      <c r="F4509" s="650"/>
    </row>
    <row r="4510" spans="3:6">
      <c r="C4510" s="631"/>
      <c r="D4510" s="631"/>
      <c r="E4510" s="633"/>
      <c r="F4510" s="650"/>
    </row>
    <row r="4511" spans="3:6">
      <c r="C4511" s="631"/>
      <c r="D4511" s="631"/>
      <c r="E4511" s="633"/>
      <c r="F4511" s="650"/>
    </row>
    <row r="4512" spans="3:6">
      <c r="C4512" s="631"/>
      <c r="D4512" s="631"/>
      <c r="E4512" s="633"/>
      <c r="F4512" s="650"/>
    </row>
    <row r="4513" spans="3:6">
      <c r="C4513" s="631"/>
      <c r="D4513" s="631"/>
      <c r="E4513" s="633"/>
      <c r="F4513" s="650"/>
    </row>
    <row r="4514" spans="3:6">
      <c r="C4514" s="631"/>
      <c r="D4514" s="631"/>
      <c r="E4514" s="633"/>
      <c r="F4514" s="650"/>
    </row>
    <row r="4515" spans="3:6">
      <c r="C4515" s="631"/>
      <c r="D4515" s="631"/>
      <c r="E4515" s="633"/>
      <c r="F4515" s="650"/>
    </row>
    <row r="4516" spans="3:6">
      <c r="C4516" s="631"/>
      <c r="D4516" s="631"/>
      <c r="E4516" s="633"/>
      <c r="F4516" s="650"/>
    </row>
    <row r="4517" spans="3:6">
      <c r="C4517" s="631"/>
      <c r="D4517" s="631"/>
      <c r="E4517" s="633"/>
      <c r="F4517" s="650"/>
    </row>
    <row r="4518" spans="3:6">
      <c r="C4518" s="631"/>
      <c r="D4518" s="631"/>
      <c r="E4518" s="633"/>
      <c r="F4518" s="650"/>
    </row>
    <row r="4519" spans="3:6">
      <c r="C4519" s="631"/>
      <c r="D4519" s="631"/>
      <c r="E4519" s="633"/>
      <c r="F4519" s="650"/>
    </row>
    <row r="4520" spans="3:6">
      <c r="C4520" s="631"/>
      <c r="D4520" s="631"/>
      <c r="E4520" s="633"/>
      <c r="F4520" s="650"/>
    </row>
    <row r="4521" spans="3:6">
      <c r="C4521" s="631"/>
      <c r="D4521" s="631"/>
      <c r="E4521" s="633"/>
      <c r="F4521" s="650"/>
    </row>
    <row r="4522" spans="3:6">
      <c r="C4522" s="631"/>
      <c r="D4522" s="631"/>
      <c r="E4522" s="633"/>
      <c r="F4522" s="650"/>
    </row>
    <row r="4523" spans="3:6">
      <c r="C4523" s="631"/>
      <c r="D4523" s="631"/>
      <c r="E4523" s="633"/>
      <c r="F4523" s="650"/>
    </row>
    <row r="4524" spans="3:6">
      <c r="C4524" s="631"/>
      <c r="D4524" s="631"/>
      <c r="E4524" s="633"/>
      <c r="F4524" s="650"/>
    </row>
    <row r="4525" spans="3:6">
      <c r="C4525" s="631"/>
      <c r="D4525" s="631"/>
      <c r="E4525" s="633"/>
      <c r="F4525" s="650"/>
    </row>
    <row r="4526" spans="3:6">
      <c r="C4526" s="631"/>
      <c r="D4526" s="631"/>
      <c r="E4526" s="633"/>
      <c r="F4526" s="650"/>
    </row>
    <row r="4527" spans="3:6">
      <c r="C4527" s="631"/>
      <c r="D4527" s="631"/>
      <c r="E4527" s="633"/>
      <c r="F4527" s="650"/>
    </row>
    <row r="4528" spans="3:6">
      <c r="C4528" s="631"/>
      <c r="D4528" s="631"/>
      <c r="E4528" s="633"/>
      <c r="F4528" s="650"/>
    </row>
    <row r="4529" spans="3:6">
      <c r="C4529" s="631"/>
      <c r="D4529" s="631"/>
      <c r="E4529" s="633"/>
      <c r="F4529" s="650"/>
    </row>
    <row r="4530" spans="3:6">
      <c r="C4530" s="631"/>
      <c r="D4530" s="631"/>
      <c r="E4530" s="633"/>
      <c r="F4530" s="650"/>
    </row>
    <row r="4531" spans="3:6">
      <c r="C4531" s="631"/>
      <c r="D4531" s="631"/>
      <c r="E4531" s="633"/>
      <c r="F4531" s="650"/>
    </row>
    <row r="4532" spans="3:6">
      <c r="C4532" s="631"/>
      <c r="D4532" s="631"/>
      <c r="E4532" s="633"/>
      <c r="F4532" s="650"/>
    </row>
    <row r="4533" spans="3:6">
      <c r="C4533" s="631"/>
      <c r="D4533" s="631"/>
      <c r="E4533" s="633"/>
      <c r="F4533" s="650"/>
    </row>
    <row r="4534" spans="3:6">
      <c r="C4534" s="631"/>
      <c r="D4534" s="631"/>
      <c r="E4534" s="633"/>
      <c r="F4534" s="650"/>
    </row>
    <row r="4535" spans="3:6">
      <c r="C4535" s="631"/>
      <c r="D4535" s="631"/>
      <c r="E4535" s="633"/>
      <c r="F4535" s="650"/>
    </row>
    <row r="4536" spans="3:6">
      <c r="C4536" s="631"/>
      <c r="D4536" s="631"/>
      <c r="E4536" s="633"/>
      <c r="F4536" s="650"/>
    </row>
    <row r="4537" spans="3:6">
      <c r="C4537" s="631"/>
      <c r="D4537" s="631"/>
      <c r="E4537" s="633"/>
      <c r="F4537" s="650"/>
    </row>
    <row r="4538" spans="3:6">
      <c r="C4538" s="631"/>
      <c r="D4538" s="631"/>
      <c r="E4538" s="633"/>
      <c r="F4538" s="650"/>
    </row>
    <row r="4539" spans="3:6">
      <c r="C4539" s="631"/>
      <c r="D4539" s="631"/>
      <c r="E4539" s="633"/>
      <c r="F4539" s="650"/>
    </row>
    <row r="4540" spans="3:6">
      <c r="C4540" s="631"/>
      <c r="D4540" s="631"/>
      <c r="E4540" s="633"/>
      <c r="F4540" s="650"/>
    </row>
    <row r="4541" spans="3:6">
      <c r="C4541" s="631"/>
      <c r="D4541" s="631"/>
      <c r="E4541" s="633"/>
      <c r="F4541" s="650"/>
    </row>
    <row r="4542" spans="3:6">
      <c r="C4542" s="631"/>
      <c r="D4542" s="631"/>
      <c r="E4542" s="633"/>
      <c r="F4542" s="650"/>
    </row>
    <row r="4543" spans="3:6">
      <c r="C4543" s="631"/>
      <c r="D4543" s="631"/>
      <c r="E4543" s="633"/>
      <c r="F4543" s="650"/>
    </row>
    <row r="4544" spans="3:6">
      <c r="C4544" s="631"/>
      <c r="D4544" s="631"/>
      <c r="E4544" s="633"/>
      <c r="F4544" s="650"/>
    </row>
    <row r="4545" spans="3:6">
      <c r="C4545" s="631"/>
      <c r="D4545" s="631"/>
      <c r="E4545" s="633"/>
      <c r="F4545" s="650"/>
    </row>
    <row r="4546" spans="3:6">
      <c r="C4546" s="631"/>
      <c r="D4546" s="631"/>
      <c r="E4546" s="633"/>
      <c r="F4546" s="650"/>
    </row>
    <row r="4547" spans="3:6">
      <c r="C4547" s="631"/>
      <c r="D4547" s="631"/>
      <c r="E4547" s="633"/>
      <c r="F4547" s="650"/>
    </row>
    <row r="4548" spans="3:6">
      <c r="C4548" s="631"/>
      <c r="D4548" s="631"/>
      <c r="E4548" s="633"/>
      <c r="F4548" s="650"/>
    </row>
    <row r="4549" spans="3:6">
      <c r="C4549" s="631"/>
      <c r="D4549" s="631"/>
      <c r="E4549" s="633"/>
      <c r="F4549" s="650"/>
    </row>
    <row r="4550" spans="3:6">
      <c r="C4550" s="631"/>
      <c r="D4550" s="631"/>
      <c r="E4550" s="633"/>
      <c r="F4550" s="650"/>
    </row>
    <row r="4551" spans="3:6">
      <c r="C4551" s="631"/>
      <c r="D4551" s="631"/>
      <c r="E4551" s="633"/>
      <c r="F4551" s="650"/>
    </row>
    <row r="4552" spans="3:6">
      <c r="C4552" s="631"/>
      <c r="D4552" s="631"/>
      <c r="E4552" s="633"/>
      <c r="F4552" s="650"/>
    </row>
    <row r="4553" spans="3:6">
      <c r="C4553" s="631"/>
      <c r="D4553" s="631"/>
      <c r="E4553" s="633"/>
      <c r="F4553" s="650"/>
    </row>
    <row r="4554" spans="3:6">
      <c r="C4554" s="631"/>
      <c r="D4554" s="631"/>
      <c r="E4554" s="633"/>
      <c r="F4554" s="650"/>
    </row>
    <row r="4555" spans="3:6">
      <c r="C4555" s="631"/>
      <c r="D4555" s="631"/>
      <c r="E4555" s="633"/>
      <c r="F4555" s="650"/>
    </row>
    <row r="4556" spans="3:6">
      <c r="C4556" s="631"/>
      <c r="D4556" s="631"/>
      <c r="E4556" s="633"/>
      <c r="F4556" s="650"/>
    </row>
    <row r="4557" spans="3:6">
      <c r="C4557" s="631"/>
      <c r="D4557" s="631"/>
      <c r="E4557" s="633"/>
      <c r="F4557" s="650"/>
    </row>
    <row r="4558" spans="3:6">
      <c r="C4558" s="631"/>
      <c r="D4558" s="631"/>
      <c r="E4558" s="633"/>
      <c r="F4558" s="650"/>
    </row>
    <row r="4559" spans="3:6">
      <c r="C4559" s="631"/>
      <c r="D4559" s="631"/>
      <c r="E4559" s="633"/>
      <c r="F4559" s="650"/>
    </row>
    <row r="4560" spans="3:6">
      <c r="C4560" s="631"/>
      <c r="D4560" s="631"/>
      <c r="E4560" s="633"/>
      <c r="F4560" s="650"/>
    </row>
    <row r="4561" spans="3:6">
      <c r="C4561" s="631"/>
      <c r="D4561" s="631"/>
      <c r="E4561" s="633"/>
      <c r="F4561" s="650"/>
    </row>
    <row r="4562" spans="3:6">
      <c r="C4562" s="631"/>
      <c r="D4562" s="631"/>
      <c r="E4562" s="633"/>
      <c r="F4562" s="650"/>
    </row>
    <row r="4563" spans="3:6">
      <c r="C4563" s="631"/>
      <c r="D4563" s="631"/>
      <c r="E4563" s="633"/>
      <c r="F4563" s="650"/>
    </row>
    <row r="4564" spans="3:6">
      <c r="C4564" s="631"/>
      <c r="D4564" s="631"/>
      <c r="E4564" s="633"/>
      <c r="F4564" s="650"/>
    </row>
    <row r="4565" spans="3:6">
      <c r="C4565" s="631"/>
      <c r="D4565" s="631"/>
      <c r="E4565" s="633"/>
      <c r="F4565" s="650"/>
    </row>
    <row r="4566" spans="3:6">
      <c r="C4566" s="631"/>
      <c r="D4566" s="631"/>
      <c r="E4566" s="633"/>
      <c r="F4566" s="650"/>
    </row>
    <row r="4567" spans="3:6">
      <c r="C4567" s="631"/>
      <c r="D4567" s="631"/>
      <c r="E4567" s="633"/>
      <c r="F4567" s="650"/>
    </row>
    <row r="4568" spans="3:6">
      <c r="C4568" s="631"/>
      <c r="D4568" s="631"/>
      <c r="E4568" s="633"/>
      <c r="F4568" s="650"/>
    </row>
    <row r="4569" spans="3:6">
      <c r="C4569" s="631"/>
      <c r="D4569" s="631"/>
      <c r="E4569" s="633"/>
      <c r="F4569" s="650"/>
    </row>
    <row r="4570" spans="3:6">
      <c r="C4570" s="631"/>
      <c r="D4570" s="631"/>
      <c r="E4570" s="633"/>
      <c r="F4570" s="650"/>
    </row>
    <row r="4571" spans="3:6">
      <c r="C4571" s="631"/>
      <c r="D4571" s="631"/>
      <c r="E4571" s="633"/>
      <c r="F4571" s="650"/>
    </row>
    <row r="4572" spans="3:6">
      <c r="C4572" s="631"/>
      <c r="D4572" s="631"/>
      <c r="E4572" s="633"/>
      <c r="F4572" s="650"/>
    </row>
    <row r="4573" spans="3:6">
      <c r="C4573" s="631"/>
      <c r="D4573" s="631"/>
      <c r="E4573" s="633"/>
      <c r="F4573" s="650"/>
    </row>
    <row r="4574" spans="3:6">
      <c r="C4574" s="631"/>
      <c r="D4574" s="631"/>
      <c r="E4574" s="633"/>
      <c r="F4574" s="650"/>
    </row>
    <row r="4575" spans="3:6">
      <c r="C4575" s="631"/>
      <c r="D4575" s="631"/>
      <c r="E4575" s="633"/>
      <c r="F4575" s="650"/>
    </row>
    <row r="4576" spans="3:6">
      <c r="C4576" s="631"/>
      <c r="D4576" s="631"/>
      <c r="E4576" s="633"/>
      <c r="F4576" s="650"/>
    </row>
    <row r="4577" spans="3:6">
      <c r="C4577" s="631"/>
      <c r="D4577" s="631"/>
      <c r="E4577" s="633"/>
      <c r="F4577" s="650"/>
    </row>
    <row r="4578" spans="3:6">
      <c r="C4578" s="631"/>
      <c r="D4578" s="631"/>
      <c r="E4578" s="633"/>
      <c r="F4578" s="650"/>
    </row>
    <row r="4579" spans="3:6">
      <c r="C4579" s="631"/>
      <c r="D4579" s="631"/>
      <c r="E4579" s="633"/>
      <c r="F4579" s="650"/>
    </row>
    <row r="4580" spans="3:6">
      <c r="C4580" s="631"/>
      <c r="D4580" s="631"/>
      <c r="E4580" s="633"/>
      <c r="F4580" s="650"/>
    </row>
    <row r="4581" spans="3:6">
      <c r="C4581" s="631"/>
      <c r="D4581" s="631"/>
      <c r="E4581" s="633"/>
      <c r="F4581" s="650"/>
    </row>
    <row r="4582" spans="3:6">
      <c r="C4582" s="631"/>
      <c r="D4582" s="631"/>
      <c r="E4582" s="633"/>
      <c r="F4582" s="650"/>
    </row>
    <row r="4583" spans="3:6">
      <c r="C4583" s="631"/>
      <c r="D4583" s="631"/>
      <c r="E4583" s="633"/>
      <c r="F4583" s="650"/>
    </row>
    <row r="4584" spans="3:6">
      <c r="C4584" s="631"/>
      <c r="D4584" s="631"/>
      <c r="E4584" s="633"/>
      <c r="F4584" s="650"/>
    </row>
    <row r="4585" spans="3:6">
      <c r="C4585" s="631"/>
      <c r="D4585" s="631"/>
      <c r="E4585" s="633"/>
      <c r="F4585" s="650"/>
    </row>
    <row r="4586" spans="3:6">
      <c r="C4586" s="631"/>
      <c r="D4586" s="631"/>
      <c r="E4586" s="633"/>
      <c r="F4586" s="650"/>
    </row>
    <row r="4587" spans="3:6">
      <c r="C4587" s="631"/>
      <c r="D4587" s="631"/>
      <c r="E4587" s="633"/>
      <c r="F4587" s="650"/>
    </row>
    <row r="4588" spans="3:6">
      <c r="C4588" s="631"/>
      <c r="D4588" s="631"/>
      <c r="E4588" s="633"/>
      <c r="F4588" s="650"/>
    </row>
    <row r="4589" spans="3:6">
      <c r="C4589" s="631"/>
      <c r="D4589" s="631"/>
      <c r="E4589" s="633"/>
      <c r="F4589" s="650"/>
    </row>
    <row r="4590" spans="3:6">
      <c r="C4590" s="631"/>
      <c r="D4590" s="631"/>
      <c r="E4590" s="633"/>
      <c r="F4590" s="650"/>
    </row>
    <row r="4591" spans="3:6">
      <c r="C4591" s="631"/>
      <c r="D4591" s="631"/>
      <c r="E4591" s="633"/>
      <c r="F4591" s="650"/>
    </row>
    <row r="4592" spans="3:6">
      <c r="C4592" s="631"/>
      <c r="D4592" s="631"/>
      <c r="E4592" s="633"/>
      <c r="F4592" s="650"/>
    </row>
    <row r="4593" spans="3:6">
      <c r="C4593" s="631"/>
      <c r="D4593" s="631"/>
      <c r="E4593" s="633"/>
      <c r="F4593" s="650"/>
    </row>
    <row r="4594" spans="3:6">
      <c r="C4594" s="631"/>
      <c r="D4594" s="631"/>
      <c r="E4594" s="633"/>
      <c r="F4594" s="650"/>
    </row>
    <row r="4595" spans="3:6">
      <c r="C4595" s="631"/>
      <c r="D4595" s="631"/>
      <c r="E4595" s="633"/>
      <c r="F4595" s="650"/>
    </row>
    <row r="4596" spans="3:6">
      <c r="C4596" s="631"/>
      <c r="D4596" s="631"/>
      <c r="E4596" s="633"/>
      <c r="F4596" s="650"/>
    </row>
    <row r="4597" spans="3:6">
      <c r="C4597" s="631"/>
      <c r="D4597" s="631"/>
      <c r="E4597" s="633"/>
      <c r="F4597" s="650"/>
    </row>
    <row r="4598" spans="3:6">
      <c r="C4598" s="631"/>
      <c r="D4598" s="631"/>
      <c r="E4598" s="633"/>
      <c r="F4598" s="650"/>
    </row>
    <row r="4599" spans="3:6">
      <c r="C4599" s="631"/>
      <c r="D4599" s="631"/>
      <c r="E4599" s="633"/>
      <c r="F4599" s="650"/>
    </row>
    <row r="4600" spans="3:6">
      <c r="C4600" s="631"/>
      <c r="D4600" s="631"/>
      <c r="E4600" s="633"/>
      <c r="F4600" s="650"/>
    </row>
    <row r="4601" spans="3:6">
      <c r="C4601" s="631"/>
      <c r="D4601" s="631"/>
      <c r="E4601" s="633"/>
      <c r="F4601" s="650"/>
    </row>
    <row r="4602" spans="3:6">
      <c r="C4602" s="631"/>
      <c r="D4602" s="631"/>
      <c r="E4602" s="633"/>
      <c r="F4602" s="650"/>
    </row>
    <row r="4603" spans="3:6">
      <c r="C4603" s="631"/>
      <c r="D4603" s="631"/>
      <c r="E4603" s="633"/>
      <c r="F4603" s="650"/>
    </row>
    <row r="4604" spans="3:6">
      <c r="C4604" s="631"/>
      <c r="D4604" s="631"/>
      <c r="E4604" s="633"/>
      <c r="F4604" s="650"/>
    </row>
    <row r="4605" spans="3:6">
      <c r="C4605" s="631"/>
      <c r="D4605" s="631"/>
      <c r="E4605" s="633"/>
      <c r="F4605" s="650"/>
    </row>
    <row r="4606" spans="3:6">
      <c r="C4606" s="631"/>
      <c r="D4606" s="631"/>
      <c r="E4606" s="633"/>
      <c r="F4606" s="650"/>
    </row>
    <row r="4607" spans="3:6">
      <c r="C4607" s="631"/>
      <c r="D4607" s="631"/>
      <c r="E4607" s="633"/>
      <c r="F4607" s="650"/>
    </row>
    <row r="4608" spans="3:6">
      <c r="C4608" s="631"/>
      <c r="D4608" s="631"/>
      <c r="E4608" s="633"/>
      <c r="F4608" s="650"/>
    </row>
    <row r="4609" spans="3:6">
      <c r="C4609" s="631"/>
      <c r="D4609" s="631"/>
      <c r="E4609" s="633"/>
      <c r="F4609" s="650"/>
    </row>
    <row r="4610" spans="3:6">
      <c r="C4610" s="631"/>
      <c r="D4610" s="631"/>
      <c r="E4610" s="633"/>
      <c r="F4610" s="650"/>
    </row>
    <row r="4611" spans="3:6">
      <c r="C4611" s="631"/>
      <c r="D4611" s="631"/>
      <c r="E4611" s="633"/>
      <c r="F4611" s="650"/>
    </row>
    <row r="4612" spans="3:6">
      <c r="C4612" s="631"/>
      <c r="D4612" s="631"/>
      <c r="E4612" s="633"/>
      <c r="F4612" s="650"/>
    </row>
    <row r="4613" spans="3:6">
      <c r="C4613" s="631"/>
      <c r="D4613" s="631"/>
      <c r="E4613" s="633"/>
      <c r="F4613" s="650"/>
    </row>
    <row r="4614" spans="3:6">
      <c r="C4614" s="631"/>
      <c r="D4614" s="631"/>
      <c r="E4614" s="633"/>
      <c r="F4614" s="650"/>
    </row>
    <row r="4615" spans="3:6">
      <c r="C4615" s="631"/>
      <c r="D4615" s="631"/>
      <c r="E4615" s="633"/>
      <c r="F4615" s="650"/>
    </row>
    <row r="4616" spans="3:6">
      <c r="C4616" s="631"/>
      <c r="D4616" s="631"/>
      <c r="E4616" s="633"/>
      <c r="F4616" s="650"/>
    </row>
    <row r="4617" spans="3:6">
      <c r="C4617" s="631"/>
      <c r="D4617" s="631"/>
      <c r="E4617" s="633"/>
      <c r="F4617" s="650"/>
    </row>
    <row r="4618" spans="3:6">
      <c r="C4618" s="631"/>
      <c r="D4618" s="631"/>
      <c r="E4618" s="633"/>
      <c r="F4618" s="650"/>
    </row>
    <row r="4619" spans="3:6">
      <c r="C4619" s="631"/>
      <c r="D4619" s="631"/>
      <c r="E4619" s="633"/>
      <c r="F4619" s="650"/>
    </row>
    <row r="4620" spans="3:6">
      <c r="C4620" s="631"/>
      <c r="D4620" s="631"/>
      <c r="E4620" s="633"/>
      <c r="F4620" s="650"/>
    </row>
    <row r="4621" spans="3:6">
      <c r="C4621" s="631"/>
      <c r="D4621" s="631"/>
      <c r="E4621" s="633"/>
      <c r="F4621" s="650"/>
    </row>
    <row r="4622" spans="3:6">
      <c r="C4622" s="631"/>
      <c r="D4622" s="631"/>
      <c r="E4622" s="633"/>
      <c r="F4622" s="650"/>
    </row>
    <row r="4623" spans="3:6">
      <c r="C4623" s="631"/>
      <c r="D4623" s="631"/>
      <c r="E4623" s="633"/>
      <c r="F4623" s="650"/>
    </row>
    <row r="4624" spans="3:6">
      <c r="C4624" s="631"/>
      <c r="D4624" s="631"/>
      <c r="E4624" s="633"/>
      <c r="F4624" s="650"/>
    </row>
    <row r="4625" spans="3:6">
      <c r="C4625" s="631"/>
      <c r="D4625" s="631"/>
      <c r="E4625" s="633"/>
      <c r="F4625" s="650"/>
    </row>
    <row r="4626" spans="3:6">
      <c r="C4626" s="631"/>
      <c r="D4626" s="631"/>
      <c r="E4626" s="633"/>
      <c r="F4626" s="650"/>
    </row>
    <row r="4627" spans="3:6">
      <c r="C4627" s="631"/>
      <c r="D4627" s="631"/>
      <c r="E4627" s="633"/>
      <c r="F4627" s="650"/>
    </row>
    <row r="4628" spans="3:6">
      <c r="C4628" s="631"/>
      <c r="D4628" s="631"/>
      <c r="E4628" s="633"/>
      <c r="F4628" s="650"/>
    </row>
    <row r="4629" spans="3:6">
      <c r="C4629" s="631"/>
      <c r="D4629" s="631"/>
      <c r="E4629" s="633"/>
      <c r="F4629" s="650"/>
    </row>
    <row r="4630" spans="3:6">
      <c r="C4630" s="631"/>
      <c r="D4630" s="631"/>
      <c r="E4630" s="633"/>
      <c r="F4630" s="650"/>
    </row>
    <row r="4631" spans="3:6">
      <c r="C4631" s="631"/>
      <c r="D4631" s="631"/>
      <c r="E4631" s="633"/>
      <c r="F4631" s="650"/>
    </row>
    <row r="4632" spans="3:6">
      <c r="C4632" s="631"/>
      <c r="D4632" s="631"/>
      <c r="E4632" s="633"/>
      <c r="F4632" s="650"/>
    </row>
    <row r="4633" spans="3:6">
      <c r="C4633" s="631"/>
      <c r="D4633" s="631"/>
      <c r="E4633" s="633"/>
      <c r="F4633" s="650"/>
    </row>
    <row r="4634" spans="3:6">
      <c r="C4634" s="631"/>
      <c r="D4634" s="631"/>
      <c r="E4634" s="633"/>
      <c r="F4634" s="650"/>
    </row>
    <row r="4635" spans="3:6">
      <c r="C4635" s="631"/>
      <c r="D4635" s="631"/>
      <c r="E4635" s="633"/>
      <c r="F4635" s="650"/>
    </row>
    <row r="4636" spans="3:6">
      <c r="C4636" s="631"/>
      <c r="D4636" s="631"/>
      <c r="E4636" s="633"/>
      <c r="F4636" s="650"/>
    </row>
    <row r="4637" spans="3:6">
      <c r="C4637" s="631"/>
      <c r="D4637" s="631"/>
      <c r="E4637" s="633"/>
      <c r="F4637" s="650"/>
    </row>
    <row r="4638" spans="3:6">
      <c r="C4638" s="631"/>
      <c r="D4638" s="631"/>
      <c r="E4638" s="633"/>
      <c r="F4638" s="650"/>
    </row>
    <row r="4639" spans="3:6">
      <c r="C4639" s="631"/>
      <c r="D4639" s="631"/>
      <c r="E4639" s="633"/>
      <c r="F4639" s="650"/>
    </row>
    <row r="4640" spans="3:6">
      <c r="C4640" s="631"/>
      <c r="D4640" s="631"/>
      <c r="E4640" s="633"/>
      <c r="F4640" s="650"/>
    </row>
    <row r="4641" spans="3:6">
      <c r="C4641" s="631"/>
      <c r="D4641" s="631"/>
      <c r="E4641" s="633"/>
      <c r="F4641" s="650"/>
    </row>
    <row r="4642" spans="3:6">
      <c r="C4642" s="631"/>
      <c r="D4642" s="631"/>
      <c r="E4642" s="633"/>
      <c r="F4642" s="650"/>
    </row>
    <row r="4643" spans="3:6">
      <c r="C4643" s="631"/>
      <c r="D4643" s="631"/>
      <c r="E4643" s="633"/>
      <c r="F4643" s="650"/>
    </row>
    <row r="4644" spans="3:6">
      <c r="C4644" s="631"/>
      <c r="D4644" s="631"/>
      <c r="E4644" s="633"/>
      <c r="F4644" s="650"/>
    </row>
    <row r="4645" spans="3:6">
      <c r="C4645" s="631"/>
      <c r="D4645" s="631"/>
      <c r="E4645" s="633"/>
      <c r="F4645" s="650"/>
    </row>
    <row r="4646" spans="3:6">
      <c r="C4646" s="631"/>
      <c r="D4646" s="631"/>
      <c r="E4646" s="633"/>
      <c r="F4646" s="650"/>
    </row>
    <row r="4647" spans="3:6">
      <c r="C4647" s="631"/>
      <c r="D4647" s="631"/>
      <c r="E4647" s="633"/>
      <c r="F4647" s="650"/>
    </row>
    <row r="4648" spans="3:6">
      <c r="C4648" s="631"/>
      <c r="D4648" s="631"/>
      <c r="E4648" s="633"/>
      <c r="F4648" s="650"/>
    </row>
    <row r="4649" spans="3:6">
      <c r="C4649" s="631"/>
      <c r="D4649" s="631"/>
      <c r="E4649" s="633"/>
      <c r="F4649" s="650"/>
    </row>
    <row r="4650" spans="3:6">
      <c r="C4650" s="631"/>
      <c r="D4650" s="631"/>
      <c r="E4650" s="633"/>
      <c r="F4650" s="650"/>
    </row>
    <row r="4651" spans="3:6">
      <c r="C4651" s="631"/>
      <c r="D4651" s="631"/>
      <c r="E4651" s="633"/>
      <c r="F4651" s="650"/>
    </row>
    <row r="4652" spans="3:6">
      <c r="C4652" s="631"/>
      <c r="D4652" s="631"/>
      <c r="E4652" s="633"/>
      <c r="F4652" s="650"/>
    </row>
    <row r="4653" spans="3:6">
      <c r="C4653" s="631"/>
      <c r="D4653" s="631"/>
      <c r="E4653" s="633"/>
      <c r="F4653" s="650"/>
    </row>
    <row r="4654" spans="3:6">
      <c r="C4654" s="631"/>
      <c r="D4654" s="631"/>
      <c r="E4654" s="633"/>
      <c r="F4654" s="650"/>
    </row>
    <row r="4655" spans="3:6">
      <c r="C4655" s="631"/>
      <c r="D4655" s="631"/>
      <c r="E4655" s="633"/>
      <c r="F4655" s="650"/>
    </row>
    <row r="4656" spans="3:6">
      <c r="C4656" s="631"/>
      <c r="D4656" s="631"/>
      <c r="E4656" s="633"/>
      <c r="F4656" s="650"/>
    </row>
    <row r="4657" spans="3:6">
      <c r="C4657" s="631"/>
      <c r="D4657" s="631"/>
      <c r="E4657" s="633"/>
      <c r="F4657" s="650"/>
    </row>
    <row r="4658" spans="3:6">
      <c r="C4658" s="631"/>
      <c r="D4658" s="631"/>
      <c r="E4658" s="633"/>
      <c r="F4658" s="650"/>
    </row>
    <row r="4659" spans="3:6">
      <c r="C4659" s="631"/>
      <c r="D4659" s="631"/>
      <c r="E4659" s="633"/>
      <c r="F4659" s="650"/>
    </row>
    <row r="4660" spans="3:6">
      <c r="C4660" s="631"/>
      <c r="D4660" s="631"/>
      <c r="E4660" s="633"/>
      <c r="F4660" s="650"/>
    </row>
    <row r="4661" spans="3:6">
      <c r="C4661" s="631"/>
      <c r="D4661" s="631"/>
      <c r="E4661" s="633"/>
      <c r="F4661" s="650"/>
    </row>
    <row r="4662" spans="3:6">
      <c r="C4662" s="631"/>
      <c r="D4662" s="631"/>
      <c r="E4662" s="633"/>
      <c r="F4662" s="650"/>
    </row>
    <row r="4663" spans="3:6">
      <c r="C4663" s="631"/>
      <c r="D4663" s="631"/>
      <c r="E4663" s="633"/>
      <c r="F4663" s="650"/>
    </row>
    <row r="4664" spans="3:6">
      <c r="C4664" s="631"/>
      <c r="D4664" s="631"/>
      <c r="E4664" s="633"/>
      <c r="F4664" s="650"/>
    </row>
    <row r="4665" spans="3:6">
      <c r="C4665" s="631"/>
      <c r="D4665" s="631"/>
      <c r="E4665" s="633"/>
      <c r="F4665" s="650"/>
    </row>
    <row r="4666" spans="3:6">
      <c r="C4666" s="631"/>
      <c r="D4666" s="631"/>
      <c r="E4666" s="633"/>
      <c r="F4666" s="650"/>
    </row>
    <row r="4667" spans="3:6">
      <c r="C4667" s="631"/>
      <c r="D4667" s="631"/>
      <c r="E4667" s="633"/>
      <c r="F4667" s="650"/>
    </row>
    <row r="4668" spans="3:6">
      <c r="C4668" s="631"/>
      <c r="D4668" s="631"/>
      <c r="E4668" s="633"/>
      <c r="F4668" s="650"/>
    </row>
    <row r="4669" spans="3:6">
      <c r="C4669" s="631"/>
      <c r="D4669" s="631"/>
      <c r="E4669" s="633"/>
      <c r="F4669" s="650"/>
    </row>
    <row r="4670" spans="3:6">
      <c r="C4670" s="631"/>
      <c r="D4670" s="631"/>
      <c r="E4670" s="633"/>
      <c r="F4670" s="650"/>
    </row>
    <row r="4671" spans="3:6">
      <c r="C4671" s="631"/>
      <c r="D4671" s="631"/>
      <c r="E4671" s="633"/>
      <c r="F4671" s="650"/>
    </row>
    <row r="4672" spans="3:6">
      <c r="C4672" s="631"/>
      <c r="D4672" s="631"/>
      <c r="E4672" s="633"/>
      <c r="F4672" s="650"/>
    </row>
    <row r="4673" spans="3:6">
      <c r="C4673" s="631"/>
      <c r="D4673" s="631"/>
      <c r="E4673" s="633"/>
      <c r="F4673" s="650"/>
    </row>
    <row r="4674" spans="3:6">
      <c r="C4674" s="631"/>
      <c r="D4674" s="631"/>
      <c r="E4674" s="633"/>
      <c r="F4674" s="650"/>
    </row>
    <row r="4675" spans="3:6">
      <c r="C4675" s="631"/>
      <c r="D4675" s="631"/>
      <c r="E4675" s="633"/>
      <c r="F4675" s="650"/>
    </row>
    <row r="4676" spans="3:6">
      <c r="C4676" s="631"/>
      <c r="D4676" s="631"/>
      <c r="E4676" s="633"/>
      <c r="F4676" s="650"/>
    </row>
    <row r="4677" spans="3:6">
      <c r="C4677" s="631"/>
      <c r="D4677" s="631"/>
      <c r="E4677" s="633"/>
      <c r="F4677" s="650"/>
    </row>
    <row r="4678" spans="3:6">
      <c r="C4678" s="631"/>
      <c r="D4678" s="631"/>
      <c r="E4678" s="633"/>
      <c r="F4678" s="650"/>
    </row>
    <row r="4679" spans="3:6">
      <c r="C4679" s="631"/>
      <c r="D4679" s="631"/>
      <c r="E4679" s="633"/>
      <c r="F4679" s="650"/>
    </row>
    <row r="4680" spans="3:6">
      <c r="C4680" s="631"/>
      <c r="D4680" s="631"/>
      <c r="E4680" s="633"/>
      <c r="F4680" s="650"/>
    </row>
    <row r="4681" spans="3:6">
      <c r="C4681" s="631"/>
      <c r="D4681" s="631"/>
      <c r="E4681" s="633"/>
      <c r="F4681" s="650"/>
    </row>
    <row r="4682" spans="3:6">
      <c r="C4682" s="631"/>
      <c r="D4682" s="631"/>
      <c r="E4682" s="633"/>
      <c r="F4682" s="650"/>
    </row>
    <row r="4683" spans="3:6">
      <c r="C4683" s="631"/>
      <c r="D4683" s="631"/>
      <c r="E4683" s="633"/>
      <c r="F4683" s="650"/>
    </row>
    <row r="4684" spans="3:6">
      <c r="C4684" s="631"/>
      <c r="D4684" s="631"/>
      <c r="E4684" s="633"/>
      <c r="F4684" s="650"/>
    </row>
    <row r="4685" spans="3:6">
      <c r="C4685" s="631"/>
      <c r="D4685" s="631"/>
      <c r="E4685" s="633"/>
      <c r="F4685" s="650"/>
    </row>
    <row r="4686" spans="3:6">
      <c r="C4686" s="631"/>
      <c r="D4686" s="631"/>
      <c r="E4686" s="633"/>
      <c r="F4686" s="650"/>
    </row>
    <row r="4687" spans="3:6">
      <c r="C4687" s="631"/>
      <c r="D4687" s="631"/>
      <c r="E4687" s="633"/>
      <c r="F4687" s="650"/>
    </row>
    <row r="4688" spans="3:6">
      <c r="C4688" s="631"/>
      <c r="D4688" s="631"/>
      <c r="E4688" s="633"/>
      <c r="F4688" s="650"/>
    </row>
    <row r="4689" spans="3:6">
      <c r="C4689" s="631"/>
      <c r="D4689" s="631"/>
      <c r="E4689" s="633"/>
      <c r="F4689" s="650"/>
    </row>
    <row r="4690" spans="3:6">
      <c r="C4690" s="631"/>
      <c r="D4690" s="631"/>
      <c r="E4690" s="633"/>
      <c r="F4690" s="650"/>
    </row>
    <row r="4691" spans="3:6">
      <c r="C4691" s="631"/>
      <c r="D4691" s="631"/>
      <c r="E4691" s="633"/>
      <c r="F4691" s="650"/>
    </row>
    <row r="4692" spans="3:6">
      <c r="C4692" s="631"/>
      <c r="D4692" s="631"/>
      <c r="E4692" s="633"/>
      <c r="F4692" s="650"/>
    </row>
    <row r="4693" spans="3:6">
      <c r="C4693" s="631"/>
      <c r="D4693" s="631"/>
      <c r="E4693" s="633"/>
      <c r="F4693" s="650"/>
    </row>
    <row r="4694" spans="3:6">
      <c r="C4694" s="631"/>
      <c r="D4694" s="631"/>
      <c r="E4694" s="633"/>
      <c r="F4694" s="650"/>
    </row>
    <row r="4695" spans="3:6">
      <c r="C4695" s="631"/>
      <c r="D4695" s="631"/>
      <c r="E4695" s="633"/>
      <c r="F4695" s="650"/>
    </row>
    <row r="4696" spans="3:6">
      <c r="C4696" s="631"/>
      <c r="D4696" s="631"/>
      <c r="E4696" s="633"/>
      <c r="F4696" s="650"/>
    </row>
    <row r="4697" spans="3:6">
      <c r="C4697" s="631"/>
      <c r="D4697" s="631"/>
      <c r="E4697" s="633"/>
      <c r="F4697" s="650"/>
    </row>
    <row r="4698" spans="3:6">
      <c r="C4698" s="631"/>
      <c r="D4698" s="631"/>
      <c r="E4698" s="633"/>
      <c r="F4698" s="650"/>
    </row>
    <row r="4699" spans="3:6">
      <c r="C4699" s="631"/>
      <c r="D4699" s="631"/>
      <c r="E4699" s="633"/>
      <c r="F4699" s="650"/>
    </row>
    <row r="4700" spans="3:6">
      <c r="C4700" s="631"/>
      <c r="D4700" s="631"/>
      <c r="E4700" s="633"/>
      <c r="F4700" s="650"/>
    </row>
    <row r="4701" spans="3:6">
      <c r="C4701" s="631"/>
      <c r="D4701" s="631"/>
      <c r="E4701" s="633"/>
      <c r="F4701" s="650"/>
    </row>
    <row r="4702" spans="3:6">
      <c r="C4702" s="631"/>
      <c r="D4702" s="631"/>
      <c r="E4702" s="633"/>
      <c r="F4702" s="650"/>
    </row>
    <row r="4703" spans="3:6">
      <c r="C4703" s="631"/>
      <c r="D4703" s="631"/>
      <c r="E4703" s="633"/>
      <c r="F4703" s="650"/>
    </row>
    <row r="4704" spans="3:6">
      <c r="C4704" s="631"/>
      <c r="D4704" s="631"/>
      <c r="E4704" s="633"/>
      <c r="F4704" s="650"/>
    </row>
    <row r="4705" spans="3:6">
      <c r="C4705" s="631"/>
      <c r="D4705" s="631"/>
      <c r="E4705" s="633"/>
      <c r="F4705" s="650"/>
    </row>
    <row r="4706" spans="3:6">
      <c r="C4706" s="631"/>
      <c r="D4706" s="631"/>
      <c r="E4706" s="633"/>
      <c r="F4706" s="650"/>
    </row>
    <row r="4707" spans="3:6">
      <c r="C4707" s="631"/>
      <c r="D4707" s="631"/>
      <c r="E4707" s="633"/>
      <c r="F4707" s="650"/>
    </row>
    <row r="4708" spans="3:6">
      <c r="C4708" s="631"/>
      <c r="D4708" s="631"/>
      <c r="E4708" s="633"/>
      <c r="F4708" s="650"/>
    </row>
    <row r="4709" spans="3:6">
      <c r="C4709" s="631"/>
      <c r="D4709" s="631"/>
      <c r="E4709" s="633"/>
      <c r="F4709" s="650"/>
    </row>
    <row r="4710" spans="3:6">
      <c r="C4710" s="631"/>
      <c r="D4710" s="631"/>
      <c r="E4710" s="633"/>
      <c r="F4710" s="650"/>
    </row>
    <row r="4711" spans="3:6">
      <c r="C4711" s="631"/>
      <c r="D4711" s="631"/>
      <c r="E4711" s="633"/>
      <c r="F4711" s="650"/>
    </row>
    <row r="4712" spans="3:6">
      <c r="C4712" s="631"/>
      <c r="D4712" s="631"/>
      <c r="E4712" s="633"/>
      <c r="F4712" s="650"/>
    </row>
    <row r="4713" spans="3:6">
      <c r="C4713" s="631"/>
      <c r="D4713" s="631"/>
      <c r="E4713" s="633"/>
      <c r="F4713" s="650"/>
    </row>
    <row r="4714" spans="3:6">
      <c r="C4714" s="631"/>
      <c r="D4714" s="631"/>
      <c r="E4714" s="633"/>
      <c r="F4714" s="650"/>
    </row>
    <row r="4715" spans="3:6">
      <c r="C4715" s="631"/>
      <c r="D4715" s="631"/>
      <c r="E4715" s="633"/>
      <c r="F4715" s="650"/>
    </row>
    <row r="4716" spans="3:6">
      <c r="C4716" s="631"/>
      <c r="D4716" s="631"/>
      <c r="E4716" s="633"/>
      <c r="F4716" s="650"/>
    </row>
    <row r="4717" spans="3:6">
      <c r="C4717" s="631"/>
      <c r="D4717" s="631"/>
      <c r="E4717" s="633"/>
      <c r="F4717" s="650"/>
    </row>
    <row r="4718" spans="3:6">
      <c r="C4718" s="631"/>
      <c r="D4718" s="631"/>
      <c r="E4718" s="633"/>
      <c r="F4718" s="650"/>
    </row>
    <row r="4719" spans="3:6">
      <c r="C4719" s="631"/>
      <c r="D4719" s="631"/>
      <c r="E4719" s="633"/>
      <c r="F4719" s="650"/>
    </row>
    <row r="4720" spans="3:6">
      <c r="C4720" s="631"/>
      <c r="D4720" s="631"/>
      <c r="E4720" s="633"/>
      <c r="F4720" s="650"/>
    </row>
    <row r="4721" spans="3:6">
      <c r="C4721" s="631"/>
      <c r="D4721" s="631"/>
      <c r="E4721" s="633"/>
      <c r="F4721" s="650"/>
    </row>
    <row r="4722" spans="3:6">
      <c r="C4722" s="631"/>
      <c r="D4722" s="631"/>
      <c r="E4722" s="633"/>
      <c r="F4722" s="650"/>
    </row>
    <row r="4723" spans="3:6">
      <c r="C4723" s="631"/>
      <c r="D4723" s="631"/>
      <c r="E4723" s="633"/>
      <c r="F4723" s="650"/>
    </row>
    <row r="4724" spans="3:6">
      <c r="C4724" s="631"/>
      <c r="D4724" s="631"/>
      <c r="E4724" s="633"/>
      <c r="F4724" s="650"/>
    </row>
    <row r="4725" spans="3:6">
      <c r="C4725" s="631"/>
      <c r="D4725" s="631"/>
      <c r="E4725" s="633"/>
      <c r="F4725" s="650"/>
    </row>
    <row r="4726" spans="3:6">
      <c r="C4726" s="631"/>
      <c r="D4726" s="631"/>
      <c r="E4726" s="633"/>
      <c r="F4726" s="650"/>
    </row>
    <row r="4727" spans="3:6">
      <c r="C4727" s="631"/>
      <c r="D4727" s="631"/>
      <c r="E4727" s="633"/>
      <c r="F4727" s="650"/>
    </row>
    <row r="4728" spans="3:6">
      <c r="C4728" s="631"/>
      <c r="D4728" s="631"/>
      <c r="E4728" s="633"/>
      <c r="F4728" s="650"/>
    </row>
    <row r="4729" spans="3:6">
      <c r="C4729" s="631"/>
      <c r="D4729" s="631"/>
      <c r="E4729" s="633"/>
      <c r="F4729" s="650"/>
    </row>
    <row r="4730" spans="3:6">
      <c r="C4730" s="631"/>
      <c r="D4730" s="631"/>
      <c r="E4730" s="633"/>
      <c r="F4730" s="650"/>
    </row>
    <row r="4731" spans="3:6">
      <c r="C4731" s="631"/>
      <c r="D4731" s="631"/>
      <c r="E4731" s="633"/>
      <c r="F4731" s="650"/>
    </row>
    <row r="4732" spans="3:6">
      <c r="C4732" s="631"/>
      <c r="D4732" s="631"/>
      <c r="E4732" s="633"/>
      <c r="F4732" s="650"/>
    </row>
    <row r="4733" spans="3:6">
      <c r="C4733" s="631"/>
      <c r="D4733" s="631"/>
      <c r="E4733" s="633"/>
      <c r="F4733" s="650"/>
    </row>
    <row r="4734" spans="3:6">
      <c r="C4734" s="631"/>
      <c r="D4734" s="631"/>
      <c r="E4734" s="633"/>
      <c r="F4734" s="650"/>
    </row>
    <row r="4735" spans="3:6">
      <c r="C4735" s="631"/>
      <c r="D4735" s="631"/>
      <c r="E4735" s="633"/>
      <c r="F4735" s="650"/>
    </row>
    <row r="4736" spans="3:6">
      <c r="C4736" s="631"/>
      <c r="D4736" s="631"/>
      <c r="E4736" s="633"/>
      <c r="F4736" s="650"/>
    </row>
    <row r="4737" spans="3:6">
      <c r="C4737" s="631"/>
      <c r="D4737" s="631"/>
      <c r="E4737" s="633"/>
      <c r="F4737" s="650"/>
    </row>
    <row r="4738" spans="3:6">
      <c r="C4738" s="631"/>
      <c r="D4738" s="631"/>
      <c r="E4738" s="633"/>
      <c r="F4738" s="650"/>
    </row>
    <row r="4739" spans="3:6">
      <c r="C4739" s="631"/>
      <c r="D4739" s="631"/>
      <c r="E4739" s="633"/>
      <c r="F4739" s="650"/>
    </row>
    <row r="4740" spans="3:6">
      <c r="C4740" s="631"/>
      <c r="D4740" s="631"/>
      <c r="E4740" s="633"/>
      <c r="F4740" s="650"/>
    </row>
    <row r="4741" spans="3:6">
      <c r="C4741" s="631"/>
      <c r="D4741" s="631"/>
      <c r="E4741" s="633"/>
      <c r="F4741" s="650"/>
    </row>
    <row r="4742" spans="3:6">
      <c r="C4742" s="631"/>
      <c r="D4742" s="631"/>
      <c r="E4742" s="633"/>
      <c r="F4742" s="650"/>
    </row>
    <row r="4743" spans="3:6">
      <c r="C4743" s="631"/>
      <c r="D4743" s="631"/>
      <c r="E4743" s="633"/>
      <c r="F4743" s="650"/>
    </row>
    <row r="4744" spans="3:6">
      <c r="C4744" s="631"/>
      <c r="D4744" s="631"/>
      <c r="E4744" s="633"/>
      <c r="F4744" s="650"/>
    </row>
    <row r="4745" spans="3:6">
      <c r="C4745" s="631"/>
      <c r="D4745" s="631"/>
      <c r="E4745" s="633"/>
      <c r="F4745" s="650"/>
    </row>
    <row r="4746" spans="3:6">
      <c r="C4746" s="631"/>
      <c r="D4746" s="631"/>
      <c r="E4746" s="633"/>
      <c r="F4746" s="650"/>
    </row>
    <row r="4747" spans="3:6">
      <c r="C4747" s="631"/>
      <c r="D4747" s="631"/>
      <c r="E4747" s="633"/>
      <c r="F4747" s="650"/>
    </row>
    <row r="4748" spans="3:6">
      <c r="C4748" s="631"/>
      <c r="D4748" s="631"/>
      <c r="E4748" s="633"/>
      <c r="F4748" s="650"/>
    </row>
    <row r="4749" spans="3:6">
      <c r="C4749" s="631"/>
      <c r="D4749" s="631"/>
      <c r="E4749" s="633"/>
      <c r="F4749" s="650"/>
    </row>
    <row r="4750" spans="3:6">
      <c r="C4750" s="631"/>
      <c r="D4750" s="631"/>
      <c r="E4750" s="633"/>
      <c r="F4750" s="650"/>
    </row>
    <row r="4751" spans="3:6">
      <c r="C4751" s="631"/>
      <c r="D4751" s="631"/>
      <c r="E4751" s="633"/>
      <c r="F4751" s="650"/>
    </row>
    <row r="4752" spans="3:6">
      <c r="C4752" s="631"/>
      <c r="D4752" s="631"/>
      <c r="E4752" s="633"/>
      <c r="F4752" s="650"/>
    </row>
    <row r="4753" spans="3:6">
      <c r="C4753" s="631"/>
      <c r="D4753" s="631"/>
      <c r="E4753" s="633"/>
      <c r="F4753" s="650"/>
    </row>
    <row r="4754" spans="3:6">
      <c r="C4754" s="631"/>
      <c r="D4754" s="631"/>
      <c r="E4754" s="633"/>
      <c r="F4754" s="650"/>
    </row>
    <row r="4755" spans="3:6">
      <c r="C4755" s="631"/>
      <c r="D4755" s="631"/>
      <c r="E4755" s="633"/>
      <c r="F4755" s="650"/>
    </row>
    <row r="4756" spans="3:6">
      <c r="C4756" s="631"/>
      <c r="D4756" s="631"/>
      <c r="E4756" s="633"/>
      <c r="F4756" s="650"/>
    </row>
    <row r="4757" spans="3:6">
      <c r="C4757" s="631"/>
      <c r="D4757" s="631"/>
      <c r="E4757" s="633"/>
      <c r="F4757" s="650"/>
    </row>
    <row r="4758" spans="3:6">
      <c r="C4758" s="631"/>
      <c r="D4758" s="631"/>
      <c r="E4758" s="633"/>
      <c r="F4758" s="650"/>
    </row>
    <row r="4759" spans="3:6">
      <c r="C4759" s="631"/>
      <c r="D4759" s="631"/>
      <c r="E4759" s="633"/>
      <c r="F4759" s="650"/>
    </row>
    <row r="4760" spans="3:6">
      <c r="C4760" s="631"/>
      <c r="D4760" s="631"/>
      <c r="E4760" s="633"/>
      <c r="F4760" s="650"/>
    </row>
    <row r="4761" spans="3:6">
      <c r="C4761" s="631"/>
      <c r="D4761" s="631"/>
      <c r="E4761" s="633"/>
      <c r="F4761" s="650"/>
    </row>
    <row r="4762" spans="3:6">
      <c r="C4762" s="631"/>
      <c r="D4762" s="631"/>
      <c r="E4762" s="633"/>
      <c r="F4762" s="650"/>
    </row>
    <row r="4763" spans="3:6">
      <c r="C4763" s="631"/>
      <c r="D4763" s="631"/>
      <c r="E4763" s="633"/>
      <c r="F4763" s="650"/>
    </row>
    <row r="4764" spans="3:6">
      <c r="C4764" s="631"/>
      <c r="D4764" s="631"/>
      <c r="E4764" s="633"/>
      <c r="F4764" s="650"/>
    </row>
    <row r="4765" spans="3:6">
      <c r="C4765" s="631"/>
      <c r="D4765" s="631"/>
      <c r="E4765" s="633"/>
      <c r="F4765" s="650"/>
    </row>
    <row r="4766" spans="3:6">
      <c r="C4766" s="631"/>
      <c r="D4766" s="631"/>
      <c r="E4766" s="633"/>
      <c r="F4766" s="650"/>
    </row>
    <row r="4767" spans="3:6">
      <c r="C4767" s="631"/>
      <c r="D4767" s="631"/>
      <c r="E4767" s="633"/>
      <c r="F4767" s="650"/>
    </row>
    <row r="4768" spans="3:6">
      <c r="C4768" s="631"/>
      <c r="D4768" s="631"/>
      <c r="E4768" s="633"/>
      <c r="F4768" s="650"/>
    </row>
    <row r="4769" spans="3:6">
      <c r="C4769" s="631"/>
      <c r="D4769" s="631"/>
      <c r="E4769" s="633"/>
      <c r="F4769" s="650"/>
    </row>
    <row r="4770" spans="3:6">
      <c r="C4770" s="631"/>
      <c r="D4770" s="631"/>
      <c r="E4770" s="633"/>
      <c r="F4770" s="650"/>
    </row>
    <row r="4771" spans="3:6">
      <c r="C4771" s="631"/>
      <c r="D4771" s="631"/>
      <c r="E4771" s="633"/>
      <c r="F4771" s="650"/>
    </row>
    <row r="4772" spans="3:6">
      <c r="C4772" s="631"/>
      <c r="D4772" s="631"/>
      <c r="E4772" s="633"/>
      <c r="F4772" s="650"/>
    </row>
    <row r="4773" spans="3:6">
      <c r="C4773" s="631"/>
      <c r="D4773" s="631"/>
      <c r="E4773" s="633"/>
      <c r="F4773" s="650"/>
    </row>
    <row r="4774" spans="3:6">
      <c r="C4774" s="631"/>
      <c r="D4774" s="631"/>
      <c r="E4774" s="633"/>
      <c r="F4774" s="650"/>
    </row>
    <row r="4775" spans="3:6">
      <c r="C4775" s="631"/>
      <c r="D4775" s="631"/>
      <c r="E4775" s="633"/>
      <c r="F4775" s="650"/>
    </row>
    <row r="4776" spans="3:6">
      <c r="C4776" s="631"/>
      <c r="D4776" s="631"/>
      <c r="E4776" s="633"/>
      <c r="F4776" s="650"/>
    </row>
    <row r="4777" spans="3:6">
      <c r="C4777" s="631"/>
      <c r="D4777" s="631"/>
      <c r="E4777" s="633"/>
      <c r="F4777" s="650"/>
    </row>
    <row r="4778" spans="3:6">
      <c r="C4778" s="631"/>
      <c r="D4778" s="631"/>
      <c r="E4778" s="633"/>
      <c r="F4778" s="650"/>
    </row>
    <row r="4779" spans="3:6">
      <c r="C4779" s="631"/>
      <c r="D4779" s="631"/>
      <c r="E4779" s="633"/>
      <c r="F4779" s="650"/>
    </row>
    <row r="4780" spans="3:6">
      <c r="C4780" s="631"/>
      <c r="D4780" s="631"/>
      <c r="E4780" s="633"/>
      <c r="F4780" s="650"/>
    </row>
    <row r="4781" spans="3:6">
      <c r="C4781" s="631"/>
      <c r="D4781" s="631"/>
      <c r="E4781" s="633"/>
      <c r="F4781" s="650"/>
    </row>
    <row r="4782" spans="3:6">
      <c r="C4782" s="631"/>
      <c r="D4782" s="631"/>
      <c r="E4782" s="633"/>
      <c r="F4782" s="650"/>
    </row>
    <row r="4783" spans="3:6">
      <c r="C4783" s="631"/>
      <c r="D4783" s="631"/>
      <c r="E4783" s="633"/>
      <c r="F4783" s="650"/>
    </row>
    <row r="4784" spans="3:6">
      <c r="C4784" s="631"/>
      <c r="D4784" s="631"/>
      <c r="E4784" s="633"/>
      <c r="F4784" s="650"/>
    </row>
    <row r="4785" spans="3:6">
      <c r="C4785" s="631"/>
      <c r="D4785" s="631"/>
      <c r="E4785" s="633"/>
      <c r="F4785" s="650"/>
    </row>
    <row r="4786" spans="3:6">
      <c r="C4786" s="631"/>
      <c r="D4786" s="631"/>
      <c r="E4786" s="633"/>
      <c r="F4786" s="650"/>
    </row>
    <row r="4787" spans="3:6">
      <c r="C4787" s="631"/>
      <c r="D4787" s="631"/>
      <c r="E4787" s="633"/>
      <c r="F4787" s="650"/>
    </row>
    <row r="4788" spans="3:6">
      <c r="C4788" s="631"/>
      <c r="D4788" s="631"/>
      <c r="E4788" s="633"/>
      <c r="F4788" s="650"/>
    </row>
    <row r="4789" spans="3:6">
      <c r="C4789" s="631"/>
      <c r="D4789" s="631"/>
      <c r="E4789" s="633"/>
      <c r="F4789" s="650"/>
    </row>
    <row r="4790" spans="3:6">
      <c r="C4790" s="631"/>
      <c r="D4790" s="631"/>
      <c r="E4790" s="633"/>
      <c r="F4790" s="650"/>
    </row>
    <row r="4791" spans="3:6">
      <c r="C4791" s="631"/>
      <c r="D4791" s="631"/>
      <c r="E4791" s="633"/>
      <c r="F4791" s="650"/>
    </row>
    <row r="4792" spans="3:6">
      <c r="C4792" s="631"/>
      <c r="D4792" s="631"/>
      <c r="E4792" s="633"/>
      <c r="F4792" s="650"/>
    </row>
    <row r="4793" spans="3:6">
      <c r="C4793" s="631"/>
      <c r="D4793" s="631"/>
      <c r="E4793" s="633"/>
      <c r="F4793" s="650"/>
    </row>
    <row r="4794" spans="3:6">
      <c r="C4794" s="631"/>
      <c r="D4794" s="631"/>
      <c r="E4794" s="633"/>
      <c r="F4794" s="650"/>
    </row>
    <row r="4795" spans="3:6">
      <c r="C4795" s="631"/>
      <c r="D4795" s="631"/>
      <c r="E4795" s="633"/>
      <c r="F4795" s="650"/>
    </row>
    <row r="4796" spans="3:6">
      <c r="C4796" s="631"/>
      <c r="D4796" s="631"/>
      <c r="E4796" s="633"/>
      <c r="F4796" s="650"/>
    </row>
    <row r="4797" spans="3:6">
      <c r="C4797" s="631"/>
      <c r="D4797" s="631"/>
      <c r="E4797" s="633"/>
      <c r="F4797" s="650"/>
    </row>
    <row r="4798" spans="3:6">
      <c r="C4798" s="631"/>
      <c r="D4798" s="631"/>
      <c r="E4798" s="633"/>
      <c r="F4798" s="650"/>
    </row>
    <row r="4799" spans="3:6">
      <c r="C4799" s="631"/>
      <c r="D4799" s="631"/>
      <c r="E4799" s="633"/>
      <c r="F4799" s="650"/>
    </row>
    <row r="4800" spans="3:6">
      <c r="C4800" s="631"/>
      <c r="D4800" s="631"/>
      <c r="E4800" s="633"/>
      <c r="F4800" s="650"/>
    </row>
    <row r="4801" spans="3:6">
      <c r="C4801" s="631"/>
      <c r="D4801" s="631"/>
      <c r="E4801" s="633"/>
      <c r="F4801" s="650"/>
    </row>
    <row r="4802" spans="3:6">
      <c r="C4802" s="631"/>
      <c r="D4802" s="631"/>
      <c r="E4802" s="633"/>
      <c r="F4802" s="650"/>
    </row>
    <row r="4803" spans="3:6">
      <c r="C4803" s="631"/>
      <c r="D4803" s="631"/>
      <c r="E4803" s="633"/>
      <c r="F4803" s="650"/>
    </row>
    <row r="4804" spans="3:6">
      <c r="C4804" s="631"/>
      <c r="D4804" s="631"/>
      <c r="E4804" s="633"/>
      <c r="F4804" s="650"/>
    </row>
    <row r="4805" spans="3:6">
      <c r="C4805" s="631"/>
      <c r="D4805" s="631"/>
      <c r="E4805" s="633"/>
      <c r="F4805" s="650"/>
    </row>
    <row r="4806" spans="3:6">
      <c r="C4806" s="631"/>
      <c r="D4806" s="631"/>
      <c r="E4806" s="633"/>
      <c r="F4806" s="650"/>
    </row>
    <row r="4807" spans="3:6">
      <c r="C4807" s="631"/>
      <c r="D4807" s="631"/>
      <c r="E4807" s="633"/>
      <c r="F4807" s="650"/>
    </row>
    <row r="4808" spans="3:6">
      <c r="C4808" s="631"/>
      <c r="D4808" s="631"/>
      <c r="E4808" s="633"/>
      <c r="F4808" s="650"/>
    </row>
    <row r="4809" spans="3:6">
      <c r="C4809" s="631"/>
      <c r="D4809" s="631"/>
      <c r="E4809" s="633"/>
      <c r="F4809" s="650"/>
    </row>
    <row r="4810" spans="3:6">
      <c r="C4810" s="631"/>
      <c r="D4810" s="631"/>
      <c r="E4810" s="633"/>
      <c r="F4810" s="650"/>
    </row>
    <row r="4811" spans="3:6">
      <c r="C4811" s="631"/>
      <c r="D4811" s="631"/>
      <c r="E4811" s="633"/>
      <c r="F4811" s="650"/>
    </row>
    <row r="4812" spans="3:6">
      <c r="C4812" s="631"/>
      <c r="D4812" s="631"/>
      <c r="E4812" s="633"/>
      <c r="F4812" s="650"/>
    </row>
    <row r="4813" spans="3:6">
      <c r="C4813" s="631"/>
      <c r="D4813" s="631"/>
      <c r="E4813" s="633"/>
      <c r="F4813" s="650"/>
    </row>
    <row r="4814" spans="3:6">
      <c r="C4814" s="631"/>
      <c r="D4814" s="631"/>
      <c r="E4814" s="633"/>
      <c r="F4814" s="650"/>
    </row>
    <row r="4815" spans="3:6">
      <c r="C4815" s="631"/>
      <c r="D4815" s="631"/>
      <c r="E4815" s="633"/>
      <c r="F4815" s="650"/>
    </row>
    <row r="4816" spans="3:6">
      <c r="C4816" s="631"/>
      <c r="D4816" s="631"/>
      <c r="E4816" s="633"/>
      <c r="F4816" s="650"/>
    </row>
    <row r="4817" spans="3:6">
      <c r="C4817" s="631"/>
      <c r="D4817" s="631"/>
      <c r="E4817" s="633"/>
      <c r="F4817" s="650"/>
    </row>
    <row r="4818" spans="3:6">
      <c r="C4818" s="631"/>
      <c r="D4818" s="631"/>
      <c r="E4818" s="633"/>
      <c r="F4818" s="650"/>
    </row>
    <row r="4819" spans="3:6">
      <c r="C4819" s="631"/>
      <c r="D4819" s="631"/>
      <c r="E4819" s="633"/>
      <c r="F4819" s="650"/>
    </row>
    <row r="4820" spans="3:6">
      <c r="C4820" s="631"/>
      <c r="D4820" s="631"/>
      <c r="E4820" s="633"/>
      <c r="F4820" s="650"/>
    </row>
    <row r="4821" spans="3:6">
      <c r="C4821" s="631"/>
      <c r="D4821" s="631"/>
      <c r="E4821" s="633"/>
      <c r="F4821" s="650"/>
    </row>
    <row r="4822" spans="3:6">
      <c r="C4822" s="631"/>
      <c r="D4822" s="631"/>
      <c r="E4822" s="633"/>
      <c r="F4822" s="650"/>
    </row>
    <row r="4823" spans="3:6">
      <c r="C4823" s="631"/>
      <c r="D4823" s="631"/>
      <c r="E4823" s="633"/>
      <c r="F4823" s="650"/>
    </row>
    <row r="4824" spans="3:6">
      <c r="C4824" s="631"/>
      <c r="D4824" s="631"/>
      <c r="E4824" s="633"/>
      <c r="F4824" s="650"/>
    </row>
    <row r="4825" spans="3:6">
      <c r="C4825" s="631"/>
      <c r="D4825" s="631"/>
      <c r="E4825" s="633"/>
      <c r="F4825" s="650"/>
    </row>
    <row r="4826" spans="3:6">
      <c r="C4826" s="631"/>
      <c r="D4826" s="631"/>
      <c r="E4826" s="633"/>
      <c r="F4826" s="650"/>
    </row>
    <row r="4827" spans="3:6">
      <c r="C4827" s="631"/>
      <c r="D4827" s="631"/>
      <c r="E4827" s="633"/>
      <c r="F4827" s="650"/>
    </row>
    <row r="4828" spans="3:6">
      <c r="C4828" s="631"/>
      <c r="D4828" s="631"/>
      <c r="E4828" s="633"/>
      <c r="F4828" s="650"/>
    </row>
    <row r="4829" spans="3:6">
      <c r="C4829" s="631"/>
      <c r="D4829" s="631"/>
      <c r="E4829" s="633"/>
      <c r="F4829" s="650"/>
    </row>
    <row r="4830" spans="3:6">
      <c r="C4830" s="631"/>
      <c r="D4830" s="631"/>
      <c r="E4830" s="633"/>
      <c r="F4830" s="650"/>
    </row>
    <row r="4831" spans="3:6">
      <c r="C4831" s="631"/>
      <c r="D4831" s="631"/>
      <c r="E4831" s="633"/>
      <c r="F4831" s="650"/>
    </row>
    <row r="4832" spans="3:6">
      <c r="C4832" s="631"/>
      <c r="D4832" s="631"/>
      <c r="E4832" s="633"/>
      <c r="F4832" s="650"/>
    </row>
    <row r="4833" spans="3:6">
      <c r="C4833" s="631"/>
      <c r="D4833" s="631"/>
      <c r="E4833" s="633"/>
      <c r="F4833" s="650"/>
    </row>
    <row r="4834" spans="3:6">
      <c r="C4834" s="631"/>
      <c r="D4834" s="631"/>
      <c r="E4834" s="633"/>
      <c r="F4834" s="650"/>
    </row>
    <row r="4835" spans="3:6">
      <c r="C4835" s="631"/>
      <c r="D4835" s="631"/>
      <c r="E4835" s="633"/>
      <c r="F4835" s="650"/>
    </row>
    <row r="4836" spans="3:6">
      <c r="C4836" s="631"/>
      <c r="D4836" s="631"/>
      <c r="E4836" s="633"/>
      <c r="F4836" s="650"/>
    </row>
    <row r="4837" spans="3:6">
      <c r="C4837" s="631"/>
      <c r="D4837" s="631"/>
      <c r="E4837" s="633"/>
      <c r="F4837" s="650"/>
    </row>
    <row r="4838" spans="3:6">
      <c r="C4838" s="631"/>
      <c r="D4838" s="631"/>
      <c r="E4838" s="633"/>
      <c r="F4838" s="650"/>
    </row>
    <row r="4839" spans="3:6">
      <c r="C4839" s="631"/>
      <c r="D4839" s="631"/>
      <c r="E4839" s="633"/>
      <c r="F4839" s="650"/>
    </row>
    <row r="4840" spans="3:6">
      <c r="C4840" s="631"/>
      <c r="D4840" s="631"/>
      <c r="E4840" s="633"/>
      <c r="F4840" s="650"/>
    </row>
    <row r="4841" spans="3:6">
      <c r="C4841" s="631"/>
      <c r="D4841" s="631"/>
      <c r="E4841" s="633"/>
      <c r="F4841" s="650"/>
    </row>
    <row r="4842" spans="3:6">
      <c r="C4842" s="631"/>
      <c r="D4842" s="631"/>
      <c r="E4842" s="633"/>
      <c r="F4842" s="650"/>
    </row>
    <row r="4843" spans="3:6">
      <c r="C4843" s="631"/>
      <c r="D4843" s="631"/>
      <c r="E4843" s="633"/>
      <c r="F4843" s="650"/>
    </row>
    <row r="4844" spans="3:6">
      <c r="C4844" s="631"/>
      <c r="D4844" s="631"/>
      <c r="E4844" s="633"/>
      <c r="F4844" s="650"/>
    </row>
    <row r="4845" spans="3:6">
      <c r="C4845" s="631"/>
      <c r="D4845" s="631"/>
      <c r="E4845" s="633"/>
      <c r="F4845" s="650"/>
    </row>
    <row r="4846" spans="3:6">
      <c r="C4846" s="631"/>
      <c r="D4846" s="631"/>
      <c r="E4846" s="633"/>
      <c r="F4846" s="650"/>
    </row>
    <row r="4847" spans="3:6">
      <c r="C4847" s="631"/>
      <c r="D4847" s="631"/>
      <c r="E4847" s="633"/>
      <c r="F4847" s="650"/>
    </row>
    <row r="4848" spans="3:6">
      <c r="C4848" s="631"/>
      <c r="D4848" s="631"/>
      <c r="E4848" s="633"/>
      <c r="F4848" s="650"/>
    </row>
    <row r="4849" spans="3:6">
      <c r="C4849" s="631"/>
      <c r="D4849" s="631"/>
      <c r="E4849" s="633"/>
      <c r="F4849" s="650"/>
    </row>
    <row r="4850" spans="3:6">
      <c r="C4850" s="631"/>
      <c r="D4850" s="631"/>
      <c r="E4850" s="633"/>
      <c r="F4850" s="650"/>
    </row>
    <row r="4851" spans="3:6">
      <c r="C4851" s="631"/>
      <c r="D4851" s="631"/>
      <c r="E4851" s="633"/>
      <c r="F4851" s="650"/>
    </row>
    <row r="4852" spans="3:6">
      <c r="C4852" s="631"/>
      <c r="D4852" s="631"/>
      <c r="E4852" s="633"/>
      <c r="F4852" s="650"/>
    </row>
    <row r="4853" spans="3:6">
      <c r="C4853" s="631"/>
      <c r="D4853" s="631"/>
      <c r="E4853" s="633"/>
      <c r="F4853" s="650"/>
    </row>
    <row r="4854" spans="3:6">
      <c r="C4854" s="631"/>
      <c r="D4854" s="631"/>
      <c r="E4854" s="633"/>
      <c r="F4854" s="650"/>
    </row>
    <row r="4855" spans="3:6">
      <c r="C4855" s="631"/>
      <c r="D4855" s="631"/>
      <c r="E4855" s="633"/>
      <c r="F4855" s="650"/>
    </row>
    <row r="4856" spans="3:6">
      <c r="C4856" s="631"/>
      <c r="D4856" s="631"/>
      <c r="E4856" s="633"/>
      <c r="F4856" s="650"/>
    </row>
    <row r="4857" spans="3:6">
      <c r="C4857" s="631"/>
      <c r="D4857" s="631"/>
      <c r="E4857" s="633"/>
      <c r="F4857" s="650"/>
    </row>
    <row r="4858" spans="3:6">
      <c r="C4858" s="631"/>
      <c r="D4858" s="631"/>
      <c r="E4858" s="633"/>
      <c r="F4858" s="650"/>
    </row>
    <row r="4859" spans="3:6">
      <c r="C4859" s="631"/>
      <c r="D4859" s="631"/>
      <c r="E4859" s="633"/>
      <c r="F4859" s="650"/>
    </row>
    <row r="4860" spans="3:6">
      <c r="C4860" s="631"/>
      <c r="D4860" s="631"/>
      <c r="E4860" s="633"/>
      <c r="F4860" s="650"/>
    </row>
    <row r="4861" spans="3:6">
      <c r="C4861" s="631"/>
      <c r="D4861" s="631"/>
      <c r="E4861" s="633"/>
      <c r="F4861" s="650"/>
    </row>
    <row r="4862" spans="3:6">
      <c r="C4862" s="631"/>
      <c r="D4862" s="631"/>
      <c r="E4862" s="633"/>
      <c r="F4862" s="650"/>
    </row>
    <row r="4863" spans="3:6">
      <c r="C4863" s="631"/>
      <c r="D4863" s="631"/>
      <c r="E4863" s="633"/>
      <c r="F4863" s="650"/>
    </row>
    <row r="4864" spans="3:6">
      <c r="C4864" s="631"/>
      <c r="D4864" s="631"/>
      <c r="E4864" s="633"/>
      <c r="F4864" s="650"/>
    </row>
    <row r="4865" spans="3:6">
      <c r="C4865" s="631"/>
      <c r="D4865" s="631"/>
      <c r="E4865" s="633"/>
      <c r="F4865" s="650"/>
    </row>
    <row r="4866" spans="3:6">
      <c r="C4866" s="631"/>
      <c r="D4866" s="631"/>
      <c r="E4866" s="633"/>
      <c r="F4866" s="650"/>
    </row>
    <row r="4867" spans="3:6">
      <c r="C4867" s="631"/>
      <c r="D4867" s="631"/>
      <c r="E4867" s="633"/>
      <c r="F4867" s="650"/>
    </row>
    <row r="4868" spans="3:6">
      <c r="C4868" s="631"/>
      <c r="D4868" s="631"/>
      <c r="E4868" s="633"/>
      <c r="F4868" s="650"/>
    </row>
    <row r="4869" spans="3:6">
      <c r="C4869" s="631"/>
      <c r="D4869" s="631"/>
      <c r="E4869" s="633"/>
      <c r="F4869" s="650"/>
    </row>
    <row r="4870" spans="3:6">
      <c r="C4870" s="631"/>
      <c r="D4870" s="631"/>
      <c r="E4870" s="633"/>
      <c r="F4870" s="650"/>
    </row>
    <row r="4871" spans="3:6">
      <c r="C4871" s="631"/>
      <c r="D4871" s="631"/>
      <c r="E4871" s="633"/>
      <c r="F4871" s="650"/>
    </row>
    <row r="4872" spans="3:6">
      <c r="C4872" s="631"/>
      <c r="D4872" s="631"/>
      <c r="E4872" s="633"/>
      <c r="F4872" s="650"/>
    </row>
    <row r="4873" spans="3:6">
      <c r="C4873" s="631"/>
      <c r="D4873" s="631"/>
      <c r="E4873" s="633"/>
      <c r="F4873" s="650"/>
    </row>
    <row r="4874" spans="3:6">
      <c r="C4874" s="631"/>
      <c r="D4874" s="631"/>
      <c r="E4874" s="633"/>
      <c r="F4874" s="650"/>
    </row>
    <row r="4875" spans="3:6">
      <c r="C4875" s="631"/>
      <c r="D4875" s="631"/>
      <c r="E4875" s="633"/>
      <c r="F4875" s="650"/>
    </row>
    <row r="4876" spans="3:6">
      <c r="C4876" s="631"/>
      <c r="D4876" s="631"/>
      <c r="E4876" s="633"/>
      <c r="F4876" s="650"/>
    </row>
    <row r="4877" spans="3:6">
      <c r="C4877" s="631"/>
      <c r="D4877" s="631"/>
      <c r="E4877" s="633"/>
      <c r="F4877" s="650"/>
    </row>
    <row r="4878" spans="3:6">
      <c r="C4878" s="631"/>
      <c r="D4878" s="631"/>
      <c r="E4878" s="633"/>
      <c r="F4878" s="650"/>
    </row>
    <row r="4879" spans="3:6">
      <c r="C4879" s="631"/>
      <c r="D4879" s="631"/>
      <c r="E4879" s="633"/>
      <c r="F4879" s="650"/>
    </row>
    <row r="4880" spans="3:6">
      <c r="C4880" s="631"/>
      <c r="D4880" s="631"/>
      <c r="E4880" s="633"/>
      <c r="F4880" s="650"/>
    </row>
    <row r="4881" spans="3:6">
      <c r="C4881" s="631"/>
      <c r="D4881" s="631"/>
      <c r="E4881" s="633"/>
      <c r="F4881" s="650"/>
    </row>
    <row r="4882" spans="3:6">
      <c r="C4882" s="631"/>
      <c r="D4882" s="631"/>
      <c r="E4882" s="633"/>
      <c r="F4882" s="650"/>
    </row>
    <row r="4883" spans="3:6">
      <c r="C4883" s="631"/>
      <c r="D4883" s="631"/>
      <c r="E4883" s="633"/>
      <c r="F4883" s="650"/>
    </row>
    <row r="4884" spans="3:6">
      <c r="C4884" s="631"/>
      <c r="D4884" s="631"/>
      <c r="E4884" s="633"/>
      <c r="F4884" s="650"/>
    </row>
    <row r="4885" spans="3:6">
      <c r="C4885" s="631"/>
      <c r="D4885" s="631"/>
      <c r="E4885" s="633"/>
      <c r="F4885" s="650"/>
    </row>
    <row r="4886" spans="3:6">
      <c r="C4886" s="631"/>
      <c r="D4886" s="631"/>
      <c r="E4886" s="633"/>
      <c r="F4886" s="650"/>
    </row>
    <row r="4887" spans="3:6">
      <c r="C4887" s="631"/>
      <c r="D4887" s="631"/>
      <c r="E4887" s="633"/>
      <c r="F4887" s="650"/>
    </row>
    <row r="4888" spans="3:6">
      <c r="C4888" s="631"/>
      <c r="D4888" s="631"/>
      <c r="E4888" s="633"/>
      <c r="F4888" s="650"/>
    </row>
    <row r="4889" spans="3:6">
      <c r="C4889" s="631"/>
      <c r="D4889" s="631"/>
      <c r="E4889" s="633"/>
      <c r="F4889" s="650"/>
    </row>
    <row r="4890" spans="3:6">
      <c r="C4890" s="631"/>
      <c r="D4890" s="631"/>
      <c r="E4890" s="633"/>
      <c r="F4890" s="650"/>
    </row>
    <row r="4891" spans="3:6">
      <c r="C4891" s="631"/>
      <c r="D4891" s="631"/>
      <c r="E4891" s="633"/>
      <c r="F4891" s="650"/>
    </row>
    <row r="4892" spans="3:6">
      <c r="C4892" s="631"/>
      <c r="D4892" s="631"/>
      <c r="E4892" s="633"/>
      <c r="F4892" s="650"/>
    </row>
    <row r="4893" spans="3:6">
      <c r="C4893" s="631"/>
      <c r="D4893" s="631"/>
      <c r="E4893" s="633"/>
      <c r="F4893" s="650"/>
    </row>
    <row r="4894" spans="3:6">
      <c r="C4894" s="631"/>
      <c r="D4894" s="631"/>
      <c r="E4894" s="633"/>
      <c r="F4894" s="650"/>
    </row>
    <row r="4895" spans="3:6">
      <c r="C4895" s="631"/>
      <c r="D4895" s="631"/>
      <c r="E4895" s="633"/>
      <c r="F4895" s="650"/>
    </row>
    <row r="4896" spans="3:6">
      <c r="C4896" s="631"/>
      <c r="D4896" s="631"/>
      <c r="E4896" s="633"/>
      <c r="F4896" s="650"/>
    </row>
    <row r="4897" spans="3:6">
      <c r="C4897" s="631"/>
      <c r="D4897" s="631"/>
      <c r="E4897" s="633"/>
      <c r="F4897" s="650"/>
    </row>
    <row r="4898" spans="3:6">
      <c r="C4898" s="631"/>
      <c r="D4898" s="631"/>
      <c r="E4898" s="633"/>
      <c r="F4898" s="650"/>
    </row>
    <row r="4899" spans="3:6">
      <c r="C4899" s="631"/>
      <c r="D4899" s="631"/>
      <c r="E4899" s="633"/>
      <c r="F4899" s="650"/>
    </row>
    <row r="4900" spans="3:6">
      <c r="C4900" s="631"/>
      <c r="D4900" s="631"/>
      <c r="E4900" s="633"/>
      <c r="F4900" s="650"/>
    </row>
    <row r="4901" spans="3:6">
      <c r="C4901" s="631"/>
      <c r="D4901" s="631"/>
      <c r="E4901" s="633"/>
      <c r="F4901" s="650"/>
    </row>
    <row r="4902" spans="3:6">
      <c r="C4902" s="631"/>
      <c r="D4902" s="631"/>
      <c r="E4902" s="633"/>
      <c r="F4902" s="650"/>
    </row>
    <row r="4903" spans="3:6">
      <c r="C4903" s="631"/>
      <c r="D4903" s="631"/>
      <c r="E4903" s="633"/>
      <c r="F4903" s="650"/>
    </row>
    <row r="4904" spans="3:6">
      <c r="C4904" s="631"/>
      <c r="D4904" s="631"/>
      <c r="E4904" s="633"/>
      <c r="F4904" s="650"/>
    </row>
    <row r="4905" spans="3:6">
      <c r="C4905" s="631"/>
      <c r="D4905" s="631"/>
      <c r="E4905" s="633"/>
      <c r="F4905" s="650"/>
    </row>
    <row r="4906" spans="3:6">
      <c r="C4906" s="631"/>
      <c r="D4906" s="631"/>
      <c r="E4906" s="633"/>
      <c r="F4906" s="650"/>
    </row>
    <row r="4907" spans="3:6">
      <c r="C4907" s="631"/>
      <c r="D4907" s="631"/>
      <c r="E4907" s="633"/>
      <c r="F4907" s="650"/>
    </row>
    <row r="4908" spans="3:6">
      <c r="C4908" s="631"/>
      <c r="D4908" s="631"/>
      <c r="E4908" s="633"/>
      <c r="F4908" s="650"/>
    </row>
    <row r="4909" spans="3:6">
      <c r="C4909" s="631"/>
      <c r="D4909" s="631"/>
      <c r="E4909" s="633"/>
      <c r="F4909" s="650"/>
    </row>
    <row r="4910" spans="3:6">
      <c r="C4910" s="631"/>
      <c r="D4910" s="631"/>
      <c r="E4910" s="633"/>
      <c r="F4910" s="650"/>
    </row>
    <row r="4911" spans="3:6">
      <c r="C4911" s="631"/>
      <c r="D4911" s="631"/>
      <c r="E4911" s="633"/>
      <c r="F4911" s="650"/>
    </row>
    <row r="4912" spans="3:6">
      <c r="C4912" s="631"/>
      <c r="D4912" s="631"/>
      <c r="E4912" s="633"/>
      <c r="F4912" s="650"/>
    </row>
    <row r="4913" spans="3:6">
      <c r="C4913" s="631"/>
      <c r="D4913" s="631"/>
      <c r="E4913" s="633"/>
      <c r="F4913" s="650"/>
    </row>
    <row r="4914" spans="3:6">
      <c r="C4914" s="631"/>
      <c r="D4914" s="631"/>
      <c r="E4914" s="633"/>
      <c r="F4914" s="650"/>
    </row>
    <row r="4915" spans="3:6">
      <c r="C4915" s="631"/>
      <c r="D4915" s="631"/>
      <c r="E4915" s="633"/>
      <c r="F4915" s="650"/>
    </row>
    <row r="4916" spans="3:6">
      <c r="C4916" s="631"/>
      <c r="D4916" s="631"/>
      <c r="E4916" s="633"/>
      <c r="F4916" s="650"/>
    </row>
    <row r="4917" spans="3:6">
      <c r="C4917" s="631"/>
      <c r="D4917" s="631"/>
      <c r="E4917" s="633"/>
      <c r="F4917" s="650"/>
    </row>
    <row r="4918" spans="3:6">
      <c r="C4918" s="631"/>
      <c r="D4918" s="631"/>
      <c r="E4918" s="633"/>
      <c r="F4918" s="650"/>
    </row>
    <row r="4919" spans="3:6">
      <c r="C4919" s="631"/>
      <c r="D4919" s="631"/>
      <c r="E4919" s="633"/>
      <c r="F4919" s="650"/>
    </row>
    <row r="4920" spans="3:6">
      <c r="C4920" s="631"/>
      <c r="D4920" s="631"/>
      <c r="E4920" s="633"/>
      <c r="F4920" s="650"/>
    </row>
    <row r="4921" spans="3:6">
      <c r="C4921" s="631"/>
      <c r="D4921" s="631"/>
      <c r="E4921" s="633"/>
      <c r="F4921" s="650"/>
    </row>
    <row r="4922" spans="3:6">
      <c r="C4922" s="631"/>
      <c r="D4922" s="631"/>
      <c r="E4922" s="633"/>
      <c r="F4922" s="650"/>
    </row>
    <row r="4923" spans="3:6">
      <c r="C4923" s="631"/>
      <c r="D4923" s="631"/>
      <c r="E4923" s="633"/>
      <c r="F4923" s="650"/>
    </row>
    <row r="4924" spans="3:6">
      <c r="C4924" s="631"/>
      <c r="D4924" s="631"/>
      <c r="E4924" s="633"/>
      <c r="F4924" s="650"/>
    </row>
    <row r="4925" spans="3:6">
      <c r="C4925" s="631"/>
      <c r="D4925" s="631"/>
      <c r="E4925" s="633"/>
      <c r="F4925" s="650"/>
    </row>
    <row r="4926" spans="3:6">
      <c r="C4926" s="631"/>
      <c r="D4926" s="631"/>
      <c r="E4926" s="633"/>
      <c r="F4926" s="650"/>
    </row>
    <row r="4927" spans="3:6">
      <c r="C4927" s="631"/>
      <c r="D4927" s="631"/>
      <c r="E4927" s="633"/>
      <c r="F4927" s="650"/>
    </row>
    <row r="4928" spans="3:6">
      <c r="C4928" s="631"/>
      <c r="D4928" s="631"/>
      <c r="E4928" s="633"/>
      <c r="F4928" s="650"/>
    </row>
    <row r="4929" spans="3:6">
      <c r="C4929" s="631"/>
      <c r="D4929" s="631"/>
      <c r="E4929" s="633"/>
      <c r="F4929" s="650"/>
    </row>
    <row r="4930" spans="3:6">
      <c r="C4930" s="631"/>
      <c r="D4930" s="631"/>
      <c r="E4930" s="633"/>
      <c r="F4930" s="650"/>
    </row>
    <row r="4931" spans="3:6">
      <c r="C4931" s="631"/>
      <c r="D4931" s="631"/>
      <c r="E4931" s="633"/>
      <c r="F4931" s="650"/>
    </row>
    <row r="4932" spans="3:6">
      <c r="C4932" s="631"/>
      <c r="D4932" s="631"/>
      <c r="E4932" s="633"/>
      <c r="F4932" s="650"/>
    </row>
    <row r="4933" spans="3:6">
      <c r="C4933" s="631"/>
      <c r="D4933" s="631"/>
      <c r="E4933" s="633"/>
      <c r="F4933" s="650"/>
    </row>
    <row r="4934" spans="3:6">
      <c r="C4934" s="631"/>
      <c r="D4934" s="631"/>
      <c r="E4934" s="633"/>
      <c r="F4934" s="650"/>
    </row>
    <row r="4935" spans="3:6">
      <c r="C4935" s="631"/>
      <c r="D4935" s="631"/>
      <c r="E4935" s="633"/>
      <c r="F4935" s="650"/>
    </row>
    <row r="4936" spans="3:6">
      <c r="C4936" s="631"/>
      <c r="D4936" s="631"/>
      <c r="E4936" s="633"/>
      <c r="F4936" s="650"/>
    </row>
    <row r="4937" spans="3:6">
      <c r="C4937" s="631"/>
      <c r="D4937" s="631"/>
      <c r="E4937" s="633"/>
      <c r="F4937" s="650"/>
    </row>
    <row r="4938" spans="3:6">
      <c r="C4938" s="631"/>
      <c r="D4938" s="631"/>
      <c r="E4938" s="633"/>
      <c r="F4938" s="650"/>
    </row>
    <row r="4939" spans="3:6">
      <c r="C4939" s="631"/>
      <c r="D4939" s="631"/>
      <c r="E4939" s="633"/>
      <c r="F4939" s="650"/>
    </row>
    <row r="4940" spans="3:6">
      <c r="C4940" s="631"/>
      <c r="D4940" s="631"/>
      <c r="E4940" s="633"/>
      <c r="F4940" s="650"/>
    </row>
    <row r="4941" spans="3:6">
      <c r="C4941" s="631"/>
      <c r="D4941" s="631"/>
      <c r="E4941" s="633"/>
      <c r="F4941" s="650"/>
    </row>
    <row r="4942" spans="3:6">
      <c r="C4942" s="631"/>
      <c r="D4942" s="631"/>
      <c r="E4942" s="633"/>
      <c r="F4942" s="650"/>
    </row>
    <row r="4943" spans="3:6">
      <c r="C4943" s="631"/>
      <c r="D4943" s="631"/>
      <c r="E4943" s="633"/>
      <c r="F4943" s="650"/>
    </row>
    <row r="4944" spans="3:6">
      <c r="C4944" s="631"/>
      <c r="D4944" s="631"/>
      <c r="E4944" s="633"/>
      <c r="F4944" s="650"/>
    </row>
    <row r="4945" spans="3:6">
      <c r="C4945" s="631"/>
      <c r="D4945" s="631"/>
      <c r="E4945" s="633"/>
      <c r="F4945" s="650"/>
    </row>
    <row r="4946" spans="3:6">
      <c r="C4946" s="631"/>
      <c r="D4946" s="631"/>
      <c r="E4946" s="633"/>
      <c r="F4946" s="650"/>
    </row>
    <row r="4947" spans="3:6">
      <c r="C4947" s="631"/>
      <c r="D4947" s="631"/>
      <c r="E4947" s="633"/>
      <c r="F4947" s="650"/>
    </row>
    <row r="4948" spans="3:6">
      <c r="C4948" s="631"/>
      <c r="D4948" s="631"/>
      <c r="E4948" s="633"/>
      <c r="F4948" s="650"/>
    </row>
    <row r="4949" spans="3:6">
      <c r="C4949" s="631"/>
      <c r="D4949" s="631"/>
      <c r="E4949" s="633"/>
      <c r="F4949" s="650"/>
    </row>
    <row r="4950" spans="3:6">
      <c r="C4950" s="631"/>
      <c r="D4950" s="631"/>
      <c r="E4950" s="633"/>
      <c r="F4950" s="650"/>
    </row>
    <row r="4951" spans="3:6">
      <c r="C4951" s="631"/>
      <c r="D4951" s="631"/>
      <c r="E4951" s="633"/>
      <c r="F4951" s="650"/>
    </row>
    <row r="4952" spans="3:6">
      <c r="C4952" s="631"/>
      <c r="D4952" s="631"/>
      <c r="E4952" s="633"/>
      <c r="F4952" s="650"/>
    </row>
    <row r="4953" spans="3:6">
      <c r="C4953" s="631"/>
      <c r="D4953" s="631"/>
      <c r="E4953" s="633"/>
      <c r="F4953" s="650"/>
    </row>
    <row r="4954" spans="3:6">
      <c r="C4954" s="631"/>
      <c r="D4954" s="631"/>
      <c r="E4954" s="633"/>
      <c r="F4954" s="650"/>
    </row>
    <row r="4955" spans="3:6">
      <c r="C4955" s="631"/>
      <c r="D4955" s="631"/>
      <c r="E4955" s="633"/>
      <c r="F4955" s="650"/>
    </row>
    <row r="4956" spans="3:6">
      <c r="C4956" s="631"/>
      <c r="D4956" s="631"/>
      <c r="E4956" s="633"/>
      <c r="F4956" s="650"/>
    </row>
    <row r="4957" spans="3:6">
      <c r="C4957" s="631"/>
      <c r="D4957" s="631"/>
      <c r="E4957" s="633"/>
      <c r="F4957" s="650"/>
    </row>
    <row r="4958" spans="3:6">
      <c r="C4958" s="631"/>
      <c r="D4958" s="631"/>
      <c r="E4958" s="633"/>
      <c r="F4958" s="650"/>
    </row>
    <row r="4959" spans="3:6">
      <c r="C4959" s="631"/>
      <c r="D4959" s="631"/>
      <c r="E4959" s="633"/>
      <c r="F4959" s="650"/>
    </row>
    <row r="4960" spans="3:6">
      <c r="C4960" s="631"/>
      <c r="D4960" s="631"/>
      <c r="E4960" s="633"/>
      <c r="F4960" s="650"/>
    </row>
    <row r="4961" spans="3:6">
      <c r="C4961" s="631"/>
      <c r="D4961" s="631"/>
      <c r="E4961" s="633"/>
      <c r="F4961" s="650"/>
    </row>
    <row r="4962" spans="3:6">
      <c r="C4962" s="631"/>
      <c r="D4962" s="631"/>
      <c r="E4962" s="633"/>
      <c r="F4962" s="650"/>
    </row>
    <row r="4963" spans="3:6">
      <c r="C4963" s="631"/>
      <c r="D4963" s="631"/>
      <c r="E4963" s="633"/>
      <c r="F4963" s="650"/>
    </row>
    <row r="4964" spans="3:6">
      <c r="C4964" s="631"/>
      <c r="D4964" s="631"/>
      <c r="E4964" s="633"/>
      <c r="F4964" s="650"/>
    </row>
    <row r="4965" spans="3:6">
      <c r="C4965" s="631"/>
      <c r="D4965" s="631"/>
      <c r="E4965" s="633"/>
      <c r="F4965" s="650"/>
    </row>
    <row r="4966" spans="3:6">
      <c r="C4966" s="631"/>
      <c r="D4966" s="631"/>
      <c r="E4966" s="633"/>
      <c r="F4966" s="650"/>
    </row>
    <row r="4967" spans="3:6">
      <c r="C4967" s="631"/>
      <c r="D4967" s="631"/>
      <c r="E4967" s="633"/>
      <c r="F4967" s="650"/>
    </row>
    <row r="4968" spans="3:6">
      <c r="C4968" s="631"/>
      <c r="D4968" s="631"/>
      <c r="E4968" s="633"/>
      <c r="F4968" s="650"/>
    </row>
    <row r="4969" spans="3:6">
      <c r="C4969" s="631"/>
      <c r="D4969" s="631"/>
      <c r="E4969" s="633"/>
      <c r="F4969" s="650"/>
    </row>
    <row r="4970" spans="3:6">
      <c r="C4970" s="631"/>
      <c r="D4970" s="631"/>
      <c r="E4970" s="633"/>
      <c r="F4970" s="650"/>
    </row>
    <row r="4971" spans="3:6">
      <c r="C4971" s="631"/>
      <c r="D4971" s="631"/>
      <c r="E4971" s="633"/>
      <c r="F4971" s="650"/>
    </row>
    <row r="4972" spans="3:6">
      <c r="C4972" s="631"/>
      <c r="D4972" s="631"/>
      <c r="E4972" s="633"/>
      <c r="F4972" s="650"/>
    </row>
    <row r="4973" spans="3:6">
      <c r="C4973" s="631"/>
      <c r="D4973" s="631"/>
      <c r="E4973" s="633"/>
      <c r="F4973" s="650"/>
    </row>
    <row r="4974" spans="3:6">
      <c r="C4974" s="631"/>
      <c r="D4974" s="631"/>
      <c r="E4974" s="633"/>
      <c r="F4974" s="650"/>
    </row>
    <row r="4975" spans="3:6">
      <c r="C4975" s="631"/>
      <c r="D4975" s="631"/>
      <c r="E4975" s="633"/>
      <c r="F4975" s="650"/>
    </row>
    <row r="4976" spans="3:6">
      <c r="C4976" s="631"/>
      <c r="D4976" s="631"/>
      <c r="E4976" s="633"/>
      <c r="F4976" s="650"/>
    </row>
    <row r="4977" spans="3:6">
      <c r="C4977" s="631"/>
      <c r="D4977" s="631"/>
      <c r="E4977" s="633"/>
      <c r="F4977" s="650"/>
    </row>
    <row r="4978" spans="3:6">
      <c r="C4978" s="631"/>
      <c r="D4978" s="631"/>
      <c r="E4978" s="633"/>
      <c r="F4978" s="650"/>
    </row>
    <row r="4979" spans="3:6">
      <c r="C4979" s="631"/>
      <c r="D4979" s="631"/>
      <c r="E4979" s="633"/>
      <c r="F4979" s="650"/>
    </row>
    <row r="4980" spans="3:6">
      <c r="C4980" s="631"/>
      <c r="D4980" s="631"/>
      <c r="E4980" s="633"/>
      <c r="F4980" s="650"/>
    </row>
    <row r="4981" spans="3:6">
      <c r="C4981" s="631"/>
      <c r="D4981" s="631"/>
      <c r="E4981" s="633"/>
      <c r="F4981" s="650"/>
    </row>
    <row r="4982" spans="3:6">
      <c r="C4982" s="631"/>
      <c r="D4982" s="631"/>
      <c r="E4982" s="633"/>
      <c r="F4982" s="650"/>
    </row>
    <row r="4983" spans="3:6">
      <c r="C4983" s="631"/>
      <c r="D4983" s="631"/>
      <c r="E4983" s="633"/>
      <c r="F4983" s="650"/>
    </row>
    <row r="4984" spans="3:6">
      <c r="C4984" s="631"/>
      <c r="D4984" s="631"/>
      <c r="E4984" s="633"/>
      <c r="F4984" s="650"/>
    </row>
    <row r="4985" spans="3:6">
      <c r="C4985" s="631"/>
      <c r="D4985" s="631"/>
      <c r="E4985" s="633"/>
      <c r="F4985" s="650"/>
    </row>
    <row r="4986" spans="3:6">
      <c r="C4986" s="631"/>
      <c r="D4986" s="631"/>
      <c r="E4986" s="633"/>
      <c r="F4986" s="650"/>
    </row>
    <row r="4987" spans="3:6">
      <c r="C4987" s="631"/>
      <c r="D4987" s="631"/>
      <c r="E4987" s="633"/>
      <c r="F4987" s="650"/>
    </row>
    <row r="4988" spans="3:6">
      <c r="C4988" s="631"/>
      <c r="D4988" s="631"/>
      <c r="E4988" s="633"/>
      <c r="F4988" s="650"/>
    </row>
    <row r="4989" spans="3:6">
      <c r="C4989" s="631"/>
      <c r="D4989" s="631"/>
      <c r="E4989" s="633"/>
      <c r="F4989" s="650"/>
    </row>
    <row r="4990" spans="3:6">
      <c r="C4990" s="631"/>
      <c r="D4990" s="631"/>
      <c r="E4990" s="633"/>
      <c r="F4990" s="650"/>
    </row>
    <row r="4991" spans="3:6">
      <c r="C4991" s="631"/>
      <c r="D4991" s="631"/>
      <c r="E4991" s="633"/>
      <c r="F4991" s="650"/>
    </row>
    <row r="4992" spans="3:6">
      <c r="C4992" s="631"/>
      <c r="D4992" s="631"/>
      <c r="E4992" s="633"/>
      <c r="F4992" s="650"/>
    </row>
    <row r="4993" spans="3:6">
      <c r="C4993" s="631"/>
      <c r="D4993" s="631"/>
      <c r="E4993" s="633"/>
      <c r="F4993" s="650"/>
    </row>
    <row r="4994" spans="3:6">
      <c r="C4994" s="631"/>
      <c r="D4994" s="631"/>
      <c r="E4994" s="633"/>
      <c r="F4994" s="650"/>
    </row>
    <row r="4995" spans="3:6">
      <c r="C4995" s="631"/>
      <c r="D4995" s="631"/>
      <c r="E4995" s="633"/>
      <c r="F4995" s="650"/>
    </row>
    <row r="4996" spans="3:6">
      <c r="C4996" s="631"/>
      <c r="D4996" s="631"/>
      <c r="E4996" s="633"/>
      <c r="F4996" s="650"/>
    </row>
    <row r="4997" spans="3:6">
      <c r="C4997" s="631"/>
      <c r="D4997" s="631"/>
      <c r="E4997" s="633"/>
      <c r="F4997" s="650"/>
    </row>
    <row r="4998" spans="3:6">
      <c r="C4998" s="631"/>
      <c r="D4998" s="631"/>
      <c r="E4998" s="633"/>
      <c r="F4998" s="650"/>
    </row>
    <row r="4999" spans="3:6">
      <c r="C4999" s="631"/>
      <c r="D4999" s="631"/>
      <c r="E4999" s="633"/>
      <c r="F4999" s="650"/>
    </row>
    <row r="5000" spans="3:6">
      <c r="C5000" s="631"/>
      <c r="D5000" s="631"/>
      <c r="E5000" s="633"/>
      <c r="F5000" s="650"/>
    </row>
    <row r="5001" spans="3:6">
      <c r="C5001" s="631"/>
      <c r="D5001" s="631"/>
      <c r="E5001" s="633"/>
      <c r="F5001" s="650"/>
    </row>
    <row r="5002" spans="3:6">
      <c r="C5002" s="631"/>
      <c r="D5002" s="631"/>
      <c r="E5002" s="633"/>
      <c r="F5002" s="650"/>
    </row>
    <row r="5003" spans="3:6">
      <c r="C5003" s="631"/>
      <c r="D5003" s="631"/>
      <c r="E5003" s="633"/>
      <c r="F5003" s="650"/>
    </row>
    <row r="5004" spans="3:6">
      <c r="C5004" s="631"/>
      <c r="D5004" s="631"/>
      <c r="E5004" s="633"/>
      <c r="F5004" s="650"/>
    </row>
    <row r="5005" spans="3:6">
      <c r="C5005" s="631"/>
      <c r="D5005" s="631"/>
      <c r="E5005" s="633"/>
      <c r="F5005" s="650"/>
    </row>
    <row r="5006" spans="3:6">
      <c r="C5006" s="631"/>
      <c r="D5006" s="631"/>
      <c r="E5006" s="633"/>
      <c r="F5006" s="650"/>
    </row>
    <row r="5007" spans="3:6">
      <c r="C5007" s="631"/>
      <c r="D5007" s="631"/>
      <c r="E5007" s="633"/>
      <c r="F5007" s="650"/>
    </row>
    <row r="5008" spans="3:6">
      <c r="C5008" s="631"/>
      <c r="D5008" s="631"/>
      <c r="E5008" s="633"/>
      <c r="F5008" s="650"/>
    </row>
    <row r="5009" spans="3:6">
      <c r="C5009" s="631"/>
      <c r="D5009" s="631"/>
      <c r="E5009" s="633"/>
      <c r="F5009" s="650"/>
    </row>
    <row r="5010" spans="3:6">
      <c r="C5010" s="631"/>
      <c r="D5010" s="631"/>
      <c r="E5010" s="633"/>
      <c r="F5010" s="650"/>
    </row>
    <row r="5011" spans="3:6">
      <c r="C5011" s="631"/>
      <c r="D5011" s="631"/>
      <c r="E5011" s="633"/>
      <c r="F5011" s="650"/>
    </row>
    <row r="5012" spans="3:6">
      <c r="C5012" s="631"/>
      <c r="D5012" s="631"/>
      <c r="E5012" s="633"/>
      <c r="F5012" s="650"/>
    </row>
    <row r="5013" spans="3:6">
      <c r="C5013" s="631"/>
      <c r="D5013" s="631"/>
      <c r="E5013" s="633"/>
      <c r="F5013" s="650"/>
    </row>
    <row r="5014" spans="3:6">
      <c r="C5014" s="631"/>
      <c r="D5014" s="631"/>
      <c r="E5014" s="633"/>
      <c r="F5014" s="650"/>
    </row>
    <row r="5015" spans="3:6">
      <c r="C5015" s="631"/>
      <c r="D5015" s="631"/>
      <c r="E5015" s="633"/>
      <c r="F5015" s="650"/>
    </row>
    <row r="5016" spans="3:6">
      <c r="C5016" s="631"/>
      <c r="D5016" s="631"/>
      <c r="E5016" s="633"/>
      <c r="F5016" s="650"/>
    </row>
    <row r="5017" spans="3:6">
      <c r="C5017" s="631"/>
      <c r="D5017" s="631"/>
      <c r="E5017" s="633"/>
      <c r="F5017" s="650"/>
    </row>
    <row r="5018" spans="3:6">
      <c r="C5018" s="631"/>
      <c r="D5018" s="631"/>
      <c r="E5018" s="633"/>
      <c r="F5018" s="650"/>
    </row>
    <row r="5019" spans="3:6">
      <c r="C5019" s="631"/>
      <c r="D5019" s="631"/>
      <c r="E5019" s="633"/>
      <c r="F5019" s="650"/>
    </row>
    <row r="5020" spans="3:6">
      <c r="C5020" s="631"/>
      <c r="D5020" s="631"/>
      <c r="E5020" s="633"/>
      <c r="F5020" s="650"/>
    </row>
    <row r="5021" spans="3:6">
      <c r="C5021" s="631"/>
      <c r="D5021" s="631"/>
      <c r="E5021" s="633"/>
      <c r="F5021" s="650"/>
    </row>
    <row r="5022" spans="3:6">
      <c r="C5022" s="631"/>
      <c r="D5022" s="631"/>
      <c r="E5022" s="633"/>
      <c r="F5022" s="650"/>
    </row>
    <row r="5023" spans="3:6">
      <c r="C5023" s="631"/>
      <c r="D5023" s="631"/>
      <c r="E5023" s="633"/>
      <c r="F5023" s="650"/>
    </row>
    <row r="5024" spans="3:6">
      <c r="C5024" s="631"/>
      <c r="D5024" s="631"/>
      <c r="E5024" s="633"/>
      <c r="F5024" s="650"/>
    </row>
    <row r="5025" spans="3:6">
      <c r="C5025" s="631"/>
      <c r="D5025" s="631"/>
      <c r="E5025" s="633"/>
      <c r="F5025" s="650"/>
    </row>
    <row r="5026" spans="3:6">
      <c r="C5026" s="631"/>
      <c r="D5026" s="631"/>
      <c r="E5026" s="633"/>
      <c r="F5026" s="650"/>
    </row>
    <row r="5027" spans="3:6">
      <c r="C5027" s="631"/>
      <c r="D5027" s="631"/>
      <c r="E5027" s="633"/>
      <c r="F5027" s="650"/>
    </row>
    <row r="5028" spans="3:6">
      <c r="C5028" s="631"/>
      <c r="D5028" s="631"/>
      <c r="E5028" s="633"/>
      <c r="F5028" s="650"/>
    </row>
    <row r="5029" spans="3:6">
      <c r="C5029" s="631"/>
      <c r="D5029" s="631"/>
      <c r="E5029" s="633"/>
      <c r="F5029" s="650"/>
    </row>
    <row r="5030" spans="3:6">
      <c r="C5030" s="631"/>
      <c r="D5030" s="631"/>
      <c r="E5030" s="633"/>
      <c r="F5030" s="650"/>
    </row>
    <row r="5031" spans="3:6">
      <c r="C5031" s="631"/>
      <c r="D5031" s="631"/>
      <c r="E5031" s="633"/>
      <c r="F5031" s="650"/>
    </row>
    <row r="5032" spans="3:6">
      <c r="C5032" s="631"/>
      <c r="D5032" s="631"/>
      <c r="E5032" s="633"/>
      <c r="F5032" s="650"/>
    </row>
    <row r="5033" spans="3:6">
      <c r="C5033" s="631"/>
      <c r="D5033" s="631"/>
      <c r="E5033" s="633"/>
      <c r="F5033" s="650"/>
    </row>
    <row r="5034" spans="3:6">
      <c r="C5034" s="631"/>
      <c r="D5034" s="631"/>
      <c r="E5034" s="633"/>
      <c r="F5034" s="650"/>
    </row>
    <row r="5035" spans="3:6">
      <c r="C5035" s="631"/>
      <c r="D5035" s="631"/>
      <c r="E5035" s="633"/>
      <c r="F5035" s="650"/>
    </row>
    <row r="5036" spans="3:6">
      <c r="C5036" s="631"/>
      <c r="D5036" s="631"/>
      <c r="E5036" s="633"/>
      <c r="F5036" s="650"/>
    </row>
    <row r="5037" spans="3:6">
      <c r="C5037" s="631"/>
      <c r="D5037" s="631"/>
      <c r="E5037" s="633"/>
      <c r="F5037" s="650"/>
    </row>
    <row r="5038" spans="3:6">
      <c r="C5038" s="631"/>
      <c r="D5038" s="631"/>
      <c r="E5038" s="633"/>
      <c r="F5038" s="650"/>
    </row>
    <row r="5039" spans="3:6">
      <c r="C5039" s="631"/>
      <c r="D5039" s="631"/>
      <c r="E5039" s="633"/>
      <c r="F5039" s="650"/>
    </row>
    <row r="5040" spans="3:6">
      <c r="C5040" s="631"/>
      <c r="D5040" s="631"/>
      <c r="E5040" s="633"/>
      <c r="F5040" s="650"/>
    </row>
    <row r="5041" spans="3:6">
      <c r="C5041" s="631"/>
      <c r="D5041" s="631"/>
      <c r="E5041" s="633"/>
      <c r="F5041" s="650"/>
    </row>
    <row r="5042" spans="3:6">
      <c r="C5042" s="631"/>
      <c r="D5042" s="631"/>
      <c r="E5042" s="633"/>
      <c r="F5042" s="650"/>
    </row>
    <row r="5043" spans="3:6">
      <c r="C5043" s="631"/>
      <c r="D5043" s="631"/>
      <c r="E5043" s="633"/>
      <c r="F5043" s="650"/>
    </row>
    <row r="5044" spans="3:6">
      <c r="C5044" s="631"/>
      <c r="D5044" s="631"/>
      <c r="E5044" s="633"/>
      <c r="F5044" s="650"/>
    </row>
    <row r="5045" spans="3:6">
      <c r="C5045" s="631"/>
      <c r="D5045" s="631"/>
      <c r="E5045" s="633"/>
      <c r="F5045" s="650"/>
    </row>
    <row r="5046" spans="3:6">
      <c r="C5046" s="631"/>
      <c r="D5046" s="631"/>
      <c r="E5046" s="633"/>
      <c r="F5046" s="650"/>
    </row>
    <row r="5047" spans="3:6">
      <c r="C5047" s="631"/>
      <c r="D5047" s="631"/>
      <c r="E5047" s="633"/>
      <c r="F5047" s="650"/>
    </row>
    <row r="5048" spans="3:6">
      <c r="C5048" s="631"/>
      <c r="D5048" s="631"/>
      <c r="E5048" s="633"/>
      <c r="F5048" s="650"/>
    </row>
    <row r="5049" spans="3:6">
      <c r="C5049" s="631"/>
      <c r="D5049" s="631"/>
      <c r="E5049" s="633"/>
      <c r="F5049" s="650"/>
    </row>
    <row r="5050" spans="3:6">
      <c r="C5050" s="631"/>
      <c r="D5050" s="631"/>
      <c r="E5050" s="633"/>
      <c r="F5050" s="650"/>
    </row>
    <row r="5051" spans="3:6">
      <c r="C5051" s="631"/>
      <c r="D5051" s="631"/>
      <c r="E5051" s="633"/>
      <c r="F5051" s="650"/>
    </row>
    <row r="5052" spans="3:6">
      <c r="C5052" s="631"/>
      <c r="D5052" s="631"/>
      <c r="E5052" s="633"/>
      <c r="F5052" s="650"/>
    </row>
    <row r="5053" spans="3:6">
      <c r="C5053" s="631"/>
      <c r="D5053" s="631"/>
      <c r="E5053" s="633"/>
      <c r="F5053" s="650"/>
    </row>
    <row r="5054" spans="3:6">
      <c r="C5054" s="631"/>
      <c r="D5054" s="631"/>
      <c r="E5054" s="633"/>
      <c r="F5054" s="650"/>
    </row>
    <row r="5055" spans="3:6">
      <c r="C5055" s="631"/>
      <c r="D5055" s="631"/>
      <c r="E5055" s="633"/>
      <c r="F5055" s="650"/>
    </row>
    <row r="5056" spans="3:6">
      <c r="C5056" s="631"/>
      <c r="D5056" s="631"/>
      <c r="E5056" s="633"/>
      <c r="F5056" s="650"/>
    </row>
    <row r="5057" spans="3:6">
      <c r="C5057" s="631"/>
      <c r="D5057" s="631"/>
      <c r="E5057" s="633"/>
      <c r="F5057" s="650"/>
    </row>
    <row r="5058" spans="3:6">
      <c r="C5058" s="631"/>
      <c r="D5058" s="631"/>
      <c r="E5058" s="633"/>
      <c r="F5058" s="650"/>
    </row>
    <row r="5059" spans="3:6">
      <c r="C5059" s="631"/>
      <c r="D5059" s="631"/>
      <c r="E5059" s="633"/>
      <c r="F5059" s="650"/>
    </row>
    <row r="5060" spans="3:6">
      <c r="C5060" s="631"/>
      <c r="D5060" s="631"/>
      <c r="E5060" s="633"/>
      <c r="F5060" s="650"/>
    </row>
    <row r="5061" spans="3:6">
      <c r="C5061" s="631"/>
      <c r="D5061" s="631"/>
      <c r="E5061" s="633"/>
      <c r="F5061" s="650"/>
    </row>
    <row r="5062" spans="3:6">
      <c r="C5062" s="631"/>
      <c r="D5062" s="631"/>
      <c r="E5062" s="633"/>
      <c r="F5062" s="650"/>
    </row>
    <row r="5063" spans="3:6">
      <c r="C5063" s="631"/>
      <c r="D5063" s="631"/>
      <c r="E5063" s="633"/>
      <c r="F5063" s="650"/>
    </row>
    <row r="5064" spans="3:6">
      <c r="C5064" s="631"/>
      <c r="D5064" s="631"/>
      <c r="E5064" s="633"/>
      <c r="F5064" s="650"/>
    </row>
    <row r="5065" spans="3:6">
      <c r="C5065" s="631"/>
      <c r="D5065" s="631"/>
      <c r="E5065" s="633"/>
      <c r="F5065" s="650"/>
    </row>
    <row r="5066" spans="3:6">
      <c r="C5066" s="631"/>
      <c r="D5066" s="631"/>
      <c r="E5066" s="633"/>
      <c r="F5066" s="650"/>
    </row>
    <row r="5067" spans="3:6">
      <c r="C5067" s="631"/>
      <c r="D5067" s="631"/>
      <c r="E5067" s="633"/>
      <c r="F5067" s="650"/>
    </row>
    <row r="5068" spans="3:6">
      <c r="C5068" s="631"/>
      <c r="D5068" s="631"/>
      <c r="E5068" s="633"/>
      <c r="F5068" s="650"/>
    </row>
    <row r="5069" spans="3:6">
      <c r="C5069" s="631"/>
      <c r="D5069" s="631"/>
      <c r="E5069" s="633"/>
      <c r="F5069" s="650"/>
    </row>
    <row r="5070" spans="3:6">
      <c r="C5070" s="631"/>
      <c r="D5070" s="631"/>
      <c r="E5070" s="633"/>
      <c r="F5070" s="650"/>
    </row>
    <row r="5071" spans="3:6">
      <c r="C5071" s="631"/>
      <c r="D5071" s="631"/>
      <c r="E5071" s="633"/>
      <c r="F5071" s="650"/>
    </row>
    <row r="5072" spans="3:6">
      <c r="C5072" s="631"/>
      <c r="D5072" s="631"/>
      <c r="E5072" s="633"/>
      <c r="F5072" s="650"/>
    </row>
    <row r="5073" spans="3:6">
      <c r="C5073" s="631"/>
      <c r="D5073" s="631"/>
      <c r="E5073" s="633"/>
      <c r="F5073" s="650"/>
    </row>
    <row r="5074" spans="3:6">
      <c r="C5074" s="631"/>
      <c r="D5074" s="631"/>
      <c r="E5074" s="633"/>
      <c r="F5074" s="650"/>
    </row>
    <row r="5075" spans="3:6">
      <c r="C5075" s="631"/>
      <c r="D5075" s="631"/>
      <c r="E5075" s="633"/>
      <c r="F5075" s="650"/>
    </row>
    <row r="5076" spans="3:6">
      <c r="C5076" s="631"/>
      <c r="D5076" s="631"/>
      <c r="E5076" s="633"/>
      <c r="F5076" s="650"/>
    </row>
    <row r="5077" spans="3:6">
      <c r="C5077" s="631"/>
      <c r="D5077" s="631"/>
      <c r="E5077" s="633"/>
      <c r="F5077" s="650"/>
    </row>
    <row r="5078" spans="3:6">
      <c r="C5078" s="631"/>
      <c r="D5078" s="631"/>
      <c r="E5078" s="633"/>
      <c r="F5078" s="650"/>
    </row>
    <row r="5079" spans="3:6">
      <c r="C5079" s="631"/>
      <c r="D5079" s="631"/>
      <c r="E5079" s="633"/>
      <c r="F5079" s="650"/>
    </row>
    <row r="5080" spans="3:6">
      <c r="C5080" s="631"/>
      <c r="D5080" s="631"/>
      <c r="E5080" s="633"/>
      <c r="F5080" s="650"/>
    </row>
    <row r="5081" spans="3:6">
      <c r="C5081" s="631"/>
      <c r="D5081" s="631"/>
      <c r="E5081" s="633"/>
      <c r="F5081" s="650"/>
    </row>
    <row r="5082" spans="3:6">
      <c r="C5082" s="631"/>
      <c r="D5082" s="631"/>
      <c r="E5082" s="633"/>
      <c r="F5082" s="650"/>
    </row>
    <row r="5083" spans="3:6">
      <c r="C5083" s="631"/>
      <c r="D5083" s="631"/>
      <c r="E5083" s="633"/>
      <c r="F5083" s="650"/>
    </row>
    <row r="5084" spans="3:6">
      <c r="C5084" s="631"/>
      <c r="D5084" s="631"/>
      <c r="E5084" s="633"/>
      <c r="F5084" s="650"/>
    </row>
    <row r="5085" spans="3:6">
      <c r="C5085" s="631"/>
      <c r="D5085" s="631"/>
      <c r="E5085" s="633"/>
      <c r="F5085" s="650"/>
    </row>
    <row r="5086" spans="3:6">
      <c r="C5086" s="631"/>
      <c r="D5086" s="631"/>
      <c r="E5086" s="633"/>
      <c r="F5086" s="650"/>
    </row>
    <row r="5087" spans="3:6">
      <c r="C5087" s="631"/>
      <c r="D5087" s="631"/>
      <c r="E5087" s="633"/>
      <c r="F5087" s="650"/>
    </row>
    <row r="5088" spans="3:6">
      <c r="C5088" s="631"/>
      <c r="D5088" s="631"/>
      <c r="E5088" s="633"/>
      <c r="F5088" s="650"/>
    </row>
    <row r="5089" spans="3:6">
      <c r="C5089" s="631"/>
      <c r="D5089" s="631"/>
      <c r="E5089" s="633"/>
      <c r="F5089" s="650"/>
    </row>
    <row r="5090" spans="3:6">
      <c r="C5090" s="631"/>
      <c r="D5090" s="631"/>
      <c r="E5090" s="633"/>
      <c r="F5090" s="650"/>
    </row>
    <row r="5091" spans="3:6">
      <c r="C5091" s="631"/>
      <c r="D5091" s="631"/>
      <c r="E5091" s="633"/>
      <c r="F5091" s="650"/>
    </row>
    <row r="5092" spans="3:6">
      <c r="C5092" s="631"/>
      <c r="D5092" s="631"/>
      <c r="E5092" s="633"/>
      <c r="F5092" s="650"/>
    </row>
    <row r="5093" spans="3:6">
      <c r="C5093" s="631"/>
      <c r="D5093" s="631"/>
      <c r="E5093" s="633"/>
      <c r="F5093" s="650"/>
    </row>
    <row r="5094" spans="3:6">
      <c r="C5094" s="631"/>
      <c r="D5094" s="631"/>
      <c r="E5094" s="633"/>
      <c r="F5094" s="650"/>
    </row>
    <row r="5095" spans="3:6">
      <c r="C5095" s="631"/>
      <c r="D5095" s="631"/>
      <c r="E5095" s="633"/>
      <c r="F5095" s="650"/>
    </row>
    <row r="5096" spans="3:6">
      <c r="C5096" s="631"/>
      <c r="D5096" s="631"/>
      <c r="E5096" s="633"/>
      <c r="F5096" s="650"/>
    </row>
    <row r="5097" spans="3:6">
      <c r="C5097" s="631"/>
      <c r="D5097" s="631"/>
      <c r="E5097" s="633"/>
      <c r="F5097" s="650"/>
    </row>
    <row r="5098" spans="3:6">
      <c r="C5098" s="631"/>
      <c r="D5098" s="631"/>
      <c r="E5098" s="633"/>
      <c r="F5098" s="650"/>
    </row>
    <row r="5099" spans="3:6">
      <c r="C5099" s="631"/>
      <c r="D5099" s="631"/>
      <c r="E5099" s="633"/>
      <c r="F5099" s="650"/>
    </row>
    <row r="5100" spans="3:6">
      <c r="C5100" s="631"/>
      <c r="D5100" s="631"/>
      <c r="E5100" s="633"/>
      <c r="F5100" s="650"/>
    </row>
    <row r="5101" spans="3:6">
      <c r="C5101" s="631"/>
      <c r="D5101" s="631"/>
      <c r="E5101" s="633"/>
      <c r="F5101" s="650"/>
    </row>
    <row r="5102" spans="3:6">
      <c r="C5102" s="631"/>
      <c r="D5102" s="631"/>
      <c r="E5102" s="633"/>
      <c r="F5102" s="650"/>
    </row>
    <row r="5103" spans="3:6">
      <c r="C5103" s="631"/>
      <c r="D5103" s="631"/>
      <c r="E5103" s="633"/>
      <c r="F5103" s="650"/>
    </row>
    <row r="5104" spans="3:6">
      <c r="C5104" s="631"/>
      <c r="D5104" s="631"/>
      <c r="E5104" s="633"/>
      <c r="F5104" s="650"/>
    </row>
    <row r="5105" spans="3:6">
      <c r="C5105" s="631"/>
      <c r="D5105" s="631"/>
      <c r="E5105" s="633"/>
      <c r="F5105" s="650"/>
    </row>
    <row r="5106" spans="3:6">
      <c r="C5106" s="631"/>
      <c r="D5106" s="631"/>
      <c r="E5106" s="633"/>
      <c r="F5106" s="650"/>
    </row>
    <row r="5107" spans="3:6">
      <c r="C5107" s="631"/>
      <c r="D5107" s="631"/>
      <c r="E5107" s="633"/>
      <c r="F5107" s="650"/>
    </row>
    <row r="5108" spans="3:6">
      <c r="C5108" s="631"/>
      <c r="D5108" s="631"/>
      <c r="E5108" s="633"/>
      <c r="F5108" s="650"/>
    </row>
    <row r="5109" spans="3:6">
      <c r="C5109" s="631"/>
      <c r="D5109" s="631"/>
      <c r="E5109" s="633"/>
      <c r="F5109" s="650"/>
    </row>
    <row r="5110" spans="3:6">
      <c r="C5110" s="631"/>
      <c r="D5110" s="631"/>
      <c r="E5110" s="633"/>
      <c r="F5110" s="650"/>
    </row>
    <row r="5111" spans="3:6">
      <c r="C5111" s="631"/>
      <c r="D5111" s="631"/>
      <c r="E5111" s="633"/>
      <c r="F5111" s="650"/>
    </row>
    <row r="5112" spans="3:6">
      <c r="C5112" s="631"/>
      <c r="D5112" s="631"/>
      <c r="E5112" s="633"/>
      <c r="F5112" s="650"/>
    </row>
    <row r="5113" spans="3:6">
      <c r="C5113" s="631"/>
      <c r="D5113" s="631"/>
      <c r="E5113" s="633"/>
      <c r="F5113" s="650"/>
    </row>
    <row r="5114" spans="3:6">
      <c r="C5114" s="631"/>
      <c r="D5114" s="631"/>
      <c r="E5114" s="633"/>
      <c r="F5114" s="650"/>
    </row>
    <row r="5115" spans="3:6">
      <c r="C5115" s="631"/>
      <c r="D5115" s="631"/>
      <c r="E5115" s="633"/>
      <c r="F5115" s="650"/>
    </row>
    <row r="5116" spans="3:6">
      <c r="C5116" s="631"/>
      <c r="D5116" s="631"/>
      <c r="E5116" s="633"/>
      <c r="F5116" s="650"/>
    </row>
    <row r="5117" spans="3:6">
      <c r="C5117" s="631"/>
      <c r="D5117" s="631"/>
      <c r="E5117" s="633"/>
      <c r="F5117" s="650"/>
    </row>
    <row r="5118" spans="3:6">
      <c r="C5118" s="631"/>
      <c r="D5118" s="631"/>
      <c r="E5118" s="633"/>
      <c r="F5118" s="650"/>
    </row>
    <row r="5119" spans="3:6">
      <c r="C5119" s="631"/>
      <c r="D5119" s="631"/>
      <c r="E5119" s="633"/>
      <c r="F5119" s="650"/>
    </row>
    <row r="5120" spans="3:6">
      <c r="C5120" s="631"/>
      <c r="D5120" s="631"/>
      <c r="E5120" s="633"/>
      <c r="F5120" s="650"/>
    </row>
    <row r="5121" spans="3:6">
      <c r="C5121" s="631"/>
      <c r="D5121" s="631"/>
      <c r="E5121" s="633"/>
      <c r="F5121" s="650"/>
    </row>
    <row r="5122" spans="3:6">
      <c r="C5122" s="631"/>
      <c r="D5122" s="631"/>
      <c r="E5122" s="633"/>
      <c r="F5122" s="650"/>
    </row>
    <row r="5123" spans="3:6">
      <c r="C5123" s="631"/>
      <c r="D5123" s="631"/>
      <c r="E5123" s="633"/>
      <c r="F5123" s="650"/>
    </row>
    <row r="5124" spans="3:6">
      <c r="C5124" s="631"/>
      <c r="D5124" s="631"/>
      <c r="E5124" s="633"/>
      <c r="F5124" s="650"/>
    </row>
    <row r="5125" spans="3:6">
      <c r="C5125" s="631"/>
      <c r="D5125" s="631"/>
      <c r="E5125" s="633"/>
      <c r="F5125" s="650"/>
    </row>
    <row r="5126" spans="3:6">
      <c r="C5126" s="631"/>
      <c r="D5126" s="631"/>
      <c r="E5126" s="633"/>
      <c r="F5126" s="650"/>
    </row>
    <row r="5127" spans="3:6">
      <c r="C5127" s="631"/>
      <c r="D5127" s="631"/>
      <c r="E5127" s="633"/>
      <c r="F5127" s="650"/>
    </row>
    <row r="5128" spans="3:6">
      <c r="C5128" s="631"/>
      <c r="D5128" s="631"/>
      <c r="E5128" s="633"/>
      <c r="F5128" s="650"/>
    </row>
    <row r="5129" spans="3:6">
      <c r="C5129" s="631"/>
      <c r="D5129" s="631"/>
      <c r="E5129" s="633"/>
      <c r="F5129" s="650"/>
    </row>
    <row r="5130" spans="3:6">
      <c r="C5130" s="631"/>
      <c r="D5130" s="631"/>
      <c r="E5130" s="633"/>
      <c r="F5130" s="650"/>
    </row>
    <row r="5131" spans="3:6">
      <c r="C5131" s="631"/>
      <c r="D5131" s="631"/>
      <c r="E5131" s="633"/>
      <c r="F5131" s="650"/>
    </row>
    <row r="5132" spans="3:6">
      <c r="C5132" s="631"/>
      <c r="D5132" s="631"/>
      <c r="E5132" s="633"/>
      <c r="F5132" s="650"/>
    </row>
    <row r="5133" spans="3:6">
      <c r="C5133" s="631"/>
      <c r="D5133" s="631"/>
      <c r="E5133" s="633"/>
      <c r="F5133" s="650"/>
    </row>
    <row r="5134" spans="3:6">
      <c r="C5134" s="631"/>
      <c r="D5134" s="631"/>
      <c r="E5134" s="633"/>
      <c r="F5134" s="650"/>
    </row>
    <row r="5135" spans="3:6">
      <c r="C5135" s="631"/>
      <c r="D5135" s="631"/>
      <c r="E5135" s="633"/>
      <c r="F5135" s="650"/>
    </row>
    <row r="5136" spans="3:6">
      <c r="C5136" s="631"/>
      <c r="D5136" s="631"/>
      <c r="E5136" s="633"/>
      <c r="F5136" s="650"/>
    </row>
    <row r="5137" spans="3:6">
      <c r="C5137" s="631"/>
      <c r="D5137" s="631"/>
      <c r="E5137" s="633"/>
      <c r="F5137" s="650"/>
    </row>
    <row r="5138" spans="3:6">
      <c r="C5138" s="631"/>
      <c r="D5138" s="631"/>
      <c r="E5138" s="633"/>
      <c r="F5138" s="650"/>
    </row>
    <row r="5139" spans="3:6">
      <c r="C5139" s="631"/>
      <c r="D5139" s="631"/>
      <c r="E5139" s="633"/>
      <c r="F5139" s="650"/>
    </row>
    <row r="5140" spans="3:6">
      <c r="C5140" s="631"/>
      <c r="D5140" s="631"/>
      <c r="E5140" s="633"/>
      <c r="F5140" s="650"/>
    </row>
    <row r="5141" spans="3:6">
      <c r="C5141" s="631"/>
      <c r="D5141" s="631"/>
      <c r="E5141" s="633"/>
      <c r="F5141" s="650"/>
    </row>
    <row r="5142" spans="3:6">
      <c r="C5142" s="631"/>
      <c r="D5142" s="631"/>
      <c r="E5142" s="633"/>
      <c r="F5142" s="650"/>
    </row>
    <row r="5143" spans="3:6">
      <c r="C5143" s="631"/>
      <c r="D5143" s="631"/>
      <c r="E5143" s="633"/>
      <c r="F5143" s="650"/>
    </row>
    <row r="5144" spans="3:6">
      <c r="C5144" s="631"/>
      <c r="D5144" s="631"/>
      <c r="E5144" s="633"/>
      <c r="F5144" s="650"/>
    </row>
    <row r="5145" spans="3:6">
      <c r="C5145" s="631"/>
      <c r="D5145" s="631"/>
      <c r="E5145" s="633"/>
      <c r="F5145" s="650"/>
    </row>
    <row r="5146" spans="3:6">
      <c r="C5146" s="631"/>
      <c r="D5146" s="631"/>
      <c r="E5146" s="633"/>
      <c r="F5146" s="650"/>
    </row>
    <row r="5147" spans="3:6">
      <c r="C5147" s="631"/>
      <c r="D5147" s="631"/>
      <c r="E5147" s="633"/>
      <c r="F5147" s="650"/>
    </row>
    <row r="5148" spans="3:6">
      <c r="C5148" s="631"/>
      <c r="D5148" s="631"/>
      <c r="E5148" s="633"/>
      <c r="F5148" s="650"/>
    </row>
    <row r="5149" spans="3:6">
      <c r="C5149" s="631"/>
      <c r="D5149" s="631"/>
      <c r="E5149" s="633"/>
      <c r="F5149" s="650"/>
    </row>
    <row r="5150" spans="3:6">
      <c r="C5150" s="631"/>
      <c r="D5150" s="631"/>
      <c r="E5150" s="633"/>
      <c r="F5150" s="650"/>
    </row>
    <row r="5151" spans="3:6">
      <c r="C5151" s="631"/>
      <c r="D5151" s="631"/>
      <c r="E5151" s="633"/>
      <c r="F5151" s="650"/>
    </row>
    <row r="5152" spans="3:6">
      <c r="C5152" s="631"/>
      <c r="D5152" s="631"/>
      <c r="E5152" s="633"/>
      <c r="F5152" s="650"/>
    </row>
    <row r="5153" spans="3:6">
      <c r="C5153" s="631"/>
      <c r="D5153" s="631"/>
      <c r="E5153" s="633"/>
      <c r="F5153" s="650"/>
    </row>
    <row r="5154" spans="3:6">
      <c r="C5154" s="631"/>
      <c r="D5154" s="631"/>
      <c r="E5154" s="633"/>
      <c r="F5154" s="650"/>
    </row>
    <row r="5155" spans="3:6">
      <c r="C5155" s="631"/>
      <c r="D5155" s="631"/>
      <c r="E5155" s="633"/>
      <c r="F5155" s="650"/>
    </row>
    <row r="5156" spans="3:6">
      <c r="C5156" s="631"/>
      <c r="D5156" s="631"/>
      <c r="E5156" s="633"/>
      <c r="F5156" s="650"/>
    </row>
    <row r="5157" spans="3:6">
      <c r="C5157" s="631"/>
      <c r="D5157" s="631"/>
      <c r="E5157" s="633"/>
      <c r="F5157" s="650"/>
    </row>
    <row r="5158" spans="3:6">
      <c r="C5158" s="631"/>
      <c r="D5158" s="631"/>
      <c r="E5158" s="633"/>
      <c r="F5158" s="650"/>
    </row>
    <row r="5159" spans="3:6">
      <c r="C5159" s="631"/>
      <c r="D5159" s="631"/>
      <c r="E5159" s="633"/>
      <c r="F5159" s="650"/>
    </row>
    <row r="5160" spans="3:6">
      <c r="C5160" s="631"/>
      <c r="D5160" s="631"/>
      <c r="E5160" s="633"/>
      <c r="F5160" s="650"/>
    </row>
    <row r="5161" spans="3:6">
      <c r="C5161" s="631"/>
      <c r="D5161" s="631"/>
      <c r="E5161" s="633"/>
      <c r="F5161" s="650"/>
    </row>
    <row r="5162" spans="3:6">
      <c r="C5162" s="631"/>
      <c r="D5162" s="631"/>
      <c r="E5162" s="633"/>
      <c r="F5162" s="650"/>
    </row>
    <row r="5163" spans="3:6">
      <c r="C5163" s="631"/>
      <c r="D5163" s="631"/>
      <c r="E5163" s="633"/>
      <c r="F5163" s="650"/>
    </row>
    <row r="5164" spans="3:6">
      <c r="C5164" s="631"/>
      <c r="D5164" s="631"/>
      <c r="E5164" s="633"/>
      <c r="F5164" s="650"/>
    </row>
    <row r="5165" spans="3:6">
      <c r="C5165" s="631"/>
      <c r="D5165" s="631"/>
      <c r="E5165" s="633"/>
      <c r="F5165" s="650"/>
    </row>
    <row r="5166" spans="3:6">
      <c r="C5166" s="631"/>
      <c r="D5166" s="631"/>
      <c r="E5166" s="633"/>
      <c r="F5166" s="650"/>
    </row>
    <row r="5167" spans="3:6">
      <c r="C5167" s="631"/>
      <c r="D5167" s="631"/>
      <c r="E5167" s="633"/>
      <c r="F5167" s="650"/>
    </row>
    <row r="5168" spans="3:6">
      <c r="C5168" s="631"/>
      <c r="D5168" s="631"/>
      <c r="E5168" s="633"/>
      <c r="F5168" s="650"/>
    </row>
    <row r="5169" spans="3:6">
      <c r="C5169" s="631"/>
      <c r="D5169" s="631"/>
      <c r="E5169" s="633"/>
      <c r="F5169" s="650"/>
    </row>
    <row r="5170" spans="3:6">
      <c r="C5170" s="631"/>
      <c r="D5170" s="631"/>
      <c r="E5170" s="633"/>
      <c r="F5170" s="650"/>
    </row>
    <row r="5171" spans="3:6">
      <c r="C5171" s="631"/>
      <c r="D5171" s="631"/>
      <c r="E5171" s="633"/>
      <c r="F5171" s="650"/>
    </row>
    <row r="5172" spans="3:6">
      <c r="C5172" s="631"/>
      <c r="D5172" s="631"/>
      <c r="E5172" s="633"/>
      <c r="F5172" s="650"/>
    </row>
    <row r="5173" spans="3:6">
      <c r="C5173" s="631"/>
      <c r="D5173" s="631"/>
      <c r="E5173" s="633"/>
      <c r="F5173" s="650"/>
    </row>
    <row r="5174" spans="3:6">
      <c r="C5174" s="631"/>
      <c r="D5174" s="631"/>
      <c r="E5174" s="633"/>
      <c r="F5174" s="650"/>
    </row>
    <row r="5175" spans="3:6">
      <c r="C5175" s="631"/>
      <c r="D5175" s="631"/>
      <c r="E5175" s="633"/>
      <c r="F5175" s="650"/>
    </row>
    <row r="5176" spans="3:6">
      <c r="C5176" s="631"/>
      <c r="D5176" s="631"/>
      <c r="E5176" s="633"/>
      <c r="F5176" s="650"/>
    </row>
    <row r="5177" spans="3:6">
      <c r="C5177" s="631"/>
      <c r="D5177" s="631"/>
      <c r="E5177" s="633"/>
      <c r="F5177" s="650"/>
    </row>
    <row r="5178" spans="3:6">
      <c r="C5178" s="631"/>
      <c r="D5178" s="631"/>
      <c r="E5178" s="633"/>
      <c r="F5178" s="650"/>
    </row>
    <row r="5179" spans="3:6">
      <c r="C5179" s="631"/>
      <c r="D5179" s="631"/>
      <c r="E5179" s="633"/>
      <c r="F5179" s="650"/>
    </row>
    <row r="5180" spans="3:6">
      <c r="C5180" s="631"/>
      <c r="D5180" s="631"/>
      <c r="E5180" s="633"/>
      <c r="F5180" s="650"/>
    </row>
    <row r="5181" spans="3:6">
      <c r="C5181" s="631"/>
      <c r="D5181" s="631"/>
      <c r="E5181" s="633"/>
      <c r="F5181" s="650"/>
    </row>
    <row r="5182" spans="3:6">
      <c r="C5182" s="631"/>
      <c r="D5182" s="631"/>
      <c r="E5182" s="633"/>
      <c r="F5182" s="650"/>
    </row>
    <row r="5183" spans="3:6">
      <c r="C5183" s="631"/>
      <c r="D5183" s="631"/>
      <c r="E5183" s="633"/>
      <c r="F5183" s="650"/>
    </row>
    <row r="5184" spans="3:6">
      <c r="C5184" s="631"/>
      <c r="D5184" s="631"/>
      <c r="E5184" s="633"/>
      <c r="F5184" s="650"/>
    </row>
    <row r="5185" spans="3:6">
      <c r="C5185" s="631"/>
      <c r="D5185" s="631"/>
      <c r="E5185" s="633"/>
      <c r="F5185" s="650"/>
    </row>
    <row r="5186" spans="3:6">
      <c r="C5186" s="631"/>
      <c r="D5186" s="631"/>
      <c r="E5186" s="633"/>
      <c r="F5186" s="650"/>
    </row>
    <row r="5187" spans="3:6">
      <c r="C5187" s="631"/>
      <c r="D5187" s="631"/>
      <c r="E5187" s="633"/>
      <c r="F5187" s="650"/>
    </row>
    <row r="5188" spans="3:6">
      <c r="C5188" s="631"/>
      <c r="D5188" s="631"/>
      <c r="E5188" s="633"/>
      <c r="F5188" s="650"/>
    </row>
    <row r="5189" spans="3:6">
      <c r="C5189" s="631"/>
      <c r="D5189" s="631"/>
      <c r="E5189" s="633"/>
      <c r="F5189" s="650"/>
    </row>
    <row r="5190" spans="3:6">
      <c r="C5190" s="631"/>
      <c r="D5190" s="631"/>
      <c r="E5190" s="633"/>
      <c r="F5190" s="650"/>
    </row>
    <row r="5191" spans="3:6">
      <c r="C5191" s="631"/>
      <c r="D5191" s="631"/>
      <c r="E5191" s="633"/>
      <c r="F5191" s="650"/>
    </row>
    <row r="5192" spans="3:6">
      <c r="C5192" s="631"/>
      <c r="D5192" s="631"/>
      <c r="E5192" s="633"/>
      <c r="F5192" s="650"/>
    </row>
    <row r="5193" spans="3:6">
      <c r="C5193" s="631"/>
      <c r="D5193" s="631"/>
      <c r="E5193" s="633"/>
      <c r="F5193" s="650"/>
    </row>
    <row r="5194" spans="3:6">
      <c r="C5194" s="631"/>
      <c r="D5194" s="631"/>
      <c r="E5194" s="633"/>
      <c r="F5194" s="650"/>
    </row>
    <row r="5195" spans="3:6">
      <c r="C5195" s="631"/>
      <c r="D5195" s="631"/>
      <c r="E5195" s="633"/>
      <c r="F5195" s="650"/>
    </row>
    <row r="5196" spans="3:6">
      <c r="C5196" s="631"/>
      <c r="D5196" s="631"/>
      <c r="E5196" s="633"/>
      <c r="F5196" s="650"/>
    </row>
    <row r="5197" spans="3:6">
      <c r="C5197" s="631"/>
      <c r="D5197" s="631"/>
      <c r="E5197" s="633"/>
      <c r="F5197" s="650"/>
    </row>
    <row r="5198" spans="3:6">
      <c r="C5198" s="631"/>
      <c r="D5198" s="631"/>
      <c r="E5198" s="633"/>
      <c r="F5198" s="650"/>
    </row>
    <row r="5199" spans="3:6">
      <c r="C5199" s="631"/>
      <c r="D5199" s="631"/>
      <c r="E5199" s="633"/>
      <c r="F5199" s="650"/>
    </row>
    <row r="5200" spans="3:6">
      <c r="C5200" s="631"/>
      <c r="D5200" s="631"/>
      <c r="E5200" s="633"/>
      <c r="F5200" s="650"/>
    </row>
    <row r="5201" spans="3:6">
      <c r="C5201" s="631"/>
      <c r="D5201" s="631"/>
      <c r="E5201" s="633"/>
      <c r="F5201" s="650"/>
    </row>
    <row r="5202" spans="3:6">
      <c r="C5202" s="631"/>
      <c r="D5202" s="631"/>
      <c r="E5202" s="633"/>
      <c r="F5202" s="650"/>
    </row>
    <row r="5203" spans="3:6">
      <c r="C5203" s="631"/>
      <c r="D5203" s="631"/>
      <c r="E5203" s="633"/>
      <c r="F5203" s="650"/>
    </row>
    <row r="5204" spans="3:6">
      <c r="C5204" s="631"/>
      <c r="D5204" s="631"/>
      <c r="E5204" s="633"/>
      <c r="F5204" s="650"/>
    </row>
    <row r="5205" spans="3:6">
      <c r="C5205" s="631"/>
      <c r="D5205" s="631"/>
      <c r="E5205" s="633"/>
      <c r="F5205" s="650"/>
    </row>
    <row r="5206" spans="3:6">
      <c r="C5206" s="631"/>
      <c r="D5206" s="631"/>
      <c r="E5206" s="633"/>
      <c r="F5206" s="650"/>
    </row>
    <row r="5207" spans="3:6">
      <c r="C5207" s="631"/>
      <c r="D5207" s="631"/>
      <c r="E5207" s="633"/>
      <c r="F5207" s="650"/>
    </row>
    <row r="5208" spans="3:6">
      <c r="C5208" s="631"/>
      <c r="D5208" s="631"/>
      <c r="E5208" s="633"/>
      <c r="F5208" s="650"/>
    </row>
    <row r="5209" spans="3:6">
      <c r="C5209" s="631"/>
      <c r="D5209" s="631"/>
      <c r="E5209" s="633"/>
      <c r="F5209" s="650"/>
    </row>
    <row r="5210" spans="3:6">
      <c r="C5210" s="631"/>
      <c r="D5210" s="631"/>
      <c r="E5210" s="633"/>
      <c r="F5210" s="650"/>
    </row>
    <row r="5211" spans="3:6">
      <c r="C5211" s="631"/>
      <c r="D5211" s="631"/>
      <c r="E5211" s="633"/>
      <c r="F5211" s="650"/>
    </row>
    <row r="5212" spans="3:6">
      <c r="C5212" s="631"/>
      <c r="D5212" s="631"/>
      <c r="E5212" s="633"/>
      <c r="F5212" s="650"/>
    </row>
    <row r="5213" spans="3:6">
      <c r="C5213" s="631"/>
      <c r="D5213" s="631"/>
      <c r="E5213" s="633"/>
      <c r="F5213" s="650"/>
    </row>
    <row r="5214" spans="3:6">
      <c r="C5214" s="631"/>
      <c r="D5214" s="631"/>
      <c r="E5214" s="633"/>
      <c r="F5214" s="650"/>
    </row>
    <row r="5215" spans="3:6">
      <c r="C5215" s="631"/>
      <c r="D5215" s="631"/>
      <c r="E5215" s="633"/>
      <c r="F5215" s="650"/>
    </row>
    <row r="5216" spans="3:6">
      <c r="C5216" s="631"/>
      <c r="D5216" s="631"/>
      <c r="E5216" s="633"/>
      <c r="F5216" s="650"/>
    </row>
    <row r="5217" spans="3:6">
      <c r="C5217" s="631"/>
      <c r="D5217" s="631"/>
      <c r="E5217" s="633"/>
      <c r="F5217" s="650"/>
    </row>
    <row r="5218" spans="3:6">
      <c r="C5218" s="631"/>
      <c r="D5218" s="631"/>
      <c r="E5218" s="633"/>
      <c r="F5218" s="650"/>
    </row>
    <row r="5219" spans="3:6">
      <c r="C5219" s="631"/>
      <c r="D5219" s="631"/>
      <c r="E5219" s="633"/>
      <c r="F5219" s="650"/>
    </row>
    <row r="5220" spans="3:6">
      <c r="C5220" s="631"/>
      <c r="D5220" s="631"/>
      <c r="E5220" s="633"/>
      <c r="F5220" s="650"/>
    </row>
    <row r="5221" spans="3:6">
      <c r="C5221" s="631"/>
      <c r="D5221" s="631"/>
      <c r="E5221" s="633"/>
      <c r="F5221" s="650"/>
    </row>
    <row r="5222" spans="3:6">
      <c r="C5222" s="631"/>
      <c r="D5222" s="631"/>
      <c r="E5222" s="633"/>
      <c r="F5222" s="650"/>
    </row>
    <row r="5223" spans="3:6">
      <c r="C5223" s="631"/>
      <c r="D5223" s="631"/>
      <c r="E5223" s="633"/>
      <c r="F5223" s="650"/>
    </row>
    <row r="5224" spans="3:6">
      <c r="C5224" s="631"/>
      <c r="D5224" s="631"/>
      <c r="E5224" s="633"/>
      <c r="F5224" s="650"/>
    </row>
    <row r="5225" spans="3:6">
      <c r="C5225" s="631"/>
      <c r="D5225" s="631"/>
      <c r="E5225" s="633"/>
      <c r="F5225" s="650"/>
    </row>
    <row r="5226" spans="3:6">
      <c r="C5226" s="631"/>
      <c r="D5226" s="631"/>
      <c r="E5226" s="633"/>
      <c r="F5226" s="650"/>
    </row>
    <row r="5227" spans="3:6">
      <c r="C5227" s="631"/>
      <c r="D5227" s="631"/>
      <c r="E5227" s="633"/>
      <c r="F5227" s="650"/>
    </row>
    <row r="5228" spans="3:6">
      <c r="C5228" s="631"/>
      <c r="D5228" s="631"/>
      <c r="E5228" s="633"/>
      <c r="F5228" s="650"/>
    </row>
    <row r="5229" spans="3:6">
      <c r="C5229" s="631"/>
      <c r="D5229" s="631"/>
      <c r="E5229" s="633"/>
      <c r="F5229" s="650"/>
    </row>
    <row r="5230" spans="3:6">
      <c r="C5230" s="631"/>
      <c r="D5230" s="631"/>
      <c r="E5230" s="633"/>
      <c r="F5230" s="650"/>
    </row>
    <row r="5231" spans="3:6">
      <c r="C5231" s="631"/>
      <c r="D5231" s="631"/>
      <c r="E5231" s="633"/>
      <c r="F5231" s="650"/>
    </row>
    <row r="5232" spans="3:6">
      <c r="C5232" s="631"/>
      <c r="D5232" s="631"/>
      <c r="E5232" s="633"/>
      <c r="F5232" s="650"/>
    </row>
    <row r="5233" spans="3:6">
      <c r="C5233" s="631"/>
      <c r="D5233" s="631"/>
      <c r="E5233" s="633"/>
      <c r="F5233" s="650"/>
    </row>
    <row r="5234" spans="3:6">
      <c r="C5234" s="631"/>
      <c r="D5234" s="631"/>
      <c r="E5234" s="633"/>
      <c r="F5234" s="650"/>
    </row>
    <row r="5235" spans="3:6">
      <c r="C5235" s="631"/>
      <c r="D5235" s="631"/>
      <c r="E5235" s="633"/>
      <c r="F5235" s="650"/>
    </row>
    <row r="5236" spans="3:6">
      <c r="C5236" s="631"/>
      <c r="D5236" s="631"/>
      <c r="E5236" s="633"/>
      <c r="F5236" s="650"/>
    </row>
    <row r="5237" spans="3:6">
      <c r="C5237" s="631"/>
      <c r="D5237" s="631"/>
      <c r="E5237" s="633"/>
      <c r="F5237" s="650"/>
    </row>
    <row r="5238" spans="3:6">
      <c r="C5238" s="631"/>
      <c r="D5238" s="631"/>
      <c r="E5238" s="633"/>
      <c r="F5238" s="650"/>
    </row>
    <row r="5239" spans="3:6">
      <c r="C5239" s="631"/>
      <c r="D5239" s="631"/>
      <c r="E5239" s="633"/>
      <c r="F5239" s="650"/>
    </row>
    <row r="5240" spans="3:6">
      <c r="C5240" s="631"/>
      <c r="D5240" s="631"/>
      <c r="E5240" s="633"/>
      <c r="F5240" s="650"/>
    </row>
    <row r="5241" spans="3:6">
      <c r="C5241" s="631"/>
      <c r="D5241" s="631"/>
      <c r="E5241" s="633"/>
      <c r="F5241" s="650"/>
    </row>
    <row r="5242" spans="3:6">
      <c r="C5242" s="631"/>
      <c r="D5242" s="631"/>
      <c r="E5242" s="633"/>
      <c r="F5242" s="650"/>
    </row>
    <row r="5243" spans="3:6">
      <c r="C5243" s="631"/>
      <c r="D5243" s="631"/>
      <c r="E5243" s="633"/>
      <c r="F5243" s="650"/>
    </row>
    <row r="5244" spans="3:6">
      <c r="C5244" s="631"/>
      <c r="D5244" s="631"/>
      <c r="E5244" s="633"/>
      <c r="F5244" s="650"/>
    </row>
    <row r="5245" spans="3:6">
      <c r="C5245" s="631"/>
      <c r="D5245" s="631"/>
      <c r="E5245" s="633"/>
      <c r="F5245" s="650"/>
    </row>
    <row r="5246" spans="3:6">
      <c r="C5246" s="631"/>
      <c r="D5246" s="631"/>
      <c r="E5246" s="633"/>
      <c r="F5246" s="650"/>
    </row>
    <row r="5247" spans="3:6">
      <c r="C5247" s="631"/>
      <c r="D5247" s="631"/>
      <c r="E5247" s="633"/>
      <c r="F5247" s="650"/>
    </row>
    <row r="5248" spans="3:6">
      <c r="C5248" s="631"/>
      <c r="D5248" s="631"/>
      <c r="E5248" s="633"/>
      <c r="F5248" s="650"/>
    </row>
    <row r="5249" spans="3:6">
      <c r="C5249" s="631"/>
      <c r="D5249" s="631"/>
      <c r="E5249" s="633"/>
      <c r="F5249" s="650"/>
    </row>
    <row r="5250" spans="3:6">
      <c r="C5250" s="631"/>
      <c r="D5250" s="631"/>
      <c r="E5250" s="633"/>
      <c r="F5250" s="650"/>
    </row>
    <row r="5251" spans="3:6">
      <c r="C5251" s="631"/>
      <c r="D5251" s="631"/>
      <c r="E5251" s="633"/>
      <c r="F5251" s="650"/>
    </row>
    <row r="5252" spans="3:6">
      <c r="C5252" s="631"/>
      <c r="D5252" s="631"/>
      <c r="E5252" s="633"/>
      <c r="F5252" s="650"/>
    </row>
    <row r="5253" spans="3:6">
      <c r="C5253" s="631"/>
      <c r="D5253" s="631"/>
      <c r="E5253" s="633"/>
      <c r="F5253" s="650"/>
    </row>
    <row r="5254" spans="3:6">
      <c r="C5254" s="631"/>
      <c r="D5254" s="631"/>
      <c r="E5254" s="633"/>
      <c r="F5254" s="650"/>
    </row>
    <row r="5255" spans="3:6">
      <c r="C5255" s="631"/>
      <c r="D5255" s="631"/>
      <c r="E5255" s="633"/>
      <c r="F5255" s="650"/>
    </row>
    <row r="5256" spans="3:6">
      <c r="C5256" s="631"/>
      <c r="D5256" s="631"/>
      <c r="E5256" s="633"/>
      <c r="F5256" s="650"/>
    </row>
    <row r="5257" spans="3:6">
      <c r="C5257" s="631"/>
      <c r="D5257" s="631"/>
      <c r="E5257" s="633"/>
      <c r="F5257" s="650"/>
    </row>
    <row r="5258" spans="3:6">
      <c r="C5258" s="631"/>
      <c r="D5258" s="631"/>
      <c r="E5258" s="633"/>
      <c r="F5258" s="650"/>
    </row>
    <row r="5259" spans="3:6">
      <c r="C5259" s="631"/>
      <c r="D5259" s="631"/>
      <c r="E5259" s="633"/>
      <c r="F5259" s="650"/>
    </row>
    <row r="5260" spans="3:6">
      <c r="C5260" s="631"/>
      <c r="D5260" s="631"/>
      <c r="E5260" s="633"/>
      <c r="F5260" s="650"/>
    </row>
    <row r="5261" spans="3:6">
      <c r="C5261" s="631"/>
      <c r="D5261" s="631"/>
      <c r="E5261" s="633"/>
      <c r="F5261" s="650"/>
    </row>
    <row r="5262" spans="3:6">
      <c r="C5262" s="631"/>
      <c r="D5262" s="631"/>
      <c r="E5262" s="633"/>
      <c r="F5262" s="650"/>
    </row>
    <row r="5263" spans="3:6">
      <c r="C5263" s="631"/>
      <c r="D5263" s="631"/>
      <c r="E5263" s="633"/>
      <c r="F5263" s="650"/>
    </row>
    <row r="5264" spans="3:6">
      <c r="C5264" s="631"/>
      <c r="D5264" s="631"/>
      <c r="E5264" s="633"/>
      <c r="F5264" s="650"/>
    </row>
    <row r="5265" spans="3:6">
      <c r="C5265" s="631"/>
      <c r="D5265" s="631"/>
      <c r="E5265" s="633"/>
      <c r="F5265" s="650"/>
    </row>
    <row r="5266" spans="3:6">
      <c r="C5266" s="631"/>
      <c r="D5266" s="631"/>
      <c r="E5266" s="633"/>
      <c r="F5266" s="650"/>
    </row>
    <row r="5267" spans="3:6">
      <c r="C5267" s="631"/>
      <c r="D5267" s="631"/>
      <c r="E5267" s="633"/>
      <c r="F5267" s="650"/>
    </row>
    <row r="5268" spans="3:6">
      <c r="C5268" s="631"/>
      <c r="D5268" s="631"/>
      <c r="E5268" s="633"/>
      <c r="F5268" s="650"/>
    </row>
    <row r="5269" spans="3:6">
      <c r="C5269" s="631"/>
      <c r="D5269" s="631"/>
      <c r="E5269" s="633"/>
      <c r="F5269" s="650"/>
    </row>
    <row r="5270" spans="3:6">
      <c r="C5270" s="631"/>
      <c r="D5270" s="631"/>
      <c r="E5270" s="633"/>
      <c r="F5270" s="650"/>
    </row>
    <row r="5271" spans="3:6">
      <c r="C5271" s="631"/>
      <c r="D5271" s="631"/>
      <c r="E5271" s="633"/>
      <c r="F5271" s="650"/>
    </row>
    <row r="5272" spans="3:6">
      <c r="C5272" s="631"/>
      <c r="D5272" s="631"/>
      <c r="E5272" s="633"/>
      <c r="F5272" s="650"/>
    </row>
    <row r="5273" spans="3:6">
      <c r="C5273" s="631"/>
      <c r="D5273" s="631"/>
      <c r="E5273" s="633"/>
      <c r="F5273" s="650"/>
    </row>
    <row r="5274" spans="3:6">
      <c r="C5274" s="631"/>
      <c r="D5274" s="631"/>
      <c r="E5274" s="633"/>
      <c r="F5274" s="650"/>
    </row>
    <row r="5275" spans="3:6">
      <c r="C5275" s="631"/>
      <c r="D5275" s="631"/>
      <c r="E5275" s="633"/>
      <c r="F5275" s="650"/>
    </row>
    <row r="5276" spans="3:6">
      <c r="C5276" s="631"/>
      <c r="D5276" s="631"/>
      <c r="E5276" s="633"/>
      <c r="F5276" s="650"/>
    </row>
    <row r="5277" spans="3:6">
      <c r="C5277" s="631"/>
      <c r="D5277" s="631"/>
      <c r="E5277" s="633"/>
      <c r="F5277" s="650"/>
    </row>
    <row r="5278" spans="3:6">
      <c r="C5278" s="631"/>
      <c r="D5278" s="631"/>
      <c r="E5278" s="633"/>
      <c r="F5278" s="650"/>
    </row>
    <row r="5279" spans="3:6">
      <c r="C5279" s="631"/>
      <c r="D5279" s="631"/>
      <c r="E5279" s="633"/>
      <c r="F5279" s="650"/>
    </row>
    <row r="5280" spans="3:6">
      <c r="C5280" s="631"/>
      <c r="D5280" s="631"/>
      <c r="E5280" s="633"/>
      <c r="F5280" s="650"/>
    </row>
    <row r="5281" spans="3:6">
      <c r="C5281" s="631"/>
      <c r="D5281" s="631"/>
      <c r="E5281" s="633"/>
      <c r="F5281" s="650"/>
    </row>
    <row r="5282" spans="3:6">
      <c r="C5282" s="631"/>
      <c r="D5282" s="631"/>
      <c r="E5282" s="633"/>
      <c r="F5282" s="650"/>
    </row>
    <row r="5283" spans="3:6">
      <c r="C5283" s="631"/>
      <c r="D5283" s="631"/>
      <c r="E5283" s="633"/>
      <c r="F5283" s="650"/>
    </row>
    <row r="5284" spans="3:6">
      <c r="C5284" s="631"/>
      <c r="D5284" s="631"/>
      <c r="E5284" s="633"/>
      <c r="F5284" s="650"/>
    </row>
    <row r="5285" spans="3:6">
      <c r="C5285" s="631"/>
      <c r="D5285" s="631"/>
      <c r="E5285" s="633"/>
      <c r="F5285" s="650"/>
    </row>
    <row r="5286" spans="3:6">
      <c r="C5286" s="631"/>
      <c r="D5286" s="631"/>
      <c r="E5286" s="633"/>
      <c r="F5286" s="650"/>
    </row>
    <row r="5287" spans="3:6">
      <c r="C5287" s="631"/>
      <c r="D5287" s="631"/>
      <c r="E5287" s="633"/>
      <c r="F5287" s="650"/>
    </row>
    <row r="5288" spans="3:6">
      <c r="C5288" s="631"/>
      <c r="D5288" s="631"/>
      <c r="E5288" s="633"/>
      <c r="F5288" s="650"/>
    </row>
    <row r="5289" spans="3:6">
      <c r="C5289" s="631"/>
      <c r="D5289" s="631"/>
      <c r="E5289" s="633"/>
      <c r="F5289" s="650"/>
    </row>
    <row r="5290" spans="3:6">
      <c r="C5290" s="631"/>
      <c r="D5290" s="631"/>
      <c r="E5290" s="633"/>
      <c r="F5290" s="650"/>
    </row>
    <row r="5291" spans="3:6">
      <c r="C5291" s="631"/>
      <c r="D5291" s="631"/>
      <c r="E5291" s="633"/>
      <c r="F5291" s="650"/>
    </row>
    <row r="5292" spans="3:6">
      <c r="C5292" s="631"/>
      <c r="D5292" s="631"/>
      <c r="E5292" s="633"/>
      <c r="F5292" s="650"/>
    </row>
    <row r="5293" spans="3:6">
      <c r="C5293" s="631"/>
      <c r="D5293" s="631"/>
      <c r="E5293" s="633"/>
      <c r="F5293" s="650"/>
    </row>
    <row r="5294" spans="3:6">
      <c r="C5294" s="631"/>
      <c r="D5294" s="631"/>
      <c r="E5294" s="633"/>
      <c r="F5294" s="650"/>
    </row>
    <row r="5295" spans="3:6">
      <c r="C5295" s="631"/>
      <c r="D5295" s="631"/>
      <c r="E5295" s="633"/>
      <c r="F5295" s="650"/>
    </row>
    <row r="5296" spans="3:6">
      <c r="C5296" s="631"/>
      <c r="D5296" s="631"/>
      <c r="E5296" s="633"/>
      <c r="F5296" s="650"/>
    </row>
    <row r="5297" spans="3:6">
      <c r="C5297" s="631"/>
      <c r="D5297" s="631"/>
      <c r="E5297" s="633"/>
      <c r="F5297" s="650"/>
    </row>
    <row r="5298" spans="3:6">
      <c r="C5298" s="631"/>
      <c r="D5298" s="631"/>
      <c r="E5298" s="633"/>
      <c r="F5298" s="650"/>
    </row>
    <row r="5299" spans="3:6">
      <c r="C5299" s="631"/>
      <c r="D5299" s="631"/>
      <c r="E5299" s="633"/>
      <c r="F5299" s="650"/>
    </row>
    <row r="5300" spans="3:6">
      <c r="C5300" s="631"/>
      <c r="D5300" s="631"/>
      <c r="E5300" s="633"/>
      <c r="F5300" s="650"/>
    </row>
    <row r="5301" spans="3:6">
      <c r="C5301" s="631"/>
      <c r="D5301" s="631"/>
      <c r="E5301" s="633"/>
      <c r="F5301" s="650"/>
    </row>
    <row r="5302" spans="3:6">
      <c r="C5302" s="631"/>
      <c r="D5302" s="631"/>
      <c r="E5302" s="633"/>
      <c r="F5302" s="650"/>
    </row>
    <row r="5303" spans="3:6">
      <c r="C5303" s="631"/>
      <c r="D5303" s="631"/>
      <c r="E5303" s="633"/>
      <c r="F5303" s="650"/>
    </row>
    <row r="5304" spans="3:6">
      <c r="C5304" s="631"/>
      <c r="D5304" s="631"/>
      <c r="E5304" s="633"/>
      <c r="F5304" s="650"/>
    </row>
    <row r="5305" spans="3:6">
      <c r="C5305" s="631"/>
      <c r="D5305" s="631"/>
      <c r="E5305" s="633"/>
      <c r="F5305" s="650"/>
    </row>
    <row r="5306" spans="3:6">
      <c r="C5306" s="631"/>
      <c r="D5306" s="631"/>
      <c r="E5306" s="633"/>
      <c r="F5306" s="650"/>
    </row>
    <row r="5307" spans="3:6">
      <c r="C5307" s="631"/>
      <c r="D5307" s="631"/>
      <c r="E5307" s="633"/>
      <c r="F5307" s="650"/>
    </row>
    <row r="5308" spans="3:6">
      <c r="C5308" s="631"/>
      <c r="D5308" s="631"/>
      <c r="E5308" s="633"/>
      <c r="F5308" s="650"/>
    </row>
    <row r="5309" spans="3:6">
      <c r="C5309" s="631"/>
      <c r="D5309" s="631"/>
      <c r="E5309" s="633"/>
      <c r="F5309" s="650"/>
    </row>
    <row r="5310" spans="3:6">
      <c r="C5310" s="631"/>
      <c r="D5310" s="631"/>
      <c r="E5310" s="633"/>
      <c r="F5310" s="650"/>
    </row>
    <row r="5311" spans="3:6">
      <c r="C5311" s="631"/>
      <c r="D5311" s="631"/>
      <c r="E5311" s="633"/>
      <c r="F5311" s="650"/>
    </row>
    <row r="5312" spans="3:6">
      <c r="C5312" s="631"/>
      <c r="D5312" s="631"/>
      <c r="E5312" s="633"/>
      <c r="F5312" s="650"/>
    </row>
    <row r="5313" spans="3:6">
      <c r="C5313" s="631"/>
      <c r="D5313" s="631"/>
      <c r="E5313" s="633"/>
      <c r="F5313" s="650"/>
    </row>
    <row r="5314" spans="3:6">
      <c r="C5314" s="631"/>
      <c r="D5314" s="631"/>
      <c r="E5314" s="633"/>
      <c r="F5314" s="650"/>
    </row>
    <row r="5315" spans="3:6">
      <c r="C5315" s="631"/>
      <c r="D5315" s="631"/>
      <c r="E5315" s="633"/>
      <c r="F5315" s="650"/>
    </row>
    <row r="5316" spans="3:6">
      <c r="C5316" s="631"/>
      <c r="D5316" s="631"/>
      <c r="E5316" s="633"/>
      <c r="F5316" s="650"/>
    </row>
    <row r="5317" spans="3:6">
      <c r="C5317" s="631"/>
      <c r="D5317" s="631"/>
      <c r="E5317" s="633"/>
      <c r="F5317" s="650"/>
    </row>
    <row r="5318" spans="3:6">
      <c r="C5318" s="631"/>
      <c r="D5318" s="631"/>
      <c r="E5318" s="633"/>
      <c r="F5318" s="650"/>
    </row>
    <row r="5319" spans="3:6">
      <c r="C5319" s="631"/>
      <c r="D5319" s="631"/>
      <c r="E5319" s="633"/>
      <c r="F5319" s="650"/>
    </row>
    <row r="5320" spans="3:6">
      <c r="C5320" s="631"/>
      <c r="D5320" s="631"/>
      <c r="E5320" s="633"/>
      <c r="F5320" s="650"/>
    </row>
    <row r="5321" spans="3:6">
      <c r="C5321" s="631"/>
      <c r="D5321" s="631"/>
      <c r="E5321" s="633"/>
      <c r="F5321" s="650"/>
    </row>
    <row r="5322" spans="3:6">
      <c r="C5322" s="631"/>
      <c r="D5322" s="631"/>
      <c r="E5322" s="633"/>
      <c r="F5322" s="650"/>
    </row>
    <row r="5323" spans="3:6">
      <c r="C5323" s="631"/>
      <c r="D5323" s="631"/>
      <c r="E5323" s="633"/>
      <c r="F5323" s="650"/>
    </row>
    <row r="5324" spans="3:6">
      <c r="C5324" s="631"/>
      <c r="D5324" s="631"/>
      <c r="E5324" s="633"/>
      <c r="F5324" s="650"/>
    </row>
    <row r="5325" spans="3:6">
      <c r="C5325" s="631"/>
      <c r="D5325" s="631"/>
      <c r="E5325" s="633"/>
      <c r="F5325" s="650"/>
    </row>
    <row r="5326" spans="3:6">
      <c r="C5326" s="631"/>
      <c r="D5326" s="631"/>
      <c r="E5326" s="633"/>
      <c r="F5326" s="650"/>
    </row>
    <row r="5327" spans="3:6">
      <c r="C5327" s="631"/>
      <c r="D5327" s="631"/>
      <c r="E5327" s="633"/>
      <c r="F5327" s="650"/>
    </row>
    <row r="5328" spans="3:6">
      <c r="C5328" s="631"/>
      <c r="D5328" s="631"/>
      <c r="E5328" s="633"/>
      <c r="F5328" s="650"/>
    </row>
    <row r="5329" spans="3:6">
      <c r="C5329" s="631"/>
      <c r="D5329" s="631"/>
      <c r="E5329" s="633"/>
      <c r="F5329" s="650"/>
    </row>
    <row r="5330" spans="3:6">
      <c r="C5330" s="631"/>
      <c r="D5330" s="631"/>
      <c r="E5330" s="633"/>
      <c r="F5330" s="650"/>
    </row>
    <row r="5331" spans="3:6">
      <c r="C5331" s="631"/>
      <c r="D5331" s="631"/>
      <c r="E5331" s="633"/>
      <c r="F5331" s="650"/>
    </row>
    <row r="5332" spans="3:6">
      <c r="C5332" s="631"/>
      <c r="D5332" s="631"/>
      <c r="E5332" s="633"/>
      <c r="F5332" s="650"/>
    </row>
    <row r="5333" spans="3:6">
      <c r="C5333" s="631"/>
      <c r="D5333" s="631"/>
      <c r="E5333" s="633"/>
      <c r="F5333" s="650"/>
    </row>
    <row r="5334" spans="3:6">
      <c r="C5334" s="631"/>
      <c r="D5334" s="631"/>
      <c r="E5334" s="633"/>
      <c r="F5334" s="650"/>
    </row>
    <row r="5335" spans="3:6">
      <c r="C5335" s="631"/>
      <c r="D5335" s="631"/>
      <c r="E5335" s="633"/>
      <c r="F5335" s="650"/>
    </row>
    <row r="5336" spans="3:6">
      <c r="C5336" s="631"/>
      <c r="D5336" s="631"/>
      <c r="E5336" s="633"/>
      <c r="F5336" s="650"/>
    </row>
    <row r="5337" spans="3:6">
      <c r="C5337" s="631"/>
      <c r="D5337" s="631"/>
      <c r="E5337" s="633"/>
      <c r="F5337" s="650"/>
    </row>
    <row r="5338" spans="3:6">
      <c r="C5338" s="631"/>
      <c r="D5338" s="631"/>
      <c r="E5338" s="633"/>
      <c r="F5338" s="650"/>
    </row>
    <row r="5339" spans="3:6">
      <c r="C5339" s="631"/>
      <c r="D5339" s="631"/>
      <c r="E5339" s="633"/>
      <c r="F5339" s="650"/>
    </row>
    <row r="5340" spans="3:6">
      <c r="C5340" s="631"/>
      <c r="D5340" s="631"/>
      <c r="E5340" s="633"/>
      <c r="F5340" s="650"/>
    </row>
    <row r="5341" spans="3:6">
      <c r="C5341" s="631"/>
      <c r="D5341" s="631"/>
      <c r="E5341" s="633"/>
      <c r="F5341" s="650"/>
    </row>
    <row r="5342" spans="3:6">
      <c r="C5342" s="631"/>
      <c r="D5342" s="631"/>
      <c r="E5342" s="633"/>
      <c r="F5342" s="650"/>
    </row>
    <row r="5343" spans="3:6">
      <c r="C5343" s="631"/>
      <c r="D5343" s="631"/>
      <c r="E5343" s="633"/>
      <c r="F5343" s="650"/>
    </row>
    <row r="5344" spans="3:6">
      <c r="C5344" s="631"/>
      <c r="D5344" s="631"/>
      <c r="E5344" s="633"/>
      <c r="F5344" s="650"/>
    </row>
    <row r="5345" spans="3:6">
      <c r="C5345" s="631"/>
      <c r="D5345" s="631"/>
      <c r="E5345" s="633"/>
      <c r="F5345" s="650"/>
    </row>
    <row r="5346" spans="3:6">
      <c r="C5346" s="631"/>
      <c r="D5346" s="631"/>
      <c r="E5346" s="633"/>
      <c r="F5346" s="650"/>
    </row>
    <row r="5347" spans="3:6">
      <c r="C5347" s="631"/>
      <c r="D5347" s="631"/>
      <c r="E5347" s="633"/>
      <c r="F5347" s="650"/>
    </row>
    <row r="5348" spans="3:6">
      <c r="C5348" s="631"/>
      <c r="D5348" s="631"/>
      <c r="E5348" s="633"/>
      <c r="F5348" s="650"/>
    </row>
    <row r="5349" spans="3:6">
      <c r="C5349" s="631"/>
      <c r="D5349" s="631"/>
      <c r="E5349" s="633"/>
      <c r="F5349" s="650"/>
    </row>
    <row r="5350" spans="3:6">
      <c r="C5350" s="631"/>
      <c r="D5350" s="631"/>
      <c r="E5350" s="633"/>
      <c r="F5350" s="650"/>
    </row>
    <row r="5351" spans="3:6">
      <c r="C5351" s="631"/>
      <c r="D5351" s="631"/>
      <c r="E5351" s="633"/>
      <c r="F5351" s="650"/>
    </row>
    <row r="5352" spans="3:6">
      <c r="C5352" s="631"/>
      <c r="D5352" s="631"/>
      <c r="E5352" s="633"/>
      <c r="F5352" s="650"/>
    </row>
    <row r="5353" spans="3:6">
      <c r="C5353" s="631"/>
      <c r="D5353" s="631"/>
      <c r="E5353" s="633"/>
      <c r="F5353" s="650"/>
    </row>
    <row r="5354" spans="3:6">
      <c r="C5354" s="631"/>
      <c r="D5354" s="631"/>
      <c r="E5354" s="633"/>
      <c r="F5354" s="650"/>
    </row>
    <row r="5355" spans="3:6">
      <c r="C5355" s="631"/>
      <c r="D5355" s="631"/>
      <c r="E5355" s="633"/>
      <c r="F5355" s="650"/>
    </row>
    <row r="5356" spans="3:6">
      <c r="C5356" s="631"/>
      <c r="D5356" s="631"/>
      <c r="E5356" s="633"/>
      <c r="F5356" s="650"/>
    </row>
    <row r="5357" spans="3:6">
      <c r="C5357" s="631"/>
      <c r="D5357" s="631"/>
      <c r="E5357" s="633"/>
      <c r="F5357" s="650"/>
    </row>
    <row r="5358" spans="3:6">
      <c r="C5358" s="631"/>
      <c r="D5358" s="631"/>
      <c r="E5358" s="633"/>
      <c r="F5358" s="650"/>
    </row>
    <row r="5359" spans="3:6">
      <c r="C5359" s="631"/>
      <c r="D5359" s="631"/>
      <c r="E5359" s="633"/>
      <c r="F5359" s="650"/>
    </row>
    <row r="5360" spans="3:6">
      <c r="C5360" s="631"/>
      <c r="D5360" s="631"/>
      <c r="E5360" s="633"/>
      <c r="F5360" s="650"/>
    </row>
    <row r="5361" spans="3:6">
      <c r="C5361" s="631"/>
      <c r="D5361" s="631"/>
      <c r="E5361" s="633"/>
      <c r="F5361" s="650"/>
    </row>
    <row r="5362" spans="3:6">
      <c r="C5362" s="631"/>
      <c r="D5362" s="631"/>
      <c r="E5362" s="633"/>
      <c r="F5362" s="650"/>
    </row>
    <row r="5363" spans="3:6">
      <c r="C5363" s="631"/>
      <c r="D5363" s="631"/>
      <c r="E5363" s="633"/>
      <c r="F5363" s="650"/>
    </row>
    <row r="5364" spans="3:6">
      <c r="C5364" s="631"/>
      <c r="D5364" s="631"/>
      <c r="E5364" s="633"/>
      <c r="F5364" s="650"/>
    </row>
    <row r="5365" spans="3:6">
      <c r="C5365" s="631"/>
      <c r="D5365" s="631"/>
      <c r="E5365" s="633"/>
      <c r="F5365" s="650"/>
    </row>
    <row r="5366" spans="3:6">
      <c r="C5366" s="631"/>
      <c r="D5366" s="631"/>
      <c r="E5366" s="633"/>
      <c r="F5366" s="650"/>
    </row>
    <row r="5367" spans="3:6">
      <c r="C5367" s="631"/>
      <c r="D5367" s="631"/>
      <c r="E5367" s="633"/>
      <c r="F5367" s="650"/>
    </row>
    <row r="5368" spans="3:6">
      <c r="C5368" s="631"/>
      <c r="D5368" s="631"/>
      <c r="E5368" s="633"/>
      <c r="F5368" s="650"/>
    </row>
    <row r="5369" spans="3:6">
      <c r="C5369" s="631"/>
      <c r="D5369" s="631"/>
      <c r="E5369" s="633"/>
      <c r="F5369" s="650"/>
    </row>
    <row r="5370" spans="3:6">
      <c r="C5370" s="631"/>
      <c r="D5370" s="631"/>
      <c r="E5370" s="633"/>
      <c r="F5370" s="650"/>
    </row>
    <row r="5371" spans="3:6">
      <c r="C5371" s="631"/>
      <c r="D5371" s="631"/>
      <c r="E5371" s="633"/>
      <c r="F5371" s="650"/>
    </row>
    <row r="5372" spans="3:6">
      <c r="C5372" s="631"/>
      <c r="D5372" s="631"/>
      <c r="E5372" s="633"/>
      <c r="F5372" s="650"/>
    </row>
    <row r="5373" spans="3:6">
      <c r="C5373" s="631"/>
      <c r="D5373" s="631"/>
      <c r="E5373" s="633"/>
      <c r="F5373" s="650"/>
    </row>
    <row r="5374" spans="3:6">
      <c r="C5374" s="631"/>
      <c r="D5374" s="631"/>
      <c r="E5374" s="633"/>
      <c r="F5374" s="650"/>
    </row>
    <row r="5375" spans="3:6">
      <c r="C5375" s="631"/>
      <c r="D5375" s="631"/>
      <c r="E5375" s="633"/>
      <c r="F5375" s="650"/>
    </row>
    <row r="5376" spans="3:6">
      <c r="C5376" s="631"/>
      <c r="D5376" s="631"/>
      <c r="E5376" s="633"/>
      <c r="F5376" s="650"/>
    </row>
    <row r="5377" spans="3:6">
      <c r="C5377" s="631"/>
      <c r="D5377" s="631"/>
      <c r="E5377" s="633"/>
      <c r="F5377" s="650"/>
    </row>
    <row r="5378" spans="3:6">
      <c r="C5378" s="631"/>
      <c r="D5378" s="631"/>
      <c r="E5378" s="633"/>
      <c r="F5378" s="650"/>
    </row>
    <row r="5379" spans="3:6">
      <c r="C5379" s="631"/>
      <c r="D5379" s="631"/>
      <c r="E5379" s="633"/>
      <c r="F5379" s="650"/>
    </row>
    <row r="5380" spans="3:6">
      <c r="C5380" s="631"/>
      <c r="D5380" s="631"/>
      <c r="E5380" s="633"/>
      <c r="F5380" s="650"/>
    </row>
    <row r="5381" spans="3:6">
      <c r="C5381" s="631"/>
      <c r="D5381" s="631"/>
      <c r="E5381" s="633"/>
      <c r="F5381" s="650"/>
    </row>
    <row r="5382" spans="3:6">
      <c r="C5382" s="631"/>
      <c r="D5382" s="631"/>
      <c r="E5382" s="633"/>
      <c r="F5382" s="650"/>
    </row>
    <row r="5383" spans="3:6">
      <c r="C5383" s="631"/>
      <c r="D5383" s="631"/>
      <c r="E5383" s="633"/>
      <c r="F5383" s="650"/>
    </row>
    <row r="5384" spans="3:6">
      <c r="C5384" s="631"/>
      <c r="D5384" s="631"/>
      <c r="E5384" s="633"/>
      <c r="F5384" s="650"/>
    </row>
    <row r="5385" spans="3:6">
      <c r="C5385" s="631"/>
      <c r="D5385" s="631"/>
      <c r="E5385" s="633"/>
      <c r="F5385" s="650"/>
    </row>
    <row r="5386" spans="3:6">
      <c r="C5386" s="631"/>
      <c r="D5386" s="631"/>
      <c r="E5386" s="633"/>
      <c r="F5386" s="650"/>
    </row>
    <row r="5387" spans="3:6">
      <c r="C5387" s="631"/>
      <c r="D5387" s="631"/>
      <c r="E5387" s="633"/>
      <c r="F5387" s="650"/>
    </row>
    <row r="5388" spans="3:6">
      <c r="C5388" s="631"/>
      <c r="D5388" s="631"/>
      <c r="E5388" s="633"/>
      <c r="F5388" s="650"/>
    </row>
    <row r="5389" spans="3:6">
      <c r="C5389" s="631"/>
      <c r="D5389" s="631"/>
      <c r="E5389" s="633"/>
      <c r="F5389" s="650"/>
    </row>
    <row r="5390" spans="3:6">
      <c r="C5390" s="631"/>
      <c r="D5390" s="631"/>
      <c r="E5390" s="633"/>
      <c r="F5390" s="650"/>
    </row>
    <row r="5391" spans="3:6">
      <c r="C5391" s="631"/>
      <c r="D5391" s="631"/>
      <c r="E5391" s="633"/>
      <c r="F5391" s="650"/>
    </row>
    <row r="5392" spans="3:6">
      <c r="C5392" s="631"/>
      <c r="D5392" s="631"/>
      <c r="E5392" s="633"/>
      <c r="F5392" s="650"/>
    </row>
    <row r="5393" spans="3:6">
      <c r="C5393" s="631"/>
      <c r="D5393" s="631"/>
      <c r="E5393" s="633"/>
      <c r="F5393" s="650"/>
    </row>
    <row r="5394" spans="3:6">
      <c r="C5394" s="631"/>
      <c r="D5394" s="631"/>
      <c r="E5394" s="633"/>
      <c r="F5394" s="650"/>
    </row>
    <row r="5395" spans="3:6">
      <c r="C5395" s="631"/>
      <c r="D5395" s="631"/>
      <c r="E5395" s="633"/>
      <c r="F5395" s="650"/>
    </row>
    <row r="5396" spans="3:6">
      <c r="C5396" s="631"/>
      <c r="D5396" s="631"/>
      <c r="E5396" s="633"/>
      <c r="F5396" s="650"/>
    </row>
    <row r="5397" spans="3:6">
      <c r="C5397" s="631"/>
      <c r="D5397" s="631"/>
      <c r="E5397" s="633"/>
      <c r="F5397" s="650"/>
    </row>
    <row r="5398" spans="3:6">
      <c r="C5398" s="631"/>
      <c r="D5398" s="631"/>
      <c r="E5398" s="633"/>
      <c r="F5398" s="650"/>
    </row>
    <row r="5399" spans="3:6">
      <c r="C5399" s="631"/>
      <c r="D5399" s="631"/>
      <c r="E5399" s="633"/>
      <c r="F5399" s="650"/>
    </row>
    <row r="5400" spans="3:6">
      <c r="C5400" s="631"/>
      <c r="D5400" s="631"/>
      <c r="E5400" s="633"/>
      <c r="F5400" s="650"/>
    </row>
    <row r="5401" spans="3:6">
      <c r="C5401" s="631"/>
      <c r="D5401" s="631"/>
      <c r="E5401" s="633"/>
      <c r="F5401" s="650"/>
    </row>
    <row r="5402" spans="3:6">
      <c r="C5402" s="631"/>
      <c r="D5402" s="631"/>
      <c r="E5402" s="633"/>
      <c r="F5402" s="650"/>
    </row>
    <row r="5403" spans="3:6">
      <c r="C5403" s="631"/>
      <c r="D5403" s="631"/>
      <c r="E5403" s="633"/>
      <c r="F5403" s="650"/>
    </row>
    <row r="5404" spans="3:6">
      <c r="C5404" s="631"/>
      <c r="D5404" s="631"/>
      <c r="E5404" s="633"/>
      <c r="F5404" s="650"/>
    </row>
    <row r="5405" spans="3:6">
      <c r="C5405" s="631"/>
      <c r="D5405" s="631"/>
      <c r="E5405" s="633"/>
      <c r="F5405" s="650"/>
    </row>
    <row r="5406" spans="3:6">
      <c r="C5406" s="631"/>
      <c r="D5406" s="631"/>
      <c r="E5406" s="633"/>
      <c r="F5406" s="650"/>
    </row>
    <row r="5407" spans="3:6">
      <c r="C5407" s="631"/>
      <c r="D5407" s="631"/>
      <c r="E5407" s="633"/>
      <c r="F5407" s="650"/>
    </row>
    <row r="5408" spans="3:6">
      <c r="C5408" s="631"/>
      <c r="D5408" s="631"/>
      <c r="E5408" s="633"/>
      <c r="F5408" s="650"/>
    </row>
    <row r="5409" spans="3:6">
      <c r="C5409" s="631"/>
      <c r="D5409" s="631"/>
      <c r="E5409" s="633"/>
      <c r="F5409" s="650"/>
    </row>
    <row r="5410" spans="3:6">
      <c r="C5410" s="631"/>
      <c r="D5410" s="631"/>
      <c r="E5410" s="633"/>
      <c r="F5410" s="650"/>
    </row>
    <row r="5411" spans="3:6">
      <c r="C5411" s="631"/>
      <c r="D5411" s="631"/>
      <c r="E5411" s="633"/>
      <c r="F5411" s="650"/>
    </row>
    <row r="5412" spans="3:6">
      <c r="C5412" s="631"/>
      <c r="D5412" s="631"/>
      <c r="E5412" s="633"/>
      <c r="F5412" s="650"/>
    </row>
    <row r="5413" spans="3:6">
      <c r="C5413" s="631"/>
      <c r="D5413" s="631"/>
      <c r="E5413" s="633"/>
      <c r="F5413" s="650"/>
    </row>
    <row r="5414" spans="3:6">
      <c r="C5414" s="631"/>
      <c r="D5414" s="631"/>
      <c r="E5414" s="633"/>
      <c r="F5414" s="650"/>
    </row>
    <row r="5415" spans="3:6">
      <c r="C5415" s="631"/>
      <c r="D5415" s="631"/>
      <c r="E5415" s="633"/>
      <c r="F5415" s="650"/>
    </row>
    <row r="5416" spans="3:6">
      <c r="C5416" s="631"/>
      <c r="D5416" s="631"/>
      <c r="E5416" s="633"/>
      <c r="F5416" s="650"/>
    </row>
    <row r="5417" spans="3:6">
      <c r="C5417" s="631"/>
      <c r="D5417" s="631"/>
      <c r="E5417" s="633"/>
      <c r="F5417" s="650"/>
    </row>
    <row r="5418" spans="3:6">
      <c r="C5418" s="631"/>
      <c r="D5418" s="631"/>
      <c r="E5418" s="633"/>
      <c r="F5418" s="650"/>
    </row>
    <row r="5419" spans="3:6">
      <c r="C5419" s="631"/>
      <c r="D5419" s="631"/>
      <c r="E5419" s="633"/>
      <c r="F5419" s="650"/>
    </row>
    <row r="5420" spans="3:6">
      <c r="C5420" s="631"/>
      <c r="D5420" s="631"/>
      <c r="E5420" s="633"/>
      <c r="F5420" s="650"/>
    </row>
    <row r="5421" spans="3:6">
      <c r="C5421" s="631"/>
      <c r="D5421" s="631"/>
      <c r="E5421" s="633"/>
      <c r="F5421" s="650"/>
    </row>
    <row r="5422" spans="3:6">
      <c r="C5422" s="631"/>
      <c r="D5422" s="631"/>
      <c r="E5422" s="633"/>
      <c r="F5422" s="650"/>
    </row>
    <row r="5423" spans="3:6">
      <c r="C5423" s="631"/>
      <c r="D5423" s="631"/>
      <c r="E5423" s="633"/>
      <c r="F5423" s="650"/>
    </row>
    <row r="5424" spans="3:6">
      <c r="C5424" s="631"/>
      <c r="D5424" s="631"/>
      <c r="E5424" s="633"/>
      <c r="F5424" s="650"/>
    </row>
    <row r="5425" spans="3:6">
      <c r="C5425" s="631"/>
      <c r="D5425" s="631"/>
      <c r="E5425" s="633"/>
      <c r="F5425" s="650"/>
    </row>
    <row r="5426" spans="3:6">
      <c r="C5426" s="631"/>
      <c r="D5426" s="631"/>
      <c r="E5426" s="633"/>
      <c r="F5426" s="650"/>
    </row>
    <row r="5427" spans="3:6">
      <c r="C5427" s="631"/>
      <c r="D5427" s="631"/>
      <c r="E5427" s="633"/>
      <c r="F5427" s="650"/>
    </row>
    <row r="5428" spans="3:6">
      <c r="C5428" s="631"/>
      <c r="D5428" s="631"/>
      <c r="E5428" s="633"/>
      <c r="F5428" s="650"/>
    </row>
    <row r="5429" spans="3:6">
      <c r="C5429" s="631"/>
      <c r="D5429" s="631"/>
      <c r="E5429" s="633"/>
      <c r="F5429" s="650"/>
    </row>
    <row r="5430" spans="3:6">
      <c r="C5430" s="631"/>
      <c r="D5430" s="631"/>
      <c r="E5430" s="633"/>
      <c r="F5430" s="650"/>
    </row>
    <row r="5431" spans="3:6">
      <c r="C5431" s="631"/>
      <c r="D5431" s="631"/>
      <c r="E5431" s="633"/>
      <c r="F5431" s="650"/>
    </row>
    <row r="5432" spans="3:6">
      <c r="C5432" s="631"/>
      <c r="D5432" s="631"/>
      <c r="E5432" s="633"/>
      <c r="F5432" s="650"/>
    </row>
    <row r="5433" spans="3:6">
      <c r="C5433" s="631"/>
      <c r="D5433" s="631"/>
      <c r="E5433" s="633"/>
      <c r="F5433" s="650"/>
    </row>
    <row r="5434" spans="3:6">
      <c r="C5434" s="631"/>
      <c r="D5434" s="631"/>
      <c r="E5434" s="633"/>
      <c r="F5434" s="650"/>
    </row>
    <row r="5435" spans="3:6">
      <c r="C5435" s="631"/>
      <c r="D5435" s="631"/>
      <c r="E5435" s="633"/>
      <c r="F5435" s="650"/>
    </row>
    <row r="5436" spans="3:6">
      <c r="C5436" s="631"/>
      <c r="D5436" s="631"/>
      <c r="E5436" s="633"/>
      <c r="F5436" s="650"/>
    </row>
    <row r="5437" spans="3:6">
      <c r="C5437" s="631"/>
      <c r="D5437" s="631"/>
      <c r="E5437" s="633"/>
      <c r="F5437" s="650"/>
    </row>
    <row r="5438" spans="3:6">
      <c r="C5438" s="631"/>
      <c r="D5438" s="631"/>
      <c r="E5438" s="633"/>
      <c r="F5438" s="650"/>
    </row>
    <row r="5439" spans="3:6">
      <c r="C5439" s="631"/>
      <c r="D5439" s="631"/>
      <c r="E5439" s="633"/>
      <c r="F5439" s="650"/>
    </row>
    <row r="5440" spans="3:6">
      <c r="C5440" s="631"/>
      <c r="D5440" s="631"/>
      <c r="E5440" s="633"/>
      <c r="F5440" s="650"/>
    </row>
    <row r="5441" spans="3:6">
      <c r="C5441" s="631"/>
      <c r="D5441" s="631"/>
      <c r="E5441" s="633"/>
      <c r="F5441" s="650"/>
    </row>
    <row r="5442" spans="3:6">
      <c r="C5442" s="631"/>
      <c r="D5442" s="631"/>
      <c r="E5442" s="633"/>
      <c r="F5442" s="650"/>
    </row>
    <row r="5443" spans="3:6">
      <c r="C5443" s="631"/>
      <c r="D5443" s="631"/>
      <c r="E5443" s="633"/>
      <c r="F5443" s="650"/>
    </row>
    <row r="5444" spans="3:6">
      <c r="C5444" s="631"/>
      <c r="D5444" s="631"/>
      <c r="E5444" s="633"/>
      <c r="F5444" s="650"/>
    </row>
    <row r="5445" spans="3:6">
      <c r="C5445" s="631"/>
      <c r="D5445" s="631"/>
      <c r="E5445" s="633"/>
      <c r="F5445" s="650"/>
    </row>
    <row r="5446" spans="3:6">
      <c r="C5446" s="631"/>
      <c r="D5446" s="631"/>
      <c r="E5446" s="633"/>
      <c r="F5446" s="650"/>
    </row>
    <row r="5447" spans="3:6">
      <c r="C5447" s="631"/>
      <c r="D5447" s="631"/>
      <c r="E5447" s="633"/>
      <c r="F5447" s="650"/>
    </row>
    <row r="5448" spans="3:6">
      <c r="C5448" s="631"/>
      <c r="D5448" s="631"/>
      <c r="E5448" s="633"/>
      <c r="F5448" s="650"/>
    </row>
    <row r="5449" spans="3:6">
      <c r="C5449" s="631"/>
      <c r="D5449" s="631"/>
      <c r="E5449" s="633"/>
      <c r="F5449" s="650"/>
    </row>
    <row r="5450" spans="3:6">
      <c r="C5450" s="631"/>
      <c r="D5450" s="631"/>
      <c r="E5450" s="633"/>
      <c r="F5450" s="650"/>
    </row>
    <row r="5451" spans="3:6">
      <c r="C5451" s="631"/>
      <c r="D5451" s="631"/>
      <c r="E5451" s="633"/>
      <c r="F5451" s="650"/>
    </row>
    <row r="5452" spans="3:6">
      <c r="C5452" s="631"/>
      <c r="D5452" s="631"/>
      <c r="E5452" s="633"/>
      <c r="F5452" s="650"/>
    </row>
    <row r="5453" spans="3:6">
      <c r="C5453" s="631"/>
      <c r="D5453" s="631"/>
      <c r="E5453" s="633"/>
      <c r="F5453" s="650"/>
    </row>
    <row r="5454" spans="3:6">
      <c r="C5454" s="631"/>
      <c r="D5454" s="631"/>
      <c r="E5454" s="633"/>
      <c r="F5454" s="650"/>
    </row>
    <row r="5455" spans="3:6">
      <c r="C5455" s="631"/>
      <c r="D5455" s="631"/>
      <c r="E5455" s="633"/>
      <c r="F5455" s="650"/>
    </row>
    <row r="5456" spans="3:6">
      <c r="C5456" s="631"/>
      <c r="D5456" s="631"/>
      <c r="E5456" s="633"/>
      <c r="F5456" s="650"/>
    </row>
    <row r="5457" spans="3:6">
      <c r="C5457" s="631"/>
      <c r="D5457" s="631"/>
      <c r="E5457" s="633"/>
      <c r="F5457" s="650"/>
    </row>
    <row r="5458" spans="3:6">
      <c r="C5458" s="631"/>
      <c r="D5458" s="631"/>
      <c r="E5458" s="633"/>
      <c r="F5458" s="650"/>
    </row>
    <row r="5459" spans="3:6">
      <c r="C5459" s="631"/>
      <c r="D5459" s="631"/>
      <c r="E5459" s="633"/>
      <c r="F5459" s="650"/>
    </row>
    <row r="5460" spans="3:6">
      <c r="C5460" s="631"/>
      <c r="D5460" s="631"/>
      <c r="E5460" s="633"/>
      <c r="F5460" s="650"/>
    </row>
    <row r="5461" spans="3:6">
      <c r="C5461" s="631"/>
      <c r="D5461" s="631"/>
      <c r="E5461" s="633"/>
      <c r="F5461" s="650"/>
    </row>
    <row r="5462" spans="3:6">
      <c r="C5462" s="631"/>
      <c r="D5462" s="631"/>
      <c r="E5462" s="633"/>
      <c r="F5462" s="650"/>
    </row>
    <row r="5463" spans="3:6">
      <c r="C5463" s="631"/>
      <c r="D5463" s="631"/>
      <c r="E5463" s="633"/>
      <c r="F5463" s="650"/>
    </row>
    <row r="5464" spans="3:6">
      <c r="C5464" s="631"/>
      <c r="D5464" s="631"/>
      <c r="E5464" s="633"/>
      <c r="F5464" s="650"/>
    </row>
    <row r="5465" spans="3:6">
      <c r="C5465" s="631"/>
      <c r="D5465" s="631"/>
      <c r="E5465" s="633"/>
      <c r="F5465" s="650"/>
    </row>
    <row r="5466" spans="3:6">
      <c r="C5466" s="631"/>
      <c r="D5466" s="631"/>
      <c r="E5466" s="633"/>
      <c r="F5466" s="650"/>
    </row>
    <row r="5467" spans="3:6">
      <c r="C5467" s="631"/>
      <c r="D5467" s="631"/>
      <c r="E5467" s="633"/>
      <c r="F5467" s="650"/>
    </row>
    <row r="5468" spans="3:6">
      <c r="C5468" s="631"/>
      <c r="D5468" s="631"/>
      <c r="E5468" s="633"/>
      <c r="F5468" s="650"/>
    </row>
    <row r="5469" spans="3:6">
      <c r="C5469" s="631"/>
      <c r="D5469" s="631"/>
      <c r="E5469" s="633"/>
      <c r="F5469" s="650"/>
    </row>
    <row r="5470" spans="3:6">
      <c r="C5470" s="631"/>
      <c r="D5470" s="631"/>
      <c r="E5470" s="633"/>
      <c r="F5470" s="650"/>
    </row>
    <row r="5471" spans="3:6">
      <c r="C5471" s="631"/>
      <c r="D5471" s="631"/>
      <c r="E5471" s="633"/>
      <c r="F5471" s="650"/>
    </row>
    <row r="5472" spans="3:6">
      <c r="C5472" s="631"/>
      <c r="D5472" s="631"/>
      <c r="E5472" s="633"/>
      <c r="F5472" s="650"/>
    </row>
    <row r="5473" spans="3:6">
      <c r="C5473" s="631"/>
      <c r="D5473" s="631"/>
      <c r="E5473" s="633"/>
      <c r="F5473" s="650"/>
    </row>
    <row r="5474" spans="3:6">
      <c r="C5474" s="631"/>
      <c r="D5474" s="631"/>
      <c r="E5474" s="633"/>
      <c r="F5474" s="650"/>
    </row>
    <row r="5475" spans="3:6">
      <c r="C5475" s="631"/>
      <c r="D5475" s="631"/>
      <c r="E5475" s="633"/>
      <c r="F5475" s="650"/>
    </row>
    <row r="5476" spans="3:6">
      <c r="C5476" s="631"/>
      <c r="D5476" s="631"/>
      <c r="E5476" s="633"/>
      <c r="F5476" s="650"/>
    </row>
    <row r="5477" spans="3:6">
      <c r="C5477" s="631"/>
      <c r="D5477" s="631"/>
      <c r="E5477" s="633"/>
      <c r="F5477" s="650"/>
    </row>
    <row r="5478" spans="3:6">
      <c r="C5478" s="631"/>
      <c r="D5478" s="631"/>
      <c r="E5478" s="633"/>
      <c r="F5478" s="650"/>
    </row>
    <row r="5479" spans="3:6">
      <c r="C5479" s="631"/>
      <c r="D5479" s="631"/>
      <c r="E5479" s="633"/>
      <c r="F5479" s="650"/>
    </row>
    <row r="5480" spans="3:6">
      <c r="C5480" s="631"/>
      <c r="D5480" s="631"/>
      <c r="E5480" s="633"/>
      <c r="F5480" s="650"/>
    </row>
    <row r="5481" spans="3:6">
      <c r="C5481" s="631"/>
      <c r="D5481" s="631"/>
      <c r="E5481" s="633"/>
      <c r="F5481" s="650"/>
    </row>
    <row r="5482" spans="3:6">
      <c r="C5482" s="631"/>
      <c r="D5482" s="631"/>
      <c r="E5482" s="633"/>
      <c r="F5482" s="650"/>
    </row>
    <row r="5483" spans="3:6">
      <c r="C5483" s="631"/>
      <c r="D5483" s="631"/>
      <c r="E5483" s="633"/>
      <c r="F5483" s="650"/>
    </row>
    <row r="5484" spans="3:6">
      <c r="C5484" s="631"/>
      <c r="D5484" s="631"/>
      <c r="E5484" s="633"/>
      <c r="F5484" s="650"/>
    </row>
    <row r="5485" spans="3:6">
      <c r="C5485" s="631"/>
      <c r="D5485" s="631"/>
      <c r="E5485" s="633"/>
      <c r="F5485" s="650"/>
    </row>
    <row r="5486" spans="3:6">
      <c r="C5486" s="631"/>
      <c r="D5486" s="631"/>
      <c r="E5486" s="633"/>
      <c r="F5486" s="650"/>
    </row>
    <row r="5487" spans="3:6">
      <c r="C5487" s="631"/>
      <c r="D5487" s="631"/>
      <c r="E5487" s="633"/>
      <c r="F5487" s="650"/>
    </row>
    <row r="5488" spans="3:6">
      <c r="C5488" s="631"/>
      <c r="D5488" s="631"/>
      <c r="E5488" s="633"/>
      <c r="F5488" s="650"/>
    </row>
    <row r="5489" spans="3:6">
      <c r="C5489" s="631"/>
      <c r="D5489" s="631"/>
      <c r="E5489" s="633"/>
      <c r="F5489" s="650"/>
    </row>
    <row r="5490" spans="3:6">
      <c r="C5490" s="631"/>
      <c r="D5490" s="631"/>
      <c r="E5490" s="633"/>
      <c r="F5490" s="650"/>
    </row>
    <row r="5491" spans="3:6">
      <c r="C5491" s="631"/>
      <c r="D5491" s="631"/>
      <c r="E5491" s="633"/>
      <c r="F5491" s="650"/>
    </row>
    <row r="5492" spans="3:6">
      <c r="C5492" s="631"/>
      <c r="D5492" s="631"/>
      <c r="E5492" s="633"/>
      <c r="F5492" s="650"/>
    </row>
    <row r="5493" spans="3:6">
      <c r="C5493" s="631"/>
      <c r="D5493" s="631"/>
      <c r="E5493" s="633"/>
      <c r="F5493" s="650"/>
    </row>
    <row r="5494" spans="3:6">
      <c r="C5494" s="631"/>
      <c r="D5494" s="631"/>
      <c r="E5494" s="633"/>
      <c r="F5494" s="650"/>
    </row>
    <row r="5495" spans="3:6">
      <c r="C5495" s="631"/>
      <c r="D5495" s="631"/>
      <c r="E5495" s="633"/>
      <c r="F5495" s="650"/>
    </row>
    <row r="5496" spans="3:6">
      <c r="C5496" s="631"/>
      <c r="D5496" s="631"/>
      <c r="E5496" s="633"/>
      <c r="F5496" s="650"/>
    </row>
    <row r="5497" spans="3:6">
      <c r="C5497" s="631"/>
      <c r="D5497" s="631"/>
      <c r="E5497" s="633"/>
      <c r="F5497" s="650"/>
    </row>
    <row r="5498" spans="3:6">
      <c r="C5498" s="631"/>
      <c r="D5498" s="631"/>
      <c r="E5498" s="633"/>
      <c r="F5498" s="650"/>
    </row>
    <row r="5499" spans="3:6">
      <c r="C5499" s="631"/>
      <c r="D5499" s="631"/>
      <c r="E5499" s="633"/>
      <c r="F5499" s="650"/>
    </row>
    <row r="5500" spans="3:6">
      <c r="C5500" s="631"/>
      <c r="D5500" s="631"/>
      <c r="E5500" s="633"/>
      <c r="F5500" s="650"/>
    </row>
    <row r="5501" spans="3:6">
      <c r="C5501" s="631"/>
      <c r="D5501" s="631"/>
      <c r="E5501" s="633"/>
      <c r="F5501" s="650"/>
    </row>
    <row r="5502" spans="3:6">
      <c r="C5502" s="631"/>
      <c r="D5502" s="631"/>
      <c r="E5502" s="633"/>
      <c r="F5502" s="650"/>
    </row>
    <row r="5503" spans="3:6">
      <c r="C5503" s="631"/>
      <c r="D5503" s="631"/>
      <c r="E5503" s="633"/>
      <c r="F5503" s="650"/>
    </row>
    <row r="5504" spans="3:6">
      <c r="C5504" s="631"/>
      <c r="D5504" s="631"/>
      <c r="E5504" s="633"/>
      <c r="F5504" s="650"/>
    </row>
    <row r="5505" spans="3:6">
      <c r="C5505" s="631"/>
      <c r="D5505" s="631"/>
      <c r="E5505" s="633"/>
      <c r="F5505" s="650"/>
    </row>
    <row r="5506" spans="3:6">
      <c r="C5506" s="631"/>
      <c r="D5506" s="631"/>
      <c r="E5506" s="633"/>
      <c r="F5506" s="650"/>
    </row>
    <row r="5507" spans="3:6">
      <c r="C5507" s="631"/>
      <c r="D5507" s="631"/>
      <c r="E5507" s="633"/>
      <c r="F5507" s="650"/>
    </row>
    <row r="5508" spans="3:6">
      <c r="C5508" s="631"/>
      <c r="D5508" s="631"/>
      <c r="E5508" s="633"/>
      <c r="F5508" s="650"/>
    </row>
    <row r="5509" spans="3:6">
      <c r="C5509" s="631"/>
      <c r="D5509" s="631"/>
      <c r="E5509" s="633"/>
      <c r="F5509" s="650"/>
    </row>
    <row r="5510" spans="3:6">
      <c r="C5510" s="631"/>
      <c r="D5510" s="631"/>
      <c r="E5510" s="633"/>
      <c r="F5510" s="650"/>
    </row>
    <row r="5511" spans="3:6">
      <c r="C5511" s="631"/>
      <c r="D5511" s="631"/>
      <c r="E5511" s="633"/>
      <c r="F5511" s="650"/>
    </row>
    <row r="5512" spans="3:6">
      <c r="C5512" s="631"/>
      <c r="D5512" s="631"/>
      <c r="E5512" s="633"/>
      <c r="F5512" s="650"/>
    </row>
    <row r="5513" spans="3:6">
      <c r="C5513" s="631"/>
      <c r="D5513" s="631"/>
      <c r="E5513" s="633"/>
      <c r="F5513" s="650"/>
    </row>
    <row r="5514" spans="3:6">
      <c r="C5514" s="631"/>
      <c r="D5514" s="631"/>
      <c r="E5514" s="633"/>
      <c r="F5514" s="650"/>
    </row>
    <row r="5515" spans="3:6">
      <c r="C5515" s="631"/>
      <c r="D5515" s="631"/>
      <c r="E5515" s="633"/>
      <c r="F5515" s="650"/>
    </row>
    <row r="5516" spans="3:6">
      <c r="C5516" s="631"/>
      <c r="D5516" s="631"/>
      <c r="E5516" s="633"/>
      <c r="F5516" s="650"/>
    </row>
    <row r="5517" spans="3:6">
      <c r="C5517" s="631"/>
      <c r="D5517" s="631"/>
      <c r="E5517" s="633"/>
      <c r="F5517" s="650"/>
    </row>
    <row r="5518" spans="3:6">
      <c r="C5518" s="631"/>
      <c r="D5518" s="631"/>
      <c r="E5518" s="633"/>
      <c r="F5518" s="650"/>
    </row>
    <row r="5519" spans="3:6">
      <c r="C5519" s="631"/>
      <c r="D5519" s="631"/>
      <c r="E5519" s="633"/>
      <c r="F5519" s="650"/>
    </row>
    <row r="5520" spans="3:6">
      <c r="C5520" s="631"/>
      <c r="D5520" s="631"/>
      <c r="E5520" s="633"/>
      <c r="F5520" s="650"/>
    </row>
    <row r="5521" spans="3:6">
      <c r="C5521" s="631"/>
      <c r="D5521" s="631"/>
      <c r="E5521" s="633"/>
      <c r="F5521" s="650"/>
    </row>
    <row r="5522" spans="3:6">
      <c r="C5522" s="631"/>
      <c r="D5522" s="631"/>
      <c r="E5522" s="633"/>
      <c r="F5522" s="650"/>
    </row>
    <row r="5523" spans="3:6">
      <c r="C5523" s="631"/>
      <c r="D5523" s="631"/>
      <c r="E5523" s="633"/>
      <c r="F5523" s="650"/>
    </row>
    <row r="5524" spans="3:6">
      <c r="C5524" s="631"/>
      <c r="D5524" s="631"/>
      <c r="E5524" s="633"/>
      <c r="F5524" s="650"/>
    </row>
    <row r="5525" spans="3:6">
      <c r="C5525" s="631"/>
      <c r="D5525" s="631"/>
      <c r="E5525" s="633"/>
      <c r="F5525" s="650"/>
    </row>
    <row r="5526" spans="3:6">
      <c r="C5526" s="631"/>
      <c r="D5526" s="631"/>
      <c r="E5526" s="633"/>
      <c r="F5526" s="650"/>
    </row>
    <row r="5527" spans="3:6">
      <c r="C5527" s="631"/>
      <c r="D5527" s="631"/>
      <c r="E5527" s="633"/>
      <c r="F5527" s="650"/>
    </row>
    <row r="5528" spans="3:6">
      <c r="C5528" s="631"/>
      <c r="D5528" s="631"/>
      <c r="E5528" s="633"/>
      <c r="F5528" s="650"/>
    </row>
    <row r="5529" spans="3:6">
      <c r="C5529" s="631"/>
      <c r="D5529" s="631"/>
      <c r="E5529" s="633"/>
      <c r="F5529" s="650"/>
    </row>
    <row r="5530" spans="3:6">
      <c r="C5530" s="631"/>
      <c r="D5530" s="631"/>
      <c r="E5530" s="633"/>
      <c r="F5530" s="650"/>
    </row>
    <row r="5531" spans="3:6">
      <c r="C5531" s="631"/>
      <c r="D5531" s="631"/>
      <c r="E5531" s="633"/>
      <c r="F5531" s="650"/>
    </row>
    <row r="5532" spans="3:6">
      <c r="C5532" s="631"/>
      <c r="D5532" s="631"/>
      <c r="E5532" s="633"/>
      <c r="F5532" s="650"/>
    </row>
    <row r="5533" spans="3:6">
      <c r="C5533" s="631"/>
      <c r="D5533" s="631"/>
      <c r="E5533" s="633"/>
      <c r="F5533" s="650"/>
    </row>
    <row r="5534" spans="3:6">
      <c r="C5534" s="631"/>
      <c r="D5534" s="631"/>
      <c r="E5534" s="633"/>
      <c r="F5534" s="650"/>
    </row>
    <row r="5535" spans="3:6">
      <c r="C5535" s="631"/>
      <c r="D5535" s="631"/>
      <c r="E5535" s="633"/>
      <c r="F5535" s="650"/>
    </row>
    <row r="5536" spans="3:6">
      <c r="C5536" s="631"/>
      <c r="D5536" s="631"/>
      <c r="E5536" s="633"/>
      <c r="F5536" s="650"/>
    </row>
    <row r="5537" spans="3:6">
      <c r="C5537" s="631"/>
      <c r="D5537" s="631"/>
      <c r="E5537" s="633"/>
      <c r="F5537" s="650"/>
    </row>
    <row r="5538" spans="3:6">
      <c r="C5538" s="631"/>
      <c r="D5538" s="631"/>
      <c r="E5538" s="633"/>
      <c r="F5538" s="650"/>
    </row>
    <row r="5539" spans="3:6">
      <c r="C5539" s="631"/>
      <c r="D5539" s="631"/>
      <c r="E5539" s="633"/>
      <c r="F5539" s="650"/>
    </row>
    <row r="5540" spans="3:6">
      <c r="C5540" s="631"/>
      <c r="D5540" s="631"/>
      <c r="E5540" s="633"/>
      <c r="F5540" s="650"/>
    </row>
    <row r="5541" spans="3:6">
      <c r="C5541" s="631"/>
      <c r="D5541" s="631"/>
      <c r="E5541" s="633"/>
      <c r="F5541" s="650"/>
    </row>
    <row r="5542" spans="3:6">
      <c r="C5542" s="631"/>
      <c r="D5542" s="631"/>
      <c r="E5542" s="633"/>
      <c r="F5542" s="650"/>
    </row>
    <row r="5543" spans="3:6">
      <c r="C5543" s="631"/>
      <c r="D5543" s="631"/>
      <c r="E5543" s="633"/>
      <c r="F5543" s="650"/>
    </row>
    <row r="5544" spans="3:6">
      <c r="C5544" s="631"/>
      <c r="D5544" s="631"/>
      <c r="E5544" s="633"/>
      <c r="F5544" s="650"/>
    </row>
    <row r="5545" spans="3:6">
      <c r="C5545" s="631"/>
      <c r="D5545" s="631"/>
      <c r="E5545" s="633"/>
      <c r="F5545" s="650"/>
    </row>
    <row r="5546" spans="3:6">
      <c r="C5546" s="631"/>
      <c r="D5546" s="631"/>
      <c r="E5546" s="633"/>
      <c r="F5546" s="650"/>
    </row>
    <row r="5547" spans="3:6">
      <c r="C5547" s="631"/>
      <c r="D5547" s="631"/>
      <c r="E5547" s="633"/>
      <c r="F5547" s="650"/>
    </row>
    <row r="5548" spans="3:6">
      <c r="C5548" s="631"/>
      <c r="D5548" s="631"/>
      <c r="E5548" s="633"/>
      <c r="F5548" s="650"/>
    </row>
    <row r="5549" spans="3:6">
      <c r="C5549" s="631"/>
      <c r="D5549" s="631"/>
      <c r="E5549" s="633"/>
      <c r="F5549" s="650"/>
    </row>
    <row r="5550" spans="3:6">
      <c r="C5550" s="631"/>
      <c r="D5550" s="631"/>
      <c r="E5550" s="633"/>
      <c r="F5550" s="650"/>
    </row>
    <row r="5551" spans="3:6">
      <c r="C5551" s="631"/>
      <c r="D5551" s="631"/>
      <c r="E5551" s="633"/>
      <c r="F5551" s="650"/>
    </row>
    <row r="5552" spans="3:6">
      <c r="C5552" s="631"/>
      <c r="D5552" s="631"/>
      <c r="E5552" s="633"/>
      <c r="F5552" s="650"/>
    </row>
    <row r="5553" spans="3:6">
      <c r="C5553" s="631"/>
      <c r="D5553" s="631"/>
      <c r="E5553" s="633"/>
      <c r="F5553" s="650"/>
    </row>
    <row r="5554" spans="3:6">
      <c r="C5554" s="631"/>
      <c r="D5554" s="631"/>
      <c r="E5554" s="633"/>
      <c r="F5554" s="650"/>
    </row>
    <row r="5555" spans="3:6">
      <c r="C5555" s="631"/>
      <c r="D5555" s="631"/>
      <c r="E5555" s="633"/>
      <c r="F5555" s="650"/>
    </row>
    <row r="5556" spans="3:6">
      <c r="C5556" s="631"/>
      <c r="D5556" s="631"/>
      <c r="E5556" s="633"/>
      <c r="F5556" s="650"/>
    </row>
    <row r="5557" spans="3:6">
      <c r="C5557" s="631"/>
      <c r="D5557" s="631"/>
      <c r="E5557" s="633"/>
      <c r="F5557" s="650"/>
    </row>
    <row r="5558" spans="3:6">
      <c r="C5558" s="631"/>
      <c r="D5558" s="631"/>
      <c r="E5558" s="633"/>
      <c r="F5558" s="650"/>
    </row>
    <row r="5559" spans="3:6">
      <c r="C5559" s="631"/>
      <c r="D5559" s="631"/>
      <c r="E5559" s="633"/>
      <c r="F5559" s="650"/>
    </row>
    <row r="5560" spans="3:6">
      <c r="C5560" s="631"/>
      <c r="D5560" s="631"/>
      <c r="E5560" s="633"/>
      <c r="F5560" s="650"/>
    </row>
    <row r="5561" spans="3:6">
      <c r="C5561" s="631"/>
      <c r="D5561" s="631"/>
      <c r="E5561" s="633"/>
      <c r="F5561" s="650"/>
    </row>
    <row r="5562" spans="3:6">
      <c r="C5562" s="631"/>
      <c r="D5562" s="631"/>
      <c r="E5562" s="633"/>
      <c r="F5562" s="650"/>
    </row>
    <row r="5563" spans="3:6">
      <c r="C5563" s="631"/>
      <c r="D5563" s="631"/>
      <c r="E5563" s="633"/>
      <c r="F5563" s="650"/>
    </row>
    <row r="5564" spans="3:6">
      <c r="C5564" s="631"/>
      <c r="D5564" s="631"/>
      <c r="E5564" s="633"/>
      <c r="F5564" s="650"/>
    </row>
    <row r="5565" spans="3:6">
      <c r="C5565" s="631"/>
      <c r="D5565" s="631"/>
      <c r="E5565" s="633"/>
      <c r="F5565" s="650"/>
    </row>
    <row r="5566" spans="3:6">
      <c r="C5566" s="631"/>
      <c r="D5566" s="631"/>
      <c r="E5566" s="633"/>
      <c r="F5566" s="650"/>
    </row>
    <row r="5567" spans="3:6">
      <c r="C5567" s="631"/>
      <c r="D5567" s="631"/>
      <c r="E5567" s="633"/>
      <c r="F5567" s="650"/>
    </row>
    <row r="5568" spans="3:6">
      <c r="C5568" s="631"/>
      <c r="D5568" s="631"/>
      <c r="E5568" s="633"/>
      <c r="F5568" s="650"/>
    </row>
    <row r="5569" spans="3:6">
      <c r="C5569" s="631"/>
      <c r="D5569" s="631"/>
      <c r="E5569" s="633"/>
      <c r="F5569" s="650"/>
    </row>
    <row r="5570" spans="3:6">
      <c r="C5570" s="631"/>
      <c r="D5570" s="631"/>
      <c r="E5570" s="633"/>
      <c r="F5570" s="650"/>
    </row>
    <row r="5571" spans="3:6">
      <c r="C5571" s="631"/>
      <c r="D5571" s="631"/>
      <c r="E5571" s="633"/>
      <c r="F5571" s="650"/>
    </row>
    <row r="5572" spans="3:6">
      <c r="C5572" s="631"/>
      <c r="D5572" s="631"/>
      <c r="E5572" s="633"/>
      <c r="F5572" s="650"/>
    </row>
    <row r="5573" spans="3:6">
      <c r="C5573" s="631"/>
      <c r="D5573" s="631"/>
      <c r="E5573" s="633"/>
      <c r="F5573" s="650"/>
    </row>
    <row r="5574" spans="3:6">
      <c r="C5574" s="631"/>
      <c r="D5574" s="631"/>
      <c r="E5574" s="633"/>
      <c r="F5574" s="650"/>
    </row>
    <row r="5575" spans="3:6">
      <c r="C5575" s="631"/>
      <c r="D5575" s="631"/>
      <c r="E5575" s="633"/>
      <c r="F5575" s="650"/>
    </row>
    <row r="5576" spans="3:6">
      <c r="C5576" s="631"/>
      <c r="D5576" s="631"/>
      <c r="E5576" s="633"/>
      <c r="F5576" s="650"/>
    </row>
    <row r="5577" spans="3:6">
      <c r="C5577" s="631"/>
      <c r="D5577" s="631"/>
      <c r="E5577" s="633"/>
      <c r="F5577" s="650"/>
    </row>
    <row r="5578" spans="3:6">
      <c r="C5578" s="631"/>
      <c r="D5578" s="631"/>
      <c r="E5578" s="633"/>
      <c r="F5578" s="650"/>
    </row>
    <row r="5579" spans="3:6">
      <c r="C5579" s="631"/>
      <c r="D5579" s="631"/>
      <c r="E5579" s="633"/>
      <c r="F5579" s="650"/>
    </row>
    <row r="5580" spans="3:6">
      <c r="C5580" s="631"/>
      <c r="D5580" s="631"/>
      <c r="E5580" s="633"/>
      <c r="F5580" s="650"/>
    </row>
    <row r="5581" spans="3:6">
      <c r="C5581" s="631"/>
      <c r="D5581" s="631"/>
      <c r="E5581" s="633"/>
      <c r="F5581" s="650"/>
    </row>
    <row r="5582" spans="3:6">
      <c r="C5582" s="631"/>
      <c r="D5582" s="631"/>
      <c r="E5582" s="633"/>
      <c r="F5582" s="650"/>
    </row>
    <row r="5583" spans="3:6">
      <c r="C5583" s="631"/>
      <c r="D5583" s="631"/>
      <c r="E5583" s="633"/>
      <c r="F5583" s="650"/>
    </row>
    <row r="5584" spans="3:6">
      <c r="C5584" s="631"/>
      <c r="D5584" s="631"/>
      <c r="E5584" s="633"/>
      <c r="F5584" s="650"/>
    </row>
    <row r="5585" spans="3:6">
      <c r="C5585" s="631"/>
      <c r="D5585" s="631"/>
      <c r="E5585" s="633"/>
      <c r="F5585" s="650"/>
    </row>
    <row r="5586" spans="3:6">
      <c r="C5586" s="631"/>
      <c r="D5586" s="631"/>
      <c r="E5586" s="633"/>
      <c r="F5586" s="650"/>
    </row>
    <row r="5587" spans="3:6">
      <c r="C5587" s="631"/>
      <c r="D5587" s="631"/>
      <c r="E5587" s="633"/>
      <c r="F5587" s="650"/>
    </row>
    <row r="5588" spans="3:6">
      <c r="C5588" s="631"/>
      <c r="D5588" s="631"/>
      <c r="E5588" s="633"/>
      <c r="F5588" s="650"/>
    </row>
    <row r="5589" spans="3:6">
      <c r="C5589" s="631"/>
      <c r="D5589" s="631"/>
      <c r="E5589" s="633"/>
      <c r="F5589" s="650"/>
    </row>
    <row r="5590" spans="3:6">
      <c r="C5590" s="631"/>
      <c r="D5590" s="631"/>
      <c r="E5590" s="633"/>
      <c r="F5590" s="650"/>
    </row>
    <row r="5591" spans="3:6">
      <c r="C5591" s="631"/>
      <c r="D5591" s="631"/>
      <c r="E5591" s="633"/>
      <c r="F5591" s="650"/>
    </row>
    <row r="5592" spans="3:6">
      <c r="C5592" s="631"/>
      <c r="D5592" s="631"/>
      <c r="E5592" s="633"/>
      <c r="F5592" s="650"/>
    </row>
    <row r="5593" spans="3:6">
      <c r="C5593" s="631"/>
      <c r="D5593" s="631"/>
      <c r="E5593" s="633"/>
      <c r="F5593" s="650"/>
    </row>
    <row r="5594" spans="3:6">
      <c r="C5594" s="631"/>
      <c r="D5594" s="631"/>
      <c r="E5594" s="633"/>
      <c r="F5594" s="650"/>
    </row>
    <row r="5595" spans="3:6">
      <c r="C5595" s="631"/>
      <c r="D5595" s="631"/>
      <c r="E5595" s="633"/>
      <c r="F5595" s="650"/>
    </row>
    <row r="5596" spans="3:6">
      <c r="C5596" s="631"/>
      <c r="D5596" s="631"/>
      <c r="E5596" s="633"/>
      <c r="F5596" s="650"/>
    </row>
    <row r="5597" spans="3:6">
      <c r="C5597" s="631"/>
      <c r="D5597" s="631"/>
      <c r="E5597" s="633"/>
      <c r="F5597" s="650"/>
    </row>
    <row r="5598" spans="3:6">
      <c r="C5598" s="631"/>
      <c r="D5598" s="631"/>
      <c r="E5598" s="633"/>
      <c r="F5598" s="650"/>
    </row>
    <row r="5599" spans="3:6">
      <c r="C5599" s="631"/>
      <c r="D5599" s="631"/>
      <c r="E5599" s="633"/>
      <c r="F5599" s="650"/>
    </row>
    <row r="5600" spans="3:6">
      <c r="C5600" s="631"/>
      <c r="D5600" s="631"/>
      <c r="E5600" s="633"/>
      <c r="F5600" s="650"/>
    </row>
    <row r="5601" spans="3:6">
      <c r="C5601" s="631"/>
      <c r="D5601" s="631"/>
      <c r="E5601" s="633"/>
      <c r="F5601" s="650"/>
    </row>
    <row r="5602" spans="3:6">
      <c r="C5602" s="631"/>
      <c r="D5602" s="631"/>
      <c r="E5602" s="633"/>
      <c r="F5602" s="650"/>
    </row>
    <row r="5603" spans="3:6">
      <c r="C5603" s="631"/>
      <c r="D5603" s="631"/>
      <c r="E5603" s="633"/>
      <c r="F5603" s="650"/>
    </row>
    <row r="5604" spans="3:6">
      <c r="C5604" s="631"/>
      <c r="D5604" s="631"/>
      <c r="E5604" s="633"/>
      <c r="F5604" s="650"/>
    </row>
    <row r="5605" spans="3:6">
      <c r="C5605" s="631"/>
      <c r="D5605" s="631"/>
      <c r="E5605" s="633"/>
      <c r="F5605" s="650"/>
    </row>
    <row r="5606" spans="3:6">
      <c r="C5606" s="631"/>
      <c r="D5606" s="631"/>
      <c r="E5606" s="633"/>
      <c r="F5606" s="650"/>
    </row>
    <row r="5607" spans="3:6">
      <c r="C5607" s="631"/>
      <c r="D5607" s="631"/>
      <c r="E5607" s="633"/>
      <c r="F5607" s="650"/>
    </row>
    <row r="5608" spans="3:6">
      <c r="C5608" s="631"/>
      <c r="D5608" s="631"/>
      <c r="E5608" s="633"/>
      <c r="F5608" s="650"/>
    </row>
    <row r="5609" spans="3:6">
      <c r="C5609" s="631"/>
      <c r="D5609" s="631"/>
      <c r="E5609" s="633"/>
      <c r="F5609" s="650"/>
    </row>
    <row r="5610" spans="3:6">
      <c r="C5610" s="631"/>
      <c r="D5610" s="631"/>
      <c r="E5610" s="633"/>
      <c r="F5610" s="650"/>
    </row>
    <row r="5611" spans="3:6">
      <c r="C5611" s="631"/>
      <c r="D5611" s="631"/>
      <c r="E5611" s="633"/>
      <c r="F5611" s="650"/>
    </row>
    <row r="5612" spans="3:6">
      <c r="C5612" s="631"/>
      <c r="D5612" s="631"/>
      <c r="E5612" s="633"/>
      <c r="F5612" s="650"/>
    </row>
    <row r="5613" spans="3:6">
      <c r="C5613" s="631"/>
      <c r="D5613" s="631"/>
      <c r="E5613" s="633"/>
      <c r="F5613" s="650"/>
    </row>
    <row r="5614" spans="3:6">
      <c r="C5614" s="631"/>
      <c r="D5614" s="631"/>
      <c r="E5614" s="633"/>
      <c r="F5614" s="650"/>
    </row>
    <row r="5615" spans="3:6">
      <c r="C5615" s="631"/>
      <c r="D5615" s="631"/>
      <c r="E5615" s="633"/>
      <c r="F5615" s="650"/>
    </row>
    <row r="5616" spans="3:6">
      <c r="C5616" s="631"/>
      <c r="D5616" s="631"/>
      <c r="E5616" s="633"/>
      <c r="F5616" s="650"/>
    </row>
    <row r="5617" spans="3:6">
      <c r="C5617" s="631"/>
      <c r="D5617" s="631"/>
      <c r="E5617" s="633"/>
      <c r="F5617" s="650"/>
    </row>
    <row r="5618" spans="3:6">
      <c r="C5618" s="631"/>
      <c r="D5618" s="631"/>
      <c r="E5618" s="633"/>
      <c r="F5618" s="650"/>
    </row>
    <row r="5619" spans="3:6">
      <c r="C5619" s="631"/>
      <c r="D5619" s="631"/>
      <c r="E5619" s="633"/>
      <c r="F5619" s="650"/>
    </row>
    <row r="5620" spans="3:6">
      <c r="C5620" s="631"/>
      <c r="D5620" s="631"/>
      <c r="E5620" s="633"/>
      <c r="F5620" s="650"/>
    </row>
    <row r="5621" spans="3:6">
      <c r="C5621" s="631"/>
      <c r="D5621" s="631"/>
      <c r="E5621" s="633"/>
      <c r="F5621" s="650"/>
    </row>
    <row r="5622" spans="3:6">
      <c r="C5622" s="631"/>
      <c r="D5622" s="631"/>
      <c r="E5622" s="633"/>
      <c r="F5622" s="650"/>
    </row>
    <row r="5623" spans="3:6">
      <c r="C5623" s="631"/>
      <c r="D5623" s="631"/>
      <c r="E5623" s="633"/>
      <c r="F5623" s="650"/>
    </row>
    <row r="5624" spans="3:6">
      <c r="C5624" s="631"/>
      <c r="D5624" s="631"/>
      <c r="E5624" s="633"/>
      <c r="F5624" s="650"/>
    </row>
    <row r="5625" spans="3:6">
      <c r="C5625" s="631"/>
      <c r="D5625" s="631"/>
      <c r="E5625" s="633"/>
      <c r="F5625" s="650"/>
    </row>
    <row r="5626" spans="3:6">
      <c r="C5626" s="631"/>
      <c r="D5626" s="631"/>
      <c r="E5626" s="633"/>
      <c r="F5626" s="650"/>
    </row>
    <row r="5627" spans="3:6">
      <c r="C5627" s="631"/>
      <c r="D5627" s="631"/>
      <c r="E5627" s="633"/>
      <c r="F5627" s="650"/>
    </row>
    <row r="5628" spans="3:6">
      <c r="C5628" s="631"/>
      <c r="D5628" s="631"/>
      <c r="E5628" s="633"/>
      <c r="F5628" s="650"/>
    </row>
    <row r="5629" spans="3:6">
      <c r="C5629" s="631"/>
      <c r="D5629" s="631"/>
      <c r="E5629" s="633"/>
      <c r="F5629" s="650"/>
    </row>
    <row r="5630" spans="3:6">
      <c r="C5630" s="631"/>
      <c r="D5630" s="631"/>
      <c r="E5630" s="633"/>
      <c r="F5630" s="650"/>
    </row>
    <row r="5631" spans="3:6">
      <c r="C5631" s="631"/>
      <c r="D5631" s="631"/>
      <c r="E5631" s="633"/>
      <c r="F5631" s="650"/>
    </row>
    <row r="5632" spans="3:6">
      <c r="C5632" s="631"/>
      <c r="D5632" s="631"/>
      <c r="E5632" s="633"/>
      <c r="F5632" s="650"/>
    </row>
    <row r="5633" spans="3:6">
      <c r="C5633" s="631"/>
      <c r="D5633" s="631"/>
      <c r="E5633" s="633"/>
      <c r="F5633" s="650"/>
    </row>
    <row r="5634" spans="3:6">
      <c r="C5634" s="631"/>
      <c r="D5634" s="631"/>
      <c r="E5634" s="633"/>
      <c r="F5634" s="650"/>
    </row>
    <row r="5635" spans="3:6">
      <c r="C5635" s="631"/>
      <c r="D5635" s="631"/>
      <c r="E5635" s="633"/>
      <c r="F5635" s="650"/>
    </row>
    <row r="5636" spans="3:6">
      <c r="C5636" s="631"/>
      <c r="D5636" s="631"/>
      <c r="E5636" s="633"/>
      <c r="F5636" s="650"/>
    </row>
    <row r="5637" spans="3:6">
      <c r="C5637" s="631"/>
      <c r="D5637" s="631"/>
      <c r="E5637" s="633"/>
      <c r="F5637" s="650"/>
    </row>
    <row r="5638" spans="3:6">
      <c r="C5638" s="631"/>
      <c r="D5638" s="631"/>
      <c r="E5638" s="633"/>
      <c r="F5638" s="650"/>
    </row>
    <row r="5639" spans="3:6">
      <c r="C5639" s="631"/>
      <c r="D5639" s="631"/>
      <c r="E5639" s="633"/>
      <c r="F5639" s="650"/>
    </row>
    <row r="5640" spans="3:6">
      <c r="C5640" s="631"/>
      <c r="D5640" s="631"/>
      <c r="E5640" s="633"/>
      <c r="F5640" s="650"/>
    </row>
    <row r="5641" spans="3:6">
      <c r="C5641" s="631"/>
      <c r="D5641" s="631"/>
      <c r="E5641" s="633"/>
      <c r="F5641" s="650"/>
    </row>
    <row r="5642" spans="3:6">
      <c r="C5642" s="631"/>
      <c r="D5642" s="631"/>
      <c r="E5642" s="633"/>
      <c r="F5642" s="650"/>
    </row>
    <row r="5643" spans="3:6">
      <c r="C5643" s="631"/>
      <c r="D5643" s="631"/>
      <c r="E5643" s="633"/>
      <c r="F5643" s="650"/>
    </row>
    <row r="5644" spans="3:6">
      <c r="C5644" s="631"/>
      <c r="D5644" s="631"/>
      <c r="E5644" s="633"/>
      <c r="F5644" s="650"/>
    </row>
    <row r="5645" spans="3:6">
      <c r="C5645" s="631"/>
      <c r="D5645" s="631"/>
      <c r="E5645" s="633"/>
      <c r="F5645" s="650"/>
    </row>
    <row r="5646" spans="3:6">
      <c r="C5646" s="631"/>
      <c r="D5646" s="631"/>
      <c r="E5646" s="633"/>
      <c r="F5646" s="650"/>
    </row>
    <row r="5647" spans="3:6">
      <c r="C5647" s="631"/>
      <c r="D5647" s="631"/>
      <c r="E5647" s="633"/>
      <c r="F5647" s="650"/>
    </row>
    <row r="5648" spans="3:6">
      <c r="C5648" s="631"/>
      <c r="D5648" s="631"/>
      <c r="E5648" s="633"/>
      <c r="F5648" s="650"/>
    </row>
    <row r="5649" spans="3:6">
      <c r="C5649" s="631"/>
      <c r="D5649" s="631"/>
      <c r="E5649" s="633"/>
      <c r="F5649" s="650"/>
    </row>
    <row r="5650" spans="3:6">
      <c r="C5650" s="631"/>
      <c r="D5650" s="631"/>
      <c r="E5650" s="633"/>
      <c r="F5650" s="650"/>
    </row>
    <row r="5651" spans="3:6">
      <c r="C5651" s="631"/>
      <c r="D5651" s="631"/>
      <c r="E5651" s="633"/>
      <c r="F5651" s="650"/>
    </row>
    <row r="5652" spans="3:6">
      <c r="C5652" s="631"/>
      <c r="D5652" s="631"/>
      <c r="E5652" s="633"/>
      <c r="F5652" s="650"/>
    </row>
    <row r="5653" spans="3:6">
      <c r="C5653" s="631"/>
      <c r="D5653" s="631"/>
      <c r="E5653" s="633"/>
      <c r="F5653" s="650"/>
    </row>
    <row r="5654" spans="3:6">
      <c r="C5654" s="631"/>
      <c r="D5654" s="631"/>
      <c r="E5654" s="633"/>
      <c r="F5654" s="650"/>
    </row>
    <row r="5655" spans="3:6">
      <c r="C5655" s="631"/>
      <c r="D5655" s="631"/>
      <c r="E5655" s="633"/>
      <c r="F5655" s="650"/>
    </row>
    <row r="5656" spans="3:6">
      <c r="C5656" s="631"/>
      <c r="D5656" s="631"/>
      <c r="E5656" s="633"/>
      <c r="F5656" s="650"/>
    </row>
    <row r="5657" spans="3:6">
      <c r="C5657" s="631"/>
      <c r="D5657" s="631"/>
      <c r="E5657" s="633"/>
      <c r="F5657" s="650"/>
    </row>
    <row r="5658" spans="3:6">
      <c r="C5658" s="631"/>
      <c r="D5658" s="631"/>
      <c r="E5658" s="633"/>
      <c r="F5658" s="650"/>
    </row>
    <row r="5659" spans="3:6">
      <c r="C5659" s="631"/>
      <c r="D5659" s="631"/>
      <c r="E5659" s="633"/>
      <c r="F5659" s="650"/>
    </row>
    <row r="5660" spans="3:6">
      <c r="C5660" s="631"/>
      <c r="D5660" s="631"/>
      <c r="E5660" s="633"/>
      <c r="F5660" s="650"/>
    </row>
    <row r="5661" spans="3:6">
      <c r="C5661" s="631"/>
      <c r="D5661" s="631"/>
      <c r="E5661" s="633"/>
      <c r="F5661" s="650"/>
    </row>
    <row r="5662" spans="3:6">
      <c r="C5662" s="631"/>
      <c r="D5662" s="631"/>
      <c r="E5662" s="633"/>
      <c r="F5662" s="650"/>
    </row>
    <row r="5663" spans="3:6">
      <c r="C5663" s="631"/>
      <c r="D5663" s="631"/>
      <c r="E5663" s="633"/>
      <c r="F5663" s="650"/>
    </row>
    <row r="5664" spans="3:6">
      <c r="C5664" s="631"/>
      <c r="D5664" s="631"/>
      <c r="E5664" s="633"/>
      <c r="F5664" s="650"/>
    </row>
    <row r="5665" spans="3:6">
      <c r="C5665" s="631"/>
      <c r="D5665" s="631"/>
      <c r="E5665" s="633"/>
      <c r="F5665" s="650"/>
    </row>
    <row r="5666" spans="3:6">
      <c r="C5666" s="631"/>
      <c r="D5666" s="631"/>
      <c r="E5666" s="633"/>
      <c r="F5666" s="650"/>
    </row>
    <row r="5667" spans="3:6">
      <c r="C5667" s="631"/>
      <c r="D5667" s="631"/>
      <c r="E5667" s="633"/>
      <c r="F5667" s="650"/>
    </row>
    <row r="5668" spans="3:6">
      <c r="C5668" s="631"/>
      <c r="D5668" s="631"/>
      <c r="E5668" s="633"/>
      <c r="F5668" s="650"/>
    </row>
    <row r="5669" spans="3:6">
      <c r="C5669" s="631"/>
      <c r="D5669" s="631"/>
      <c r="E5669" s="633"/>
      <c r="F5669" s="650"/>
    </row>
    <row r="5670" spans="3:6">
      <c r="C5670" s="631"/>
      <c r="D5670" s="631"/>
      <c r="E5670" s="633"/>
      <c r="F5670" s="650"/>
    </row>
    <row r="5671" spans="3:6">
      <c r="C5671" s="631"/>
      <c r="D5671" s="631"/>
      <c r="E5671" s="633"/>
      <c r="F5671" s="650"/>
    </row>
    <row r="5672" spans="3:6">
      <c r="C5672" s="631"/>
      <c r="D5672" s="631"/>
      <c r="E5672" s="633"/>
      <c r="F5672" s="650"/>
    </row>
    <row r="5673" spans="3:6">
      <c r="C5673" s="631"/>
      <c r="D5673" s="631"/>
      <c r="E5673" s="633"/>
      <c r="F5673" s="650"/>
    </row>
    <row r="5674" spans="3:6">
      <c r="C5674" s="631"/>
      <c r="D5674" s="631"/>
      <c r="E5674" s="633"/>
      <c r="F5674" s="650"/>
    </row>
    <row r="5675" spans="3:6">
      <c r="C5675" s="631"/>
      <c r="D5675" s="631"/>
      <c r="E5675" s="633"/>
      <c r="F5675" s="650"/>
    </row>
    <row r="5676" spans="3:6">
      <c r="C5676" s="631"/>
      <c r="D5676" s="631"/>
      <c r="E5676" s="633"/>
      <c r="F5676" s="650"/>
    </row>
    <row r="5677" spans="3:6">
      <c r="C5677" s="631"/>
      <c r="D5677" s="631"/>
      <c r="E5677" s="633"/>
      <c r="F5677" s="650"/>
    </row>
    <row r="5678" spans="3:6">
      <c r="C5678" s="631"/>
      <c r="D5678" s="631"/>
      <c r="E5678" s="633"/>
      <c r="F5678" s="650"/>
    </row>
    <row r="5679" spans="3:6">
      <c r="C5679" s="631"/>
      <c r="D5679" s="631"/>
      <c r="E5679" s="633"/>
      <c r="F5679" s="650"/>
    </row>
    <row r="5680" spans="3:6">
      <c r="C5680" s="631"/>
      <c r="D5680" s="631"/>
      <c r="E5680" s="633"/>
      <c r="F5680" s="650"/>
    </row>
    <row r="5681" spans="3:6">
      <c r="C5681" s="631"/>
      <c r="D5681" s="631"/>
      <c r="E5681" s="633"/>
      <c r="F5681" s="650"/>
    </row>
    <row r="5682" spans="3:6">
      <c r="C5682" s="631"/>
      <c r="D5682" s="631"/>
      <c r="E5682" s="633"/>
      <c r="F5682" s="650"/>
    </row>
    <row r="5683" spans="3:6">
      <c r="C5683" s="631"/>
      <c r="D5683" s="631"/>
      <c r="E5683" s="633"/>
      <c r="F5683" s="650"/>
    </row>
    <row r="5684" spans="3:6">
      <c r="C5684" s="631"/>
      <c r="D5684" s="631"/>
      <c r="E5684" s="633"/>
      <c r="F5684" s="650"/>
    </row>
    <row r="5685" spans="3:6">
      <c r="C5685" s="631"/>
      <c r="D5685" s="631"/>
      <c r="E5685" s="633"/>
      <c r="F5685" s="650"/>
    </row>
    <row r="5686" spans="3:6">
      <c r="C5686" s="631"/>
      <c r="D5686" s="631"/>
      <c r="E5686" s="633"/>
      <c r="F5686" s="650"/>
    </row>
    <row r="5687" spans="3:6">
      <c r="C5687" s="631"/>
      <c r="D5687" s="631"/>
      <c r="E5687" s="633"/>
      <c r="F5687" s="650"/>
    </row>
    <row r="5688" spans="3:6">
      <c r="C5688" s="631"/>
      <c r="D5688" s="631"/>
      <c r="E5688" s="633"/>
      <c r="F5688" s="650"/>
    </row>
    <row r="5689" spans="3:6">
      <c r="C5689" s="631"/>
      <c r="D5689" s="631"/>
      <c r="E5689" s="633"/>
      <c r="F5689" s="650"/>
    </row>
    <row r="5690" spans="3:6">
      <c r="C5690" s="631"/>
      <c r="D5690" s="631"/>
      <c r="E5690" s="633"/>
      <c r="F5690" s="650"/>
    </row>
    <row r="5691" spans="3:6">
      <c r="C5691" s="631"/>
      <c r="D5691" s="631"/>
      <c r="E5691" s="633"/>
      <c r="F5691" s="650"/>
    </row>
    <row r="5692" spans="3:6">
      <c r="C5692" s="631"/>
      <c r="D5692" s="631"/>
      <c r="E5692" s="633"/>
      <c r="F5692" s="650"/>
    </row>
    <row r="5693" spans="3:6">
      <c r="C5693" s="631"/>
      <c r="D5693" s="631"/>
      <c r="E5693" s="633"/>
      <c r="F5693" s="650"/>
    </row>
    <row r="5694" spans="3:6">
      <c r="C5694" s="631"/>
      <c r="D5694" s="631"/>
      <c r="E5694" s="633"/>
      <c r="F5694" s="650"/>
    </row>
    <row r="5695" spans="3:6">
      <c r="C5695" s="631"/>
      <c r="D5695" s="631"/>
      <c r="E5695" s="633"/>
      <c r="F5695" s="650"/>
    </row>
    <row r="5696" spans="3:6">
      <c r="C5696" s="631"/>
      <c r="D5696" s="631"/>
      <c r="E5696" s="633"/>
      <c r="F5696" s="650"/>
    </row>
    <row r="5697" spans="3:6">
      <c r="C5697" s="631"/>
      <c r="D5697" s="631"/>
      <c r="E5697" s="633"/>
      <c r="F5697" s="650"/>
    </row>
    <row r="5698" spans="3:6">
      <c r="C5698" s="631"/>
      <c r="D5698" s="631"/>
      <c r="E5698" s="633"/>
      <c r="F5698" s="650"/>
    </row>
    <row r="5699" spans="3:6">
      <c r="C5699" s="631"/>
      <c r="D5699" s="631"/>
      <c r="E5699" s="633"/>
      <c r="F5699" s="650"/>
    </row>
    <row r="5700" spans="3:6">
      <c r="C5700" s="631"/>
      <c r="D5700" s="631"/>
      <c r="E5700" s="633"/>
      <c r="F5700" s="650"/>
    </row>
    <row r="5701" spans="3:6">
      <c r="C5701" s="631"/>
      <c r="D5701" s="631"/>
      <c r="E5701" s="633"/>
      <c r="F5701" s="650"/>
    </row>
    <row r="5702" spans="3:6">
      <c r="C5702" s="631"/>
      <c r="D5702" s="631"/>
      <c r="E5702" s="633"/>
      <c r="F5702" s="650"/>
    </row>
    <row r="5703" spans="3:6">
      <c r="C5703" s="631"/>
      <c r="D5703" s="631"/>
      <c r="E5703" s="633"/>
      <c r="F5703" s="650"/>
    </row>
    <row r="5704" spans="3:6">
      <c r="C5704" s="631"/>
      <c r="D5704" s="631"/>
      <c r="E5704" s="633"/>
      <c r="F5704" s="650"/>
    </row>
    <row r="5705" spans="3:6">
      <c r="C5705" s="631"/>
      <c r="D5705" s="631"/>
      <c r="E5705" s="633"/>
      <c r="F5705" s="650"/>
    </row>
    <row r="5706" spans="3:6">
      <c r="C5706" s="631"/>
      <c r="D5706" s="631"/>
      <c r="E5706" s="633"/>
      <c r="F5706" s="650"/>
    </row>
    <row r="5707" spans="3:6">
      <c r="C5707" s="631"/>
      <c r="D5707" s="631"/>
      <c r="E5707" s="633"/>
      <c r="F5707" s="650"/>
    </row>
    <row r="5708" spans="3:6">
      <c r="C5708" s="631"/>
      <c r="D5708" s="631"/>
      <c r="E5708" s="633"/>
      <c r="F5708" s="650"/>
    </row>
    <row r="5709" spans="3:6">
      <c r="C5709" s="631"/>
      <c r="D5709" s="631"/>
      <c r="E5709" s="633"/>
      <c r="F5709" s="650"/>
    </row>
    <row r="5710" spans="3:6">
      <c r="C5710" s="631"/>
      <c r="D5710" s="631"/>
      <c r="E5710" s="633"/>
      <c r="F5710" s="650"/>
    </row>
    <row r="5711" spans="3:6">
      <c r="C5711" s="631"/>
      <c r="D5711" s="631"/>
      <c r="E5711" s="633"/>
      <c r="F5711" s="650"/>
    </row>
    <row r="5712" spans="3:6">
      <c r="C5712" s="631"/>
      <c r="D5712" s="631"/>
      <c r="E5712" s="633"/>
      <c r="F5712" s="650"/>
    </row>
    <row r="5713" spans="3:6">
      <c r="C5713" s="631"/>
      <c r="D5713" s="631"/>
      <c r="E5713" s="633"/>
      <c r="F5713" s="650"/>
    </row>
    <row r="5714" spans="3:6">
      <c r="C5714" s="631"/>
      <c r="D5714" s="631"/>
      <c r="E5714" s="633"/>
      <c r="F5714" s="650"/>
    </row>
    <row r="5715" spans="3:6">
      <c r="C5715" s="631"/>
      <c r="D5715" s="631"/>
      <c r="E5715" s="633"/>
      <c r="F5715" s="650"/>
    </row>
    <row r="5716" spans="3:6">
      <c r="C5716" s="631"/>
      <c r="D5716" s="631"/>
      <c r="E5716" s="633"/>
      <c r="F5716" s="650"/>
    </row>
    <row r="5717" spans="3:6">
      <c r="C5717" s="631"/>
      <c r="D5717" s="631"/>
      <c r="E5717" s="633"/>
      <c r="F5717" s="650"/>
    </row>
    <row r="5718" spans="3:6">
      <c r="C5718" s="631"/>
      <c r="D5718" s="631"/>
      <c r="E5718" s="633"/>
      <c r="F5718" s="650"/>
    </row>
    <row r="5719" spans="3:6">
      <c r="C5719" s="631"/>
      <c r="D5719" s="631"/>
      <c r="E5719" s="633"/>
      <c r="F5719" s="650"/>
    </row>
    <row r="5720" spans="3:6">
      <c r="C5720" s="631"/>
      <c r="D5720" s="631"/>
      <c r="E5720" s="633"/>
      <c r="F5720" s="650"/>
    </row>
    <row r="5721" spans="3:6">
      <c r="C5721" s="631"/>
      <c r="D5721" s="631"/>
      <c r="E5721" s="633"/>
      <c r="F5721" s="650"/>
    </row>
    <row r="5722" spans="3:6">
      <c r="C5722" s="631"/>
      <c r="D5722" s="631"/>
      <c r="E5722" s="633"/>
      <c r="F5722" s="650"/>
    </row>
    <row r="5723" spans="3:6">
      <c r="C5723" s="631"/>
      <c r="D5723" s="631"/>
      <c r="E5723" s="633"/>
      <c r="F5723" s="650"/>
    </row>
    <row r="5724" spans="3:6">
      <c r="C5724" s="631"/>
      <c r="D5724" s="631"/>
      <c r="E5724" s="633"/>
      <c r="F5724" s="650"/>
    </row>
    <row r="5725" spans="3:6">
      <c r="C5725" s="631"/>
      <c r="D5725" s="631"/>
      <c r="E5725" s="633"/>
      <c r="F5725" s="650"/>
    </row>
    <row r="5726" spans="3:6">
      <c r="C5726" s="631"/>
      <c r="D5726" s="631"/>
      <c r="E5726" s="633"/>
      <c r="F5726" s="650"/>
    </row>
    <row r="5727" spans="3:6">
      <c r="C5727" s="631"/>
      <c r="D5727" s="631"/>
      <c r="E5727" s="633"/>
      <c r="F5727" s="650"/>
    </row>
    <row r="5728" spans="3:6">
      <c r="C5728" s="631"/>
      <c r="D5728" s="631"/>
      <c r="E5728" s="633"/>
      <c r="F5728" s="650"/>
    </row>
    <row r="5729" spans="3:6">
      <c r="C5729" s="631"/>
      <c r="D5729" s="631"/>
      <c r="E5729" s="633"/>
      <c r="F5729" s="650"/>
    </row>
    <row r="5730" spans="3:6">
      <c r="C5730" s="631"/>
      <c r="D5730" s="631"/>
      <c r="E5730" s="633"/>
      <c r="F5730" s="650"/>
    </row>
    <row r="5731" spans="3:6">
      <c r="C5731" s="631"/>
      <c r="D5731" s="631"/>
      <c r="E5731" s="633"/>
      <c r="F5731" s="650"/>
    </row>
    <row r="5732" spans="3:6">
      <c r="C5732" s="631"/>
      <c r="D5732" s="631"/>
      <c r="E5732" s="633"/>
      <c r="F5732" s="650"/>
    </row>
    <row r="5733" spans="3:6">
      <c r="C5733" s="631"/>
      <c r="D5733" s="631"/>
      <c r="E5733" s="633"/>
      <c r="F5733" s="650"/>
    </row>
    <row r="5734" spans="3:6">
      <c r="C5734" s="631"/>
      <c r="D5734" s="631"/>
      <c r="E5734" s="633"/>
      <c r="F5734" s="650"/>
    </row>
    <row r="5735" spans="3:6">
      <c r="C5735" s="631"/>
      <c r="D5735" s="631"/>
      <c r="E5735" s="633"/>
      <c r="F5735" s="650"/>
    </row>
    <row r="5736" spans="3:6">
      <c r="C5736" s="631"/>
      <c r="D5736" s="631"/>
      <c r="E5736" s="633"/>
      <c r="F5736" s="650"/>
    </row>
    <row r="5737" spans="3:6">
      <c r="C5737" s="631"/>
      <c r="D5737" s="631"/>
      <c r="E5737" s="633"/>
      <c r="F5737" s="650"/>
    </row>
    <row r="5738" spans="3:6">
      <c r="C5738" s="631"/>
      <c r="D5738" s="631"/>
      <c r="E5738" s="633"/>
      <c r="F5738" s="650"/>
    </row>
    <row r="5739" spans="3:6">
      <c r="C5739" s="631"/>
      <c r="D5739" s="631"/>
      <c r="E5739" s="633"/>
      <c r="F5739" s="650"/>
    </row>
    <row r="5740" spans="3:6">
      <c r="C5740" s="631"/>
      <c r="D5740" s="631"/>
      <c r="E5740" s="633"/>
      <c r="F5740" s="650"/>
    </row>
    <row r="5741" spans="3:6">
      <c r="C5741" s="631"/>
      <c r="D5741" s="631"/>
      <c r="E5741" s="633"/>
      <c r="F5741" s="650"/>
    </row>
    <row r="5742" spans="3:6">
      <c r="C5742" s="631"/>
      <c r="D5742" s="631"/>
      <c r="E5742" s="633"/>
      <c r="F5742" s="650"/>
    </row>
    <row r="5743" spans="3:6">
      <c r="C5743" s="631"/>
      <c r="D5743" s="631"/>
      <c r="E5743" s="633"/>
      <c r="F5743" s="650"/>
    </row>
    <row r="5744" spans="3:6">
      <c r="C5744" s="631"/>
      <c r="D5744" s="631"/>
      <c r="E5744" s="633"/>
      <c r="F5744" s="650"/>
    </row>
    <row r="5745" spans="3:6">
      <c r="C5745" s="631"/>
      <c r="D5745" s="631"/>
      <c r="E5745" s="633"/>
      <c r="F5745" s="650"/>
    </row>
    <row r="5746" spans="3:6">
      <c r="C5746" s="631"/>
      <c r="D5746" s="631"/>
      <c r="E5746" s="633"/>
      <c r="F5746" s="650"/>
    </row>
    <row r="5747" spans="3:6">
      <c r="C5747" s="631"/>
      <c r="D5747" s="631"/>
      <c r="E5747" s="633"/>
      <c r="F5747" s="650"/>
    </row>
    <row r="5748" spans="3:6">
      <c r="C5748" s="631"/>
      <c r="D5748" s="631"/>
      <c r="E5748" s="633"/>
      <c r="F5748" s="650"/>
    </row>
    <row r="5749" spans="3:6">
      <c r="C5749" s="631"/>
      <c r="D5749" s="631"/>
      <c r="E5749" s="633"/>
      <c r="F5749" s="650"/>
    </row>
    <row r="5750" spans="3:6">
      <c r="C5750" s="631"/>
      <c r="D5750" s="631"/>
      <c r="E5750" s="633"/>
      <c r="F5750" s="650"/>
    </row>
    <row r="5751" spans="3:6">
      <c r="C5751" s="631"/>
      <c r="D5751" s="631"/>
      <c r="E5751" s="633"/>
      <c r="F5751" s="650"/>
    </row>
    <row r="5752" spans="3:6">
      <c r="C5752" s="631"/>
      <c r="D5752" s="631"/>
      <c r="E5752" s="633"/>
      <c r="F5752" s="650"/>
    </row>
    <row r="5753" spans="3:6">
      <c r="C5753" s="631"/>
      <c r="D5753" s="631"/>
      <c r="E5753" s="633"/>
      <c r="F5753" s="650"/>
    </row>
    <row r="5754" spans="3:6">
      <c r="C5754" s="631"/>
      <c r="D5754" s="631"/>
      <c r="E5754" s="633"/>
      <c r="F5754" s="650"/>
    </row>
    <row r="5755" spans="3:6">
      <c r="C5755" s="631"/>
      <c r="D5755" s="631"/>
      <c r="E5755" s="633"/>
      <c r="F5755" s="650"/>
    </row>
    <row r="5756" spans="3:6">
      <c r="C5756" s="631"/>
      <c r="D5756" s="631"/>
      <c r="E5756" s="633"/>
      <c r="F5756" s="650"/>
    </row>
    <row r="5757" spans="3:6">
      <c r="C5757" s="631"/>
      <c r="D5757" s="631"/>
      <c r="E5757" s="633"/>
      <c r="F5757" s="650"/>
    </row>
    <row r="5758" spans="3:6">
      <c r="C5758" s="631"/>
      <c r="D5758" s="631"/>
      <c r="E5758" s="633"/>
      <c r="F5758" s="650"/>
    </row>
    <row r="5759" spans="3:6">
      <c r="C5759" s="631"/>
      <c r="D5759" s="631"/>
      <c r="E5759" s="633"/>
      <c r="F5759" s="650"/>
    </row>
    <row r="5760" spans="3:6">
      <c r="C5760" s="631"/>
      <c r="D5760" s="631"/>
      <c r="E5760" s="633"/>
      <c r="F5760" s="650"/>
    </row>
    <row r="5761" spans="3:6">
      <c r="C5761" s="631"/>
      <c r="D5761" s="631"/>
      <c r="E5761" s="633"/>
      <c r="F5761" s="650"/>
    </row>
    <row r="5762" spans="3:6">
      <c r="C5762" s="631"/>
      <c r="D5762" s="631"/>
      <c r="E5762" s="633"/>
      <c r="F5762" s="650"/>
    </row>
    <row r="5763" spans="3:6">
      <c r="C5763" s="631"/>
      <c r="D5763" s="631"/>
      <c r="E5763" s="633"/>
      <c r="F5763" s="650"/>
    </row>
    <row r="5764" spans="3:6">
      <c r="C5764" s="631"/>
      <c r="D5764" s="631"/>
      <c r="E5764" s="633"/>
      <c r="F5764" s="650"/>
    </row>
    <row r="5765" spans="3:6">
      <c r="C5765" s="631"/>
      <c r="D5765" s="631"/>
      <c r="E5765" s="633"/>
      <c r="F5765" s="650"/>
    </row>
    <row r="5766" spans="3:6">
      <c r="C5766" s="631"/>
      <c r="D5766" s="631"/>
      <c r="E5766" s="633"/>
      <c r="F5766" s="650"/>
    </row>
    <row r="5767" spans="3:6">
      <c r="C5767" s="631"/>
      <c r="D5767" s="631"/>
      <c r="E5767" s="633"/>
      <c r="F5767" s="650"/>
    </row>
    <row r="5768" spans="3:6">
      <c r="C5768" s="631"/>
      <c r="D5768" s="631"/>
      <c r="E5768" s="633"/>
      <c r="F5768" s="650"/>
    </row>
    <row r="5769" spans="3:6">
      <c r="C5769" s="631"/>
      <c r="D5769" s="631"/>
      <c r="E5769" s="633"/>
      <c r="F5769" s="650"/>
    </row>
    <row r="5770" spans="3:6">
      <c r="C5770" s="631"/>
      <c r="D5770" s="631"/>
      <c r="E5770" s="633"/>
      <c r="F5770" s="650"/>
    </row>
    <row r="5771" spans="3:6">
      <c r="C5771" s="631"/>
      <c r="D5771" s="631"/>
      <c r="E5771" s="633"/>
      <c r="F5771" s="650"/>
    </row>
    <row r="5772" spans="3:6">
      <c r="C5772" s="631"/>
      <c r="D5772" s="631"/>
      <c r="E5772" s="633"/>
      <c r="F5772" s="650"/>
    </row>
    <row r="5773" spans="3:6">
      <c r="C5773" s="631"/>
      <c r="D5773" s="631"/>
      <c r="E5773" s="633"/>
      <c r="F5773" s="650"/>
    </row>
    <row r="5774" spans="3:6">
      <c r="C5774" s="631"/>
      <c r="D5774" s="631"/>
      <c r="E5774" s="633"/>
      <c r="F5774" s="650"/>
    </row>
    <row r="5775" spans="3:6">
      <c r="C5775" s="631"/>
      <c r="D5775" s="631"/>
      <c r="E5775" s="633"/>
      <c r="F5775" s="650"/>
    </row>
    <row r="5776" spans="3:6">
      <c r="C5776" s="631"/>
      <c r="D5776" s="631"/>
      <c r="E5776" s="633"/>
      <c r="F5776" s="650"/>
    </row>
    <row r="5777" spans="3:6">
      <c r="C5777" s="631"/>
      <c r="D5777" s="631"/>
      <c r="E5777" s="633"/>
      <c r="F5777" s="650"/>
    </row>
    <row r="5778" spans="3:6">
      <c r="C5778" s="631"/>
      <c r="D5778" s="631"/>
      <c r="E5778" s="633"/>
      <c r="F5778" s="650"/>
    </row>
    <row r="5779" spans="3:6">
      <c r="C5779" s="631"/>
      <c r="D5779" s="631"/>
      <c r="E5779" s="633"/>
      <c r="F5779" s="650"/>
    </row>
    <row r="5780" spans="3:6">
      <c r="C5780" s="631"/>
      <c r="D5780" s="631"/>
      <c r="E5780" s="633"/>
      <c r="F5780" s="650"/>
    </row>
    <row r="5781" spans="3:6">
      <c r="C5781" s="631"/>
      <c r="D5781" s="631"/>
      <c r="E5781" s="633"/>
      <c r="F5781" s="650"/>
    </row>
    <row r="5782" spans="3:6">
      <c r="C5782" s="631"/>
      <c r="D5782" s="631"/>
      <c r="E5782" s="633"/>
      <c r="F5782" s="650"/>
    </row>
    <row r="5783" spans="3:6">
      <c r="C5783" s="631"/>
      <c r="D5783" s="631"/>
      <c r="E5783" s="633"/>
      <c r="F5783" s="650"/>
    </row>
    <row r="5784" spans="3:6">
      <c r="C5784" s="631"/>
      <c r="D5784" s="631"/>
      <c r="E5784" s="633"/>
      <c r="F5784" s="650"/>
    </row>
    <row r="5785" spans="3:6">
      <c r="C5785" s="631"/>
      <c r="D5785" s="631"/>
      <c r="E5785" s="633"/>
      <c r="F5785" s="650"/>
    </row>
    <row r="5786" spans="3:6">
      <c r="C5786" s="631"/>
      <c r="D5786" s="631"/>
      <c r="E5786" s="633"/>
      <c r="F5786" s="650"/>
    </row>
    <row r="5787" spans="3:6">
      <c r="C5787" s="631"/>
      <c r="D5787" s="631"/>
      <c r="E5787" s="633"/>
      <c r="F5787" s="650"/>
    </row>
    <row r="5788" spans="3:6">
      <c r="C5788" s="631"/>
      <c r="D5788" s="631"/>
      <c r="E5788" s="633"/>
      <c r="F5788" s="650"/>
    </row>
    <row r="5789" spans="3:6">
      <c r="C5789" s="631"/>
      <c r="D5789" s="631"/>
      <c r="E5789" s="633"/>
      <c r="F5789" s="650"/>
    </row>
    <row r="5790" spans="3:6">
      <c r="C5790" s="631"/>
      <c r="D5790" s="631"/>
      <c r="E5790" s="633"/>
      <c r="F5790" s="650"/>
    </row>
    <row r="5791" spans="3:6">
      <c r="C5791" s="631"/>
      <c r="D5791" s="631"/>
      <c r="E5791" s="633"/>
      <c r="F5791" s="650"/>
    </row>
    <row r="5792" spans="3:6">
      <c r="C5792" s="631"/>
      <c r="D5792" s="631"/>
      <c r="E5792" s="633"/>
      <c r="F5792" s="650"/>
    </row>
    <row r="5793" spans="3:6">
      <c r="C5793" s="631"/>
      <c r="D5793" s="631"/>
      <c r="E5793" s="633"/>
      <c r="F5793" s="650"/>
    </row>
    <row r="5794" spans="3:6">
      <c r="C5794" s="631"/>
      <c r="D5794" s="631"/>
      <c r="E5794" s="633"/>
      <c r="F5794" s="650"/>
    </row>
    <row r="5795" spans="3:6">
      <c r="C5795" s="631"/>
      <c r="D5795" s="631"/>
      <c r="E5795" s="633"/>
      <c r="F5795" s="650"/>
    </row>
    <row r="5796" spans="3:6">
      <c r="C5796" s="631"/>
      <c r="D5796" s="631"/>
      <c r="E5796" s="633"/>
      <c r="F5796" s="650"/>
    </row>
    <row r="5797" spans="3:6">
      <c r="C5797" s="631"/>
      <c r="D5797" s="631"/>
      <c r="E5797" s="633"/>
      <c r="F5797" s="650"/>
    </row>
    <row r="5798" spans="3:6">
      <c r="C5798" s="631"/>
      <c r="D5798" s="631"/>
      <c r="E5798" s="633"/>
      <c r="F5798" s="650"/>
    </row>
    <row r="5799" spans="3:6">
      <c r="C5799" s="631"/>
      <c r="D5799" s="631"/>
      <c r="E5799" s="633"/>
      <c r="F5799" s="650"/>
    </row>
    <row r="5800" spans="3:6">
      <c r="C5800" s="631"/>
      <c r="D5800" s="631"/>
      <c r="E5800" s="633"/>
      <c r="F5800" s="650"/>
    </row>
    <row r="5801" spans="3:6">
      <c r="C5801" s="631"/>
      <c r="D5801" s="631"/>
      <c r="E5801" s="633"/>
      <c r="F5801" s="650"/>
    </row>
    <row r="5802" spans="3:6">
      <c r="C5802" s="631"/>
      <c r="D5802" s="631"/>
      <c r="E5802" s="633"/>
      <c r="F5802" s="650"/>
    </row>
    <row r="5803" spans="3:6">
      <c r="C5803" s="631"/>
      <c r="D5803" s="631"/>
      <c r="E5803" s="633"/>
      <c r="F5803" s="650"/>
    </row>
    <row r="5804" spans="3:6">
      <c r="C5804" s="631"/>
      <c r="D5804" s="631"/>
      <c r="E5804" s="633"/>
      <c r="F5804" s="650"/>
    </row>
    <row r="5805" spans="3:6">
      <c r="C5805" s="631"/>
      <c r="D5805" s="631"/>
      <c r="E5805" s="633"/>
      <c r="F5805" s="650"/>
    </row>
    <row r="5806" spans="3:6">
      <c r="C5806" s="631"/>
      <c r="D5806" s="631"/>
      <c r="E5806" s="633"/>
      <c r="F5806" s="650"/>
    </row>
    <row r="5807" spans="3:6">
      <c r="C5807" s="631"/>
      <c r="D5807" s="631"/>
      <c r="E5807" s="633"/>
      <c r="F5807" s="650"/>
    </row>
    <row r="5808" spans="3:6">
      <c r="C5808" s="631"/>
      <c r="D5808" s="631"/>
      <c r="E5808" s="633"/>
      <c r="F5808" s="650"/>
    </row>
    <row r="5809" spans="3:6">
      <c r="C5809" s="631"/>
      <c r="D5809" s="631"/>
      <c r="E5809" s="633"/>
      <c r="F5809" s="650"/>
    </row>
    <row r="5810" spans="3:6">
      <c r="C5810" s="631"/>
      <c r="D5810" s="631"/>
      <c r="E5810" s="633"/>
      <c r="F5810" s="650"/>
    </row>
    <row r="5811" spans="3:6">
      <c r="C5811" s="631"/>
      <c r="D5811" s="631"/>
      <c r="E5811" s="633"/>
      <c r="F5811" s="650"/>
    </row>
    <row r="5812" spans="3:6">
      <c r="C5812" s="631"/>
      <c r="D5812" s="631"/>
      <c r="E5812" s="633"/>
      <c r="F5812" s="650"/>
    </row>
    <row r="5813" spans="3:6">
      <c r="C5813" s="631"/>
      <c r="D5813" s="631"/>
      <c r="E5813" s="633"/>
      <c r="F5813" s="650"/>
    </row>
    <row r="5814" spans="3:6">
      <c r="C5814" s="631"/>
      <c r="D5814" s="631"/>
      <c r="E5814" s="633"/>
      <c r="F5814" s="650"/>
    </row>
    <row r="5815" spans="3:6">
      <c r="C5815" s="631"/>
      <c r="D5815" s="631"/>
      <c r="E5815" s="633"/>
      <c r="F5815" s="650"/>
    </row>
    <row r="5816" spans="3:6">
      <c r="C5816" s="631"/>
      <c r="D5816" s="631"/>
      <c r="E5816" s="633"/>
      <c r="F5816" s="650"/>
    </row>
    <row r="5817" spans="3:6">
      <c r="C5817" s="631"/>
      <c r="D5817" s="631"/>
      <c r="E5817" s="633"/>
      <c r="F5817" s="650"/>
    </row>
    <row r="5818" spans="3:6">
      <c r="C5818" s="631"/>
      <c r="D5818" s="631"/>
      <c r="E5818" s="633"/>
      <c r="F5818" s="650"/>
    </row>
    <row r="5819" spans="3:6">
      <c r="C5819" s="631"/>
      <c r="D5819" s="631"/>
      <c r="E5819" s="633"/>
      <c r="F5819" s="650"/>
    </row>
    <row r="5820" spans="3:6">
      <c r="C5820" s="631"/>
      <c r="D5820" s="631"/>
      <c r="E5820" s="633"/>
      <c r="F5820" s="650"/>
    </row>
    <row r="5821" spans="3:6">
      <c r="C5821" s="631"/>
      <c r="D5821" s="631"/>
      <c r="E5821" s="633"/>
      <c r="F5821" s="650"/>
    </row>
    <row r="5822" spans="3:6">
      <c r="C5822" s="631"/>
      <c r="D5822" s="631"/>
      <c r="E5822" s="633"/>
      <c r="F5822" s="650"/>
    </row>
    <row r="5823" spans="3:6">
      <c r="C5823" s="631"/>
      <c r="D5823" s="631"/>
      <c r="E5823" s="633"/>
      <c r="F5823" s="650"/>
    </row>
    <row r="5824" spans="3:6">
      <c r="C5824" s="631"/>
      <c r="D5824" s="631"/>
      <c r="E5824" s="633"/>
      <c r="F5824" s="650"/>
    </row>
    <row r="5825" spans="3:6">
      <c r="C5825" s="631"/>
      <c r="D5825" s="631"/>
      <c r="E5825" s="633"/>
      <c r="F5825" s="650"/>
    </row>
    <row r="5826" spans="3:6">
      <c r="C5826" s="631"/>
      <c r="D5826" s="631"/>
      <c r="E5826" s="633"/>
      <c r="F5826" s="650"/>
    </row>
    <row r="5827" spans="3:6">
      <c r="C5827" s="631"/>
      <c r="D5827" s="631"/>
      <c r="E5827" s="633"/>
      <c r="F5827" s="650"/>
    </row>
    <row r="5828" spans="3:6">
      <c r="C5828" s="631"/>
      <c r="D5828" s="631"/>
      <c r="E5828" s="633"/>
      <c r="F5828" s="650"/>
    </row>
    <row r="5829" spans="3:6">
      <c r="C5829" s="631"/>
      <c r="D5829" s="631"/>
      <c r="E5829" s="633"/>
      <c r="F5829" s="650"/>
    </row>
    <row r="5830" spans="3:6">
      <c r="C5830" s="631"/>
      <c r="D5830" s="631"/>
      <c r="E5830" s="633"/>
      <c r="F5830" s="650"/>
    </row>
    <row r="5831" spans="3:6">
      <c r="C5831" s="631"/>
      <c r="D5831" s="631"/>
      <c r="E5831" s="633"/>
      <c r="F5831" s="650"/>
    </row>
    <row r="5832" spans="3:6">
      <c r="C5832" s="631"/>
      <c r="D5832" s="631"/>
      <c r="E5832" s="633"/>
      <c r="F5832" s="650"/>
    </row>
    <row r="5833" spans="3:6">
      <c r="C5833" s="631"/>
      <c r="D5833" s="631"/>
      <c r="E5833" s="633"/>
      <c r="F5833" s="650"/>
    </row>
    <row r="5834" spans="3:6">
      <c r="C5834" s="631"/>
      <c r="D5834" s="631"/>
      <c r="E5834" s="633"/>
      <c r="F5834" s="650"/>
    </row>
    <row r="5835" spans="3:6">
      <c r="C5835" s="631"/>
      <c r="D5835" s="631"/>
      <c r="E5835" s="633"/>
      <c r="F5835" s="650"/>
    </row>
    <row r="5836" spans="3:6">
      <c r="C5836" s="631"/>
      <c r="D5836" s="631"/>
      <c r="E5836" s="633"/>
      <c r="F5836" s="650"/>
    </row>
    <row r="5837" spans="3:6">
      <c r="C5837" s="631"/>
      <c r="D5837" s="631"/>
      <c r="E5837" s="633"/>
      <c r="F5837" s="650"/>
    </row>
    <row r="5838" spans="3:6">
      <c r="C5838" s="631"/>
      <c r="D5838" s="631"/>
      <c r="E5838" s="633"/>
      <c r="F5838" s="650"/>
    </row>
    <row r="5839" spans="3:6">
      <c r="C5839" s="631"/>
      <c r="D5839" s="631"/>
      <c r="E5839" s="633"/>
      <c r="F5839" s="650"/>
    </row>
    <row r="5840" spans="3:6">
      <c r="C5840" s="631"/>
      <c r="D5840" s="631"/>
      <c r="E5840" s="633"/>
      <c r="F5840" s="650"/>
    </row>
    <row r="5841" spans="3:6">
      <c r="C5841" s="631"/>
      <c r="D5841" s="631"/>
      <c r="E5841" s="633"/>
      <c r="F5841" s="650"/>
    </row>
    <row r="5842" spans="3:6">
      <c r="C5842" s="631"/>
      <c r="D5842" s="631"/>
      <c r="E5842" s="633"/>
      <c r="F5842" s="650"/>
    </row>
    <row r="5843" spans="3:6">
      <c r="C5843" s="631"/>
      <c r="D5843" s="631"/>
      <c r="E5843" s="633"/>
      <c r="F5843" s="650"/>
    </row>
    <row r="5844" spans="3:6">
      <c r="C5844" s="631"/>
      <c r="D5844" s="631"/>
      <c r="E5844" s="633"/>
      <c r="F5844" s="650"/>
    </row>
    <row r="5845" spans="3:6">
      <c r="C5845" s="631"/>
      <c r="D5845" s="631"/>
      <c r="E5845" s="633"/>
      <c r="F5845" s="650"/>
    </row>
    <row r="5846" spans="3:6">
      <c r="C5846" s="631"/>
      <c r="D5846" s="631"/>
      <c r="E5846" s="633"/>
      <c r="F5846" s="650"/>
    </row>
    <row r="5847" spans="3:6">
      <c r="C5847" s="631"/>
      <c r="D5847" s="631"/>
      <c r="E5847" s="633"/>
      <c r="F5847" s="650"/>
    </row>
    <row r="5848" spans="3:6">
      <c r="C5848" s="631"/>
      <c r="D5848" s="631"/>
      <c r="E5848" s="633"/>
      <c r="F5848" s="650"/>
    </row>
    <row r="5849" spans="3:6">
      <c r="C5849" s="631"/>
      <c r="D5849" s="631"/>
      <c r="E5849" s="633"/>
      <c r="F5849" s="650"/>
    </row>
    <row r="5850" spans="3:6">
      <c r="C5850" s="631"/>
      <c r="D5850" s="631"/>
      <c r="E5850" s="633"/>
      <c r="F5850" s="650"/>
    </row>
    <row r="5851" spans="3:6">
      <c r="C5851" s="631"/>
      <c r="D5851" s="631"/>
      <c r="E5851" s="633"/>
      <c r="F5851" s="650"/>
    </row>
    <row r="5852" spans="3:6">
      <c r="C5852" s="631"/>
      <c r="D5852" s="631"/>
      <c r="E5852" s="633"/>
      <c r="F5852" s="650"/>
    </row>
    <row r="5853" spans="3:6">
      <c r="C5853" s="631"/>
      <c r="D5853" s="631"/>
      <c r="E5853" s="633"/>
      <c r="F5853" s="650"/>
    </row>
    <row r="5854" spans="3:6">
      <c r="C5854" s="631"/>
      <c r="D5854" s="631"/>
      <c r="E5854" s="633"/>
      <c r="F5854" s="650"/>
    </row>
    <row r="5855" spans="3:6">
      <c r="C5855" s="631"/>
      <c r="D5855" s="631"/>
      <c r="E5855" s="633"/>
      <c r="F5855" s="650"/>
    </row>
    <row r="5856" spans="3:6">
      <c r="C5856" s="631"/>
      <c r="D5856" s="631"/>
      <c r="E5856" s="633"/>
      <c r="F5856" s="650"/>
    </row>
    <row r="5857" spans="3:6">
      <c r="C5857" s="631"/>
      <c r="D5857" s="631"/>
      <c r="E5857" s="633"/>
      <c r="F5857" s="650"/>
    </row>
    <row r="5858" spans="3:6">
      <c r="C5858" s="631"/>
      <c r="D5858" s="631"/>
      <c r="E5858" s="633"/>
      <c r="F5858" s="650"/>
    </row>
    <row r="5859" spans="3:6">
      <c r="C5859" s="631"/>
      <c r="D5859" s="631"/>
      <c r="E5859" s="633"/>
      <c r="F5859" s="650"/>
    </row>
    <row r="5860" spans="3:6">
      <c r="C5860" s="631"/>
      <c r="D5860" s="631"/>
      <c r="E5860" s="633"/>
      <c r="F5860" s="650"/>
    </row>
    <row r="5861" spans="3:6">
      <c r="C5861" s="631"/>
      <c r="D5861" s="631"/>
      <c r="E5861" s="633"/>
      <c r="F5861" s="650"/>
    </row>
    <row r="5862" spans="3:6">
      <c r="C5862" s="631"/>
      <c r="D5862" s="631"/>
      <c r="E5862" s="633"/>
      <c r="F5862" s="650"/>
    </row>
    <row r="5863" spans="3:6">
      <c r="C5863" s="631"/>
      <c r="D5863" s="631"/>
      <c r="E5863" s="633"/>
      <c r="F5863" s="650"/>
    </row>
    <row r="5864" spans="3:6">
      <c r="C5864" s="631"/>
      <c r="D5864" s="631"/>
      <c r="E5864" s="633"/>
      <c r="F5864" s="650"/>
    </row>
    <row r="5865" spans="3:6">
      <c r="C5865" s="631"/>
      <c r="D5865" s="631"/>
      <c r="E5865" s="633"/>
      <c r="F5865" s="650"/>
    </row>
    <row r="5866" spans="3:6">
      <c r="C5866" s="631"/>
      <c r="D5866" s="631"/>
      <c r="E5866" s="633"/>
      <c r="F5866" s="650"/>
    </row>
    <row r="5867" spans="3:6">
      <c r="C5867" s="631"/>
      <c r="D5867" s="631"/>
      <c r="E5867" s="633"/>
      <c r="F5867" s="650"/>
    </row>
    <row r="5868" spans="3:6">
      <c r="C5868" s="631"/>
      <c r="D5868" s="631"/>
      <c r="E5868" s="633"/>
      <c r="F5868" s="650"/>
    </row>
    <row r="5869" spans="3:6">
      <c r="C5869" s="631"/>
      <c r="D5869" s="631"/>
      <c r="E5869" s="633"/>
      <c r="F5869" s="650"/>
    </row>
    <row r="5870" spans="3:6">
      <c r="C5870" s="631"/>
      <c r="D5870" s="631"/>
      <c r="E5870" s="633"/>
      <c r="F5870" s="650"/>
    </row>
    <row r="5871" spans="3:6">
      <c r="C5871" s="631"/>
      <c r="D5871" s="631"/>
      <c r="E5871" s="633"/>
      <c r="F5871" s="650"/>
    </row>
    <row r="5872" spans="3:6">
      <c r="C5872" s="631"/>
      <c r="D5872" s="631"/>
      <c r="E5872" s="633"/>
      <c r="F5872" s="650"/>
    </row>
    <row r="5873" spans="3:6">
      <c r="C5873" s="631"/>
      <c r="D5873" s="631"/>
      <c r="E5873" s="633"/>
      <c r="F5873" s="650"/>
    </row>
    <row r="5874" spans="3:6">
      <c r="C5874" s="631"/>
      <c r="D5874" s="631"/>
      <c r="E5874" s="633"/>
      <c r="F5874" s="650"/>
    </row>
    <row r="5875" spans="3:6">
      <c r="C5875" s="631"/>
      <c r="D5875" s="631"/>
      <c r="E5875" s="633"/>
      <c r="F5875" s="650"/>
    </row>
    <row r="5876" spans="3:6">
      <c r="C5876" s="631"/>
      <c r="D5876" s="631"/>
      <c r="E5876" s="633"/>
      <c r="F5876" s="650"/>
    </row>
    <row r="5877" spans="3:6">
      <c r="C5877" s="631"/>
      <c r="D5877" s="631"/>
      <c r="E5877" s="633"/>
      <c r="F5877" s="650"/>
    </row>
    <row r="5878" spans="3:6">
      <c r="C5878" s="631"/>
      <c r="D5878" s="631"/>
      <c r="E5878" s="633"/>
      <c r="F5878" s="650"/>
    </row>
    <row r="5879" spans="3:6">
      <c r="C5879" s="631"/>
      <c r="D5879" s="631"/>
      <c r="E5879" s="633"/>
      <c r="F5879" s="650"/>
    </row>
    <row r="5880" spans="3:6">
      <c r="C5880" s="631"/>
      <c r="D5880" s="631"/>
      <c r="E5880" s="633"/>
      <c r="F5880" s="650"/>
    </row>
    <row r="5881" spans="3:6">
      <c r="C5881" s="631"/>
      <c r="D5881" s="631"/>
      <c r="E5881" s="633"/>
      <c r="F5881" s="650"/>
    </row>
    <row r="5882" spans="3:6">
      <c r="C5882" s="631"/>
      <c r="D5882" s="631"/>
      <c r="E5882" s="633"/>
      <c r="F5882" s="650"/>
    </row>
    <row r="5883" spans="3:6">
      <c r="C5883" s="631"/>
      <c r="D5883" s="631"/>
      <c r="E5883" s="633"/>
      <c r="F5883" s="650"/>
    </row>
    <row r="5884" spans="3:6">
      <c r="C5884" s="631"/>
      <c r="D5884" s="631"/>
      <c r="E5884" s="633"/>
      <c r="F5884" s="650"/>
    </row>
    <row r="5885" spans="3:6">
      <c r="C5885" s="631"/>
      <c r="D5885" s="631"/>
      <c r="E5885" s="633"/>
      <c r="F5885" s="650"/>
    </row>
    <row r="5886" spans="3:6">
      <c r="C5886" s="631"/>
      <c r="D5886" s="631"/>
      <c r="E5886" s="633"/>
      <c r="F5886" s="650"/>
    </row>
    <row r="5887" spans="3:6">
      <c r="C5887" s="631"/>
      <c r="D5887" s="631"/>
      <c r="E5887" s="633"/>
      <c r="F5887" s="650"/>
    </row>
    <row r="5888" spans="3:6">
      <c r="C5888" s="631"/>
      <c r="D5888" s="631"/>
      <c r="E5888" s="633"/>
      <c r="F5888" s="650"/>
    </row>
    <row r="5889" spans="3:6">
      <c r="C5889" s="631"/>
      <c r="D5889" s="631"/>
      <c r="E5889" s="633"/>
      <c r="F5889" s="650"/>
    </row>
    <row r="5890" spans="3:6">
      <c r="C5890" s="631"/>
      <c r="D5890" s="631"/>
      <c r="E5890" s="633"/>
      <c r="F5890" s="650"/>
    </row>
    <row r="5891" spans="3:6">
      <c r="C5891" s="631"/>
      <c r="D5891" s="631"/>
      <c r="E5891" s="633"/>
      <c r="F5891" s="650"/>
    </row>
    <row r="5892" spans="3:6">
      <c r="C5892" s="631"/>
      <c r="D5892" s="631"/>
      <c r="E5892" s="633"/>
      <c r="F5892" s="650"/>
    </row>
    <row r="5893" spans="3:6">
      <c r="C5893" s="631"/>
      <c r="D5893" s="631"/>
      <c r="E5893" s="633"/>
      <c r="F5893" s="650"/>
    </row>
    <row r="5894" spans="3:6">
      <c r="C5894" s="631"/>
      <c r="D5894" s="631"/>
      <c r="E5894" s="633"/>
      <c r="F5894" s="650"/>
    </row>
    <row r="5895" spans="3:6">
      <c r="C5895" s="631"/>
      <c r="D5895" s="631"/>
      <c r="E5895" s="633"/>
      <c r="F5895" s="650"/>
    </row>
    <row r="5896" spans="3:6">
      <c r="C5896" s="631"/>
      <c r="D5896" s="631"/>
      <c r="E5896" s="633"/>
      <c r="F5896" s="650"/>
    </row>
    <row r="5897" spans="3:6">
      <c r="C5897" s="631"/>
      <c r="D5897" s="631"/>
      <c r="E5897" s="633"/>
      <c r="F5897" s="650"/>
    </row>
    <row r="5898" spans="3:6">
      <c r="C5898" s="631"/>
      <c r="D5898" s="631"/>
      <c r="E5898" s="633"/>
      <c r="F5898" s="650"/>
    </row>
    <row r="5899" spans="3:6">
      <c r="C5899" s="631"/>
      <c r="D5899" s="631"/>
      <c r="E5899" s="633"/>
      <c r="F5899" s="650"/>
    </row>
    <row r="5900" spans="3:6">
      <c r="C5900" s="631"/>
      <c r="D5900" s="631"/>
      <c r="E5900" s="633"/>
      <c r="F5900" s="650"/>
    </row>
    <row r="5901" spans="3:6">
      <c r="C5901" s="631"/>
      <c r="D5901" s="631"/>
      <c r="E5901" s="633"/>
      <c r="F5901" s="650"/>
    </row>
    <row r="5902" spans="3:6">
      <c r="C5902" s="631"/>
      <c r="D5902" s="631"/>
      <c r="E5902" s="633"/>
      <c r="F5902" s="650"/>
    </row>
    <row r="5903" spans="3:6">
      <c r="C5903" s="631"/>
      <c r="D5903" s="631"/>
      <c r="E5903" s="633"/>
      <c r="F5903" s="650"/>
    </row>
    <row r="5904" spans="3:6">
      <c r="C5904" s="631"/>
      <c r="D5904" s="631"/>
      <c r="E5904" s="633"/>
      <c r="F5904" s="650"/>
    </row>
    <row r="5905" spans="3:6">
      <c r="C5905" s="631"/>
      <c r="D5905" s="631"/>
      <c r="E5905" s="633"/>
      <c r="F5905" s="650"/>
    </row>
    <row r="5906" spans="3:6">
      <c r="C5906" s="631"/>
      <c r="D5906" s="631"/>
      <c r="E5906" s="633"/>
      <c r="F5906" s="650"/>
    </row>
    <row r="5907" spans="3:6">
      <c r="C5907" s="631"/>
      <c r="D5907" s="631"/>
      <c r="E5907" s="633"/>
      <c r="F5907" s="650"/>
    </row>
    <row r="5908" spans="3:6">
      <c r="C5908" s="631"/>
      <c r="D5908" s="631"/>
      <c r="E5908" s="633"/>
      <c r="F5908" s="650"/>
    </row>
    <row r="5909" spans="3:6">
      <c r="C5909" s="631"/>
      <c r="D5909" s="631"/>
      <c r="E5909" s="633"/>
      <c r="F5909" s="650"/>
    </row>
    <row r="5910" spans="3:6">
      <c r="C5910" s="631"/>
      <c r="D5910" s="631"/>
      <c r="E5910" s="633"/>
      <c r="F5910" s="650"/>
    </row>
    <row r="5911" spans="3:6">
      <c r="C5911" s="631"/>
      <c r="D5911" s="631"/>
      <c r="E5911" s="633"/>
      <c r="F5911" s="650"/>
    </row>
    <row r="5912" spans="3:6">
      <c r="C5912" s="631"/>
      <c r="D5912" s="631"/>
      <c r="E5912" s="633"/>
      <c r="F5912" s="650"/>
    </row>
    <row r="5913" spans="3:6">
      <c r="C5913" s="631"/>
      <c r="D5913" s="631"/>
      <c r="E5913" s="633"/>
      <c r="F5913" s="650"/>
    </row>
    <row r="5914" spans="3:6">
      <c r="C5914" s="631"/>
      <c r="D5914" s="631"/>
      <c r="E5914" s="633"/>
      <c r="F5914" s="650"/>
    </row>
    <row r="5915" spans="3:6">
      <c r="C5915" s="631"/>
      <c r="D5915" s="631"/>
      <c r="E5915" s="633"/>
      <c r="F5915" s="650"/>
    </row>
    <row r="5916" spans="3:6">
      <c r="C5916" s="631"/>
      <c r="D5916" s="631"/>
      <c r="E5916" s="633"/>
      <c r="F5916" s="650"/>
    </row>
    <row r="5917" spans="3:6">
      <c r="C5917" s="631"/>
      <c r="D5917" s="631"/>
      <c r="E5917" s="633"/>
      <c r="F5917" s="650"/>
    </row>
    <row r="5918" spans="3:6">
      <c r="C5918" s="631"/>
      <c r="D5918" s="631"/>
      <c r="E5918" s="633"/>
      <c r="F5918" s="650"/>
    </row>
    <row r="5919" spans="3:6">
      <c r="C5919" s="631"/>
      <c r="D5919" s="631"/>
      <c r="E5919" s="633"/>
      <c r="F5919" s="650"/>
    </row>
    <row r="5920" spans="3:6">
      <c r="C5920" s="631"/>
      <c r="D5920" s="631"/>
      <c r="E5920" s="633"/>
      <c r="F5920" s="650"/>
    </row>
    <row r="5921" spans="3:6">
      <c r="C5921" s="631"/>
      <c r="D5921" s="631"/>
      <c r="E5921" s="633"/>
      <c r="F5921" s="650"/>
    </row>
    <row r="5922" spans="3:6">
      <c r="C5922" s="631"/>
      <c r="D5922" s="631"/>
      <c r="E5922" s="633"/>
      <c r="F5922" s="650"/>
    </row>
    <row r="5923" spans="3:6">
      <c r="C5923" s="631"/>
      <c r="D5923" s="631"/>
      <c r="E5923" s="633"/>
      <c r="F5923" s="650"/>
    </row>
    <row r="5924" spans="3:6">
      <c r="C5924" s="631"/>
      <c r="D5924" s="631"/>
      <c r="E5924" s="633"/>
      <c r="F5924" s="650"/>
    </row>
    <row r="5925" spans="3:6">
      <c r="C5925" s="631"/>
      <c r="D5925" s="631"/>
      <c r="E5925" s="633"/>
      <c r="F5925" s="650"/>
    </row>
    <row r="5926" spans="3:6">
      <c r="C5926" s="631"/>
      <c r="D5926" s="631"/>
      <c r="E5926" s="633"/>
      <c r="F5926" s="650"/>
    </row>
    <row r="5927" spans="3:6">
      <c r="C5927" s="631"/>
      <c r="D5927" s="631"/>
      <c r="E5927" s="633"/>
      <c r="F5927" s="650"/>
    </row>
    <row r="5928" spans="3:6">
      <c r="C5928" s="631"/>
      <c r="D5928" s="631"/>
      <c r="E5928" s="633"/>
      <c r="F5928" s="650"/>
    </row>
    <row r="5929" spans="3:6">
      <c r="C5929" s="631"/>
      <c r="D5929" s="631"/>
      <c r="E5929" s="633"/>
      <c r="F5929" s="650"/>
    </row>
    <row r="5930" spans="3:6">
      <c r="C5930" s="631"/>
      <c r="D5930" s="631"/>
      <c r="E5930" s="633"/>
      <c r="F5930" s="650"/>
    </row>
    <row r="5931" spans="3:6">
      <c r="C5931" s="631"/>
      <c r="D5931" s="631"/>
      <c r="E5931" s="633"/>
      <c r="F5931" s="650"/>
    </row>
    <row r="5932" spans="3:6">
      <c r="C5932" s="631"/>
      <c r="D5932" s="631"/>
      <c r="E5932" s="633"/>
      <c r="F5932" s="650"/>
    </row>
    <row r="5933" spans="3:6">
      <c r="C5933" s="631"/>
      <c r="D5933" s="631"/>
      <c r="E5933" s="633"/>
      <c r="F5933" s="650"/>
    </row>
    <row r="5934" spans="3:6">
      <c r="C5934" s="631"/>
      <c r="D5934" s="631"/>
      <c r="E5934" s="633"/>
      <c r="F5934" s="650"/>
    </row>
    <row r="5935" spans="3:6">
      <c r="C5935" s="631"/>
      <c r="D5935" s="631"/>
      <c r="E5935" s="633"/>
      <c r="F5935" s="650"/>
    </row>
    <row r="5936" spans="3:6">
      <c r="C5936" s="631"/>
      <c r="D5936" s="631"/>
      <c r="E5936" s="633"/>
      <c r="F5936" s="650"/>
    </row>
    <row r="5937" spans="3:6">
      <c r="C5937" s="631"/>
      <c r="D5937" s="631"/>
      <c r="E5937" s="633"/>
      <c r="F5937" s="650"/>
    </row>
    <row r="5938" spans="3:6">
      <c r="C5938" s="631"/>
      <c r="D5938" s="631"/>
      <c r="E5938" s="633"/>
      <c r="F5938" s="650"/>
    </row>
    <row r="5939" spans="3:6">
      <c r="C5939" s="631"/>
      <c r="D5939" s="631"/>
      <c r="E5939" s="633"/>
      <c r="F5939" s="650"/>
    </row>
    <row r="5940" spans="3:6">
      <c r="C5940" s="631"/>
      <c r="D5940" s="631"/>
      <c r="E5940" s="633"/>
      <c r="F5940" s="650"/>
    </row>
    <row r="5941" spans="3:6">
      <c r="C5941" s="631"/>
      <c r="D5941" s="631"/>
      <c r="E5941" s="633"/>
      <c r="F5941" s="650"/>
    </row>
    <row r="5942" spans="3:6">
      <c r="C5942" s="631"/>
      <c r="D5942" s="631"/>
      <c r="E5942" s="633"/>
      <c r="F5942" s="650"/>
    </row>
    <row r="5943" spans="3:6">
      <c r="C5943" s="631"/>
      <c r="D5943" s="631"/>
      <c r="E5943" s="633"/>
      <c r="F5943" s="650"/>
    </row>
    <row r="5944" spans="3:6">
      <c r="C5944" s="631"/>
      <c r="D5944" s="631"/>
      <c r="E5944" s="633"/>
      <c r="F5944" s="650"/>
    </row>
    <row r="5945" spans="3:6">
      <c r="C5945" s="631"/>
      <c r="D5945" s="631"/>
      <c r="E5945" s="633"/>
      <c r="F5945" s="650"/>
    </row>
    <row r="5946" spans="3:6">
      <c r="C5946" s="631"/>
      <c r="D5946" s="631"/>
      <c r="E5946" s="633"/>
      <c r="F5946" s="650"/>
    </row>
    <row r="5947" spans="3:6">
      <c r="C5947" s="631"/>
      <c r="D5947" s="631"/>
      <c r="E5947" s="633"/>
      <c r="F5947" s="650"/>
    </row>
    <row r="5948" spans="3:6">
      <c r="C5948" s="631"/>
      <c r="D5948" s="631"/>
      <c r="E5948" s="633"/>
      <c r="F5948" s="650"/>
    </row>
    <row r="5949" spans="3:6">
      <c r="C5949" s="631"/>
      <c r="D5949" s="631"/>
      <c r="E5949" s="633"/>
      <c r="F5949" s="650"/>
    </row>
    <row r="5950" spans="3:6">
      <c r="C5950" s="631"/>
      <c r="D5950" s="631"/>
      <c r="E5950" s="633"/>
      <c r="F5950" s="650"/>
    </row>
    <row r="5951" spans="3:6">
      <c r="C5951" s="631"/>
      <c r="D5951" s="631"/>
      <c r="E5951" s="633"/>
      <c r="F5951" s="650"/>
    </row>
    <row r="5952" spans="3:6">
      <c r="C5952" s="631"/>
      <c r="D5952" s="631"/>
      <c r="E5952" s="633"/>
      <c r="F5952" s="650"/>
    </row>
    <row r="5953" spans="3:6">
      <c r="C5953" s="631"/>
      <c r="D5953" s="631"/>
      <c r="E5953" s="633"/>
      <c r="F5953" s="650"/>
    </row>
    <row r="5954" spans="3:6">
      <c r="C5954" s="631"/>
      <c r="D5954" s="631"/>
      <c r="E5954" s="633"/>
      <c r="F5954" s="650"/>
    </row>
    <row r="5955" spans="3:6">
      <c r="C5955" s="631"/>
      <c r="D5955" s="631"/>
      <c r="E5955" s="633"/>
      <c r="F5955" s="650"/>
    </row>
    <row r="5956" spans="3:6">
      <c r="C5956" s="631"/>
      <c r="D5956" s="631"/>
      <c r="E5956" s="633"/>
      <c r="F5956" s="650"/>
    </row>
    <row r="5957" spans="3:6">
      <c r="C5957" s="631"/>
      <c r="D5957" s="631"/>
      <c r="E5957" s="633"/>
      <c r="F5957" s="650"/>
    </row>
    <row r="5958" spans="3:6">
      <c r="C5958" s="631"/>
      <c r="D5958" s="631"/>
      <c r="E5958" s="633"/>
      <c r="F5958" s="650"/>
    </row>
    <row r="5959" spans="3:6">
      <c r="C5959" s="631"/>
      <c r="D5959" s="631"/>
      <c r="E5959" s="633"/>
      <c r="F5959" s="650"/>
    </row>
    <row r="5960" spans="3:6">
      <c r="C5960" s="631"/>
      <c r="D5960" s="631"/>
      <c r="E5960" s="633"/>
      <c r="F5960" s="650"/>
    </row>
    <row r="5961" spans="3:6">
      <c r="C5961" s="631"/>
      <c r="D5961" s="631"/>
      <c r="E5961" s="633"/>
      <c r="F5961" s="650"/>
    </row>
    <row r="5962" spans="3:6">
      <c r="C5962" s="631"/>
      <c r="D5962" s="631"/>
      <c r="E5962" s="633"/>
      <c r="F5962" s="650"/>
    </row>
    <row r="5963" spans="3:6">
      <c r="C5963" s="631"/>
      <c r="D5963" s="631"/>
      <c r="E5963" s="633"/>
      <c r="F5963" s="650"/>
    </row>
    <row r="5964" spans="3:6">
      <c r="C5964" s="631"/>
      <c r="D5964" s="631"/>
      <c r="E5964" s="633"/>
      <c r="F5964" s="650"/>
    </row>
    <row r="5965" spans="3:6">
      <c r="C5965" s="631"/>
      <c r="D5965" s="631"/>
      <c r="E5965" s="633"/>
      <c r="F5965" s="650"/>
    </row>
    <row r="5966" spans="3:6">
      <c r="C5966" s="631"/>
      <c r="D5966" s="631"/>
      <c r="E5966" s="633"/>
      <c r="F5966" s="650"/>
    </row>
    <row r="5967" spans="3:6">
      <c r="C5967" s="631"/>
      <c r="D5967" s="631"/>
      <c r="E5967" s="633"/>
      <c r="F5967" s="650"/>
    </row>
    <row r="5968" spans="3:6">
      <c r="C5968" s="631"/>
      <c r="D5968" s="631"/>
      <c r="E5968" s="633"/>
      <c r="F5968" s="650"/>
    </row>
    <row r="5969" spans="3:6">
      <c r="C5969" s="631"/>
      <c r="D5969" s="631"/>
      <c r="E5969" s="633"/>
      <c r="F5969" s="650"/>
    </row>
    <row r="5970" spans="3:6">
      <c r="C5970" s="631"/>
      <c r="D5970" s="631"/>
      <c r="E5970" s="633"/>
      <c r="F5970" s="650"/>
    </row>
    <row r="5971" spans="3:6">
      <c r="C5971" s="631"/>
      <c r="D5971" s="631"/>
      <c r="E5971" s="633"/>
      <c r="F5971" s="650"/>
    </row>
    <row r="5972" spans="3:6">
      <c r="C5972" s="631"/>
      <c r="D5972" s="631"/>
      <c r="E5972" s="633"/>
      <c r="F5972" s="650"/>
    </row>
    <row r="5973" spans="3:6">
      <c r="C5973" s="631"/>
      <c r="D5973" s="631"/>
      <c r="E5973" s="633"/>
      <c r="F5973" s="650"/>
    </row>
    <row r="5974" spans="3:6">
      <c r="C5974" s="631"/>
      <c r="D5974" s="631"/>
      <c r="E5974" s="633"/>
      <c r="F5974" s="650"/>
    </row>
    <row r="5975" spans="3:6">
      <c r="C5975" s="631"/>
      <c r="D5975" s="631"/>
      <c r="E5975" s="633"/>
      <c r="F5975" s="650"/>
    </row>
    <row r="5976" spans="3:6">
      <c r="C5976" s="631"/>
      <c r="D5976" s="631"/>
      <c r="E5976" s="633"/>
      <c r="F5976" s="650"/>
    </row>
    <row r="5977" spans="3:6">
      <c r="C5977" s="631"/>
      <c r="D5977" s="631"/>
      <c r="E5977" s="633"/>
      <c r="F5977" s="650"/>
    </row>
    <row r="5978" spans="3:6">
      <c r="C5978" s="631"/>
      <c r="D5978" s="631"/>
      <c r="E5978" s="633"/>
      <c r="F5978" s="650"/>
    </row>
    <row r="5979" spans="3:6">
      <c r="C5979" s="631"/>
      <c r="D5979" s="631"/>
      <c r="E5979" s="633"/>
      <c r="F5979" s="650"/>
    </row>
    <row r="5980" spans="3:6">
      <c r="C5980" s="631"/>
      <c r="D5980" s="631"/>
      <c r="E5980" s="633"/>
      <c r="F5980" s="650"/>
    </row>
    <row r="5981" spans="3:6">
      <c r="C5981" s="631"/>
      <c r="D5981" s="631"/>
      <c r="E5981" s="633"/>
      <c r="F5981" s="650"/>
    </row>
    <row r="5982" spans="3:6">
      <c r="C5982" s="631"/>
      <c r="D5982" s="631"/>
      <c r="E5982" s="633"/>
      <c r="F5982" s="650"/>
    </row>
    <row r="5983" spans="3:6">
      <c r="C5983" s="631"/>
      <c r="D5983" s="631"/>
      <c r="E5983" s="633"/>
      <c r="F5983" s="650"/>
    </row>
    <row r="5984" spans="3:6">
      <c r="C5984" s="631"/>
      <c r="D5984" s="631"/>
      <c r="E5984" s="633"/>
      <c r="F5984" s="650"/>
    </row>
    <row r="5985" spans="3:6">
      <c r="C5985" s="631"/>
      <c r="D5985" s="631"/>
      <c r="E5985" s="633"/>
      <c r="F5985" s="650"/>
    </row>
    <row r="5986" spans="3:6">
      <c r="C5986" s="631"/>
      <c r="D5986" s="631"/>
      <c r="E5986" s="633"/>
      <c r="F5986" s="650"/>
    </row>
    <row r="5987" spans="3:6">
      <c r="C5987" s="631"/>
      <c r="D5987" s="631"/>
      <c r="E5987" s="633"/>
      <c r="F5987" s="650"/>
    </row>
    <row r="5988" spans="3:6">
      <c r="C5988" s="631"/>
      <c r="D5988" s="631"/>
      <c r="E5988" s="633"/>
      <c r="F5988" s="650"/>
    </row>
    <row r="5989" spans="3:6">
      <c r="C5989" s="631"/>
      <c r="D5989" s="631"/>
      <c r="E5989" s="633"/>
      <c r="F5989" s="650"/>
    </row>
    <row r="5990" spans="3:6">
      <c r="C5990" s="631"/>
      <c r="D5990" s="631"/>
      <c r="E5990" s="633"/>
      <c r="F5990" s="650"/>
    </row>
    <row r="5991" spans="3:6">
      <c r="C5991" s="631"/>
      <c r="D5991" s="631"/>
      <c r="E5991" s="633"/>
      <c r="F5991" s="650"/>
    </row>
    <row r="5992" spans="3:6">
      <c r="C5992" s="631"/>
      <c r="D5992" s="631"/>
      <c r="E5992" s="633"/>
      <c r="F5992" s="650"/>
    </row>
    <row r="5993" spans="3:6">
      <c r="C5993" s="631"/>
      <c r="D5993" s="631"/>
      <c r="E5993" s="633"/>
      <c r="F5993" s="650"/>
    </row>
    <row r="5994" spans="3:6">
      <c r="C5994" s="631"/>
      <c r="D5994" s="631"/>
      <c r="E5994" s="633"/>
      <c r="F5994" s="650"/>
    </row>
    <row r="5995" spans="3:6">
      <c r="C5995" s="631"/>
      <c r="D5995" s="631"/>
      <c r="E5995" s="633"/>
      <c r="F5995" s="650"/>
    </row>
    <row r="5996" spans="3:6">
      <c r="C5996" s="631"/>
      <c r="D5996" s="631"/>
      <c r="E5996" s="633"/>
      <c r="F5996" s="650"/>
    </row>
    <row r="5997" spans="3:6">
      <c r="C5997" s="631"/>
      <c r="D5997" s="631"/>
      <c r="E5997" s="633"/>
      <c r="F5997" s="650"/>
    </row>
    <row r="5998" spans="3:6">
      <c r="C5998" s="631"/>
      <c r="D5998" s="631"/>
      <c r="E5998" s="633"/>
      <c r="F5998" s="650"/>
    </row>
    <row r="5999" spans="3:6">
      <c r="C5999" s="631"/>
      <c r="D5999" s="631"/>
      <c r="E5999" s="633"/>
      <c r="F5999" s="650"/>
    </row>
    <row r="6000" spans="3:6">
      <c r="C6000" s="631"/>
      <c r="D6000" s="631"/>
      <c r="E6000" s="633"/>
      <c r="F6000" s="650"/>
    </row>
    <row r="6001" spans="3:6">
      <c r="C6001" s="631"/>
      <c r="D6001" s="631"/>
      <c r="E6001" s="633"/>
      <c r="F6001" s="650"/>
    </row>
    <row r="6002" spans="3:6">
      <c r="C6002" s="631"/>
      <c r="D6002" s="631"/>
      <c r="E6002" s="633"/>
      <c r="F6002" s="650"/>
    </row>
    <row r="6003" spans="3:6">
      <c r="C6003" s="631"/>
      <c r="D6003" s="631"/>
      <c r="E6003" s="633"/>
      <c r="F6003" s="650"/>
    </row>
    <row r="6004" spans="3:6">
      <c r="C6004" s="631"/>
      <c r="D6004" s="631"/>
      <c r="E6004" s="633"/>
      <c r="F6004" s="650"/>
    </row>
    <row r="6005" spans="3:6">
      <c r="C6005" s="631"/>
      <c r="D6005" s="631"/>
      <c r="E6005" s="633"/>
      <c r="F6005" s="650"/>
    </row>
    <row r="6006" spans="3:6">
      <c r="C6006" s="631"/>
      <c r="D6006" s="631"/>
      <c r="E6006" s="633"/>
      <c r="F6006" s="650"/>
    </row>
    <row r="6007" spans="3:6">
      <c r="C6007" s="631"/>
      <c r="D6007" s="631"/>
      <c r="E6007" s="633"/>
      <c r="F6007" s="650"/>
    </row>
    <row r="6008" spans="3:6">
      <c r="C6008" s="631"/>
      <c r="D6008" s="631"/>
      <c r="E6008" s="633"/>
      <c r="F6008" s="650"/>
    </row>
    <row r="6009" spans="3:6">
      <c r="C6009" s="631"/>
      <c r="D6009" s="631"/>
      <c r="E6009" s="633"/>
      <c r="F6009" s="650"/>
    </row>
    <row r="6010" spans="3:6">
      <c r="C6010" s="631"/>
      <c r="D6010" s="631"/>
      <c r="E6010" s="633"/>
      <c r="F6010" s="650"/>
    </row>
    <row r="6011" spans="3:6">
      <c r="C6011" s="631"/>
      <c r="D6011" s="631"/>
      <c r="E6011" s="633"/>
      <c r="F6011" s="650"/>
    </row>
    <row r="6012" spans="3:6">
      <c r="C6012" s="631"/>
      <c r="D6012" s="631"/>
      <c r="E6012" s="633"/>
      <c r="F6012" s="650"/>
    </row>
    <row r="6013" spans="3:6">
      <c r="C6013" s="631"/>
      <c r="D6013" s="631"/>
      <c r="E6013" s="633"/>
      <c r="F6013" s="650"/>
    </row>
    <row r="6014" spans="3:6">
      <c r="C6014" s="631"/>
      <c r="D6014" s="631"/>
      <c r="E6014" s="633"/>
      <c r="F6014" s="650"/>
    </row>
    <row r="6015" spans="3:6">
      <c r="C6015" s="631"/>
      <c r="D6015" s="631"/>
      <c r="E6015" s="633"/>
      <c r="F6015" s="650"/>
    </row>
    <row r="6016" spans="3:6">
      <c r="C6016" s="631"/>
      <c r="D6016" s="631"/>
      <c r="E6016" s="633"/>
      <c r="F6016" s="650"/>
    </row>
    <row r="6017" spans="3:6">
      <c r="C6017" s="631"/>
      <c r="D6017" s="631"/>
      <c r="E6017" s="633"/>
      <c r="F6017" s="650"/>
    </row>
    <row r="6018" spans="3:6">
      <c r="C6018" s="631"/>
      <c r="D6018" s="631"/>
      <c r="E6018" s="633"/>
      <c r="F6018" s="650"/>
    </row>
    <row r="6019" spans="3:6">
      <c r="C6019" s="631"/>
      <c r="D6019" s="631"/>
      <c r="E6019" s="633"/>
      <c r="F6019" s="650"/>
    </row>
    <row r="6020" spans="3:6">
      <c r="C6020" s="631"/>
      <c r="D6020" s="631"/>
      <c r="E6020" s="633"/>
      <c r="F6020" s="650"/>
    </row>
    <row r="6021" spans="3:6">
      <c r="C6021" s="631"/>
      <c r="D6021" s="631"/>
      <c r="E6021" s="633"/>
      <c r="F6021" s="650"/>
    </row>
    <row r="6022" spans="3:6">
      <c r="C6022" s="631"/>
      <c r="D6022" s="631"/>
      <c r="E6022" s="633"/>
      <c r="F6022" s="650"/>
    </row>
    <row r="6023" spans="3:6">
      <c r="C6023" s="631"/>
      <c r="D6023" s="631"/>
      <c r="E6023" s="633"/>
      <c r="F6023" s="650"/>
    </row>
    <row r="6024" spans="3:6">
      <c r="C6024" s="631"/>
      <c r="D6024" s="631"/>
      <c r="E6024" s="633"/>
      <c r="F6024" s="650"/>
    </row>
    <row r="6025" spans="3:6">
      <c r="C6025" s="631"/>
      <c r="D6025" s="631"/>
      <c r="E6025" s="633"/>
      <c r="F6025" s="650"/>
    </row>
    <row r="6026" spans="3:6">
      <c r="C6026" s="631"/>
      <c r="D6026" s="631"/>
      <c r="E6026" s="633"/>
      <c r="F6026" s="650"/>
    </row>
    <row r="6027" spans="3:6">
      <c r="C6027" s="631"/>
      <c r="D6027" s="631"/>
      <c r="E6027" s="633"/>
      <c r="F6027" s="650"/>
    </row>
    <row r="6028" spans="3:6">
      <c r="C6028" s="631"/>
      <c r="D6028" s="631"/>
      <c r="E6028" s="633"/>
      <c r="F6028" s="650"/>
    </row>
    <row r="6029" spans="3:6">
      <c r="C6029" s="631"/>
      <c r="D6029" s="631"/>
      <c r="E6029" s="633"/>
      <c r="F6029" s="650"/>
    </row>
    <row r="6030" spans="3:6">
      <c r="C6030" s="631"/>
      <c r="D6030" s="631"/>
      <c r="E6030" s="633"/>
      <c r="F6030" s="650"/>
    </row>
    <row r="6031" spans="3:6">
      <c r="C6031" s="631"/>
      <c r="D6031" s="631"/>
      <c r="E6031" s="633"/>
      <c r="F6031" s="650"/>
    </row>
    <row r="6032" spans="3:6">
      <c r="C6032" s="631"/>
      <c r="D6032" s="631"/>
      <c r="E6032" s="633"/>
      <c r="F6032" s="650"/>
    </row>
    <row r="6033" spans="3:6">
      <c r="C6033" s="631"/>
      <c r="D6033" s="631"/>
      <c r="E6033" s="633"/>
      <c r="F6033" s="650"/>
    </row>
    <row r="6034" spans="3:6">
      <c r="C6034" s="631"/>
      <c r="D6034" s="631"/>
      <c r="E6034" s="633"/>
      <c r="F6034" s="650"/>
    </row>
    <row r="6035" spans="3:6">
      <c r="C6035" s="631"/>
      <c r="D6035" s="631"/>
      <c r="E6035" s="633"/>
      <c r="F6035" s="650"/>
    </row>
    <row r="6036" spans="3:6">
      <c r="C6036" s="631"/>
      <c r="D6036" s="631"/>
      <c r="E6036" s="633"/>
      <c r="F6036" s="650"/>
    </row>
    <row r="6037" spans="3:6">
      <c r="C6037" s="631"/>
      <c r="D6037" s="631"/>
      <c r="E6037" s="633"/>
      <c r="F6037" s="650"/>
    </row>
    <row r="6038" spans="3:6">
      <c r="C6038" s="631"/>
      <c r="D6038" s="631"/>
      <c r="E6038" s="633"/>
      <c r="F6038" s="650"/>
    </row>
    <row r="6039" spans="3:6">
      <c r="C6039" s="631"/>
      <c r="D6039" s="631"/>
      <c r="E6039" s="633"/>
      <c r="F6039" s="650"/>
    </row>
    <row r="6040" spans="3:6">
      <c r="C6040" s="631"/>
      <c r="D6040" s="631"/>
      <c r="E6040" s="633"/>
      <c r="F6040" s="650"/>
    </row>
    <row r="6041" spans="3:6">
      <c r="C6041" s="631"/>
      <c r="D6041" s="631"/>
      <c r="E6041" s="633"/>
      <c r="F6041" s="650"/>
    </row>
    <row r="6042" spans="3:6">
      <c r="C6042" s="631"/>
      <c r="D6042" s="631"/>
      <c r="E6042" s="633"/>
      <c r="F6042" s="650"/>
    </row>
    <row r="6043" spans="3:6">
      <c r="C6043" s="631"/>
      <c r="D6043" s="631"/>
      <c r="E6043" s="633"/>
      <c r="F6043" s="650"/>
    </row>
    <row r="6044" spans="3:6">
      <c r="C6044" s="631"/>
      <c r="D6044" s="631"/>
      <c r="E6044" s="633"/>
      <c r="F6044" s="650"/>
    </row>
    <row r="6045" spans="3:6">
      <c r="C6045" s="631"/>
      <c r="D6045" s="631"/>
      <c r="E6045" s="633"/>
      <c r="F6045" s="650"/>
    </row>
    <row r="6046" spans="3:6">
      <c r="C6046" s="631"/>
      <c r="D6046" s="631"/>
      <c r="E6046" s="633"/>
      <c r="F6046" s="650"/>
    </row>
    <row r="6047" spans="3:6">
      <c r="C6047" s="631"/>
      <c r="D6047" s="631"/>
      <c r="E6047" s="633"/>
      <c r="F6047" s="650"/>
    </row>
    <row r="6048" spans="3:6">
      <c r="C6048" s="631"/>
      <c r="D6048" s="631"/>
      <c r="E6048" s="633"/>
      <c r="F6048" s="650"/>
    </row>
    <row r="6049" spans="3:6">
      <c r="C6049" s="631"/>
      <c r="D6049" s="631"/>
      <c r="E6049" s="633"/>
      <c r="F6049" s="650"/>
    </row>
    <row r="6050" spans="3:6">
      <c r="C6050" s="631"/>
      <c r="D6050" s="631"/>
      <c r="E6050" s="633"/>
      <c r="F6050" s="650"/>
    </row>
    <row r="6051" spans="3:6">
      <c r="C6051" s="631"/>
      <c r="D6051" s="631"/>
      <c r="E6051" s="633"/>
      <c r="F6051" s="650"/>
    </row>
    <row r="6052" spans="3:6">
      <c r="C6052" s="631"/>
      <c r="D6052" s="631"/>
      <c r="E6052" s="633"/>
      <c r="F6052" s="650"/>
    </row>
    <row r="6053" spans="3:6">
      <c r="C6053" s="631"/>
      <c r="D6053" s="631"/>
      <c r="E6053" s="633"/>
      <c r="F6053" s="650"/>
    </row>
    <row r="6054" spans="3:6">
      <c r="C6054" s="631"/>
      <c r="D6054" s="631"/>
      <c r="E6054" s="633"/>
      <c r="F6054" s="650"/>
    </row>
    <row r="6055" spans="3:6">
      <c r="C6055" s="631"/>
      <c r="D6055" s="631"/>
      <c r="E6055" s="633"/>
      <c r="F6055" s="650"/>
    </row>
    <row r="6056" spans="3:6">
      <c r="C6056" s="631"/>
      <c r="D6056" s="631"/>
      <c r="E6056" s="633"/>
      <c r="F6056" s="650"/>
    </row>
    <row r="6057" spans="3:6">
      <c r="C6057" s="631"/>
      <c r="D6057" s="631"/>
      <c r="E6057" s="633"/>
      <c r="F6057" s="650"/>
    </row>
    <row r="6058" spans="3:6">
      <c r="C6058" s="631"/>
      <c r="D6058" s="631"/>
      <c r="E6058" s="633"/>
      <c r="F6058" s="650"/>
    </row>
    <row r="6059" spans="3:6">
      <c r="C6059" s="631"/>
      <c r="D6059" s="631"/>
      <c r="E6059" s="633"/>
      <c r="F6059" s="650"/>
    </row>
    <row r="6060" spans="3:6">
      <c r="C6060" s="631"/>
      <c r="D6060" s="631"/>
      <c r="E6060" s="633"/>
      <c r="F6060" s="650"/>
    </row>
    <row r="6061" spans="3:6">
      <c r="C6061" s="631"/>
      <c r="D6061" s="631"/>
      <c r="E6061" s="633"/>
      <c r="F6061" s="650"/>
    </row>
    <row r="6062" spans="3:6">
      <c r="C6062" s="631"/>
      <c r="D6062" s="631"/>
      <c r="E6062" s="633"/>
      <c r="F6062" s="650"/>
    </row>
    <row r="6063" spans="3:6">
      <c r="C6063" s="631"/>
      <c r="D6063" s="631"/>
      <c r="E6063" s="633"/>
      <c r="F6063" s="650"/>
    </row>
    <row r="6064" spans="3:6">
      <c r="C6064" s="631"/>
      <c r="D6064" s="631"/>
      <c r="E6064" s="633"/>
      <c r="F6064" s="650"/>
    </row>
    <row r="6065" spans="3:6">
      <c r="C6065" s="631"/>
      <c r="D6065" s="631"/>
      <c r="E6065" s="633"/>
      <c r="F6065" s="650"/>
    </row>
    <row r="6066" spans="3:6">
      <c r="C6066" s="631"/>
      <c r="D6066" s="631"/>
      <c r="E6066" s="633"/>
      <c r="F6066" s="650"/>
    </row>
    <row r="6067" spans="3:6">
      <c r="C6067" s="631"/>
      <c r="D6067" s="631"/>
      <c r="E6067" s="633"/>
      <c r="F6067" s="650"/>
    </row>
    <row r="6068" spans="3:6">
      <c r="C6068" s="631"/>
      <c r="D6068" s="631"/>
      <c r="E6068" s="633"/>
      <c r="F6068" s="650"/>
    </row>
    <row r="6069" spans="3:6">
      <c r="C6069" s="631"/>
      <c r="D6069" s="631"/>
      <c r="E6069" s="633"/>
      <c r="F6069" s="650"/>
    </row>
    <row r="6070" spans="3:6">
      <c r="C6070" s="631"/>
      <c r="D6070" s="631"/>
      <c r="E6070" s="633"/>
      <c r="F6070" s="650"/>
    </row>
    <row r="6071" spans="3:6">
      <c r="C6071" s="631"/>
      <c r="D6071" s="631"/>
      <c r="E6071" s="633"/>
      <c r="F6071" s="650"/>
    </row>
    <row r="6072" spans="3:6">
      <c r="C6072" s="631"/>
      <c r="D6072" s="631"/>
      <c r="E6072" s="633"/>
      <c r="F6072" s="650"/>
    </row>
    <row r="6073" spans="3:6">
      <c r="C6073" s="631"/>
      <c r="D6073" s="631"/>
      <c r="E6073" s="633"/>
      <c r="F6073" s="650"/>
    </row>
    <row r="6074" spans="3:6">
      <c r="C6074" s="631"/>
      <c r="D6074" s="631"/>
      <c r="E6074" s="633"/>
      <c r="F6074" s="650"/>
    </row>
    <row r="6075" spans="3:6">
      <c r="C6075" s="631"/>
      <c r="D6075" s="631"/>
      <c r="E6075" s="633"/>
      <c r="F6075" s="650"/>
    </row>
    <row r="6076" spans="3:6">
      <c r="C6076" s="631"/>
      <c r="D6076" s="631"/>
      <c r="E6076" s="633"/>
      <c r="F6076" s="650"/>
    </row>
    <row r="6077" spans="3:6">
      <c r="C6077" s="631"/>
      <c r="D6077" s="631"/>
      <c r="E6077" s="633"/>
      <c r="F6077" s="650"/>
    </row>
    <row r="6078" spans="3:6">
      <c r="C6078" s="631"/>
      <c r="D6078" s="631"/>
      <c r="E6078" s="633"/>
      <c r="F6078" s="650"/>
    </row>
    <row r="6079" spans="3:6">
      <c r="C6079" s="631"/>
      <c r="D6079" s="631"/>
      <c r="E6079" s="633"/>
      <c r="F6079" s="650"/>
    </row>
    <row r="6080" spans="3:6">
      <c r="C6080" s="631"/>
      <c r="D6080" s="631"/>
      <c r="E6080" s="633"/>
      <c r="F6080" s="650"/>
    </row>
    <row r="6081" spans="3:6">
      <c r="C6081" s="631"/>
      <c r="D6081" s="631"/>
      <c r="E6081" s="633"/>
      <c r="F6081" s="650"/>
    </row>
    <row r="6082" spans="3:6">
      <c r="C6082" s="631"/>
      <c r="D6082" s="631"/>
      <c r="E6082" s="633"/>
      <c r="F6082" s="650"/>
    </row>
    <row r="6083" spans="3:6">
      <c r="C6083" s="631"/>
      <c r="D6083" s="631"/>
      <c r="E6083" s="633"/>
      <c r="F6083" s="650"/>
    </row>
    <row r="6084" spans="3:6">
      <c r="C6084" s="631"/>
      <c r="D6084" s="631"/>
      <c r="E6084" s="633"/>
      <c r="F6084" s="650"/>
    </row>
    <row r="6085" spans="3:6">
      <c r="C6085" s="631"/>
      <c r="D6085" s="631"/>
      <c r="E6085" s="633"/>
      <c r="F6085" s="650"/>
    </row>
    <row r="6086" spans="3:6">
      <c r="C6086" s="631"/>
      <c r="D6086" s="631"/>
      <c r="E6086" s="633"/>
      <c r="F6086" s="650"/>
    </row>
    <row r="6087" spans="3:6">
      <c r="C6087" s="631"/>
      <c r="D6087" s="631"/>
      <c r="E6087" s="633"/>
      <c r="F6087" s="650"/>
    </row>
    <row r="6088" spans="3:6">
      <c r="C6088" s="631"/>
      <c r="D6088" s="631"/>
      <c r="E6088" s="633"/>
      <c r="F6088" s="650"/>
    </row>
    <row r="6089" spans="3:6">
      <c r="C6089" s="631"/>
      <c r="D6089" s="631"/>
      <c r="E6089" s="633"/>
      <c r="F6089" s="650"/>
    </row>
    <row r="6090" spans="3:6">
      <c r="C6090" s="631"/>
      <c r="D6090" s="631"/>
      <c r="E6090" s="633"/>
      <c r="F6090" s="650"/>
    </row>
    <row r="6091" spans="3:6">
      <c r="C6091" s="631"/>
      <c r="D6091" s="631"/>
      <c r="E6091" s="633"/>
      <c r="F6091" s="650"/>
    </row>
    <row r="6092" spans="3:6">
      <c r="C6092" s="631"/>
      <c r="D6092" s="631"/>
      <c r="E6092" s="633"/>
      <c r="F6092" s="650"/>
    </row>
    <row r="6093" spans="3:6">
      <c r="C6093" s="631"/>
      <c r="D6093" s="631"/>
      <c r="E6093" s="633"/>
      <c r="F6093" s="650"/>
    </row>
    <row r="6094" spans="3:6">
      <c r="C6094" s="631"/>
      <c r="D6094" s="631"/>
      <c r="E6094" s="633"/>
      <c r="F6094" s="650"/>
    </row>
    <row r="6095" spans="3:6">
      <c r="C6095" s="631"/>
      <c r="D6095" s="631"/>
      <c r="E6095" s="633"/>
      <c r="F6095" s="650"/>
    </row>
    <row r="6096" spans="3:6">
      <c r="C6096" s="631"/>
      <c r="D6096" s="631"/>
      <c r="E6096" s="633"/>
      <c r="F6096" s="650"/>
    </row>
    <row r="6097" spans="3:6">
      <c r="C6097" s="631"/>
      <c r="D6097" s="631"/>
      <c r="E6097" s="633"/>
      <c r="F6097" s="650"/>
    </row>
    <row r="6098" spans="3:6">
      <c r="C6098" s="631"/>
      <c r="D6098" s="631"/>
      <c r="E6098" s="633"/>
      <c r="F6098" s="650"/>
    </row>
    <row r="6099" spans="3:6">
      <c r="C6099" s="631"/>
      <c r="D6099" s="631"/>
      <c r="E6099" s="633"/>
      <c r="F6099" s="650"/>
    </row>
    <row r="6100" spans="3:6">
      <c r="C6100" s="631"/>
      <c r="D6100" s="631"/>
      <c r="E6100" s="633"/>
      <c r="F6100" s="650"/>
    </row>
    <row r="6101" spans="3:6">
      <c r="C6101" s="631"/>
      <c r="D6101" s="631"/>
      <c r="E6101" s="633"/>
      <c r="F6101" s="650"/>
    </row>
    <row r="6102" spans="3:6">
      <c r="C6102" s="631"/>
      <c r="D6102" s="631"/>
      <c r="E6102" s="633"/>
      <c r="F6102" s="650"/>
    </row>
    <row r="6103" spans="3:6">
      <c r="C6103" s="631"/>
      <c r="D6103" s="631"/>
      <c r="E6103" s="633"/>
      <c r="F6103" s="650"/>
    </row>
    <row r="6104" spans="3:6">
      <c r="C6104" s="631"/>
      <c r="D6104" s="631"/>
      <c r="E6104" s="633"/>
      <c r="F6104" s="650"/>
    </row>
    <row r="6105" spans="3:6">
      <c r="C6105" s="631"/>
      <c r="D6105" s="631"/>
      <c r="E6105" s="633"/>
      <c r="F6105" s="650"/>
    </row>
    <row r="6106" spans="3:6">
      <c r="C6106" s="631"/>
      <c r="D6106" s="631"/>
      <c r="E6106" s="633"/>
      <c r="F6106" s="650"/>
    </row>
    <row r="6107" spans="3:6">
      <c r="C6107" s="631"/>
      <c r="D6107" s="631"/>
      <c r="E6107" s="633"/>
      <c r="F6107" s="650"/>
    </row>
    <row r="6108" spans="3:6">
      <c r="C6108" s="631"/>
      <c r="D6108" s="631"/>
      <c r="E6108" s="633"/>
      <c r="F6108" s="650"/>
    </row>
    <row r="6109" spans="3:6">
      <c r="C6109" s="631"/>
      <c r="D6109" s="631"/>
      <c r="E6109" s="633"/>
      <c r="F6109" s="650"/>
    </row>
    <row r="6110" spans="3:6">
      <c r="C6110" s="631"/>
      <c r="D6110" s="631"/>
      <c r="E6110" s="633"/>
      <c r="F6110" s="650"/>
    </row>
    <row r="6111" spans="3:6">
      <c r="C6111" s="631"/>
      <c r="D6111" s="631"/>
      <c r="E6111" s="633"/>
      <c r="F6111" s="650"/>
    </row>
    <row r="6112" spans="3:6">
      <c r="C6112" s="631"/>
      <c r="D6112" s="631"/>
      <c r="E6112" s="633"/>
      <c r="F6112" s="650"/>
    </row>
    <row r="6113" spans="3:6">
      <c r="C6113" s="631"/>
      <c r="D6113" s="631"/>
      <c r="E6113" s="633"/>
      <c r="F6113" s="650"/>
    </row>
    <row r="6114" spans="3:6">
      <c r="C6114" s="631"/>
      <c r="D6114" s="631"/>
      <c r="E6114" s="633"/>
      <c r="F6114" s="650"/>
    </row>
    <row r="6115" spans="3:6">
      <c r="C6115" s="631"/>
      <c r="D6115" s="631"/>
      <c r="E6115" s="633"/>
      <c r="F6115" s="650"/>
    </row>
    <row r="6116" spans="3:6">
      <c r="C6116" s="631"/>
      <c r="D6116" s="631"/>
      <c r="E6116" s="633"/>
      <c r="F6116" s="650"/>
    </row>
    <row r="6117" spans="3:6">
      <c r="C6117" s="631"/>
      <c r="D6117" s="631"/>
      <c r="E6117" s="633"/>
      <c r="F6117" s="650"/>
    </row>
    <row r="6118" spans="3:6">
      <c r="C6118" s="631"/>
      <c r="D6118" s="631"/>
      <c r="E6118" s="633"/>
      <c r="F6118" s="650"/>
    </row>
    <row r="6119" spans="3:6">
      <c r="C6119" s="631"/>
      <c r="D6119" s="631"/>
      <c r="E6119" s="633"/>
      <c r="F6119" s="650"/>
    </row>
    <row r="6120" spans="3:6">
      <c r="C6120" s="631"/>
      <c r="D6120" s="631"/>
      <c r="E6120" s="633"/>
      <c r="F6120" s="650"/>
    </row>
    <row r="6121" spans="3:6">
      <c r="C6121" s="631"/>
      <c r="D6121" s="631"/>
      <c r="E6121" s="633"/>
      <c r="F6121" s="650"/>
    </row>
    <row r="6122" spans="3:6">
      <c r="C6122" s="631"/>
      <c r="D6122" s="631"/>
      <c r="E6122" s="633"/>
      <c r="F6122" s="650"/>
    </row>
    <row r="6123" spans="3:6">
      <c r="C6123" s="631"/>
      <c r="D6123" s="631"/>
      <c r="E6123" s="633"/>
      <c r="F6123" s="650"/>
    </row>
    <row r="6124" spans="3:6">
      <c r="C6124" s="631"/>
      <c r="D6124" s="631"/>
      <c r="E6124" s="633"/>
      <c r="F6124" s="650"/>
    </row>
    <row r="6125" spans="3:6">
      <c r="C6125" s="631"/>
      <c r="D6125" s="631"/>
      <c r="E6125" s="633"/>
      <c r="F6125" s="650"/>
    </row>
    <row r="6126" spans="3:6">
      <c r="C6126" s="631"/>
      <c r="D6126" s="631"/>
      <c r="E6126" s="633"/>
      <c r="F6126" s="650"/>
    </row>
    <row r="6127" spans="3:6">
      <c r="C6127" s="631"/>
      <c r="D6127" s="631"/>
      <c r="E6127" s="633"/>
      <c r="F6127" s="650"/>
    </row>
    <row r="6128" spans="3:6">
      <c r="C6128" s="631"/>
      <c r="D6128" s="631"/>
      <c r="E6128" s="633"/>
      <c r="F6128" s="650"/>
    </row>
    <row r="6129" spans="3:6">
      <c r="C6129" s="631"/>
      <c r="D6129" s="631"/>
      <c r="E6129" s="633"/>
      <c r="F6129" s="650"/>
    </row>
    <row r="6130" spans="3:6">
      <c r="C6130" s="631"/>
      <c r="D6130" s="631"/>
      <c r="E6130" s="633"/>
      <c r="F6130" s="650"/>
    </row>
    <row r="6131" spans="3:6">
      <c r="C6131" s="631"/>
      <c r="D6131" s="631"/>
      <c r="E6131" s="633"/>
      <c r="F6131" s="650"/>
    </row>
    <row r="6132" spans="3:6">
      <c r="C6132" s="631"/>
      <c r="D6132" s="631"/>
      <c r="E6132" s="633"/>
      <c r="F6132" s="650"/>
    </row>
    <row r="6133" spans="3:6">
      <c r="C6133" s="631"/>
      <c r="D6133" s="631"/>
      <c r="E6133" s="633"/>
      <c r="F6133" s="650"/>
    </row>
    <row r="6134" spans="3:6">
      <c r="C6134" s="631"/>
      <c r="D6134" s="631"/>
      <c r="E6134" s="633"/>
      <c r="F6134" s="650"/>
    </row>
    <row r="6135" spans="3:6">
      <c r="C6135" s="631"/>
      <c r="D6135" s="631"/>
      <c r="E6135" s="633"/>
      <c r="F6135" s="650"/>
    </row>
    <row r="6136" spans="3:6">
      <c r="C6136" s="631"/>
      <c r="D6136" s="631"/>
      <c r="E6136" s="633"/>
      <c r="F6136" s="650"/>
    </row>
    <row r="6137" spans="3:6">
      <c r="C6137" s="631"/>
      <c r="D6137" s="631"/>
      <c r="E6137" s="633"/>
      <c r="F6137" s="650"/>
    </row>
    <row r="6138" spans="3:6">
      <c r="C6138" s="631"/>
      <c r="D6138" s="631"/>
      <c r="E6138" s="633"/>
      <c r="F6138" s="650"/>
    </row>
    <row r="6139" spans="3:6">
      <c r="C6139" s="631"/>
      <c r="D6139" s="631"/>
      <c r="E6139" s="633"/>
      <c r="F6139" s="650"/>
    </row>
    <row r="6140" spans="3:6">
      <c r="C6140" s="631"/>
      <c r="D6140" s="631"/>
      <c r="E6140" s="633"/>
      <c r="F6140" s="650"/>
    </row>
    <row r="6141" spans="3:6">
      <c r="C6141" s="631"/>
      <c r="D6141" s="631"/>
      <c r="E6141" s="633"/>
      <c r="F6141" s="650"/>
    </row>
    <row r="6142" spans="3:6">
      <c r="C6142" s="631"/>
      <c r="D6142" s="631"/>
      <c r="E6142" s="633"/>
      <c r="F6142" s="650"/>
    </row>
    <row r="6143" spans="3:6">
      <c r="C6143" s="631"/>
      <c r="D6143" s="631"/>
      <c r="E6143" s="633"/>
      <c r="F6143" s="650"/>
    </row>
    <row r="6144" spans="3:6">
      <c r="C6144" s="631"/>
      <c r="D6144" s="631"/>
      <c r="E6144" s="633"/>
      <c r="F6144" s="650"/>
    </row>
    <row r="6145" spans="3:6">
      <c r="C6145" s="631"/>
      <c r="D6145" s="631"/>
      <c r="E6145" s="633"/>
      <c r="F6145" s="650"/>
    </row>
    <row r="6146" spans="3:6">
      <c r="C6146" s="631"/>
      <c r="D6146" s="631"/>
      <c r="E6146" s="633"/>
      <c r="F6146" s="650"/>
    </row>
    <row r="6147" spans="3:6">
      <c r="C6147" s="631"/>
      <c r="D6147" s="631"/>
      <c r="E6147" s="633"/>
      <c r="F6147" s="650"/>
    </row>
    <row r="6148" spans="3:6">
      <c r="C6148" s="631"/>
      <c r="D6148" s="631"/>
      <c r="E6148" s="633"/>
      <c r="F6148" s="650"/>
    </row>
    <row r="6149" spans="3:6">
      <c r="C6149" s="631"/>
      <c r="D6149" s="631"/>
      <c r="E6149" s="633"/>
      <c r="F6149" s="650"/>
    </row>
    <row r="6150" spans="3:6">
      <c r="C6150" s="631"/>
      <c r="D6150" s="631"/>
      <c r="E6150" s="633"/>
      <c r="F6150" s="650"/>
    </row>
    <row r="6151" spans="3:6">
      <c r="C6151" s="631"/>
      <c r="D6151" s="631"/>
      <c r="E6151" s="633"/>
      <c r="F6151" s="650"/>
    </row>
    <row r="6152" spans="3:6">
      <c r="C6152" s="631"/>
      <c r="D6152" s="631"/>
      <c r="E6152" s="633"/>
      <c r="F6152" s="650"/>
    </row>
    <row r="6153" spans="3:6">
      <c r="C6153" s="631"/>
      <c r="D6153" s="631"/>
      <c r="E6153" s="633"/>
      <c r="F6153" s="650"/>
    </row>
    <row r="6154" spans="3:6">
      <c r="C6154" s="631"/>
      <c r="D6154" s="631"/>
      <c r="E6154" s="633"/>
      <c r="F6154" s="650"/>
    </row>
    <row r="6155" spans="3:6">
      <c r="C6155" s="631"/>
      <c r="D6155" s="631"/>
      <c r="E6155" s="633"/>
      <c r="F6155" s="650"/>
    </row>
    <row r="6156" spans="3:6">
      <c r="C6156" s="631"/>
      <c r="D6156" s="631"/>
      <c r="E6156" s="633"/>
      <c r="F6156" s="650"/>
    </row>
    <row r="6157" spans="3:6">
      <c r="C6157" s="631"/>
      <c r="D6157" s="631"/>
      <c r="E6157" s="633"/>
      <c r="F6157" s="650"/>
    </row>
    <row r="6158" spans="3:6">
      <c r="C6158" s="631"/>
      <c r="D6158" s="631"/>
      <c r="E6158" s="633"/>
      <c r="F6158" s="650"/>
    </row>
    <row r="6159" spans="3:6">
      <c r="C6159" s="631"/>
      <c r="D6159" s="631"/>
      <c r="E6159" s="633"/>
      <c r="F6159" s="650"/>
    </row>
    <row r="6160" spans="3:6">
      <c r="C6160" s="631"/>
      <c r="D6160" s="631"/>
      <c r="E6160" s="633"/>
      <c r="F6160" s="650"/>
    </row>
    <row r="6161" spans="3:6">
      <c r="C6161" s="631"/>
      <c r="D6161" s="631"/>
      <c r="E6161" s="633"/>
      <c r="F6161" s="650"/>
    </row>
    <row r="6162" spans="3:6">
      <c r="C6162" s="631"/>
      <c r="D6162" s="631"/>
      <c r="E6162" s="633"/>
      <c r="F6162" s="650"/>
    </row>
    <row r="6163" spans="3:6">
      <c r="C6163" s="631"/>
      <c r="D6163" s="631"/>
      <c r="E6163" s="633"/>
      <c r="F6163" s="650"/>
    </row>
    <row r="6164" spans="3:6">
      <c r="C6164" s="631"/>
      <c r="D6164" s="631"/>
      <c r="E6164" s="633"/>
      <c r="F6164" s="650"/>
    </row>
    <row r="6165" spans="3:6">
      <c r="C6165" s="631"/>
      <c r="D6165" s="631"/>
      <c r="E6165" s="633"/>
      <c r="F6165" s="650"/>
    </row>
    <row r="6166" spans="3:6">
      <c r="C6166" s="631"/>
      <c r="D6166" s="631"/>
      <c r="E6166" s="633"/>
      <c r="F6166" s="650"/>
    </row>
    <row r="6167" spans="3:6">
      <c r="C6167" s="631"/>
      <c r="D6167" s="631"/>
      <c r="E6167" s="633"/>
      <c r="F6167" s="650"/>
    </row>
    <row r="6168" spans="3:6">
      <c r="C6168" s="631"/>
      <c r="D6168" s="631"/>
      <c r="E6168" s="633"/>
      <c r="F6168" s="650"/>
    </row>
    <row r="6169" spans="3:6">
      <c r="C6169" s="631"/>
      <c r="D6169" s="631"/>
      <c r="E6169" s="633"/>
      <c r="F6169" s="650"/>
    </row>
    <row r="6170" spans="3:6">
      <c r="C6170" s="631"/>
      <c r="D6170" s="631"/>
      <c r="E6170" s="633"/>
      <c r="F6170" s="650"/>
    </row>
    <row r="6171" spans="3:6">
      <c r="C6171" s="631"/>
      <c r="D6171" s="631"/>
      <c r="E6171" s="633"/>
      <c r="F6171" s="650"/>
    </row>
    <row r="6172" spans="3:6">
      <c r="C6172" s="631"/>
      <c r="D6172" s="631"/>
      <c r="E6172" s="633"/>
      <c r="F6172" s="650"/>
    </row>
    <row r="6173" spans="3:6">
      <c r="C6173" s="631"/>
      <c r="D6173" s="631"/>
      <c r="E6173" s="633"/>
      <c r="F6173" s="650"/>
    </row>
    <row r="6174" spans="3:6">
      <c r="C6174" s="631"/>
      <c r="D6174" s="631"/>
      <c r="E6174" s="633"/>
      <c r="F6174" s="650"/>
    </row>
    <row r="6175" spans="3:6">
      <c r="C6175" s="631"/>
      <c r="D6175" s="631"/>
      <c r="E6175" s="633"/>
      <c r="F6175" s="650"/>
    </row>
    <row r="6176" spans="3:6">
      <c r="C6176" s="631"/>
      <c r="D6176" s="631"/>
      <c r="E6176" s="633"/>
      <c r="F6176" s="650"/>
    </row>
    <row r="6177" spans="3:6">
      <c r="C6177" s="631"/>
      <c r="D6177" s="631"/>
      <c r="E6177" s="633"/>
      <c r="F6177" s="650"/>
    </row>
    <row r="6178" spans="3:6">
      <c r="C6178" s="631"/>
      <c r="D6178" s="631"/>
      <c r="E6178" s="633"/>
      <c r="F6178" s="650"/>
    </row>
    <row r="6179" spans="3:6">
      <c r="C6179" s="631"/>
      <c r="D6179" s="631"/>
      <c r="E6179" s="633"/>
      <c r="F6179" s="650"/>
    </row>
    <row r="6180" spans="3:6">
      <c r="C6180" s="631"/>
      <c r="D6180" s="631"/>
      <c r="E6180" s="633"/>
      <c r="F6180" s="650"/>
    </row>
    <row r="6181" spans="3:6">
      <c r="C6181" s="631"/>
      <c r="D6181" s="631"/>
      <c r="E6181" s="633"/>
      <c r="F6181" s="650"/>
    </row>
    <row r="6182" spans="3:6">
      <c r="C6182" s="631"/>
      <c r="D6182" s="631"/>
      <c r="E6182" s="633"/>
      <c r="F6182" s="650"/>
    </row>
    <row r="6183" spans="3:6">
      <c r="C6183" s="631"/>
      <c r="D6183" s="631"/>
      <c r="E6183" s="633"/>
      <c r="F6183" s="650"/>
    </row>
    <row r="6184" spans="3:6">
      <c r="C6184" s="631"/>
      <c r="D6184" s="631"/>
      <c r="E6184" s="633"/>
      <c r="F6184" s="650"/>
    </row>
    <row r="6185" spans="3:6">
      <c r="C6185" s="631"/>
      <c r="D6185" s="631"/>
      <c r="E6185" s="633"/>
      <c r="F6185" s="650"/>
    </row>
    <row r="6186" spans="3:6">
      <c r="C6186" s="631"/>
      <c r="D6186" s="631"/>
      <c r="E6186" s="633"/>
      <c r="F6186" s="650"/>
    </row>
    <row r="6187" spans="3:6">
      <c r="C6187" s="631"/>
      <c r="D6187" s="631"/>
      <c r="E6187" s="633"/>
      <c r="F6187" s="650"/>
    </row>
    <row r="6188" spans="3:6">
      <c r="C6188" s="631"/>
      <c r="D6188" s="631"/>
      <c r="E6188" s="633"/>
      <c r="F6188" s="650"/>
    </row>
    <row r="6189" spans="3:6">
      <c r="C6189" s="631"/>
      <c r="D6189" s="631"/>
      <c r="E6189" s="633"/>
      <c r="F6189" s="650"/>
    </row>
    <row r="6190" spans="3:6">
      <c r="C6190" s="631"/>
      <c r="D6190" s="631"/>
      <c r="E6190" s="633"/>
      <c r="F6190" s="650"/>
    </row>
    <row r="6191" spans="3:6">
      <c r="C6191" s="631"/>
      <c r="D6191" s="631"/>
      <c r="E6191" s="633"/>
      <c r="F6191" s="650"/>
    </row>
    <row r="6192" spans="3:6">
      <c r="C6192" s="631"/>
      <c r="D6192" s="631"/>
      <c r="E6192" s="633"/>
      <c r="F6192" s="650"/>
    </row>
    <row r="6193" spans="3:6">
      <c r="C6193" s="631"/>
      <c r="D6193" s="631"/>
      <c r="E6193" s="633"/>
      <c r="F6193" s="650"/>
    </row>
    <row r="6194" spans="3:6">
      <c r="C6194" s="631"/>
      <c r="D6194" s="631"/>
      <c r="E6194" s="633"/>
      <c r="F6194" s="650"/>
    </row>
    <row r="6195" spans="3:6">
      <c r="C6195" s="631"/>
      <c r="D6195" s="631"/>
      <c r="E6195" s="633"/>
      <c r="F6195" s="650"/>
    </row>
    <row r="6196" spans="3:6">
      <c r="C6196" s="631"/>
      <c r="D6196" s="631"/>
      <c r="E6196" s="633"/>
      <c r="F6196" s="650"/>
    </row>
    <row r="6197" spans="3:6">
      <c r="C6197" s="631"/>
      <c r="D6197" s="631"/>
      <c r="E6197" s="633"/>
      <c r="F6197" s="650"/>
    </row>
    <row r="6198" spans="3:6">
      <c r="C6198" s="631"/>
      <c r="D6198" s="631"/>
      <c r="E6198" s="633"/>
      <c r="F6198" s="650"/>
    </row>
    <row r="6199" spans="3:6">
      <c r="C6199" s="631"/>
      <c r="D6199" s="631"/>
      <c r="E6199" s="633"/>
      <c r="F6199" s="650"/>
    </row>
    <row r="6200" spans="3:6">
      <c r="C6200" s="631"/>
      <c r="D6200" s="631"/>
      <c r="E6200" s="633"/>
      <c r="F6200" s="650"/>
    </row>
    <row r="6201" spans="3:6">
      <c r="C6201" s="631"/>
      <c r="D6201" s="631"/>
      <c r="E6201" s="633"/>
      <c r="F6201" s="650"/>
    </row>
    <row r="6202" spans="3:6">
      <c r="C6202" s="631"/>
      <c r="D6202" s="631"/>
      <c r="E6202" s="633"/>
      <c r="F6202" s="650"/>
    </row>
    <row r="6203" spans="3:6">
      <c r="C6203" s="631"/>
      <c r="D6203" s="631"/>
      <c r="E6203" s="633"/>
      <c r="F6203" s="650"/>
    </row>
    <row r="6204" spans="3:6">
      <c r="C6204" s="631"/>
      <c r="D6204" s="631"/>
      <c r="E6204" s="633"/>
      <c r="F6204" s="650"/>
    </row>
    <row r="6205" spans="3:6">
      <c r="C6205" s="631"/>
      <c r="D6205" s="631"/>
      <c r="E6205" s="633"/>
      <c r="F6205" s="650"/>
    </row>
    <row r="6206" spans="3:6">
      <c r="C6206" s="631"/>
      <c r="D6206" s="631"/>
      <c r="E6206" s="633"/>
      <c r="F6206" s="650"/>
    </row>
    <row r="6207" spans="3:6">
      <c r="C6207" s="631"/>
      <c r="D6207" s="631"/>
      <c r="E6207" s="633"/>
      <c r="F6207" s="650"/>
    </row>
    <row r="6208" spans="3:6">
      <c r="C6208" s="631"/>
      <c r="D6208" s="631"/>
      <c r="E6208" s="633"/>
      <c r="F6208" s="650"/>
    </row>
    <row r="6209" spans="3:6">
      <c r="C6209" s="631"/>
      <c r="D6209" s="631"/>
      <c r="E6209" s="633"/>
      <c r="F6209" s="650"/>
    </row>
    <row r="6210" spans="3:6">
      <c r="C6210" s="631"/>
      <c r="D6210" s="631"/>
      <c r="E6210" s="633"/>
      <c r="F6210" s="650"/>
    </row>
    <row r="6211" spans="3:6">
      <c r="C6211" s="631"/>
      <c r="D6211" s="631"/>
      <c r="E6211" s="633"/>
      <c r="F6211" s="650"/>
    </row>
    <row r="6212" spans="3:6">
      <c r="C6212" s="631"/>
      <c r="D6212" s="631"/>
      <c r="E6212" s="633"/>
      <c r="F6212" s="650"/>
    </row>
    <row r="6213" spans="3:6">
      <c r="C6213" s="631"/>
      <c r="D6213" s="631"/>
      <c r="E6213" s="633"/>
      <c r="F6213" s="650"/>
    </row>
    <row r="6214" spans="3:6">
      <c r="C6214" s="631"/>
      <c r="D6214" s="631"/>
      <c r="E6214" s="633"/>
      <c r="F6214" s="650"/>
    </row>
    <row r="6215" spans="3:6">
      <c r="C6215" s="631"/>
      <c r="D6215" s="631"/>
      <c r="E6215" s="633"/>
      <c r="F6215" s="650"/>
    </row>
    <row r="6216" spans="3:6">
      <c r="C6216" s="631"/>
      <c r="D6216" s="631"/>
      <c r="E6216" s="633"/>
      <c r="F6216" s="650"/>
    </row>
    <row r="6217" spans="3:6">
      <c r="C6217" s="631"/>
      <c r="D6217" s="631"/>
      <c r="E6217" s="633"/>
      <c r="F6217" s="650"/>
    </row>
    <row r="6218" spans="3:6">
      <c r="C6218" s="631"/>
      <c r="D6218" s="631"/>
      <c r="E6218" s="633"/>
      <c r="F6218" s="650"/>
    </row>
    <row r="6219" spans="3:6">
      <c r="C6219" s="631"/>
      <c r="D6219" s="631"/>
      <c r="E6219" s="633"/>
      <c r="F6219" s="650"/>
    </row>
    <row r="6220" spans="3:6">
      <c r="C6220" s="631"/>
      <c r="D6220" s="631"/>
      <c r="E6220" s="633"/>
      <c r="F6220" s="650"/>
    </row>
    <row r="6221" spans="3:6">
      <c r="C6221" s="631"/>
      <c r="D6221" s="631"/>
      <c r="E6221" s="633"/>
      <c r="F6221" s="650"/>
    </row>
    <row r="6222" spans="3:6">
      <c r="C6222" s="631"/>
      <c r="D6222" s="631"/>
      <c r="E6222" s="633"/>
      <c r="F6222" s="650"/>
    </row>
    <row r="6223" spans="3:6">
      <c r="C6223" s="631"/>
      <c r="D6223" s="631"/>
      <c r="E6223" s="633"/>
      <c r="F6223" s="650"/>
    </row>
    <row r="6224" spans="3:6">
      <c r="C6224" s="631"/>
      <c r="D6224" s="631"/>
      <c r="E6224" s="633"/>
      <c r="F6224" s="650"/>
    </row>
    <row r="6225" spans="3:6">
      <c r="C6225" s="631"/>
      <c r="D6225" s="631"/>
      <c r="E6225" s="633"/>
      <c r="F6225" s="650"/>
    </row>
    <row r="6226" spans="3:6">
      <c r="C6226" s="631"/>
      <c r="D6226" s="631"/>
      <c r="E6226" s="633"/>
      <c r="F6226" s="650"/>
    </row>
    <row r="6227" spans="3:6">
      <c r="C6227" s="631"/>
      <c r="D6227" s="631"/>
      <c r="E6227" s="633"/>
      <c r="F6227" s="650"/>
    </row>
    <row r="6228" spans="3:6">
      <c r="C6228" s="631"/>
      <c r="D6228" s="631"/>
      <c r="E6228" s="633"/>
      <c r="F6228" s="650"/>
    </row>
    <row r="6229" spans="3:6">
      <c r="C6229" s="631"/>
      <c r="D6229" s="631"/>
      <c r="E6229" s="633"/>
      <c r="F6229" s="650"/>
    </row>
    <row r="6230" spans="3:6">
      <c r="C6230" s="631"/>
      <c r="D6230" s="631"/>
      <c r="E6230" s="633"/>
      <c r="F6230" s="650"/>
    </row>
    <row r="6231" spans="3:6">
      <c r="C6231" s="631"/>
      <c r="D6231" s="631"/>
      <c r="E6231" s="633"/>
      <c r="F6231" s="650"/>
    </row>
    <row r="6232" spans="3:6">
      <c r="C6232" s="631"/>
      <c r="D6232" s="631"/>
      <c r="E6232" s="633"/>
      <c r="F6232" s="650"/>
    </row>
    <row r="6233" spans="3:6">
      <c r="C6233" s="631"/>
      <c r="D6233" s="631"/>
      <c r="E6233" s="633"/>
      <c r="F6233" s="650"/>
    </row>
    <row r="6234" spans="3:6">
      <c r="C6234" s="631"/>
      <c r="D6234" s="631"/>
      <c r="E6234" s="633"/>
      <c r="F6234" s="650"/>
    </row>
    <row r="6235" spans="3:6">
      <c r="C6235" s="631"/>
      <c r="D6235" s="631"/>
      <c r="E6235" s="633"/>
      <c r="F6235" s="650"/>
    </row>
    <row r="6236" spans="3:6">
      <c r="C6236" s="631"/>
      <c r="D6236" s="631"/>
      <c r="E6236" s="633"/>
      <c r="F6236" s="650"/>
    </row>
    <row r="6237" spans="3:6">
      <c r="C6237" s="631"/>
      <c r="D6237" s="631"/>
      <c r="E6237" s="633"/>
      <c r="F6237" s="650"/>
    </row>
    <row r="6238" spans="3:6">
      <c r="C6238" s="631"/>
      <c r="D6238" s="631"/>
      <c r="E6238" s="633"/>
      <c r="F6238" s="650"/>
    </row>
    <row r="6239" spans="3:6">
      <c r="C6239" s="631"/>
      <c r="D6239" s="631"/>
      <c r="E6239" s="633"/>
      <c r="F6239" s="650"/>
    </row>
    <row r="6240" spans="3:6">
      <c r="C6240" s="631"/>
      <c r="D6240" s="631"/>
      <c r="E6240" s="633"/>
      <c r="F6240" s="650"/>
    </row>
    <row r="6241" spans="3:6">
      <c r="C6241" s="631"/>
      <c r="D6241" s="631"/>
      <c r="E6241" s="633"/>
      <c r="F6241" s="650"/>
    </row>
    <row r="6242" spans="3:6">
      <c r="C6242" s="631"/>
      <c r="D6242" s="631"/>
      <c r="E6242" s="633"/>
      <c r="F6242" s="650"/>
    </row>
    <row r="6243" spans="3:6">
      <c r="C6243" s="631"/>
      <c r="D6243" s="631"/>
      <c r="E6243" s="633"/>
      <c r="F6243" s="650"/>
    </row>
    <row r="6244" spans="3:6">
      <c r="C6244" s="631"/>
      <c r="D6244" s="631"/>
      <c r="E6244" s="633"/>
      <c r="F6244" s="650"/>
    </row>
    <row r="6245" spans="3:6">
      <c r="C6245" s="631"/>
      <c r="D6245" s="631"/>
      <c r="E6245" s="633"/>
      <c r="F6245" s="650"/>
    </row>
    <row r="6246" spans="3:6">
      <c r="C6246" s="631"/>
      <c r="D6246" s="631"/>
      <c r="E6246" s="633"/>
      <c r="F6246" s="650"/>
    </row>
    <row r="6247" spans="3:6">
      <c r="C6247" s="631"/>
      <c r="D6247" s="631"/>
      <c r="E6247" s="633"/>
      <c r="F6247" s="650"/>
    </row>
    <row r="6248" spans="3:6">
      <c r="C6248" s="631"/>
      <c r="D6248" s="631"/>
      <c r="E6248" s="633"/>
      <c r="F6248" s="650"/>
    </row>
    <row r="6249" spans="3:6">
      <c r="C6249" s="631"/>
      <c r="D6249" s="631"/>
      <c r="E6249" s="633"/>
      <c r="F6249" s="650"/>
    </row>
    <row r="6250" spans="3:6">
      <c r="C6250" s="631"/>
      <c r="D6250" s="631"/>
      <c r="E6250" s="633"/>
      <c r="F6250" s="650"/>
    </row>
    <row r="6251" spans="3:6">
      <c r="C6251" s="631"/>
      <c r="D6251" s="631"/>
      <c r="E6251" s="633"/>
      <c r="F6251" s="650"/>
    </row>
    <row r="6252" spans="3:6">
      <c r="C6252" s="631"/>
      <c r="D6252" s="631"/>
      <c r="E6252" s="633"/>
      <c r="F6252" s="650"/>
    </row>
    <row r="6253" spans="3:6">
      <c r="C6253" s="631"/>
      <c r="D6253" s="631"/>
      <c r="E6253" s="633"/>
      <c r="F6253" s="650"/>
    </row>
    <row r="6254" spans="3:6">
      <c r="C6254" s="631"/>
      <c r="D6254" s="631"/>
      <c r="E6254" s="633"/>
      <c r="F6254" s="650"/>
    </row>
    <row r="6255" spans="3:6">
      <c r="C6255" s="631"/>
      <c r="D6255" s="631"/>
      <c r="E6255" s="633"/>
      <c r="F6255" s="650"/>
    </row>
    <row r="6256" spans="3:6">
      <c r="C6256" s="631"/>
      <c r="D6256" s="631"/>
      <c r="E6256" s="633"/>
      <c r="F6256" s="650"/>
    </row>
    <row r="6257" spans="3:6">
      <c r="C6257" s="631"/>
      <c r="D6257" s="631"/>
      <c r="E6257" s="633"/>
      <c r="F6257" s="650"/>
    </row>
    <row r="6258" spans="3:6">
      <c r="C6258" s="631"/>
      <c r="D6258" s="631"/>
      <c r="E6258" s="633"/>
      <c r="F6258" s="650"/>
    </row>
    <row r="6259" spans="3:6">
      <c r="C6259" s="631"/>
      <c r="D6259" s="631"/>
      <c r="E6259" s="633"/>
      <c r="F6259" s="650"/>
    </row>
    <row r="6260" spans="3:6">
      <c r="C6260" s="631"/>
      <c r="D6260" s="631"/>
      <c r="E6260" s="633"/>
      <c r="F6260" s="650"/>
    </row>
    <row r="6261" spans="3:6">
      <c r="C6261" s="631"/>
      <c r="D6261" s="631"/>
      <c r="E6261" s="633"/>
      <c r="F6261" s="650"/>
    </row>
    <row r="6262" spans="3:6">
      <c r="C6262" s="631"/>
      <c r="D6262" s="631"/>
      <c r="E6262" s="633"/>
      <c r="F6262" s="650"/>
    </row>
    <row r="6263" spans="3:6">
      <c r="C6263" s="631"/>
      <c r="D6263" s="631"/>
      <c r="E6263" s="633"/>
      <c r="F6263" s="650"/>
    </row>
    <row r="6264" spans="3:6">
      <c r="C6264" s="631"/>
      <c r="D6264" s="631"/>
      <c r="E6264" s="633"/>
      <c r="F6264" s="650"/>
    </row>
    <row r="6265" spans="3:6">
      <c r="C6265" s="631"/>
      <c r="D6265" s="631"/>
      <c r="E6265" s="633"/>
      <c r="F6265" s="650"/>
    </row>
    <row r="6266" spans="3:6">
      <c r="C6266" s="631"/>
      <c r="D6266" s="631"/>
      <c r="E6266" s="633"/>
      <c r="F6266" s="650"/>
    </row>
    <row r="6267" spans="3:6">
      <c r="C6267" s="631"/>
      <c r="D6267" s="631"/>
      <c r="E6267" s="633"/>
      <c r="F6267" s="650"/>
    </row>
    <row r="6268" spans="3:6">
      <c r="C6268" s="631"/>
      <c r="D6268" s="631"/>
      <c r="E6268" s="633"/>
      <c r="F6268" s="650"/>
    </row>
    <row r="6269" spans="3:6">
      <c r="C6269" s="631"/>
      <c r="D6269" s="631"/>
      <c r="E6269" s="633"/>
      <c r="F6269" s="650"/>
    </row>
    <row r="6270" spans="3:6">
      <c r="C6270" s="631"/>
      <c r="D6270" s="631"/>
      <c r="E6270" s="633"/>
      <c r="F6270" s="650"/>
    </row>
    <row r="6271" spans="3:6">
      <c r="C6271" s="631"/>
      <c r="D6271" s="631"/>
      <c r="E6271" s="633"/>
      <c r="F6271" s="650"/>
    </row>
    <row r="6272" spans="3:6">
      <c r="C6272" s="631"/>
      <c r="D6272" s="631"/>
      <c r="E6272" s="633"/>
      <c r="F6272" s="650"/>
    </row>
    <row r="6273" spans="3:6">
      <c r="C6273" s="631"/>
      <c r="D6273" s="631"/>
      <c r="E6273" s="633"/>
      <c r="F6273" s="650"/>
    </row>
    <row r="6274" spans="3:6">
      <c r="C6274" s="631"/>
      <c r="D6274" s="631"/>
      <c r="E6274" s="633"/>
      <c r="F6274" s="650"/>
    </row>
    <row r="6275" spans="3:6">
      <c r="C6275" s="631"/>
      <c r="D6275" s="631"/>
      <c r="E6275" s="633"/>
      <c r="F6275" s="650"/>
    </row>
    <row r="6276" spans="3:6">
      <c r="C6276" s="631"/>
      <c r="D6276" s="631"/>
      <c r="E6276" s="633"/>
      <c r="F6276" s="650"/>
    </row>
    <row r="6277" spans="3:6">
      <c r="C6277" s="631"/>
      <c r="D6277" s="631"/>
      <c r="E6277" s="633"/>
      <c r="F6277" s="650"/>
    </row>
    <row r="6278" spans="3:6">
      <c r="C6278" s="631"/>
      <c r="D6278" s="631"/>
      <c r="E6278" s="633"/>
      <c r="F6278" s="650"/>
    </row>
    <row r="6279" spans="3:6">
      <c r="C6279" s="631"/>
      <c r="D6279" s="631"/>
      <c r="E6279" s="633"/>
      <c r="F6279" s="650"/>
    </row>
    <row r="6280" spans="3:6">
      <c r="C6280" s="631"/>
      <c r="D6280" s="631"/>
      <c r="E6280" s="633"/>
      <c r="F6280" s="650"/>
    </row>
    <row r="6281" spans="3:6">
      <c r="C6281" s="631"/>
      <c r="D6281" s="631"/>
      <c r="E6281" s="633"/>
      <c r="F6281" s="650"/>
    </row>
    <row r="6282" spans="3:6">
      <c r="C6282" s="631"/>
      <c r="D6282" s="631"/>
      <c r="E6282" s="633"/>
      <c r="F6282" s="650"/>
    </row>
    <row r="6283" spans="3:6">
      <c r="C6283" s="631"/>
      <c r="D6283" s="631"/>
      <c r="E6283" s="633"/>
      <c r="F6283" s="650"/>
    </row>
    <row r="6284" spans="3:6">
      <c r="C6284" s="631"/>
      <c r="D6284" s="631"/>
      <c r="E6284" s="633"/>
      <c r="F6284" s="650"/>
    </row>
    <row r="6285" spans="3:6">
      <c r="C6285" s="631"/>
      <c r="D6285" s="631"/>
      <c r="E6285" s="633"/>
      <c r="F6285" s="650"/>
    </row>
    <row r="6286" spans="3:6">
      <c r="C6286" s="631"/>
      <c r="D6286" s="631"/>
      <c r="E6286" s="633"/>
      <c r="F6286" s="650"/>
    </row>
    <row r="6287" spans="3:6">
      <c r="C6287" s="631"/>
      <c r="D6287" s="631"/>
      <c r="E6287" s="633"/>
      <c r="F6287" s="650"/>
    </row>
    <row r="6288" spans="3:6">
      <c r="C6288" s="631"/>
      <c r="D6288" s="631"/>
      <c r="E6288" s="633"/>
      <c r="F6288" s="650"/>
    </row>
    <row r="6289" spans="3:6">
      <c r="C6289" s="631"/>
      <c r="D6289" s="631"/>
      <c r="E6289" s="633"/>
      <c r="F6289" s="650"/>
    </row>
    <row r="6290" spans="3:6">
      <c r="C6290" s="631"/>
      <c r="D6290" s="631"/>
      <c r="E6290" s="633"/>
      <c r="F6290" s="650"/>
    </row>
    <row r="6291" spans="3:6">
      <c r="C6291" s="631"/>
      <c r="D6291" s="631"/>
      <c r="E6291" s="633"/>
      <c r="F6291" s="650"/>
    </row>
    <row r="6292" spans="3:6">
      <c r="C6292" s="631"/>
      <c r="D6292" s="631"/>
      <c r="E6292" s="633"/>
      <c r="F6292" s="650"/>
    </row>
    <row r="6293" spans="3:6">
      <c r="C6293" s="631"/>
      <c r="D6293" s="631"/>
      <c r="E6293" s="633"/>
      <c r="F6293" s="650"/>
    </row>
    <row r="6294" spans="3:6">
      <c r="C6294" s="631"/>
      <c r="D6294" s="631"/>
      <c r="E6294" s="633"/>
      <c r="F6294" s="650"/>
    </row>
    <row r="6295" spans="3:6">
      <c r="C6295" s="631"/>
      <c r="D6295" s="631"/>
      <c r="E6295" s="633"/>
      <c r="F6295" s="650"/>
    </row>
    <row r="6296" spans="3:6">
      <c r="C6296" s="631"/>
      <c r="D6296" s="631"/>
      <c r="E6296" s="633"/>
      <c r="F6296" s="650"/>
    </row>
    <row r="6297" spans="3:6">
      <c r="C6297" s="631"/>
      <c r="D6297" s="631"/>
      <c r="E6297" s="633"/>
      <c r="F6297" s="650"/>
    </row>
    <row r="6298" spans="3:6">
      <c r="C6298" s="631"/>
      <c r="D6298" s="631"/>
      <c r="E6298" s="633"/>
      <c r="F6298" s="650"/>
    </row>
    <row r="6299" spans="3:6">
      <c r="C6299" s="631"/>
      <c r="D6299" s="631"/>
      <c r="E6299" s="633"/>
      <c r="F6299" s="650"/>
    </row>
    <row r="6300" spans="3:6">
      <c r="C6300" s="631"/>
      <c r="D6300" s="631"/>
      <c r="E6300" s="633"/>
      <c r="F6300" s="650"/>
    </row>
    <row r="6301" spans="3:6">
      <c r="C6301" s="631"/>
      <c r="D6301" s="631"/>
      <c r="E6301" s="633"/>
      <c r="F6301" s="650"/>
    </row>
    <row r="6302" spans="3:6">
      <c r="C6302" s="631"/>
      <c r="D6302" s="631"/>
      <c r="E6302" s="633"/>
      <c r="F6302" s="650"/>
    </row>
    <row r="6303" spans="3:6">
      <c r="C6303" s="631"/>
      <c r="D6303" s="631"/>
      <c r="E6303" s="633"/>
      <c r="F6303" s="650"/>
    </row>
    <row r="6304" spans="3:6">
      <c r="C6304" s="631"/>
      <c r="D6304" s="631"/>
      <c r="E6304" s="633"/>
      <c r="F6304" s="650"/>
    </row>
    <row r="6305" spans="3:6">
      <c r="C6305" s="631"/>
      <c r="D6305" s="631"/>
      <c r="E6305" s="633"/>
      <c r="F6305" s="650"/>
    </row>
    <row r="6306" spans="3:6">
      <c r="C6306" s="631"/>
      <c r="D6306" s="631"/>
      <c r="E6306" s="633"/>
      <c r="F6306" s="650"/>
    </row>
    <row r="6307" spans="3:6">
      <c r="C6307" s="631"/>
      <c r="D6307" s="631"/>
      <c r="E6307" s="633"/>
      <c r="F6307" s="650"/>
    </row>
    <row r="6308" spans="3:6">
      <c r="C6308" s="631"/>
      <c r="D6308" s="631"/>
      <c r="E6308" s="633"/>
      <c r="F6308" s="650"/>
    </row>
    <row r="6309" spans="3:6">
      <c r="C6309" s="631"/>
      <c r="D6309" s="631"/>
      <c r="E6309" s="633"/>
      <c r="F6309" s="650"/>
    </row>
    <row r="6310" spans="3:6">
      <c r="C6310" s="631"/>
      <c r="D6310" s="631"/>
      <c r="E6310" s="633"/>
      <c r="F6310" s="650"/>
    </row>
    <row r="6311" spans="3:6">
      <c r="C6311" s="631"/>
      <c r="D6311" s="631"/>
      <c r="E6311" s="633"/>
      <c r="F6311" s="650"/>
    </row>
    <row r="6312" spans="3:6">
      <c r="C6312" s="631"/>
      <c r="D6312" s="631"/>
      <c r="E6312" s="633"/>
      <c r="F6312" s="650"/>
    </row>
    <row r="6313" spans="3:6">
      <c r="C6313" s="631"/>
      <c r="D6313" s="631"/>
      <c r="E6313" s="633"/>
      <c r="F6313" s="650"/>
    </row>
    <row r="6314" spans="3:6">
      <c r="C6314" s="631"/>
      <c r="D6314" s="631"/>
      <c r="E6314" s="633"/>
      <c r="F6314" s="650"/>
    </row>
    <row r="6315" spans="3:6">
      <c r="C6315" s="631"/>
      <c r="D6315" s="631"/>
      <c r="E6315" s="633"/>
      <c r="F6315" s="650"/>
    </row>
    <row r="6316" spans="3:6">
      <c r="C6316" s="631"/>
      <c r="D6316" s="631"/>
      <c r="E6316" s="633"/>
      <c r="F6316" s="650"/>
    </row>
    <row r="6317" spans="3:6">
      <c r="C6317" s="631"/>
      <c r="D6317" s="631"/>
      <c r="E6317" s="633"/>
      <c r="F6317" s="650"/>
    </row>
    <row r="6318" spans="3:6">
      <c r="C6318" s="631"/>
      <c r="D6318" s="631"/>
      <c r="E6318" s="633"/>
      <c r="F6318" s="650"/>
    </row>
    <row r="6319" spans="3:6">
      <c r="C6319" s="631"/>
      <c r="D6319" s="631"/>
      <c r="E6319" s="633"/>
      <c r="F6319" s="650"/>
    </row>
    <row r="6320" spans="3:6">
      <c r="C6320" s="631"/>
      <c r="D6320" s="631"/>
      <c r="E6320" s="633"/>
      <c r="F6320" s="650"/>
    </row>
    <row r="6321" spans="3:6">
      <c r="C6321" s="631"/>
      <c r="D6321" s="631"/>
      <c r="E6321" s="633"/>
      <c r="F6321" s="650"/>
    </row>
    <row r="6322" spans="3:6">
      <c r="C6322" s="631"/>
      <c r="D6322" s="631"/>
      <c r="E6322" s="633"/>
      <c r="F6322" s="650"/>
    </row>
    <row r="6323" spans="3:6">
      <c r="C6323" s="631"/>
      <c r="D6323" s="631"/>
      <c r="E6323" s="633"/>
      <c r="F6323" s="650"/>
    </row>
    <row r="6324" spans="3:6">
      <c r="C6324" s="631"/>
      <c r="D6324" s="631"/>
      <c r="E6324" s="633"/>
      <c r="F6324" s="650"/>
    </row>
    <row r="6325" spans="3:6">
      <c r="C6325" s="631"/>
      <c r="D6325" s="631"/>
      <c r="E6325" s="633"/>
      <c r="F6325" s="650"/>
    </row>
    <row r="6326" spans="3:6">
      <c r="C6326" s="631"/>
      <c r="D6326" s="631"/>
      <c r="E6326" s="633"/>
      <c r="F6326" s="650"/>
    </row>
    <row r="6327" spans="3:6">
      <c r="C6327" s="631"/>
      <c r="D6327" s="631"/>
      <c r="E6327" s="633"/>
      <c r="F6327" s="650"/>
    </row>
    <row r="6328" spans="3:6">
      <c r="C6328" s="631"/>
      <c r="D6328" s="631"/>
      <c r="E6328" s="633"/>
      <c r="F6328" s="650"/>
    </row>
    <row r="6329" spans="3:6">
      <c r="C6329" s="631"/>
      <c r="D6329" s="631"/>
      <c r="E6329" s="633"/>
      <c r="F6329" s="650"/>
    </row>
    <row r="6330" spans="3:6">
      <c r="C6330" s="631"/>
      <c r="D6330" s="631"/>
      <c r="E6330" s="633"/>
      <c r="F6330" s="650"/>
    </row>
    <row r="6331" spans="3:6">
      <c r="C6331" s="631"/>
      <c r="D6331" s="631"/>
      <c r="E6331" s="633"/>
      <c r="F6331" s="650"/>
    </row>
    <row r="6332" spans="3:6">
      <c r="C6332" s="631"/>
      <c r="D6332" s="631"/>
      <c r="E6332" s="633"/>
      <c r="F6332" s="650"/>
    </row>
    <row r="6333" spans="3:6">
      <c r="C6333" s="631"/>
      <c r="D6333" s="631"/>
      <c r="E6333" s="633"/>
      <c r="F6333" s="650"/>
    </row>
    <row r="6334" spans="3:6">
      <c r="C6334" s="631"/>
      <c r="D6334" s="631"/>
      <c r="E6334" s="633"/>
      <c r="F6334" s="650"/>
    </row>
    <row r="6335" spans="3:6">
      <c r="C6335" s="631"/>
      <c r="D6335" s="631"/>
      <c r="E6335" s="633"/>
      <c r="F6335" s="650"/>
    </row>
    <row r="6336" spans="3:6">
      <c r="C6336" s="631"/>
      <c r="D6336" s="631"/>
      <c r="E6336" s="633"/>
      <c r="F6336" s="650"/>
    </row>
    <row r="6337" spans="3:6">
      <c r="C6337" s="631"/>
      <c r="D6337" s="631"/>
      <c r="E6337" s="633"/>
      <c r="F6337" s="650"/>
    </row>
    <row r="6338" spans="3:6">
      <c r="C6338" s="631"/>
      <c r="D6338" s="631"/>
      <c r="E6338" s="633"/>
      <c r="F6338" s="650"/>
    </row>
    <row r="6339" spans="3:6">
      <c r="C6339" s="631"/>
      <c r="D6339" s="631"/>
      <c r="E6339" s="633"/>
      <c r="F6339" s="650"/>
    </row>
    <row r="6340" spans="3:6">
      <c r="C6340" s="631"/>
      <c r="D6340" s="631"/>
      <c r="E6340" s="633"/>
      <c r="F6340" s="650"/>
    </row>
    <row r="6341" spans="3:6">
      <c r="C6341" s="631"/>
      <c r="D6341" s="631"/>
      <c r="E6341" s="633"/>
      <c r="F6341" s="650"/>
    </row>
    <row r="6342" spans="3:6">
      <c r="C6342" s="631"/>
      <c r="D6342" s="631"/>
      <c r="E6342" s="633"/>
      <c r="F6342" s="650"/>
    </row>
    <row r="6343" spans="3:6">
      <c r="C6343" s="631"/>
      <c r="D6343" s="631"/>
      <c r="E6343" s="633"/>
      <c r="F6343" s="650"/>
    </row>
    <row r="6344" spans="3:6">
      <c r="C6344" s="631"/>
      <c r="D6344" s="631"/>
      <c r="E6344" s="633"/>
      <c r="F6344" s="650"/>
    </row>
    <row r="6345" spans="3:6">
      <c r="C6345" s="631"/>
      <c r="D6345" s="631"/>
      <c r="E6345" s="633"/>
      <c r="F6345" s="650"/>
    </row>
    <row r="6346" spans="3:6">
      <c r="C6346" s="631"/>
      <c r="D6346" s="631"/>
      <c r="E6346" s="633"/>
      <c r="F6346" s="650"/>
    </row>
    <row r="6347" spans="3:6">
      <c r="C6347" s="631"/>
      <c r="D6347" s="631"/>
      <c r="E6347" s="633"/>
      <c r="F6347" s="650"/>
    </row>
    <row r="6348" spans="3:6">
      <c r="C6348" s="631"/>
      <c r="D6348" s="631"/>
      <c r="E6348" s="633"/>
      <c r="F6348" s="650"/>
    </row>
    <row r="6349" spans="3:6">
      <c r="C6349" s="631"/>
      <c r="D6349" s="631"/>
      <c r="E6349" s="633"/>
      <c r="F6349" s="650"/>
    </row>
    <row r="6350" spans="3:6">
      <c r="C6350" s="631"/>
      <c r="D6350" s="631"/>
      <c r="E6350" s="633"/>
      <c r="F6350" s="650"/>
    </row>
    <row r="6351" spans="3:6">
      <c r="C6351" s="631"/>
      <c r="D6351" s="631"/>
      <c r="E6351" s="633"/>
      <c r="F6351" s="650"/>
    </row>
    <row r="6352" spans="3:6">
      <c r="C6352" s="631"/>
      <c r="D6352" s="631"/>
      <c r="E6352" s="633"/>
      <c r="F6352" s="650"/>
    </row>
    <row r="6353" spans="3:6">
      <c r="C6353" s="631"/>
      <c r="D6353" s="631"/>
      <c r="E6353" s="633"/>
      <c r="F6353" s="650"/>
    </row>
    <row r="6354" spans="3:6">
      <c r="C6354" s="631"/>
      <c r="D6354" s="631"/>
      <c r="E6354" s="633"/>
      <c r="F6354" s="650"/>
    </row>
    <row r="6355" spans="3:6">
      <c r="C6355" s="631"/>
      <c r="D6355" s="631"/>
      <c r="E6355" s="633"/>
      <c r="F6355" s="650"/>
    </row>
    <row r="6356" spans="3:6">
      <c r="C6356" s="631"/>
      <c r="D6356" s="631"/>
      <c r="E6356" s="633"/>
      <c r="F6356" s="650"/>
    </row>
    <row r="6357" spans="3:6">
      <c r="C6357" s="631"/>
      <c r="D6357" s="631"/>
      <c r="E6357" s="633"/>
      <c r="F6357" s="650"/>
    </row>
    <row r="6358" spans="3:6">
      <c r="C6358" s="631"/>
      <c r="D6358" s="631"/>
      <c r="E6358" s="633"/>
      <c r="F6358" s="650"/>
    </row>
    <row r="6359" spans="3:6">
      <c r="C6359" s="631"/>
      <c r="D6359" s="631"/>
      <c r="E6359" s="633"/>
      <c r="F6359" s="650"/>
    </row>
    <row r="6360" spans="3:6">
      <c r="C6360" s="631"/>
      <c r="D6360" s="631"/>
      <c r="E6360" s="633"/>
      <c r="F6360" s="650"/>
    </row>
    <row r="6361" spans="3:6">
      <c r="C6361" s="631"/>
      <c r="D6361" s="631"/>
      <c r="E6361" s="633"/>
      <c r="F6361" s="650"/>
    </row>
    <row r="6362" spans="3:6">
      <c r="C6362" s="631"/>
      <c r="D6362" s="631"/>
      <c r="E6362" s="633"/>
      <c r="F6362" s="650"/>
    </row>
    <row r="6363" spans="3:6">
      <c r="C6363" s="631"/>
      <c r="D6363" s="631"/>
      <c r="E6363" s="633"/>
      <c r="F6363" s="650"/>
    </row>
    <row r="6364" spans="3:6">
      <c r="C6364" s="631"/>
      <c r="D6364" s="631"/>
      <c r="E6364" s="633"/>
      <c r="F6364" s="650"/>
    </row>
    <row r="6365" spans="3:6">
      <c r="C6365" s="631"/>
      <c r="D6365" s="631"/>
      <c r="E6365" s="633"/>
      <c r="F6365" s="650"/>
    </row>
    <row r="6366" spans="3:6">
      <c r="C6366" s="631"/>
      <c r="D6366" s="631"/>
      <c r="E6366" s="633"/>
      <c r="F6366" s="650"/>
    </row>
    <row r="6367" spans="3:6">
      <c r="C6367" s="631"/>
      <c r="D6367" s="631"/>
      <c r="E6367" s="633"/>
      <c r="F6367" s="650"/>
    </row>
    <row r="6368" spans="3:6">
      <c r="C6368" s="631"/>
      <c r="D6368" s="631"/>
      <c r="E6368" s="633"/>
      <c r="F6368" s="650"/>
    </row>
    <row r="6369" spans="3:6">
      <c r="C6369" s="631"/>
      <c r="D6369" s="631"/>
      <c r="E6369" s="633"/>
      <c r="F6369" s="650"/>
    </row>
    <row r="6370" spans="3:6">
      <c r="C6370" s="631"/>
      <c r="D6370" s="631"/>
      <c r="E6370" s="633"/>
      <c r="F6370" s="650"/>
    </row>
    <row r="6371" spans="3:6">
      <c r="C6371" s="631"/>
      <c r="D6371" s="631"/>
      <c r="E6371" s="633"/>
      <c r="F6371" s="650"/>
    </row>
    <row r="6372" spans="3:6">
      <c r="C6372" s="631"/>
      <c r="D6372" s="631"/>
      <c r="E6372" s="633"/>
      <c r="F6372" s="650"/>
    </row>
    <row r="6373" spans="3:6">
      <c r="C6373" s="631"/>
      <c r="D6373" s="631"/>
      <c r="E6373" s="633"/>
      <c r="F6373" s="650"/>
    </row>
    <row r="6374" spans="3:6">
      <c r="C6374" s="631"/>
      <c r="D6374" s="631"/>
      <c r="E6374" s="633"/>
      <c r="F6374" s="650"/>
    </row>
    <row r="6375" spans="3:6">
      <c r="C6375" s="631"/>
      <c r="D6375" s="631"/>
      <c r="E6375" s="633"/>
      <c r="F6375" s="650"/>
    </row>
    <row r="6376" spans="3:6">
      <c r="C6376" s="631"/>
      <c r="D6376" s="631"/>
      <c r="E6376" s="633"/>
      <c r="F6376" s="650"/>
    </row>
    <row r="6377" spans="3:6">
      <c r="C6377" s="631"/>
      <c r="D6377" s="631"/>
      <c r="E6377" s="633"/>
      <c r="F6377" s="650"/>
    </row>
    <row r="6378" spans="3:6">
      <c r="C6378" s="631"/>
      <c r="D6378" s="631"/>
      <c r="E6378" s="633"/>
      <c r="F6378" s="650"/>
    </row>
    <row r="6379" spans="3:6">
      <c r="C6379" s="631"/>
      <c r="D6379" s="631"/>
      <c r="E6379" s="633"/>
      <c r="F6379" s="650"/>
    </row>
    <row r="6380" spans="3:6">
      <c r="C6380" s="631"/>
      <c r="D6380" s="631"/>
      <c r="E6380" s="633"/>
      <c r="F6380" s="650"/>
    </row>
    <row r="6381" spans="3:6">
      <c r="C6381" s="631"/>
      <c r="D6381" s="631"/>
      <c r="E6381" s="633"/>
      <c r="F6381" s="650"/>
    </row>
    <row r="6382" spans="3:6">
      <c r="C6382" s="631"/>
      <c r="D6382" s="631"/>
      <c r="E6382" s="633"/>
      <c r="F6382" s="650"/>
    </row>
    <row r="6383" spans="3:6">
      <c r="C6383" s="631"/>
      <c r="D6383" s="631"/>
      <c r="E6383" s="633"/>
      <c r="F6383" s="650"/>
    </row>
    <row r="6384" spans="3:6">
      <c r="C6384" s="631"/>
      <c r="D6384" s="631"/>
      <c r="E6384" s="633"/>
      <c r="F6384" s="650"/>
    </row>
    <row r="6385" spans="3:6">
      <c r="C6385" s="631"/>
      <c r="D6385" s="631"/>
      <c r="E6385" s="633"/>
      <c r="F6385" s="650"/>
    </row>
    <row r="6386" spans="3:6">
      <c r="C6386" s="631"/>
      <c r="D6386" s="631"/>
      <c r="E6386" s="633"/>
      <c r="F6386" s="650"/>
    </row>
    <row r="6387" spans="3:6">
      <c r="C6387" s="631"/>
      <c r="D6387" s="631"/>
      <c r="E6387" s="633"/>
      <c r="F6387" s="650"/>
    </row>
    <row r="6388" spans="3:6">
      <c r="C6388" s="631"/>
      <c r="D6388" s="631"/>
      <c r="E6388" s="633"/>
      <c r="F6388" s="650"/>
    </row>
    <row r="6389" spans="3:6">
      <c r="C6389" s="631"/>
      <c r="D6389" s="631"/>
      <c r="E6389" s="633"/>
      <c r="F6389" s="650"/>
    </row>
    <row r="6390" spans="3:6">
      <c r="C6390" s="631"/>
      <c r="D6390" s="631"/>
      <c r="E6390" s="633"/>
      <c r="F6390" s="650"/>
    </row>
    <row r="6391" spans="3:6">
      <c r="C6391" s="631"/>
      <c r="D6391" s="631"/>
      <c r="E6391" s="633"/>
      <c r="F6391" s="650"/>
    </row>
    <row r="6392" spans="3:6">
      <c r="C6392" s="631"/>
      <c r="D6392" s="631"/>
      <c r="E6392" s="633"/>
      <c r="F6392" s="650"/>
    </row>
    <row r="6393" spans="3:6">
      <c r="C6393" s="631"/>
      <c r="D6393" s="631"/>
      <c r="E6393" s="633"/>
      <c r="F6393" s="650"/>
    </row>
    <row r="6394" spans="3:6">
      <c r="C6394" s="631"/>
      <c r="D6394" s="631"/>
      <c r="E6394" s="633"/>
      <c r="F6394" s="650"/>
    </row>
    <row r="6395" spans="3:6">
      <c r="C6395" s="631"/>
      <c r="D6395" s="631"/>
      <c r="E6395" s="633"/>
      <c r="F6395" s="650"/>
    </row>
    <row r="6396" spans="3:6">
      <c r="C6396" s="631"/>
      <c r="D6396" s="631"/>
      <c r="E6396" s="633"/>
      <c r="F6396" s="650"/>
    </row>
    <row r="6397" spans="3:6">
      <c r="C6397" s="631"/>
      <c r="D6397" s="631"/>
      <c r="E6397" s="633"/>
      <c r="F6397" s="650"/>
    </row>
    <row r="6398" spans="3:6">
      <c r="C6398" s="631"/>
      <c r="D6398" s="631"/>
      <c r="E6398" s="633"/>
      <c r="F6398" s="650"/>
    </row>
    <row r="6399" spans="3:6">
      <c r="C6399" s="631"/>
      <c r="D6399" s="631"/>
      <c r="E6399" s="633"/>
      <c r="F6399" s="650"/>
    </row>
    <row r="6400" spans="3:6">
      <c r="C6400" s="631"/>
      <c r="D6400" s="631"/>
      <c r="E6400" s="633"/>
      <c r="F6400" s="650"/>
    </row>
    <row r="6401" spans="3:6">
      <c r="C6401" s="631"/>
      <c r="D6401" s="631"/>
      <c r="E6401" s="633"/>
      <c r="F6401" s="650"/>
    </row>
    <row r="6402" spans="3:6">
      <c r="C6402" s="631"/>
      <c r="D6402" s="631"/>
      <c r="E6402" s="633"/>
      <c r="F6402" s="650"/>
    </row>
    <row r="6403" spans="3:6">
      <c r="C6403" s="631"/>
      <c r="D6403" s="631"/>
      <c r="E6403" s="633"/>
      <c r="F6403" s="650"/>
    </row>
    <row r="6404" spans="3:6">
      <c r="C6404" s="631"/>
      <c r="D6404" s="631"/>
      <c r="E6404" s="633"/>
      <c r="F6404" s="650"/>
    </row>
    <row r="6405" spans="3:6">
      <c r="C6405" s="631"/>
      <c r="D6405" s="631"/>
      <c r="E6405" s="633"/>
      <c r="F6405" s="650"/>
    </row>
    <row r="6406" spans="3:6">
      <c r="C6406" s="631"/>
      <c r="D6406" s="631"/>
      <c r="E6406" s="633"/>
      <c r="F6406" s="650"/>
    </row>
    <row r="6407" spans="3:6">
      <c r="C6407" s="631"/>
      <c r="D6407" s="631"/>
      <c r="E6407" s="633"/>
      <c r="F6407" s="650"/>
    </row>
    <row r="6408" spans="3:6">
      <c r="C6408" s="631"/>
      <c r="D6408" s="631"/>
      <c r="E6408" s="633"/>
      <c r="F6408" s="650"/>
    </row>
    <row r="6409" spans="3:6">
      <c r="C6409" s="631"/>
      <c r="D6409" s="631"/>
      <c r="E6409" s="633"/>
      <c r="F6409" s="650"/>
    </row>
    <row r="6410" spans="3:6">
      <c r="C6410" s="631"/>
      <c r="D6410" s="631"/>
      <c r="E6410" s="633"/>
      <c r="F6410" s="650"/>
    </row>
    <row r="6411" spans="3:6">
      <c r="C6411" s="631"/>
      <c r="D6411" s="631"/>
      <c r="E6411" s="633"/>
      <c r="F6411" s="650"/>
    </row>
    <row r="6412" spans="3:6">
      <c r="C6412" s="631"/>
      <c r="D6412" s="631"/>
      <c r="E6412" s="633"/>
      <c r="F6412" s="650"/>
    </row>
    <row r="6413" spans="3:6">
      <c r="C6413" s="631"/>
      <c r="D6413" s="631"/>
      <c r="E6413" s="633"/>
      <c r="F6413" s="650"/>
    </row>
    <row r="6414" spans="3:6">
      <c r="C6414" s="631"/>
      <c r="D6414" s="631"/>
      <c r="E6414" s="633"/>
      <c r="F6414" s="650"/>
    </row>
    <row r="6415" spans="3:6">
      <c r="C6415" s="631"/>
      <c r="D6415" s="631"/>
      <c r="E6415" s="633"/>
      <c r="F6415" s="650"/>
    </row>
    <row r="6416" spans="3:6">
      <c r="C6416" s="631"/>
      <c r="D6416" s="631"/>
      <c r="E6416" s="633"/>
      <c r="F6416" s="650"/>
    </row>
    <row r="6417" spans="3:6">
      <c r="C6417" s="631"/>
      <c r="D6417" s="631"/>
      <c r="E6417" s="633"/>
      <c r="F6417" s="650"/>
    </row>
    <row r="6418" spans="3:6">
      <c r="C6418" s="631"/>
      <c r="D6418" s="631"/>
      <c r="E6418" s="633"/>
      <c r="F6418" s="650"/>
    </row>
    <row r="6419" spans="3:6">
      <c r="C6419" s="631"/>
      <c r="D6419" s="631"/>
      <c r="E6419" s="633"/>
      <c r="F6419" s="650"/>
    </row>
    <row r="6420" spans="3:6">
      <c r="C6420" s="631"/>
      <c r="D6420" s="631"/>
      <c r="E6420" s="633"/>
      <c r="F6420" s="650"/>
    </row>
    <row r="6421" spans="3:6">
      <c r="C6421" s="631"/>
      <c r="D6421" s="631"/>
      <c r="E6421" s="633"/>
      <c r="F6421" s="650"/>
    </row>
    <row r="6422" spans="3:6">
      <c r="C6422" s="631"/>
      <c r="D6422" s="631"/>
      <c r="E6422" s="633"/>
      <c r="F6422" s="650"/>
    </row>
    <row r="6423" spans="3:6">
      <c r="C6423" s="631"/>
      <c r="D6423" s="631"/>
      <c r="E6423" s="633"/>
      <c r="F6423" s="650"/>
    </row>
    <row r="6424" spans="3:6">
      <c r="C6424" s="631"/>
      <c r="D6424" s="631"/>
      <c r="E6424" s="633"/>
      <c r="F6424" s="650"/>
    </row>
    <row r="6425" spans="3:6">
      <c r="C6425" s="631"/>
      <c r="D6425" s="631"/>
      <c r="E6425" s="633"/>
      <c r="F6425" s="650"/>
    </row>
    <row r="6426" spans="3:6">
      <c r="C6426" s="631"/>
      <c r="D6426" s="631"/>
      <c r="E6426" s="633"/>
      <c r="F6426" s="650"/>
    </row>
    <row r="6427" spans="3:6">
      <c r="C6427" s="631"/>
      <c r="D6427" s="631"/>
      <c r="E6427" s="633"/>
      <c r="F6427" s="650"/>
    </row>
    <row r="6428" spans="3:6">
      <c r="C6428" s="631"/>
      <c r="D6428" s="631"/>
      <c r="E6428" s="633"/>
      <c r="F6428" s="650"/>
    </row>
    <row r="6429" spans="3:6">
      <c r="C6429" s="631"/>
      <c r="D6429" s="631"/>
      <c r="E6429" s="633"/>
      <c r="F6429" s="650"/>
    </row>
    <row r="6430" spans="3:6">
      <c r="C6430" s="631"/>
      <c r="D6430" s="631"/>
      <c r="E6430" s="633"/>
      <c r="F6430" s="650"/>
    </row>
    <row r="6431" spans="3:6">
      <c r="C6431" s="631"/>
      <c r="D6431" s="631"/>
      <c r="E6431" s="633"/>
      <c r="F6431" s="650"/>
    </row>
    <row r="6432" spans="3:6">
      <c r="C6432" s="631"/>
      <c r="D6432" s="631"/>
      <c r="E6432" s="633"/>
      <c r="F6432" s="650"/>
    </row>
    <row r="6433" spans="3:6">
      <c r="C6433" s="631"/>
      <c r="D6433" s="631"/>
      <c r="E6433" s="633"/>
      <c r="F6433" s="650"/>
    </row>
    <row r="6434" spans="3:6">
      <c r="C6434" s="631"/>
      <c r="D6434" s="631"/>
      <c r="E6434" s="633"/>
      <c r="F6434" s="650"/>
    </row>
    <row r="6435" spans="3:6">
      <c r="C6435" s="631"/>
      <c r="D6435" s="631"/>
      <c r="E6435" s="633"/>
      <c r="F6435" s="650"/>
    </row>
    <row r="6436" spans="3:6">
      <c r="C6436" s="631"/>
      <c r="D6436" s="631"/>
      <c r="E6436" s="633"/>
      <c r="F6436" s="650"/>
    </row>
    <row r="6437" spans="3:6">
      <c r="C6437" s="631"/>
      <c r="D6437" s="631"/>
      <c r="E6437" s="633"/>
      <c r="F6437" s="650"/>
    </row>
    <row r="6438" spans="3:6">
      <c r="C6438" s="631"/>
      <c r="D6438" s="631"/>
      <c r="E6438" s="633"/>
      <c r="F6438" s="650"/>
    </row>
    <row r="6439" spans="3:6">
      <c r="C6439" s="631"/>
      <c r="D6439" s="631"/>
      <c r="E6439" s="633"/>
      <c r="F6439" s="650"/>
    </row>
    <row r="6440" spans="3:6">
      <c r="C6440" s="631"/>
      <c r="D6440" s="631"/>
      <c r="E6440" s="633"/>
      <c r="F6440" s="650"/>
    </row>
    <row r="6441" spans="3:6">
      <c r="C6441" s="631"/>
      <c r="D6441" s="631"/>
      <c r="E6441" s="633"/>
      <c r="F6441" s="650"/>
    </row>
    <row r="6442" spans="3:6">
      <c r="C6442" s="631"/>
      <c r="D6442" s="631"/>
      <c r="E6442" s="633"/>
      <c r="F6442" s="650"/>
    </row>
    <row r="6443" spans="3:6">
      <c r="C6443" s="631"/>
      <c r="D6443" s="631"/>
      <c r="E6443" s="633"/>
      <c r="F6443" s="650"/>
    </row>
    <row r="6444" spans="3:6">
      <c r="C6444" s="631"/>
      <c r="D6444" s="631"/>
      <c r="E6444" s="633"/>
      <c r="F6444" s="650"/>
    </row>
    <row r="6445" spans="3:6">
      <c r="C6445" s="631"/>
      <c r="D6445" s="631"/>
      <c r="E6445" s="633"/>
      <c r="F6445" s="650"/>
    </row>
    <row r="6446" spans="3:6">
      <c r="C6446" s="631"/>
      <c r="D6446" s="631"/>
      <c r="E6446" s="633"/>
      <c r="F6446" s="650"/>
    </row>
    <row r="6447" spans="3:6">
      <c r="C6447" s="631"/>
      <c r="D6447" s="631"/>
      <c r="E6447" s="633"/>
      <c r="F6447" s="650"/>
    </row>
    <row r="6448" spans="3:6">
      <c r="C6448" s="631"/>
      <c r="D6448" s="631"/>
      <c r="E6448" s="633"/>
      <c r="F6448" s="650"/>
    </row>
    <row r="6449" spans="3:6">
      <c r="C6449" s="631"/>
      <c r="D6449" s="631"/>
      <c r="E6449" s="633"/>
      <c r="F6449" s="650"/>
    </row>
    <row r="6450" spans="3:6">
      <c r="C6450" s="631"/>
      <c r="D6450" s="631"/>
      <c r="E6450" s="633"/>
      <c r="F6450" s="650"/>
    </row>
    <row r="6451" spans="3:6">
      <c r="C6451" s="631"/>
      <c r="D6451" s="631"/>
      <c r="E6451" s="633"/>
      <c r="F6451" s="650"/>
    </row>
    <row r="6452" spans="3:6">
      <c r="C6452" s="631"/>
      <c r="D6452" s="631"/>
      <c r="E6452" s="633"/>
      <c r="F6452" s="650"/>
    </row>
    <row r="6453" spans="3:6">
      <c r="C6453" s="631"/>
      <c r="D6453" s="631"/>
      <c r="E6453" s="633"/>
      <c r="F6453" s="650"/>
    </row>
    <row r="6454" spans="3:6">
      <c r="C6454" s="631"/>
      <c r="D6454" s="631"/>
      <c r="E6454" s="633"/>
      <c r="F6454" s="650"/>
    </row>
    <row r="6455" spans="3:6">
      <c r="C6455" s="631"/>
      <c r="D6455" s="631"/>
      <c r="E6455" s="633"/>
      <c r="F6455" s="650"/>
    </row>
    <row r="6456" spans="3:6">
      <c r="C6456" s="631"/>
      <c r="D6456" s="631"/>
      <c r="E6456" s="633"/>
      <c r="F6456" s="650"/>
    </row>
    <row r="6457" spans="3:6">
      <c r="C6457" s="631"/>
      <c r="D6457" s="631"/>
      <c r="E6457" s="633"/>
      <c r="F6457" s="650"/>
    </row>
    <row r="6458" spans="3:6">
      <c r="C6458" s="631"/>
      <c r="D6458" s="631"/>
      <c r="E6458" s="633"/>
      <c r="F6458" s="650"/>
    </row>
    <row r="6459" spans="3:6">
      <c r="C6459" s="631"/>
      <c r="D6459" s="631"/>
      <c r="E6459" s="633"/>
      <c r="F6459" s="650"/>
    </row>
    <row r="6460" spans="3:6">
      <c r="C6460" s="631"/>
      <c r="D6460" s="631"/>
      <c r="E6460" s="633"/>
      <c r="F6460" s="650"/>
    </row>
    <row r="6461" spans="3:6">
      <c r="C6461" s="631"/>
      <c r="D6461" s="631"/>
      <c r="E6461" s="633"/>
      <c r="F6461" s="650"/>
    </row>
    <row r="6462" spans="3:6">
      <c r="C6462" s="631"/>
      <c r="D6462" s="631"/>
      <c r="E6462" s="633"/>
      <c r="F6462" s="650"/>
    </row>
    <row r="6463" spans="3:6">
      <c r="C6463" s="631"/>
      <c r="D6463" s="631"/>
      <c r="E6463" s="633"/>
      <c r="F6463" s="650"/>
    </row>
    <row r="6464" spans="3:6">
      <c r="C6464" s="631"/>
      <c r="D6464" s="631"/>
      <c r="E6464" s="633"/>
      <c r="F6464" s="650"/>
    </row>
    <row r="6465" spans="3:6">
      <c r="C6465" s="631"/>
      <c r="D6465" s="631"/>
      <c r="E6465" s="633"/>
      <c r="F6465" s="650"/>
    </row>
    <row r="6466" spans="3:6">
      <c r="C6466" s="631"/>
      <c r="D6466" s="631"/>
      <c r="E6466" s="633"/>
      <c r="F6466" s="650"/>
    </row>
    <row r="6467" spans="3:6">
      <c r="C6467" s="631"/>
      <c r="D6467" s="631"/>
      <c r="E6467" s="633"/>
      <c r="F6467" s="650"/>
    </row>
    <row r="6468" spans="3:6">
      <c r="C6468" s="631"/>
      <c r="D6468" s="631"/>
      <c r="E6468" s="633"/>
      <c r="F6468" s="650"/>
    </row>
    <row r="6469" spans="3:6">
      <c r="C6469" s="631"/>
      <c r="D6469" s="631"/>
      <c r="E6469" s="633"/>
      <c r="F6469" s="650"/>
    </row>
    <row r="6470" spans="3:6">
      <c r="C6470" s="631"/>
      <c r="D6470" s="631"/>
      <c r="E6470" s="633"/>
      <c r="F6470" s="650"/>
    </row>
    <row r="6471" spans="3:6">
      <c r="C6471" s="631"/>
      <c r="D6471" s="631"/>
      <c r="E6471" s="633"/>
      <c r="F6471" s="650"/>
    </row>
    <row r="6472" spans="3:6">
      <c r="C6472" s="631"/>
      <c r="D6472" s="631"/>
      <c r="E6472" s="633"/>
      <c r="F6472" s="650"/>
    </row>
    <row r="6473" spans="3:6">
      <c r="C6473" s="631"/>
      <c r="D6473" s="631"/>
      <c r="E6473" s="633"/>
      <c r="F6473" s="650"/>
    </row>
    <row r="6474" spans="3:6">
      <c r="C6474" s="631"/>
      <c r="D6474" s="631"/>
      <c r="E6474" s="633"/>
      <c r="F6474" s="650"/>
    </row>
    <row r="6475" spans="3:6">
      <c r="C6475" s="631"/>
      <c r="D6475" s="631"/>
      <c r="E6475" s="633"/>
      <c r="F6475" s="650"/>
    </row>
    <row r="6476" spans="3:6">
      <c r="C6476" s="631"/>
      <c r="D6476" s="631"/>
      <c r="E6476" s="633"/>
      <c r="F6476" s="650"/>
    </row>
    <row r="6477" spans="3:6">
      <c r="C6477" s="631"/>
      <c r="D6477" s="631"/>
      <c r="E6477" s="633"/>
      <c r="F6477" s="650"/>
    </row>
    <row r="6478" spans="3:6">
      <c r="C6478" s="631"/>
      <c r="D6478" s="631"/>
      <c r="E6478" s="633"/>
      <c r="F6478" s="650"/>
    </row>
    <row r="6479" spans="3:6">
      <c r="C6479" s="631"/>
      <c r="D6479" s="631"/>
      <c r="E6479" s="633"/>
      <c r="F6479" s="650"/>
    </row>
    <row r="6480" spans="3:6">
      <c r="C6480" s="631"/>
      <c r="D6480" s="631"/>
      <c r="E6480" s="633"/>
      <c r="F6480" s="650"/>
    </row>
    <row r="6481" spans="3:6">
      <c r="C6481" s="631"/>
      <c r="D6481" s="631"/>
      <c r="E6481" s="633"/>
      <c r="F6481" s="650"/>
    </row>
    <row r="6482" spans="3:6">
      <c r="C6482" s="631"/>
      <c r="D6482" s="631"/>
      <c r="E6482" s="633"/>
      <c r="F6482" s="650"/>
    </row>
    <row r="6483" spans="3:6">
      <c r="C6483" s="631"/>
      <c r="D6483" s="631"/>
      <c r="E6483" s="633"/>
      <c r="F6483" s="650"/>
    </row>
    <row r="6484" spans="3:6">
      <c r="C6484" s="631"/>
      <c r="D6484" s="631"/>
      <c r="E6484" s="633"/>
      <c r="F6484" s="650"/>
    </row>
    <row r="6485" spans="3:6">
      <c r="C6485" s="631"/>
      <c r="D6485" s="631"/>
      <c r="E6485" s="633"/>
      <c r="F6485" s="650"/>
    </row>
    <row r="6486" spans="3:6">
      <c r="C6486" s="631"/>
      <c r="D6486" s="631"/>
      <c r="E6486" s="633"/>
      <c r="F6486" s="650"/>
    </row>
    <row r="6487" spans="3:6">
      <c r="C6487" s="631"/>
      <c r="D6487" s="631"/>
      <c r="E6487" s="633"/>
      <c r="F6487" s="650"/>
    </row>
    <row r="6488" spans="3:6">
      <c r="C6488" s="631"/>
      <c r="D6488" s="631"/>
      <c r="E6488" s="633"/>
      <c r="F6488" s="650"/>
    </row>
    <row r="6489" spans="3:6">
      <c r="C6489" s="631"/>
      <c r="D6489" s="631"/>
      <c r="E6489" s="633"/>
      <c r="F6489" s="650"/>
    </row>
    <row r="6490" spans="3:6">
      <c r="C6490" s="631"/>
      <c r="D6490" s="631"/>
      <c r="E6490" s="633"/>
      <c r="F6490" s="650"/>
    </row>
    <row r="6491" spans="3:6">
      <c r="C6491" s="631"/>
      <c r="D6491" s="631"/>
      <c r="E6491" s="633"/>
      <c r="F6491" s="650"/>
    </row>
    <row r="6492" spans="3:6">
      <c r="C6492" s="631"/>
      <c r="D6492" s="631"/>
      <c r="E6492" s="633"/>
      <c r="F6492" s="650"/>
    </row>
    <row r="6493" spans="3:6">
      <c r="C6493" s="631"/>
      <c r="D6493" s="631"/>
      <c r="E6493" s="633"/>
      <c r="F6493" s="650"/>
    </row>
    <row r="6494" spans="3:6">
      <c r="C6494" s="631"/>
      <c r="D6494" s="631"/>
      <c r="E6494" s="633"/>
      <c r="F6494" s="650"/>
    </row>
    <row r="6495" spans="3:6">
      <c r="C6495" s="631"/>
      <c r="D6495" s="631"/>
      <c r="E6495" s="633"/>
      <c r="F6495" s="650"/>
    </row>
    <row r="6496" spans="3:6">
      <c r="C6496" s="631"/>
      <c r="D6496" s="631"/>
      <c r="E6496" s="633"/>
      <c r="F6496" s="650"/>
    </row>
    <row r="6497" spans="3:6">
      <c r="C6497" s="631"/>
      <c r="D6497" s="631"/>
      <c r="E6497" s="633"/>
      <c r="F6497" s="650"/>
    </row>
    <row r="6498" spans="3:6">
      <c r="C6498" s="631"/>
      <c r="D6498" s="631"/>
      <c r="E6498" s="633"/>
      <c r="F6498" s="650"/>
    </row>
    <row r="6499" spans="3:6">
      <c r="C6499" s="631"/>
      <c r="D6499" s="631"/>
      <c r="E6499" s="633"/>
      <c r="F6499" s="650"/>
    </row>
    <row r="6500" spans="3:6">
      <c r="C6500" s="631"/>
      <c r="D6500" s="631"/>
      <c r="E6500" s="633"/>
      <c r="F6500" s="650"/>
    </row>
    <row r="6501" spans="3:6">
      <c r="C6501" s="631"/>
      <c r="D6501" s="631"/>
      <c r="E6501" s="633"/>
      <c r="F6501" s="650"/>
    </row>
    <row r="6502" spans="3:6">
      <c r="C6502" s="631"/>
      <c r="D6502" s="631"/>
      <c r="E6502" s="633"/>
      <c r="F6502" s="650"/>
    </row>
    <row r="6503" spans="3:6">
      <c r="C6503" s="631"/>
      <c r="D6503" s="631"/>
      <c r="E6503" s="633"/>
      <c r="F6503" s="650"/>
    </row>
    <row r="6504" spans="3:6">
      <c r="C6504" s="631"/>
      <c r="D6504" s="631"/>
      <c r="E6504" s="633"/>
      <c r="F6504" s="650"/>
    </row>
    <row r="6505" spans="3:6">
      <c r="C6505" s="631"/>
      <c r="D6505" s="631"/>
      <c r="E6505" s="633"/>
      <c r="F6505" s="650"/>
    </row>
    <row r="6506" spans="3:6">
      <c r="C6506" s="631"/>
      <c r="D6506" s="631"/>
      <c r="E6506" s="633"/>
      <c r="F6506" s="650"/>
    </row>
    <row r="6507" spans="3:6">
      <c r="C6507" s="631"/>
      <c r="D6507" s="631"/>
      <c r="E6507" s="633"/>
      <c r="F6507" s="650"/>
    </row>
    <row r="6508" spans="3:6">
      <c r="C6508" s="631"/>
      <c r="D6508" s="631"/>
      <c r="E6508" s="633"/>
      <c r="F6508" s="650"/>
    </row>
    <row r="6509" spans="3:6">
      <c r="C6509" s="631"/>
      <c r="D6509" s="631"/>
      <c r="E6509" s="633"/>
      <c r="F6509" s="650"/>
    </row>
    <row r="6510" spans="3:6">
      <c r="C6510" s="631"/>
      <c r="D6510" s="631"/>
      <c r="E6510" s="633"/>
      <c r="F6510" s="650"/>
    </row>
    <row r="6511" spans="3:6">
      <c r="C6511" s="631"/>
      <c r="D6511" s="631"/>
      <c r="E6511" s="633"/>
      <c r="F6511" s="650"/>
    </row>
    <row r="6512" spans="3:6">
      <c r="C6512" s="631"/>
      <c r="D6512" s="631"/>
      <c r="E6512" s="633"/>
      <c r="F6512" s="650"/>
    </row>
    <row r="6513" spans="3:6">
      <c r="C6513" s="631"/>
      <c r="D6513" s="631"/>
      <c r="E6513" s="633"/>
      <c r="F6513" s="650"/>
    </row>
    <row r="6514" spans="3:6">
      <c r="C6514" s="631"/>
      <c r="D6514" s="631"/>
      <c r="E6514" s="633"/>
      <c r="F6514" s="650"/>
    </row>
    <row r="6515" spans="3:6">
      <c r="C6515" s="631"/>
      <c r="D6515" s="631"/>
      <c r="E6515" s="633"/>
      <c r="F6515" s="650"/>
    </row>
    <row r="6516" spans="3:6">
      <c r="C6516" s="631"/>
      <c r="D6516" s="631"/>
      <c r="E6516" s="633"/>
      <c r="F6516" s="650"/>
    </row>
    <row r="6517" spans="3:6">
      <c r="C6517" s="631"/>
      <c r="D6517" s="631"/>
      <c r="E6517" s="633"/>
      <c r="F6517" s="650"/>
    </row>
    <row r="6518" spans="3:6">
      <c r="C6518" s="631"/>
      <c r="D6518" s="631"/>
      <c r="E6518" s="633"/>
      <c r="F6518" s="650"/>
    </row>
    <row r="6519" spans="3:6">
      <c r="C6519" s="631"/>
      <c r="D6519" s="631"/>
      <c r="E6519" s="633"/>
      <c r="F6519" s="650"/>
    </row>
    <row r="6520" spans="3:6">
      <c r="C6520" s="631"/>
      <c r="D6520" s="631"/>
      <c r="E6520" s="633"/>
      <c r="F6520" s="650"/>
    </row>
    <row r="6521" spans="3:6">
      <c r="C6521" s="631"/>
      <c r="D6521" s="631"/>
      <c r="E6521" s="633"/>
      <c r="F6521" s="650"/>
    </row>
    <row r="6522" spans="3:6">
      <c r="C6522" s="631"/>
      <c r="D6522" s="631"/>
      <c r="E6522" s="633"/>
      <c r="F6522" s="650"/>
    </row>
    <row r="6523" spans="3:6">
      <c r="C6523" s="631"/>
      <c r="D6523" s="631"/>
      <c r="E6523" s="633"/>
      <c r="F6523" s="650"/>
    </row>
    <row r="6524" spans="3:6">
      <c r="C6524" s="631"/>
      <c r="D6524" s="631"/>
      <c r="E6524" s="633"/>
      <c r="F6524" s="650"/>
    </row>
    <row r="6525" spans="3:6">
      <c r="C6525" s="631"/>
      <c r="D6525" s="631"/>
      <c r="E6525" s="633"/>
      <c r="F6525" s="650"/>
    </row>
    <row r="6526" spans="3:6">
      <c r="C6526" s="631"/>
      <c r="D6526" s="631"/>
      <c r="E6526" s="633"/>
      <c r="F6526" s="650"/>
    </row>
    <row r="6527" spans="3:6">
      <c r="C6527" s="631"/>
      <c r="D6527" s="631"/>
      <c r="E6527" s="633"/>
      <c r="F6527" s="650"/>
    </row>
    <row r="6528" spans="3:6">
      <c r="C6528" s="631"/>
      <c r="D6528" s="631"/>
      <c r="E6528" s="633"/>
      <c r="F6528" s="650"/>
    </row>
    <row r="6529" spans="3:6">
      <c r="C6529" s="631"/>
      <c r="D6529" s="631"/>
      <c r="E6529" s="633"/>
      <c r="F6529" s="650"/>
    </row>
    <row r="6530" spans="3:6">
      <c r="C6530" s="631"/>
      <c r="D6530" s="631"/>
      <c r="E6530" s="633"/>
      <c r="F6530" s="650"/>
    </row>
    <row r="6531" spans="3:6">
      <c r="C6531" s="631"/>
      <c r="D6531" s="631"/>
      <c r="E6531" s="633"/>
      <c r="F6531" s="650"/>
    </row>
    <row r="6532" spans="3:6">
      <c r="C6532" s="631"/>
      <c r="D6532" s="631"/>
      <c r="E6532" s="633"/>
      <c r="F6532" s="650"/>
    </row>
    <row r="6533" spans="3:6">
      <c r="C6533" s="631"/>
      <c r="D6533" s="631"/>
      <c r="E6533" s="633"/>
      <c r="F6533" s="650"/>
    </row>
    <row r="6534" spans="3:6">
      <c r="C6534" s="631"/>
      <c r="D6534" s="631"/>
      <c r="E6534" s="633"/>
      <c r="F6534" s="650"/>
    </row>
    <row r="6535" spans="3:6">
      <c r="C6535" s="631"/>
      <c r="D6535" s="631"/>
      <c r="E6535" s="633"/>
      <c r="F6535" s="650"/>
    </row>
    <row r="6536" spans="3:6">
      <c r="C6536" s="631"/>
      <c r="D6536" s="631"/>
      <c r="E6536" s="633"/>
      <c r="F6536" s="650"/>
    </row>
    <row r="6537" spans="3:6">
      <c r="C6537" s="631"/>
      <c r="D6537" s="631"/>
      <c r="E6537" s="633"/>
      <c r="F6537" s="650"/>
    </row>
    <row r="6538" spans="3:6">
      <c r="C6538" s="631"/>
      <c r="D6538" s="631"/>
      <c r="E6538" s="633"/>
      <c r="F6538" s="650"/>
    </row>
    <row r="6539" spans="3:6">
      <c r="C6539" s="631"/>
      <c r="D6539" s="631"/>
      <c r="E6539" s="633"/>
      <c r="F6539" s="650"/>
    </row>
    <row r="6540" spans="3:6">
      <c r="C6540" s="631"/>
      <c r="D6540" s="631"/>
      <c r="E6540" s="633"/>
      <c r="F6540" s="650"/>
    </row>
    <row r="6541" spans="3:6">
      <c r="C6541" s="631"/>
      <c r="D6541" s="631"/>
      <c r="E6541" s="633"/>
      <c r="F6541" s="650"/>
    </row>
    <row r="6542" spans="3:6">
      <c r="C6542" s="631"/>
      <c r="D6542" s="631"/>
      <c r="E6542" s="633"/>
      <c r="F6542" s="650"/>
    </row>
    <row r="6543" spans="3:6">
      <c r="C6543" s="631"/>
      <c r="D6543" s="631"/>
      <c r="E6543" s="633"/>
      <c r="F6543" s="650"/>
    </row>
    <row r="6544" spans="3:6">
      <c r="C6544" s="631"/>
      <c r="D6544" s="631"/>
      <c r="E6544" s="633"/>
      <c r="F6544" s="650"/>
    </row>
    <row r="6545" spans="3:6">
      <c r="C6545" s="631"/>
      <c r="D6545" s="631"/>
      <c r="E6545" s="633"/>
      <c r="F6545" s="650"/>
    </row>
    <row r="6546" spans="3:6">
      <c r="C6546" s="631"/>
      <c r="D6546" s="631"/>
      <c r="E6546" s="633"/>
      <c r="F6546" s="650"/>
    </row>
    <row r="6547" spans="3:6">
      <c r="C6547" s="631"/>
      <c r="D6547" s="631"/>
      <c r="E6547" s="633"/>
      <c r="F6547" s="650"/>
    </row>
    <row r="6548" spans="3:6">
      <c r="C6548" s="631"/>
      <c r="D6548" s="631"/>
      <c r="E6548" s="633"/>
      <c r="F6548" s="650"/>
    </row>
    <row r="6549" spans="3:6">
      <c r="C6549" s="631"/>
      <c r="D6549" s="631"/>
      <c r="E6549" s="633"/>
      <c r="F6549" s="650"/>
    </row>
    <row r="6550" spans="3:6">
      <c r="C6550" s="631"/>
      <c r="D6550" s="631"/>
      <c r="E6550" s="633"/>
      <c r="F6550" s="650"/>
    </row>
    <row r="6551" spans="3:6">
      <c r="C6551" s="631"/>
      <c r="D6551" s="631"/>
      <c r="E6551" s="633"/>
      <c r="F6551" s="650"/>
    </row>
    <row r="6552" spans="3:6">
      <c r="C6552" s="631"/>
      <c r="D6552" s="631"/>
      <c r="E6552" s="633"/>
      <c r="F6552" s="650"/>
    </row>
    <row r="6553" spans="3:6">
      <c r="C6553" s="631"/>
      <c r="D6553" s="631"/>
      <c r="E6553" s="633"/>
      <c r="F6553" s="650"/>
    </row>
    <row r="6554" spans="3:6">
      <c r="C6554" s="631"/>
      <c r="D6554" s="631"/>
      <c r="E6554" s="633"/>
      <c r="F6554" s="650"/>
    </row>
    <row r="6555" spans="3:6">
      <c r="C6555" s="631"/>
      <c r="D6555" s="631"/>
      <c r="E6555" s="633"/>
      <c r="F6555" s="650"/>
    </row>
    <row r="6556" spans="3:6">
      <c r="C6556" s="631"/>
      <c r="D6556" s="631"/>
      <c r="E6556" s="633"/>
      <c r="F6556" s="650"/>
    </row>
    <row r="6557" spans="3:6">
      <c r="C6557" s="631"/>
      <c r="D6557" s="631"/>
      <c r="E6557" s="633"/>
      <c r="F6557" s="650"/>
    </row>
    <row r="6558" spans="3:6">
      <c r="C6558" s="631"/>
      <c r="D6558" s="631"/>
      <c r="E6558" s="633"/>
      <c r="F6558" s="650"/>
    </row>
    <row r="6559" spans="3:6">
      <c r="C6559" s="631"/>
      <c r="D6559" s="631"/>
      <c r="E6559" s="633"/>
      <c r="F6559" s="650"/>
    </row>
    <row r="6560" spans="3:6">
      <c r="C6560" s="631"/>
      <c r="D6560" s="631"/>
      <c r="E6560" s="633"/>
      <c r="F6560" s="650"/>
    </row>
    <row r="6561" spans="3:6">
      <c r="C6561" s="631"/>
      <c r="D6561" s="631"/>
      <c r="E6561" s="633"/>
      <c r="F6561" s="650"/>
    </row>
    <row r="6562" spans="3:6">
      <c r="C6562" s="631"/>
      <c r="D6562" s="631"/>
      <c r="E6562" s="633"/>
      <c r="F6562" s="650"/>
    </row>
    <row r="6563" spans="3:6">
      <c r="C6563" s="631"/>
      <c r="D6563" s="631"/>
      <c r="E6563" s="633"/>
      <c r="F6563" s="650"/>
    </row>
    <row r="6564" spans="3:6">
      <c r="C6564" s="631"/>
      <c r="D6564" s="631"/>
      <c r="E6564" s="633"/>
      <c r="F6564" s="650"/>
    </row>
    <row r="6565" spans="3:6">
      <c r="C6565" s="631"/>
      <c r="D6565" s="631"/>
      <c r="E6565" s="633"/>
      <c r="F6565" s="650"/>
    </row>
    <row r="6566" spans="3:6">
      <c r="C6566" s="631"/>
      <c r="D6566" s="631"/>
      <c r="E6566" s="633"/>
      <c r="F6566" s="650"/>
    </row>
    <row r="6567" spans="3:6">
      <c r="C6567" s="631"/>
      <c r="D6567" s="631"/>
      <c r="E6567" s="633"/>
      <c r="F6567" s="650"/>
    </row>
    <row r="6568" spans="3:6">
      <c r="C6568" s="631"/>
      <c r="D6568" s="631"/>
      <c r="E6568" s="633"/>
      <c r="F6568" s="650"/>
    </row>
    <row r="6569" spans="3:6">
      <c r="C6569" s="631"/>
      <c r="D6569" s="631"/>
      <c r="E6569" s="633"/>
      <c r="F6569" s="650"/>
    </row>
    <row r="6570" spans="3:6">
      <c r="C6570" s="631"/>
      <c r="D6570" s="631"/>
      <c r="E6570" s="633"/>
      <c r="F6570" s="650"/>
    </row>
    <row r="6571" spans="3:6">
      <c r="C6571" s="631"/>
      <c r="D6571" s="631"/>
      <c r="E6571" s="633"/>
      <c r="F6571" s="650"/>
    </row>
    <row r="6572" spans="3:6">
      <c r="C6572" s="631"/>
      <c r="D6572" s="631"/>
      <c r="E6572" s="633"/>
      <c r="F6572" s="650"/>
    </row>
    <row r="6573" spans="3:6">
      <c r="C6573" s="631"/>
      <c r="D6573" s="631"/>
      <c r="E6573" s="633"/>
      <c r="F6573" s="650"/>
    </row>
    <row r="6574" spans="3:6">
      <c r="C6574" s="631"/>
      <c r="D6574" s="631"/>
      <c r="E6574" s="633"/>
      <c r="F6574" s="650"/>
    </row>
    <row r="6575" spans="3:6">
      <c r="C6575" s="631"/>
      <c r="D6575" s="631"/>
      <c r="E6575" s="633"/>
      <c r="F6575" s="650"/>
    </row>
    <row r="6576" spans="3:6">
      <c r="C6576" s="631"/>
      <c r="D6576" s="631"/>
      <c r="E6576" s="633"/>
      <c r="F6576" s="650"/>
    </row>
    <row r="6577" spans="3:6">
      <c r="C6577" s="631"/>
      <c r="D6577" s="631"/>
      <c r="E6577" s="633"/>
      <c r="F6577" s="650"/>
    </row>
    <row r="6578" spans="3:6">
      <c r="C6578" s="631"/>
      <c r="D6578" s="631"/>
      <c r="E6578" s="633"/>
      <c r="F6578" s="650"/>
    </row>
    <row r="6579" spans="3:6">
      <c r="C6579" s="631"/>
      <c r="D6579" s="631"/>
      <c r="E6579" s="633"/>
      <c r="F6579" s="650"/>
    </row>
    <row r="6580" spans="3:6">
      <c r="C6580" s="631"/>
      <c r="D6580" s="631"/>
      <c r="E6580" s="633"/>
      <c r="F6580" s="650"/>
    </row>
    <row r="6581" spans="3:6">
      <c r="C6581" s="631"/>
      <c r="D6581" s="631"/>
      <c r="E6581" s="633"/>
      <c r="F6581" s="650"/>
    </row>
    <row r="6582" spans="3:6">
      <c r="C6582" s="631"/>
      <c r="D6582" s="631"/>
      <c r="E6582" s="633"/>
      <c r="F6582" s="650"/>
    </row>
    <row r="6583" spans="3:6">
      <c r="C6583" s="631"/>
      <c r="D6583" s="631"/>
      <c r="E6583" s="633"/>
      <c r="F6583" s="650"/>
    </row>
    <row r="6584" spans="3:6">
      <c r="C6584" s="631"/>
      <c r="D6584" s="631"/>
      <c r="E6584" s="633"/>
      <c r="F6584" s="650"/>
    </row>
    <row r="6585" spans="3:6">
      <c r="C6585" s="631"/>
      <c r="D6585" s="631"/>
      <c r="E6585" s="633"/>
      <c r="F6585" s="650"/>
    </row>
    <row r="6586" spans="3:6">
      <c r="C6586" s="631"/>
      <c r="D6586" s="631"/>
      <c r="E6586" s="633"/>
      <c r="F6586" s="650"/>
    </row>
    <row r="6587" spans="3:6">
      <c r="C6587" s="631"/>
      <c r="D6587" s="631"/>
      <c r="E6587" s="633"/>
      <c r="F6587" s="650"/>
    </row>
    <row r="6588" spans="3:6">
      <c r="C6588" s="631"/>
      <c r="D6588" s="631"/>
      <c r="E6588" s="633"/>
      <c r="F6588" s="650"/>
    </row>
    <row r="6589" spans="3:6">
      <c r="C6589" s="631"/>
      <c r="D6589" s="631"/>
      <c r="E6589" s="633"/>
      <c r="F6589" s="650"/>
    </row>
    <row r="6590" spans="3:6">
      <c r="C6590" s="631"/>
      <c r="D6590" s="631"/>
      <c r="E6590" s="633"/>
      <c r="F6590" s="650"/>
    </row>
    <row r="6591" spans="3:6">
      <c r="C6591" s="631"/>
      <c r="D6591" s="631"/>
      <c r="E6591" s="633"/>
      <c r="F6591" s="650"/>
    </row>
    <row r="6592" spans="3:6">
      <c r="C6592" s="631"/>
      <c r="D6592" s="631"/>
      <c r="E6592" s="633"/>
      <c r="F6592" s="650"/>
    </row>
    <row r="6593" spans="3:6">
      <c r="C6593" s="631"/>
      <c r="D6593" s="631"/>
      <c r="E6593" s="633"/>
      <c r="F6593" s="650"/>
    </row>
    <row r="6594" spans="3:6">
      <c r="C6594" s="631"/>
      <c r="D6594" s="631"/>
      <c r="E6594" s="633"/>
      <c r="F6594" s="650"/>
    </row>
    <row r="6595" spans="3:6">
      <c r="C6595" s="631"/>
      <c r="D6595" s="631"/>
      <c r="E6595" s="633"/>
      <c r="F6595" s="650"/>
    </row>
    <row r="6596" spans="3:6">
      <c r="C6596" s="631"/>
      <c r="D6596" s="631"/>
      <c r="E6596" s="633"/>
      <c r="F6596" s="650"/>
    </row>
    <row r="6597" spans="3:6">
      <c r="C6597" s="631"/>
      <c r="D6597" s="631"/>
      <c r="E6597" s="633"/>
      <c r="F6597" s="650"/>
    </row>
    <row r="6598" spans="3:6">
      <c r="C6598" s="631"/>
      <c r="D6598" s="631"/>
      <c r="E6598" s="633"/>
      <c r="F6598" s="650"/>
    </row>
    <row r="6599" spans="3:6">
      <c r="C6599" s="631"/>
      <c r="D6599" s="631"/>
      <c r="E6599" s="633"/>
      <c r="F6599" s="650"/>
    </row>
    <row r="6600" spans="3:6">
      <c r="C6600" s="631"/>
      <c r="D6600" s="631"/>
      <c r="E6600" s="633"/>
      <c r="F6600" s="650"/>
    </row>
    <row r="6601" spans="3:6">
      <c r="C6601" s="631"/>
      <c r="D6601" s="631"/>
      <c r="E6601" s="633"/>
      <c r="F6601" s="650"/>
    </row>
    <row r="6602" spans="3:6">
      <c r="C6602" s="631"/>
      <c r="D6602" s="631"/>
      <c r="E6602" s="633"/>
      <c r="F6602" s="650"/>
    </row>
    <row r="6603" spans="3:6">
      <c r="C6603" s="631"/>
      <c r="D6603" s="631"/>
      <c r="E6603" s="633"/>
      <c r="F6603" s="650"/>
    </row>
    <row r="6604" spans="3:6">
      <c r="C6604" s="631"/>
      <c r="D6604" s="631"/>
      <c r="E6604" s="633"/>
      <c r="F6604" s="650"/>
    </row>
    <row r="6605" spans="3:6">
      <c r="C6605" s="631"/>
      <c r="D6605" s="631"/>
      <c r="E6605" s="633"/>
      <c r="F6605" s="650"/>
    </row>
    <row r="6606" spans="3:6">
      <c r="C6606" s="631"/>
      <c r="D6606" s="631"/>
      <c r="E6606" s="633"/>
      <c r="F6606" s="650"/>
    </row>
    <row r="6607" spans="3:6">
      <c r="C6607" s="631"/>
      <c r="D6607" s="631"/>
      <c r="E6607" s="633"/>
      <c r="F6607" s="650"/>
    </row>
    <row r="6608" spans="3:6">
      <c r="C6608" s="631"/>
      <c r="D6608" s="631"/>
      <c r="E6608" s="633"/>
      <c r="F6608" s="650"/>
    </row>
    <row r="6609" spans="3:6">
      <c r="C6609" s="631"/>
      <c r="D6609" s="631"/>
      <c r="E6609" s="633"/>
      <c r="F6609" s="650"/>
    </row>
    <row r="6610" spans="3:6">
      <c r="C6610" s="631"/>
      <c r="D6610" s="631"/>
      <c r="E6610" s="633"/>
      <c r="F6610" s="650"/>
    </row>
    <row r="6611" spans="3:6">
      <c r="C6611" s="631"/>
      <c r="D6611" s="631"/>
      <c r="E6611" s="633"/>
      <c r="F6611" s="650"/>
    </row>
    <row r="6612" spans="3:6">
      <c r="C6612" s="631"/>
      <c r="D6612" s="631"/>
      <c r="E6612" s="633"/>
      <c r="F6612" s="650"/>
    </row>
    <row r="6613" spans="3:6">
      <c r="C6613" s="631"/>
      <c r="D6613" s="631"/>
      <c r="E6613" s="633"/>
      <c r="F6613" s="650"/>
    </row>
    <row r="6614" spans="3:6">
      <c r="C6614" s="631"/>
      <c r="D6614" s="631"/>
      <c r="E6614" s="633"/>
      <c r="F6614" s="650"/>
    </row>
    <row r="6615" spans="3:6">
      <c r="C6615" s="631"/>
      <c r="D6615" s="631"/>
      <c r="E6615" s="633"/>
      <c r="F6615" s="650"/>
    </row>
    <row r="6616" spans="3:6">
      <c r="C6616" s="631"/>
      <c r="D6616" s="631"/>
      <c r="E6616" s="633"/>
      <c r="F6616" s="650"/>
    </row>
    <row r="6617" spans="3:6">
      <c r="C6617" s="631"/>
      <c r="D6617" s="631"/>
      <c r="E6617" s="633"/>
      <c r="F6617" s="650"/>
    </row>
    <row r="6618" spans="3:6">
      <c r="C6618" s="631"/>
      <c r="D6618" s="631"/>
      <c r="E6618" s="633"/>
      <c r="F6618" s="650"/>
    </row>
    <row r="6619" spans="3:6">
      <c r="C6619" s="631"/>
      <c r="D6619" s="631"/>
      <c r="E6619" s="633"/>
      <c r="F6619" s="650"/>
    </row>
    <row r="6620" spans="3:6">
      <c r="C6620" s="631"/>
      <c r="D6620" s="631"/>
      <c r="E6620" s="633"/>
      <c r="F6620" s="650"/>
    </row>
    <row r="6621" spans="3:6">
      <c r="C6621" s="631"/>
      <c r="D6621" s="631"/>
      <c r="E6621" s="633"/>
      <c r="F6621" s="650"/>
    </row>
    <row r="6622" spans="3:6">
      <c r="C6622" s="631"/>
      <c r="D6622" s="631"/>
      <c r="E6622" s="633"/>
      <c r="F6622" s="650"/>
    </row>
    <row r="6623" spans="3:6">
      <c r="C6623" s="631"/>
      <c r="D6623" s="631"/>
      <c r="E6623" s="633"/>
      <c r="F6623" s="650"/>
    </row>
    <row r="6624" spans="3:6">
      <c r="C6624" s="631"/>
      <c r="D6624" s="631"/>
      <c r="E6624" s="633"/>
      <c r="F6624" s="650"/>
    </row>
    <row r="6625" spans="3:6">
      <c r="C6625" s="631"/>
      <c r="D6625" s="631"/>
      <c r="E6625" s="633"/>
      <c r="F6625" s="650"/>
    </row>
    <row r="6626" spans="3:6">
      <c r="C6626" s="631"/>
      <c r="D6626" s="631"/>
      <c r="E6626" s="633"/>
      <c r="F6626" s="650"/>
    </row>
    <row r="6627" spans="3:6">
      <c r="C6627" s="631"/>
      <c r="D6627" s="631"/>
      <c r="E6627" s="633"/>
      <c r="F6627" s="650"/>
    </row>
    <row r="6628" spans="3:6">
      <c r="C6628" s="631"/>
      <c r="D6628" s="631"/>
      <c r="E6628" s="633"/>
      <c r="F6628" s="650"/>
    </row>
    <row r="6629" spans="3:6">
      <c r="C6629" s="631"/>
      <c r="D6629" s="631"/>
      <c r="E6629" s="633"/>
      <c r="F6629" s="650"/>
    </row>
    <row r="6630" spans="3:6">
      <c r="C6630" s="631"/>
      <c r="D6630" s="631"/>
      <c r="E6630" s="633"/>
      <c r="F6630" s="650"/>
    </row>
    <row r="6631" spans="3:6">
      <c r="C6631" s="631"/>
      <c r="D6631" s="631"/>
      <c r="E6631" s="633"/>
      <c r="F6631" s="650"/>
    </row>
    <row r="6632" spans="3:6">
      <c r="C6632" s="631"/>
      <c r="D6632" s="631"/>
      <c r="E6632" s="633"/>
      <c r="F6632" s="650"/>
    </row>
    <row r="6633" spans="3:6">
      <c r="C6633" s="631"/>
      <c r="D6633" s="631"/>
      <c r="E6633" s="633"/>
      <c r="F6633" s="650"/>
    </row>
    <row r="6634" spans="3:6">
      <c r="C6634" s="631"/>
      <c r="D6634" s="631"/>
      <c r="E6634" s="633"/>
      <c r="F6634" s="650"/>
    </row>
    <row r="6635" spans="3:6">
      <c r="C6635" s="631"/>
      <c r="D6635" s="631"/>
      <c r="E6635" s="633"/>
      <c r="F6635" s="650"/>
    </row>
    <row r="6636" spans="3:6">
      <c r="C6636" s="631"/>
      <c r="D6636" s="631"/>
      <c r="E6636" s="633"/>
      <c r="F6636" s="650"/>
    </row>
    <row r="6637" spans="3:6">
      <c r="C6637" s="631"/>
      <c r="D6637" s="631"/>
      <c r="E6637" s="633"/>
      <c r="F6637" s="650"/>
    </row>
    <row r="6638" spans="3:6">
      <c r="C6638" s="631"/>
      <c r="D6638" s="631"/>
      <c r="E6638" s="633"/>
      <c r="F6638" s="650"/>
    </row>
    <row r="6639" spans="3:6">
      <c r="C6639" s="631"/>
      <c r="D6639" s="631"/>
      <c r="E6639" s="633"/>
      <c r="F6639" s="650"/>
    </row>
    <row r="6640" spans="3:6">
      <c r="C6640" s="631"/>
      <c r="D6640" s="631"/>
      <c r="E6640" s="633"/>
      <c r="F6640" s="650"/>
    </row>
    <row r="6641" spans="3:6">
      <c r="C6641" s="631"/>
      <c r="D6641" s="631"/>
      <c r="E6641" s="633"/>
      <c r="F6641" s="650"/>
    </row>
    <row r="6642" spans="3:6">
      <c r="C6642" s="631"/>
      <c r="D6642" s="631"/>
      <c r="E6642" s="633"/>
      <c r="F6642" s="650"/>
    </row>
    <row r="6643" spans="3:6">
      <c r="C6643" s="631"/>
      <c r="D6643" s="631"/>
      <c r="E6643" s="633"/>
      <c r="F6643" s="650"/>
    </row>
    <row r="6644" spans="3:6">
      <c r="C6644" s="631"/>
      <c r="D6644" s="631"/>
      <c r="E6644" s="633"/>
      <c r="F6644" s="650"/>
    </row>
    <row r="6645" spans="3:6">
      <c r="C6645" s="631"/>
      <c r="D6645" s="631"/>
      <c r="E6645" s="633"/>
      <c r="F6645" s="650"/>
    </row>
    <row r="6646" spans="3:6">
      <c r="C6646" s="631"/>
      <c r="D6646" s="631"/>
      <c r="E6646" s="633"/>
      <c r="F6646" s="650"/>
    </row>
    <row r="6647" spans="3:6">
      <c r="C6647" s="631"/>
      <c r="D6647" s="631"/>
      <c r="E6647" s="633"/>
      <c r="F6647" s="650"/>
    </row>
    <row r="6648" spans="3:6">
      <c r="C6648" s="631"/>
      <c r="D6648" s="631"/>
      <c r="E6648" s="633"/>
      <c r="F6648" s="650"/>
    </row>
    <row r="6649" spans="3:6">
      <c r="C6649" s="631"/>
      <c r="D6649" s="631"/>
      <c r="E6649" s="633"/>
      <c r="F6649" s="650"/>
    </row>
    <row r="6650" spans="3:6">
      <c r="C6650" s="631"/>
      <c r="D6650" s="631"/>
      <c r="E6650" s="633"/>
      <c r="F6650" s="650"/>
    </row>
    <row r="6651" spans="3:6">
      <c r="C6651" s="631"/>
      <c r="D6651" s="631"/>
      <c r="E6651" s="633"/>
      <c r="F6651" s="650"/>
    </row>
    <row r="6652" spans="3:6">
      <c r="C6652" s="631"/>
      <c r="D6652" s="631"/>
      <c r="E6652" s="633"/>
      <c r="F6652" s="650"/>
    </row>
    <row r="6653" spans="3:6">
      <c r="C6653" s="631"/>
      <c r="D6653" s="631"/>
      <c r="E6653" s="633"/>
      <c r="F6653" s="650"/>
    </row>
    <row r="6654" spans="3:6">
      <c r="C6654" s="631"/>
      <c r="D6654" s="631"/>
      <c r="E6654" s="633"/>
      <c r="F6654" s="650"/>
    </row>
    <row r="6655" spans="3:6">
      <c r="C6655" s="631"/>
      <c r="D6655" s="631"/>
      <c r="E6655" s="633"/>
      <c r="F6655" s="650"/>
    </row>
    <row r="6656" spans="3:6">
      <c r="C6656" s="631"/>
      <c r="D6656" s="631"/>
      <c r="E6656" s="633"/>
      <c r="F6656" s="650"/>
    </row>
    <row r="6657" spans="3:6">
      <c r="C6657" s="631"/>
      <c r="D6657" s="631"/>
      <c r="E6657" s="633"/>
      <c r="F6657" s="650"/>
    </row>
    <row r="6658" spans="3:6">
      <c r="C6658" s="631"/>
      <c r="D6658" s="631"/>
      <c r="E6658" s="633"/>
      <c r="F6658" s="650"/>
    </row>
    <row r="6659" spans="3:6">
      <c r="C6659" s="631"/>
      <c r="D6659" s="631"/>
      <c r="E6659" s="633"/>
      <c r="F6659" s="650"/>
    </row>
    <row r="6660" spans="3:6">
      <c r="C6660" s="631"/>
      <c r="D6660" s="631"/>
      <c r="E6660" s="633"/>
      <c r="F6660" s="650"/>
    </row>
    <row r="6661" spans="3:6">
      <c r="C6661" s="631"/>
      <c r="D6661" s="631"/>
      <c r="E6661" s="633"/>
      <c r="F6661" s="650"/>
    </row>
    <row r="6662" spans="3:6">
      <c r="C6662" s="631"/>
      <c r="D6662" s="631"/>
      <c r="E6662" s="633"/>
      <c r="F6662" s="650"/>
    </row>
    <row r="6663" spans="3:6">
      <c r="C6663" s="631"/>
      <c r="D6663" s="631"/>
      <c r="E6663" s="633"/>
      <c r="F6663" s="650"/>
    </row>
    <row r="6664" spans="3:6">
      <c r="C6664" s="631"/>
      <c r="D6664" s="631"/>
      <c r="E6664" s="633"/>
      <c r="F6664" s="650"/>
    </row>
    <row r="6665" spans="3:6">
      <c r="C6665" s="631"/>
      <c r="D6665" s="631"/>
      <c r="E6665" s="633"/>
      <c r="F6665" s="650"/>
    </row>
    <row r="6666" spans="3:6">
      <c r="C6666" s="631"/>
      <c r="D6666" s="631"/>
      <c r="E6666" s="633"/>
      <c r="F6666" s="650"/>
    </row>
    <row r="6667" spans="3:6">
      <c r="C6667" s="631"/>
      <c r="D6667" s="631"/>
      <c r="E6667" s="633"/>
      <c r="F6667" s="650"/>
    </row>
    <row r="6668" spans="3:6">
      <c r="C6668" s="631"/>
      <c r="D6668" s="631"/>
      <c r="E6668" s="633"/>
      <c r="F6668" s="650"/>
    </row>
    <row r="6669" spans="3:6">
      <c r="C6669" s="631"/>
      <c r="D6669" s="631"/>
      <c r="E6669" s="633"/>
      <c r="F6669" s="650"/>
    </row>
    <row r="6670" spans="3:6">
      <c r="C6670" s="631"/>
      <c r="D6670" s="631"/>
      <c r="E6670" s="633"/>
      <c r="F6670" s="650"/>
    </row>
    <row r="6671" spans="3:6">
      <c r="C6671" s="631"/>
      <c r="D6671" s="631"/>
      <c r="E6671" s="633"/>
      <c r="F6671" s="650"/>
    </row>
    <row r="6672" spans="3:6">
      <c r="C6672" s="631"/>
      <c r="D6672" s="631"/>
      <c r="E6672" s="633"/>
      <c r="F6672" s="650"/>
    </row>
    <row r="6673" spans="3:6">
      <c r="C6673" s="631"/>
      <c r="D6673" s="631"/>
      <c r="E6673" s="633"/>
      <c r="F6673" s="650"/>
    </row>
    <row r="6674" spans="3:6">
      <c r="C6674" s="631"/>
      <c r="D6674" s="631"/>
      <c r="E6674" s="633"/>
      <c r="F6674" s="650"/>
    </row>
    <row r="6675" spans="3:6">
      <c r="C6675" s="631"/>
      <c r="D6675" s="631"/>
      <c r="E6675" s="633"/>
      <c r="F6675" s="650"/>
    </row>
    <row r="6676" spans="3:6">
      <c r="C6676" s="631"/>
      <c r="D6676" s="631"/>
      <c r="E6676" s="633"/>
      <c r="F6676" s="650"/>
    </row>
    <row r="6677" spans="3:6">
      <c r="C6677" s="631"/>
      <c r="D6677" s="631"/>
      <c r="E6677" s="633"/>
      <c r="F6677" s="650"/>
    </row>
    <row r="6678" spans="3:6">
      <c r="C6678" s="631"/>
      <c r="D6678" s="631"/>
      <c r="E6678" s="633"/>
      <c r="F6678" s="650"/>
    </row>
    <row r="6679" spans="3:6">
      <c r="C6679" s="631"/>
      <c r="D6679" s="631"/>
      <c r="E6679" s="633"/>
      <c r="F6679" s="650"/>
    </row>
    <row r="6680" spans="3:6">
      <c r="C6680" s="631"/>
      <c r="D6680" s="631"/>
      <c r="E6680" s="633"/>
      <c r="F6680" s="650"/>
    </row>
    <row r="6681" spans="3:6">
      <c r="C6681" s="631"/>
      <c r="D6681" s="631"/>
      <c r="E6681" s="633"/>
      <c r="F6681" s="650"/>
    </row>
    <row r="6682" spans="3:6">
      <c r="C6682" s="631"/>
      <c r="D6682" s="631"/>
      <c r="E6682" s="633"/>
      <c r="F6682" s="650"/>
    </row>
    <row r="6683" spans="3:6">
      <c r="C6683" s="631"/>
      <c r="D6683" s="631"/>
      <c r="E6683" s="633"/>
      <c r="F6683" s="650"/>
    </row>
    <row r="6684" spans="3:6">
      <c r="C6684" s="631"/>
      <c r="D6684" s="631"/>
      <c r="E6684" s="633"/>
      <c r="F6684" s="650"/>
    </row>
    <row r="6685" spans="3:6">
      <c r="C6685" s="631"/>
      <c r="D6685" s="631"/>
      <c r="E6685" s="633"/>
      <c r="F6685" s="650"/>
    </row>
    <row r="6686" spans="3:6">
      <c r="C6686" s="631"/>
      <c r="D6686" s="631"/>
      <c r="E6686" s="633"/>
      <c r="F6686" s="650"/>
    </row>
    <row r="6687" spans="3:6">
      <c r="C6687" s="631"/>
      <c r="D6687" s="631"/>
      <c r="E6687" s="633"/>
      <c r="F6687" s="650"/>
    </row>
    <row r="6688" spans="3:6">
      <c r="C6688" s="631"/>
      <c r="D6688" s="631"/>
      <c r="E6688" s="633"/>
      <c r="F6688" s="650"/>
    </row>
    <row r="6689" spans="3:6">
      <c r="C6689" s="631"/>
      <c r="D6689" s="631"/>
      <c r="E6689" s="633"/>
      <c r="F6689" s="650"/>
    </row>
    <row r="6690" spans="3:6">
      <c r="C6690" s="631"/>
      <c r="D6690" s="631"/>
      <c r="E6690" s="633"/>
      <c r="F6690" s="650"/>
    </row>
    <row r="6691" spans="3:6">
      <c r="C6691" s="631"/>
      <c r="D6691" s="631"/>
      <c r="E6691" s="633"/>
      <c r="F6691" s="650"/>
    </row>
    <row r="6692" spans="3:6">
      <c r="C6692" s="631"/>
      <c r="D6692" s="631"/>
      <c r="E6692" s="633"/>
      <c r="F6692" s="650"/>
    </row>
    <row r="6693" spans="3:6">
      <c r="C6693" s="631"/>
      <c r="D6693" s="631"/>
      <c r="E6693" s="633"/>
      <c r="F6693" s="650"/>
    </row>
    <row r="6694" spans="3:6">
      <c r="C6694" s="631"/>
      <c r="D6694" s="631"/>
      <c r="E6694" s="633"/>
      <c r="F6694" s="650"/>
    </row>
    <row r="6695" spans="3:6">
      <c r="C6695" s="631"/>
      <c r="D6695" s="631"/>
      <c r="E6695" s="633"/>
      <c r="F6695" s="650"/>
    </row>
    <row r="6696" spans="3:6">
      <c r="C6696" s="631"/>
      <c r="D6696" s="631"/>
      <c r="E6696" s="633"/>
      <c r="F6696" s="650"/>
    </row>
    <row r="6697" spans="3:6">
      <c r="C6697" s="631"/>
      <c r="D6697" s="631"/>
      <c r="E6697" s="633"/>
      <c r="F6697" s="650"/>
    </row>
    <row r="6698" spans="3:6">
      <c r="C6698" s="631"/>
      <c r="D6698" s="631"/>
      <c r="E6698" s="633"/>
      <c r="F6698" s="650"/>
    </row>
    <row r="6699" spans="3:6">
      <c r="C6699" s="631"/>
      <c r="D6699" s="631"/>
      <c r="E6699" s="633"/>
      <c r="F6699" s="650"/>
    </row>
    <row r="6700" spans="3:6">
      <c r="C6700" s="631"/>
      <c r="D6700" s="631"/>
      <c r="E6700" s="633"/>
      <c r="F6700" s="650"/>
    </row>
    <row r="6701" spans="3:6">
      <c r="C6701" s="631"/>
      <c r="D6701" s="631"/>
      <c r="E6701" s="633"/>
      <c r="F6701" s="650"/>
    </row>
    <row r="6702" spans="3:6">
      <c r="C6702" s="631"/>
      <c r="D6702" s="631"/>
      <c r="E6702" s="633"/>
      <c r="F6702" s="650"/>
    </row>
    <row r="6703" spans="3:6">
      <c r="C6703" s="631"/>
      <c r="D6703" s="631"/>
      <c r="E6703" s="633"/>
      <c r="F6703" s="650"/>
    </row>
    <row r="6704" spans="3:6">
      <c r="C6704" s="631"/>
      <c r="D6704" s="631"/>
      <c r="E6704" s="633"/>
      <c r="F6704" s="650"/>
    </row>
    <row r="6705" spans="3:6">
      <c r="C6705" s="631"/>
      <c r="D6705" s="631"/>
      <c r="E6705" s="633"/>
      <c r="F6705" s="650"/>
    </row>
    <row r="6706" spans="3:6">
      <c r="C6706" s="631"/>
      <c r="D6706" s="631"/>
      <c r="E6706" s="633"/>
      <c r="F6706" s="650"/>
    </row>
    <row r="6707" spans="3:6">
      <c r="C6707" s="631"/>
      <c r="D6707" s="631"/>
      <c r="E6707" s="633"/>
      <c r="F6707" s="650"/>
    </row>
    <row r="6708" spans="3:6">
      <c r="C6708" s="631"/>
      <c r="D6708" s="631"/>
      <c r="E6708" s="633"/>
      <c r="F6708" s="650"/>
    </row>
    <row r="6709" spans="3:6">
      <c r="C6709" s="631"/>
      <c r="D6709" s="631"/>
      <c r="E6709" s="633"/>
      <c r="F6709" s="650"/>
    </row>
    <row r="6710" spans="3:6">
      <c r="C6710" s="631"/>
      <c r="D6710" s="631"/>
      <c r="E6710" s="633"/>
      <c r="F6710" s="650"/>
    </row>
    <row r="6711" spans="3:6">
      <c r="C6711" s="631"/>
      <c r="D6711" s="631"/>
      <c r="E6711" s="633"/>
      <c r="F6711" s="650"/>
    </row>
    <row r="6712" spans="3:6">
      <c r="C6712" s="631"/>
      <c r="D6712" s="631"/>
      <c r="E6712" s="633"/>
      <c r="F6712" s="650"/>
    </row>
    <row r="6713" spans="3:6">
      <c r="C6713" s="631"/>
      <c r="D6713" s="631"/>
      <c r="E6713" s="633"/>
      <c r="F6713" s="650"/>
    </row>
    <row r="6714" spans="3:6">
      <c r="C6714" s="631"/>
      <c r="D6714" s="631"/>
      <c r="E6714" s="633"/>
      <c r="F6714" s="650"/>
    </row>
    <row r="6715" spans="3:6">
      <c r="C6715" s="631"/>
      <c r="D6715" s="631"/>
      <c r="E6715" s="633"/>
      <c r="F6715" s="650"/>
    </row>
    <row r="6716" spans="3:6">
      <c r="C6716" s="631"/>
      <c r="D6716" s="631"/>
      <c r="E6716" s="633"/>
      <c r="F6716" s="650"/>
    </row>
    <row r="6717" spans="3:6">
      <c r="C6717" s="631"/>
      <c r="D6717" s="631"/>
      <c r="E6717" s="633"/>
      <c r="F6717" s="650"/>
    </row>
    <row r="6718" spans="3:6">
      <c r="C6718" s="631"/>
      <c r="D6718" s="631"/>
      <c r="E6718" s="633"/>
      <c r="F6718" s="650"/>
    </row>
    <row r="6719" spans="3:6">
      <c r="C6719" s="631"/>
      <c r="D6719" s="631"/>
      <c r="E6719" s="633"/>
      <c r="F6719" s="650"/>
    </row>
    <row r="6720" spans="3:6">
      <c r="C6720" s="631"/>
      <c r="D6720" s="631"/>
      <c r="E6720" s="633"/>
      <c r="F6720" s="650"/>
    </row>
    <row r="6721" spans="3:6">
      <c r="C6721" s="631"/>
      <c r="D6721" s="631"/>
      <c r="E6721" s="633"/>
      <c r="F6721" s="650"/>
    </row>
    <row r="6722" spans="3:6">
      <c r="C6722" s="631"/>
      <c r="D6722" s="631"/>
      <c r="E6722" s="633"/>
      <c r="F6722" s="650"/>
    </row>
    <row r="6723" spans="3:6">
      <c r="C6723" s="631"/>
      <c r="D6723" s="631"/>
      <c r="E6723" s="633"/>
      <c r="F6723" s="650"/>
    </row>
    <row r="6724" spans="3:6">
      <c r="C6724" s="631"/>
      <c r="D6724" s="631"/>
      <c r="E6724" s="633"/>
      <c r="F6724" s="650"/>
    </row>
    <row r="6725" spans="3:6">
      <c r="C6725" s="631"/>
      <c r="D6725" s="631"/>
      <c r="E6725" s="633"/>
      <c r="F6725" s="650"/>
    </row>
    <row r="6726" spans="3:6">
      <c r="C6726" s="631"/>
      <c r="D6726" s="631"/>
      <c r="E6726" s="633"/>
      <c r="F6726" s="650"/>
    </row>
    <row r="6727" spans="3:6">
      <c r="C6727" s="631"/>
      <c r="D6727" s="631"/>
      <c r="E6727" s="633"/>
      <c r="F6727" s="650"/>
    </row>
    <row r="6728" spans="3:6">
      <c r="C6728" s="631"/>
      <c r="D6728" s="631"/>
      <c r="E6728" s="633"/>
      <c r="F6728" s="650"/>
    </row>
    <row r="6729" spans="3:6">
      <c r="C6729" s="631"/>
      <c r="D6729" s="631"/>
      <c r="E6729" s="633"/>
      <c r="F6729" s="650"/>
    </row>
    <row r="6730" spans="3:6">
      <c r="C6730" s="631"/>
      <c r="D6730" s="631"/>
      <c r="E6730" s="633"/>
      <c r="F6730" s="650"/>
    </row>
    <row r="6731" spans="3:6">
      <c r="C6731" s="631"/>
      <c r="D6731" s="631"/>
      <c r="E6731" s="633"/>
      <c r="F6731" s="650"/>
    </row>
    <row r="6732" spans="3:6">
      <c r="C6732" s="631"/>
      <c r="D6732" s="631"/>
      <c r="E6732" s="633"/>
      <c r="F6732" s="650"/>
    </row>
    <row r="6733" spans="3:6">
      <c r="C6733" s="631"/>
      <c r="D6733" s="631"/>
      <c r="E6733" s="633"/>
      <c r="F6733" s="650"/>
    </row>
    <row r="6734" spans="3:6">
      <c r="C6734" s="631"/>
      <c r="D6734" s="631"/>
      <c r="E6734" s="633"/>
      <c r="F6734" s="650"/>
    </row>
    <row r="6735" spans="3:6">
      <c r="C6735" s="631"/>
      <c r="D6735" s="631"/>
      <c r="E6735" s="633"/>
      <c r="F6735" s="650"/>
    </row>
    <row r="6736" spans="3:6">
      <c r="C6736" s="631"/>
      <c r="D6736" s="631"/>
      <c r="E6736" s="633"/>
      <c r="F6736" s="650"/>
    </row>
    <row r="6737" spans="3:6">
      <c r="C6737" s="631"/>
      <c r="D6737" s="631"/>
      <c r="E6737" s="633"/>
      <c r="F6737" s="650"/>
    </row>
    <row r="6738" spans="3:6">
      <c r="C6738" s="631"/>
      <c r="D6738" s="631"/>
      <c r="E6738" s="633"/>
      <c r="F6738" s="650"/>
    </row>
    <row r="6739" spans="3:6">
      <c r="C6739" s="631"/>
      <c r="D6739" s="631"/>
      <c r="E6739" s="633"/>
      <c r="F6739" s="650"/>
    </row>
    <row r="6740" spans="3:6">
      <c r="C6740" s="631"/>
      <c r="D6740" s="631"/>
      <c r="E6740" s="633"/>
      <c r="F6740" s="650"/>
    </row>
    <row r="6741" spans="3:6">
      <c r="C6741" s="631"/>
      <c r="D6741" s="631"/>
      <c r="E6741" s="633"/>
      <c r="F6741" s="650"/>
    </row>
    <row r="6742" spans="3:6">
      <c r="C6742" s="631"/>
      <c r="D6742" s="631"/>
      <c r="E6742" s="633"/>
      <c r="F6742" s="650"/>
    </row>
    <row r="6743" spans="3:6">
      <c r="C6743" s="631"/>
      <c r="D6743" s="631"/>
      <c r="E6743" s="633"/>
      <c r="F6743" s="650"/>
    </row>
    <row r="6744" spans="3:6">
      <c r="C6744" s="631"/>
      <c r="D6744" s="631"/>
      <c r="E6744" s="633"/>
      <c r="F6744" s="650"/>
    </row>
    <row r="6745" spans="3:6">
      <c r="C6745" s="631"/>
      <c r="D6745" s="631"/>
      <c r="E6745" s="633"/>
      <c r="F6745" s="650"/>
    </row>
    <row r="6746" spans="3:6">
      <c r="C6746" s="631"/>
      <c r="D6746" s="631"/>
      <c r="E6746" s="633"/>
      <c r="F6746" s="650"/>
    </row>
    <row r="6747" spans="3:6">
      <c r="C6747" s="631"/>
      <c r="D6747" s="631"/>
      <c r="E6747" s="633"/>
      <c r="F6747" s="650"/>
    </row>
    <row r="6748" spans="3:6">
      <c r="C6748" s="631"/>
      <c r="D6748" s="631"/>
      <c r="E6748" s="633"/>
      <c r="F6748" s="650"/>
    </row>
    <row r="6749" spans="3:6">
      <c r="C6749" s="631"/>
      <c r="D6749" s="631"/>
      <c r="E6749" s="633"/>
      <c r="F6749" s="650"/>
    </row>
    <row r="6750" spans="3:6">
      <c r="C6750" s="631"/>
      <c r="D6750" s="631"/>
      <c r="E6750" s="633"/>
      <c r="F6750" s="650"/>
    </row>
    <row r="6751" spans="3:6">
      <c r="C6751" s="631"/>
      <c r="D6751" s="631"/>
      <c r="E6751" s="633"/>
      <c r="F6751" s="650"/>
    </row>
    <row r="6752" spans="3:6">
      <c r="C6752" s="631"/>
      <c r="D6752" s="631"/>
      <c r="E6752" s="633"/>
      <c r="F6752" s="650"/>
    </row>
    <row r="6753" spans="3:6">
      <c r="C6753" s="631"/>
      <c r="D6753" s="631"/>
      <c r="E6753" s="633"/>
      <c r="F6753" s="650"/>
    </row>
    <row r="6754" spans="3:6">
      <c r="C6754" s="631"/>
      <c r="D6754" s="631"/>
      <c r="E6754" s="633"/>
      <c r="F6754" s="650"/>
    </row>
    <row r="6755" spans="3:6">
      <c r="C6755" s="631"/>
      <c r="D6755" s="631"/>
      <c r="E6755" s="633"/>
      <c r="F6755" s="650"/>
    </row>
    <row r="6756" spans="3:6">
      <c r="C6756" s="631"/>
      <c r="D6756" s="631"/>
      <c r="E6756" s="633"/>
      <c r="F6756" s="650"/>
    </row>
    <row r="6757" spans="3:6">
      <c r="C6757" s="631"/>
      <c r="D6757" s="631"/>
      <c r="E6757" s="633"/>
      <c r="F6757" s="650"/>
    </row>
    <row r="6758" spans="3:6">
      <c r="C6758" s="631"/>
      <c r="D6758" s="631"/>
      <c r="E6758" s="633"/>
      <c r="F6758" s="650"/>
    </row>
    <row r="6759" spans="3:6">
      <c r="C6759" s="631"/>
      <c r="D6759" s="631"/>
      <c r="E6759" s="633"/>
      <c r="F6759" s="650"/>
    </row>
    <row r="6760" spans="3:6">
      <c r="C6760" s="631"/>
      <c r="D6760" s="631"/>
      <c r="E6760" s="633"/>
      <c r="F6760" s="650"/>
    </row>
    <row r="6761" spans="3:6">
      <c r="C6761" s="631"/>
      <c r="D6761" s="631"/>
      <c r="E6761" s="633"/>
      <c r="F6761" s="650"/>
    </row>
    <row r="6762" spans="3:6">
      <c r="C6762" s="631"/>
      <c r="D6762" s="631"/>
      <c r="E6762" s="633"/>
      <c r="F6762" s="650"/>
    </row>
    <row r="6763" spans="3:6">
      <c r="C6763" s="631"/>
      <c r="D6763" s="631"/>
      <c r="E6763" s="633"/>
      <c r="F6763" s="650"/>
    </row>
    <row r="6764" spans="3:6">
      <c r="C6764" s="631"/>
      <c r="D6764" s="631"/>
      <c r="E6764" s="633"/>
      <c r="F6764" s="650"/>
    </row>
    <row r="6765" spans="3:6">
      <c r="C6765" s="631"/>
      <c r="D6765" s="631"/>
      <c r="E6765" s="633"/>
      <c r="F6765" s="650"/>
    </row>
    <row r="6766" spans="3:6">
      <c r="C6766" s="631"/>
      <c r="D6766" s="631"/>
      <c r="E6766" s="633"/>
      <c r="F6766" s="650"/>
    </row>
    <row r="6767" spans="3:6">
      <c r="C6767" s="631"/>
      <c r="D6767" s="631"/>
      <c r="E6767" s="633"/>
      <c r="F6767" s="650"/>
    </row>
    <row r="6768" spans="3:6">
      <c r="C6768" s="631"/>
      <c r="D6768" s="631"/>
      <c r="E6768" s="633"/>
      <c r="F6768" s="650"/>
    </row>
    <row r="6769" spans="3:6">
      <c r="C6769" s="631"/>
      <c r="D6769" s="631"/>
      <c r="E6769" s="633"/>
      <c r="F6769" s="650"/>
    </row>
    <row r="6770" spans="3:6">
      <c r="C6770" s="631"/>
      <c r="D6770" s="631"/>
      <c r="E6770" s="633"/>
      <c r="F6770" s="650"/>
    </row>
    <row r="6771" spans="3:6">
      <c r="C6771" s="631"/>
      <c r="D6771" s="631"/>
      <c r="E6771" s="633"/>
      <c r="F6771" s="650"/>
    </row>
    <row r="6772" spans="3:6">
      <c r="C6772" s="631"/>
      <c r="D6772" s="631"/>
      <c r="E6772" s="633"/>
      <c r="F6772" s="650"/>
    </row>
    <row r="6773" spans="3:6">
      <c r="C6773" s="631"/>
      <c r="D6773" s="631"/>
      <c r="E6773" s="633"/>
      <c r="F6773" s="650"/>
    </row>
    <row r="6774" spans="3:6">
      <c r="C6774" s="631"/>
      <c r="D6774" s="631"/>
      <c r="E6774" s="633"/>
      <c r="F6774" s="650"/>
    </row>
    <row r="6775" spans="3:6">
      <c r="C6775" s="631"/>
      <c r="D6775" s="631"/>
      <c r="E6775" s="633"/>
      <c r="F6775" s="650"/>
    </row>
    <row r="6776" spans="3:6">
      <c r="C6776" s="631"/>
      <c r="D6776" s="631"/>
      <c r="E6776" s="633"/>
      <c r="F6776" s="650"/>
    </row>
    <row r="6777" spans="3:6">
      <c r="C6777" s="631"/>
      <c r="D6777" s="631"/>
      <c r="E6777" s="633"/>
      <c r="F6777" s="650"/>
    </row>
    <row r="6778" spans="3:6">
      <c r="C6778" s="631"/>
      <c r="D6778" s="631"/>
      <c r="E6778" s="633"/>
      <c r="F6778" s="650"/>
    </row>
    <row r="6779" spans="3:6">
      <c r="C6779" s="631"/>
      <c r="D6779" s="631"/>
      <c r="E6779" s="633"/>
      <c r="F6779" s="650"/>
    </row>
    <row r="6780" spans="3:6">
      <c r="C6780" s="631"/>
      <c r="D6780" s="631"/>
      <c r="E6780" s="633"/>
      <c r="F6780" s="650"/>
    </row>
    <row r="6781" spans="3:6">
      <c r="C6781" s="631"/>
      <c r="D6781" s="631"/>
      <c r="E6781" s="633"/>
      <c r="F6781" s="650"/>
    </row>
    <row r="6782" spans="3:6">
      <c r="C6782" s="631"/>
      <c r="D6782" s="631"/>
      <c r="E6782" s="633"/>
      <c r="F6782" s="650"/>
    </row>
    <row r="6783" spans="3:6">
      <c r="C6783" s="631"/>
      <c r="D6783" s="631"/>
      <c r="E6783" s="633"/>
      <c r="F6783" s="650"/>
    </row>
    <row r="6784" spans="3:6">
      <c r="C6784" s="631"/>
      <c r="D6784" s="631"/>
      <c r="E6784" s="633"/>
      <c r="F6784" s="650"/>
    </row>
    <row r="6785" spans="3:6">
      <c r="C6785" s="631"/>
      <c r="D6785" s="631"/>
      <c r="E6785" s="633"/>
      <c r="F6785" s="650"/>
    </row>
    <row r="6786" spans="3:6">
      <c r="C6786" s="631"/>
      <c r="D6786" s="631"/>
      <c r="E6786" s="633"/>
      <c r="F6786" s="650"/>
    </row>
    <row r="6787" spans="3:6">
      <c r="C6787" s="631"/>
      <c r="D6787" s="631"/>
      <c r="E6787" s="633"/>
      <c r="F6787" s="650"/>
    </row>
    <row r="6788" spans="3:6">
      <c r="C6788" s="631"/>
      <c r="D6788" s="631"/>
      <c r="E6788" s="633"/>
      <c r="F6788" s="650"/>
    </row>
    <row r="6789" spans="3:6">
      <c r="C6789" s="631"/>
      <c r="D6789" s="631"/>
      <c r="E6789" s="633"/>
      <c r="F6789" s="650"/>
    </row>
    <row r="6790" spans="3:6">
      <c r="C6790" s="631"/>
      <c r="D6790" s="631"/>
      <c r="E6790" s="633"/>
      <c r="F6790" s="650"/>
    </row>
    <row r="6791" spans="3:6">
      <c r="C6791" s="631"/>
      <c r="D6791" s="631"/>
      <c r="E6791" s="633"/>
      <c r="F6791" s="650"/>
    </row>
    <row r="6792" spans="3:6">
      <c r="C6792" s="631"/>
      <c r="D6792" s="631"/>
      <c r="E6792" s="633"/>
      <c r="F6792" s="650"/>
    </row>
    <row r="6793" spans="3:6">
      <c r="C6793" s="631"/>
      <c r="D6793" s="631"/>
      <c r="E6793" s="633"/>
      <c r="F6793" s="650"/>
    </row>
    <row r="6794" spans="3:6">
      <c r="C6794" s="631"/>
      <c r="D6794" s="631"/>
      <c r="E6794" s="633"/>
      <c r="F6794" s="650"/>
    </row>
    <row r="6795" spans="3:6">
      <c r="C6795" s="631"/>
      <c r="D6795" s="631"/>
      <c r="E6795" s="633"/>
      <c r="F6795" s="650"/>
    </row>
    <row r="6796" spans="3:6">
      <c r="C6796" s="631"/>
      <c r="D6796" s="631"/>
      <c r="E6796" s="633"/>
      <c r="F6796" s="650"/>
    </row>
    <row r="6797" spans="3:6">
      <c r="C6797" s="631"/>
      <c r="D6797" s="631"/>
      <c r="E6797" s="633"/>
      <c r="F6797" s="650"/>
    </row>
    <row r="6798" spans="3:6">
      <c r="C6798" s="631"/>
      <c r="D6798" s="631"/>
      <c r="E6798" s="633"/>
      <c r="F6798" s="650"/>
    </row>
    <row r="6799" spans="3:6">
      <c r="C6799" s="631"/>
      <c r="D6799" s="631"/>
      <c r="E6799" s="633"/>
      <c r="F6799" s="650"/>
    </row>
    <row r="6800" spans="3:6">
      <c r="C6800" s="631"/>
      <c r="D6800" s="631"/>
      <c r="E6800" s="633"/>
      <c r="F6800" s="650"/>
    </row>
    <row r="6801" spans="3:6">
      <c r="C6801" s="631"/>
      <c r="D6801" s="631"/>
      <c r="E6801" s="633"/>
      <c r="F6801" s="650"/>
    </row>
    <row r="6802" spans="3:6">
      <c r="C6802" s="631"/>
      <c r="D6802" s="631"/>
      <c r="E6802" s="633"/>
      <c r="F6802" s="650"/>
    </row>
    <row r="6803" spans="3:6">
      <c r="C6803" s="631"/>
      <c r="D6803" s="631"/>
      <c r="E6803" s="633"/>
      <c r="F6803" s="650"/>
    </row>
    <row r="6804" spans="3:6">
      <c r="C6804" s="631"/>
      <c r="D6804" s="631"/>
      <c r="E6804" s="633"/>
      <c r="F6804" s="650"/>
    </row>
    <row r="6805" spans="3:6">
      <c r="C6805" s="631"/>
      <c r="D6805" s="631"/>
      <c r="E6805" s="633"/>
      <c r="F6805" s="650"/>
    </row>
    <row r="6806" spans="3:6">
      <c r="C6806" s="631"/>
      <c r="D6806" s="631"/>
      <c r="E6806" s="633"/>
      <c r="F6806" s="650"/>
    </row>
    <row r="6807" spans="3:6">
      <c r="C6807" s="631"/>
      <c r="D6807" s="631"/>
      <c r="E6807" s="633"/>
      <c r="F6807" s="650"/>
    </row>
    <row r="6808" spans="3:6">
      <c r="C6808" s="631"/>
      <c r="D6808" s="631"/>
      <c r="E6808" s="633"/>
      <c r="F6808" s="650"/>
    </row>
    <row r="6809" spans="3:6">
      <c r="C6809" s="631"/>
      <c r="D6809" s="631"/>
      <c r="E6809" s="633"/>
      <c r="F6809" s="650"/>
    </row>
    <row r="6810" spans="3:6">
      <c r="C6810" s="631"/>
      <c r="D6810" s="631"/>
      <c r="E6810" s="633"/>
      <c r="F6810" s="650"/>
    </row>
    <row r="6811" spans="3:6">
      <c r="C6811" s="631"/>
      <c r="D6811" s="631"/>
      <c r="E6811" s="633"/>
      <c r="F6811" s="650"/>
    </row>
    <row r="6812" spans="3:6">
      <c r="C6812" s="631"/>
      <c r="D6812" s="631"/>
      <c r="E6812" s="633"/>
      <c r="F6812" s="650"/>
    </row>
    <row r="6813" spans="3:6">
      <c r="C6813" s="631"/>
      <c r="D6813" s="631"/>
      <c r="E6813" s="633"/>
      <c r="F6813" s="650"/>
    </row>
    <row r="6814" spans="3:6">
      <c r="C6814" s="631"/>
      <c r="D6814" s="631"/>
      <c r="E6814" s="633"/>
      <c r="F6814" s="650"/>
    </row>
    <row r="6815" spans="3:6">
      <c r="C6815" s="631"/>
      <c r="D6815" s="631"/>
      <c r="E6815" s="633"/>
      <c r="F6815" s="650"/>
    </row>
    <row r="6816" spans="3:6">
      <c r="C6816" s="631"/>
      <c r="D6816" s="631"/>
      <c r="E6816" s="633"/>
      <c r="F6816" s="650"/>
    </row>
    <row r="6817" spans="3:6">
      <c r="C6817" s="631"/>
      <c r="D6817" s="631"/>
      <c r="E6817" s="633"/>
      <c r="F6817" s="650"/>
    </row>
    <row r="6818" spans="3:6">
      <c r="C6818" s="631"/>
      <c r="D6818" s="631"/>
      <c r="E6818" s="633"/>
      <c r="F6818" s="650"/>
    </row>
    <row r="6819" spans="3:6">
      <c r="C6819" s="631"/>
      <c r="D6819" s="631"/>
      <c r="E6819" s="633"/>
      <c r="F6819" s="650"/>
    </row>
    <row r="6820" spans="3:6">
      <c r="C6820" s="631"/>
      <c r="D6820" s="631"/>
      <c r="E6820" s="633"/>
      <c r="F6820" s="650"/>
    </row>
    <row r="6821" spans="3:6">
      <c r="C6821" s="631"/>
      <c r="D6821" s="631"/>
      <c r="E6821" s="633"/>
      <c r="F6821" s="650"/>
    </row>
    <row r="6822" spans="3:6">
      <c r="C6822" s="631"/>
      <c r="D6822" s="631"/>
      <c r="E6822" s="633"/>
      <c r="F6822" s="650"/>
    </row>
    <row r="6823" spans="3:6">
      <c r="C6823" s="631"/>
      <c r="D6823" s="631"/>
      <c r="E6823" s="633"/>
      <c r="F6823" s="650"/>
    </row>
    <row r="6824" spans="3:6">
      <c r="C6824" s="631"/>
      <c r="D6824" s="631"/>
      <c r="E6824" s="633"/>
      <c r="F6824" s="650"/>
    </row>
    <row r="6825" spans="3:6">
      <c r="C6825" s="631"/>
      <c r="D6825" s="631"/>
      <c r="E6825" s="633"/>
      <c r="F6825" s="650"/>
    </row>
    <row r="6826" spans="3:6">
      <c r="C6826" s="631"/>
      <c r="D6826" s="631"/>
      <c r="E6826" s="633"/>
      <c r="F6826" s="650"/>
    </row>
    <row r="6827" spans="3:6">
      <c r="C6827" s="631"/>
      <c r="D6827" s="631"/>
      <c r="E6827" s="633"/>
      <c r="F6827" s="650"/>
    </row>
    <row r="6828" spans="3:6">
      <c r="C6828" s="631"/>
      <c r="D6828" s="631"/>
      <c r="E6828" s="633"/>
      <c r="F6828" s="650"/>
    </row>
    <row r="6829" spans="3:6">
      <c r="C6829" s="631"/>
      <c r="D6829" s="631"/>
      <c r="E6829" s="633"/>
      <c r="F6829" s="650"/>
    </row>
    <row r="6830" spans="3:6">
      <c r="C6830" s="631"/>
      <c r="D6830" s="631"/>
      <c r="E6830" s="633"/>
      <c r="F6830" s="650"/>
    </row>
    <row r="6831" spans="3:6">
      <c r="C6831" s="631"/>
      <c r="D6831" s="631"/>
      <c r="E6831" s="633"/>
      <c r="F6831" s="650"/>
    </row>
    <row r="6832" spans="3:6">
      <c r="C6832" s="631"/>
      <c r="D6832" s="631"/>
      <c r="E6832" s="633"/>
      <c r="F6832" s="650"/>
    </row>
    <row r="6833" spans="3:6">
      <c r="C6833" s="631"/>
      <c r="D6833" s="631"/>
      <c r="E6833" s="633"/>
      <c r="F6833" s="650"/>
    </row>
    <row r="6834" spans="3:6">
      <c r="C6834" s="631"/>
      <c r="D6834" s="631"/>
      <c r="E6834" s="633"/>
      <c r="F6834" s="650"/>
    </row>
    <row r="6835" spans="3:6">
      <c r="C6835" s="631"/>
      <c r="D6835" s="631"/>
      <c r="E6835" s="633"/>
      <c r="F6835" s="650"/>
    </row>
    <row r="6836" spans="3:6">
      <c r="C6836" s="631"/>
      <c r="D6836" s="631"/>
      <c r="E6836" s="633"/>
      <c r="F6836" s="650"/>
    </row>
    <row r="6837" spans="3:6">
      <c r="C6837" s="631"/>
      <c r="D6837" s="631"/>
      <c r="E6837" s="633"/>
      <c r="F6837" s="650"/>
    </row>
    <row r="6838" spans="3:6">
      <c r="C6838" s="631"/>
      <c r="D6838" s="631"/>
      <c r="E6838" s="633"/>
      <c r="F6838" s="650"/>
    </row>
    <row r="6839" spans="3:6">
      <c r="C6839" s="631"/>
      <c r="D6839" s="631"/>
      <c r="E6839" s="633"/>
      <c r="F6839" s="650"/>
    </row>
    <row r="6840" spans="3:6">
      <c r="C6840" s="631"/>
      <c r="D6840" s="631"/>
      <c r="E6840" s="633"/>
      <c r="F6840" s="650"/>
    </row>
    <row r="6841" spans="3:6">
      <c r="C6841" s="631"/>
      <c r="D6841" s="631"/>
      <c r="E6841" s="633"/>
      <c r="F6841" s="650"/>
    </row>
    <row r="6842" spans="3:6">
      <c r="C6842" s="631"/>
      <c r="D6842" s="631"/>
      <c r="E6842" s="633"/>
      <c r="F6842" s="650"/>
    </row>
    <row r="6843" spans="3:6">
      <c r="C6843" s="631"/>
      <c r="D6843" s="631"/>
      <c r="E6843" s="633"/>
      <c r="F6843" s="650"/>
    </row>
    <row r="6844" spans="3:6">
      <c r="C6844" s="631"/>
      <c r="D6844" s="631"/>
      <c r="E6844" s="633"/>
      <c r="F6844" s="650"/>
    </row>
    <row r="6845" spans="3:6">
      <c r="C6845" s="631"/>
      <c r="D6845" s="631"/>
      <c r="E6845" s="633"/>
      <c r="F6845" s="650"/>
    </row>
    <row r="6846" spans="3:6">
      <c r="C6846" s="631"/>
      <c r="D6846" s="631"/>
      <c r="E6846" s="633"/>
      <c r="F6846" s="650"/>
    </row>
    <row r="6847" spans="3:6">
      <c r="C6847" s="631"/>
      <c r="D6847" s="631"/>
      <c r="E6847" s="633"/>
      <c r="F6847" s="650"/>
    </row>
    <row r="6848" spans="3:6">
      <c r="C6848" s="631"/>
      <c r="D6848" s="631"/>
      <c r="E6848" s="633"/>
      <c r="F6848" s="650"/>
    </row>
    <row r="6849" spans="3:6">
      <c r="C6849" s="631"/>
      <c r="D6849" s="631"/>
      <c r="E6849" s="633"/>
      <c r="F6849" s="650"/>
    </row>
    <row r="6850" spans="3:6">
      <c r="C6850" s="631"/>
      <c r="D6850" s="631"/>
      <c r="E6850" s="633"/>
      <c r="F6850" s="650"/>
    </row>
    <row r="6851" spans="3:6">
      <c r="C6851" s="631"/>
      <c r="D6851" s="631"/>
      <c r="E6851" s="633"/>
      <c r="F6851" s="650"/>
    </row>
    <row r="6852" spans="3:6">
      <c r="C6852" s="631"/>
      <c r="D6852" s="631"/>
      <c r="E6852" s="633"/>
      <c r="F6852" s="650"/>
    </row>
    <row r="6853" spans="3:6">
      <c r="C6853" s="631"/>
      <c r="D6853" s="631"/>
      <c r="E6853" s="633"/>
      <c r="F6853" s="650"/>
    </row>
    <row r="6854" spans="3:6">
      <c r="C6854" s="631"/>
      <c r="D6854" s="631"/>
      <c r="E6854" s="633"/>
      <c r="F6854" s="650"/>
    </row>
    <row r="6855" spans="3:6">
      <c r="C6855" s="631"/>
      <c r="D6855" s="631"/>
      <c r="E6855" s="633"/>
      <c r="F6855" s="650"/>
    </row>
    <row r="6856" spans="3:6">
      <c r="C6856" s="631"/>
      <c r="D6856" s="631"/>
      <c r="E6856" s="633"/>
      <c r="F6856" s="650"/>
    </row>
    <row r="6857" spans="3:6">
      <c r="C6857" s="631"/>
      <c r="D6857" s="631"/>
      <c r="E6857" s="633"/>
      <c r="F6857" s="650"/>
    </row>
    <row r="6858" spans="3:6">
      <c r="C6858" s="631"/>
      <c r="D6858" s="631"/>
      <c r="E6858" s="633"/>
      <c r="F6858" s="650"/>
    </row>
    <row r="6859" spans="3:6">
      <c r="C6859" s="631"/>
      <c r="D6859" s="631"/>
      <c r="E6859" s="633"/>
      <c r="F6859" s="650"/>
    </row>
    <row r="6860" spans="3:6">
      <c r="C6860" s="631"/>
      <c r="D6860" s="631"/>
      <c r="E6860" s="633"/>
      <c r="F6860" s="650"/>
    </row>
    <row r="6861" spans="3:6">
      <c r="C6861" s="631"/>
      <c r="D6861" s="631"/>
      <c r="E6861" s="633"/>
      <c r="F6861" s="650"/>
    </row>
    <row r="6862" spans="3:6">
      <c r="C6862" s="631"/>
      <c r="D6862" s="631"/>
      <c r="E6862" s="633"/>
      <c r="F6862" s="650"/>
    </row>
    <row r="6863" spans="3:6">
      <c r="C6863" s="631"/>
      <c r="D6863" s="631"/>
      <c r="E6863" s="633"/>
      <c r="F6863" s="650"/>
    </row>
    <row r="6864" spans="3:6">
      <c r="C6864" s="631"/>
      <c r="D6864" s="631"/>
      <c r="E6864" s="633"/>
      <c r="F6864" s="650"/>
    </row>
    <row r="6865" spans="3:6">
      <c r="C6865" s="631"/>
      <c r="D6865" s="631"/>
      <c r="E6865" s="633"/>
      <c r="F6865" s="650"/>
    </row>
    <row r="6866" spans="3:6">
      <c r="C6866" s="631"/>
      <c r="D6866" s="631"/>
      <c r="E6866" s="633"/>
      <c r="F6866" s="650"/>
    </row>
    <row r="6867" spans="3:6">
      <c r="C6867" s="631"/>
      <c r="D6867" s="631"/>
      <c r="E6867" s="633"/>
      <c r="F6867" s="650"/>
    </row>
    <row r="6868" spans="3:6">
      <c r="C6868" s="631"/>
      <c r="D6868" s="631"/>
      <c r="E6868" s="633"/>
      <c r="F6868" s="650"/>
    </row>
    <row r="6869" spans="3:6">
      <c r="C6869" s="631"/>
      <c r="D6869" s="631"/>
      <c r="E6869" s="633"/>
      <c r="F6869" s="650"/>
    </row>
    <row r="6870" spans="3:6">
      <c r="C6870" s="631"/>
      <c r="D6870" s="631"/>
      <c r="E6870" s="633"/>
      <c r="F6870" s="650"/>
    </row>
    <row r="6871" spans="3:6">
      <c r="C6871" s="631"/>
      <c r="D6871" s="631"/>
      <c r="E6871" s="633"/>
      <c r="F6871" s="650"/>
    </row>
    <row r="6872" spans="3:6">
      <c r="C6872" s="631"/>
      <c r="D6872" s="631"/>
      <c r="E6872" s="633"/>
      <c r="F6872" s="650"/>
    </row>
    <row r="6873" spans="3:6">
      <c r="C6873" s="631"/>
      <c r="D6873" s="631"/>
      <c r="E6873" s="633"/>
      <c r="F6873" s="650"/>
    </row>
    <row r="6874" spans="3:6">
      <c r="C6874" s="631"/>
      <c r="D6874" s="631"/>
      <c r="E6874" s="633"/>
      <c r="F6874" s="650"/>
    </row>
    <row r="6875" spans="3:6">
      <c r="C6875" s="631"/>
      <c r="D6875" s="631"/>
      <c r="E6875" s="633"/>
      <c r="F6875" s="650"/>
    </row>
    <row r="6876" spans="3:6">
      <c r="C6876" s="631"/>
      <c r="D6876" s="631"/>
      <c r="E6876" s="633"/>
      <c r="F6876" s="650"/>
    </row>
    <row r="6877" spans="3:6">
      <c r="C6877" s="631"/>
      <c r="D6877" s="631"/>
      <c r="E6877" s="633"/>
      <c r="F6877" s="650"/>
    </row>
    <row r="6878" spans="3:6">
      <c r="C6878" s="631"/>
      <c r="D6878" s="631"/>
      <c r="E6878" s="633"/>
      <c r="F6878" s="650"/>
    </row>
    <row r="6879" spans="3:6">
      <c r="C6879" s="631"/>
      <c r="D6879" s="631"/>
      <c r="E6879" s="633"/>
      <c r="F6879" s="650"/>
    </row>
    <row r="6880" spans="3:6">
      <c r="C6880" s="631"/>
      <c r="D6880" s="631"/>
      <c r="E6880" s="633"/>
      <c r="F6880" s="650"/>
    </row>
    <row r="6881" spans="3:6">
      <c r="C6881" s="631"/>
      <c r="D6881" s="631"/>
      <c r="E6881" s="633"/>
      <c r="F6881" s="650"/>
    </row>
    <row r="6882" spans="3:6">
      <c r="C6882" s="631"/>
      <c r="D6882" s="631"/>
      <c r="E6882" s="633"/>
      <c r="F6882" s="650"/>
    </row>
    <row r="6883" spans="3:6">
      <c r="C6883" s="631"/>
      <c r="D6883" s="631"/>
      <c r="E6883" s="633"/>
      <c r="F6883" s="650"/>
    </row>
    <row r="6884" spans="3:6">
      <c r="C6884" s="631"/>
      <c r="D6884" s="631"/>
      <c r="E6884" s="633"/>
      <c r="F6884" s="650"/>
    </row>
    <row r="6885" spans="3:6">
      <c r="C6885" s="631"/>
      <c r="D6885" s="631"/>
      <c r="E6885" s="633"/>
      <c r="F6885" s="650"/>
    </row>
    <row r="6886" spans="3:6">
      <c r="C6886" s="631"/>
      <c r="D6886" s="631"/>
      <c r="E6886" s="633"/>
      <c r="F6886" s="650"/>
    </row>
    <row r="6887" spans="3:6">
      <c r="C6887" s="631"/>
      <c r="D6887" s="631"/>
      <c r="E6887" s="633"/>
      <c r="F6887" s="650"/>
    </row>
    <row r="6888" spans="3:6">
      <c r="C6888" s="631"/>
      <c r="D6888" s="631"/>
      <c r="E6888" s="633"/>
      <c r="F6888" s="650"/>
    </row>
    <row r="6889" spans="3:6">
      <c r="C6889" s="631"/>
      <c r="D6889" s="631"/>
      <c r="E6889" s="633"/>
      <c r="F6889" s="650"/>
    </row>
    <row r="6890" spans="3:6">
      <c r="C6890" s="631"/>
      <c r="D6890" s="631"/>
      <c r="E6890" s="633"/>
      <c r="F6890" s="650"/>
    </row>
    <row r="6891" spans="3:6">
      <c r="C6891" s="631"/>
      <c r="D6891" s="631"/>
      <c r="E6891" s="633"/>
      <c r="F6891" s="650"/>
    </row>
    <row r="6892" spans="3:6">
      <c r="C6892" s="631"/>
      <c r="D6892" s="631"/>
      <c r="E6892" s="633"/>
      <c r="F6892" s="650"/>
    </row>
    <row r="6893" spans="3:6">
      <c r="C6893" s="631"/>
      <c r="D6893" s="631"/>
      <c r="E6893" s="633"/>
      <c r="F6893" s="650"/>
    </row>
    <row r="6894" spans="3:6">
      <c r="C6894" s="631"/>
      <c r="D6894" s="631"/>
      <c r="E6894" s="633"/>
      <c r="F6894" s="650"/>
    </row>
    <row r="6895" spans="3:6">
      <c r="C6895" s="631"/>
      <c r="D6895" s="631"/>
      <c r="E6895" s="633"/>
      <c r="F6895" s="650"/>
    </row>
    <row r="6896" spans="3:6">
      <c r="C6896" s="631"/>
      <c r="D6896" s="631"/>
      <c r="E6896" s="633"/>
      <c r="F6896" s="650"/>
    </row>
    <row r="6897" spans="3:6">
      <c r="C6897" s="631"/>
      <c r="D6897" s="631"/>
      <c r="E6897" s="633"/>
      <c r="F6897" s="650"/>
    </row>
    <row r="6898" spans="3:6">
      <c r="C6898" s="631"/>
      <c r="D6898" s="631"/>
      <c r="E6898" s="633"/>
      <c r="F6898" s="650"/>
    </row>
    <row r="6899" spans="3:6">
      <c r="C6899" s="631"/>
      <c r="D6899" s="631"/>
      <c r="E6899" s="633"/>
      <c r="F6899" s="650"/>
    </row>
    <row r="6900" spans="3:6">
      <c r="C6900" s="631"/>
      <c r="D6900" s="631"/>
      <c r="E6900" s="633"/>
      <c r="F6900" s="650"/>
    </row>
    <row r="6901" spans="3:6">
      <c r="C6901" s="631"/>
      <c r="D6901" s="631"/>
      <c r="E6901" s="633"/>
      <c r="F6901" s="650"/>
    </row>
    <row r="6902" spans="3:6">
      <c r="C6902" s="631"/>
      <c r="D6902" s="631"/>
      <c r="E6902" s="633"/>
      <c r="F6902" s="650"/>
    </row>
    <row r="6903" spans="3:6">
      <c r="C6903" s="631"/>
      <c r="D6903" s="631"/>
      <c r="E6903" s="633"/>
      <c r="F6903" s="650"/>
    </row>
    <row r="6904" spans="3:6">
      <c r="C6904" s="631"/>
      <c r="D6904" s="631"/>
      <c r="E6904" s="633"/>
      <c r="F6904" s="650"/>
    </row>
    <row r="6905" spans="3:6">
      <c r="C6905" s="631"/>
      <c r="D6905" s="631"/>
      <c r="E6905" s="633"/>
      <c r="F6905" s="650"/>
    </row>
    <row r="6906" spans="3:6">
      <c r="C6906" s="631"/>
      <c r="D6906" s="631"/>
      <c r="E6906" s="633"/>
      <c r="F6906" s="650"/>
    </row>
    <row r="6907" spans="3:6">
      <c r="C6907" s="631"/>
      <c r="D6907" s="631"/>
      <c r="E6907" s="633"/>
      <c r="F6907" s="650"/>
    </row>
    <row r="6908" spans="3:6">
      <c r="C6908" s="631"/>
      <c r="D6908" s="631"/>
      <c r="E6908" s="633"/>
      <c r="F6908" s="650"/>
    </row>
    <row r="6909" spans="3:6">
      <c r="C6909" s="631"/>
      <c r="D6909" s="631"/>
      <c r="E6909" s="633"/>
      <c r="F6909" s="650"/>
    </row>
    <row r="6910" spans="3:6">
      <c r="C6910" s="631"/>
      <c r="D6910" s="631"/>
      <c r="E6910" s="633"/>
      <c r="F6910" s="650"/>
    </row>
    <row r="6911" spans="3:6">
      <c r="C6911" s="631"/>
      <c r="D6911" s="631"/>
      <c r="E6911" s="633"/>
      <c r="F6911" s="650"/>
    </row>
    <row r="6912" spans="3:6">
      <c r="C6912" s="631"/>
      <c r="D6912" s="631"/>
      <c r="E6912" s="633"/>
      <c r="F6912" s="650"/>
    </row>
    <row r="6913" spans="3:6">
      <c r="C6913" s="631"/>
      <c r="D6913" s="631"/>
      <c r="E6913" s="633"/>
      <c r="F6913" s="650"/>
    </row>
    <row r="6914" spans="3:6">
      <c r="C6914" s="631"/>
      <c r="D6914" s="631"/>
      <c r="E6914" s="633"/>
      <c r="F6914" s="650"/>
    </row>
    <row r="6915" spans="3:6">
      <c r="C6915" s="631"/>
      <c r="D6915" s="631"/>
      <c r="E6915" s="633"/>
      <c r="F6915" s="650"/>
    </row>
    <row r="6916" spans="3:6">
      <c r="C6916" s="631"/>
      <c r="D6916" s="631"/>
      <c r="E6916" s="633"/>
      <c r="F6916" s="650"/>
    </row>
    <row r="6917" spans="3:6">
      <c r="C6917" s="631"/>
      <c r="D6917" s="631"/>
      <c r="E6917" s="633"/>
      <c r="F6917" s="650"/>
    </row>
    <row r="6918" spans="3:6">
      <c r="C6918" s="631"/>
      <c r="D6918" s="631"/>
      <c r="E6918" s="633"/>
      <c r="F6918" s="650"/>
    </row>
    <row r="6919" spans="3:6">
      <c r="C6919" s="631"/>
      <c r="D6919" s="631"/>
      <c r="E6919" s="633"/>
      <c r="F6919" s="650"/>
    </row>
    <row r="6920" spans="3:6">
      <c r="C6920" s="631"/>
      <c r="D6920" s="631"/>
      <c r="E6920" s="633"/>
      <c r="F6920" s="650"/>
    </row>
    <row r="6921" spans="3:6">
      <c r="C6921" s="631"/>
      <c r="D6921" s="631"/>
      <c r="E6921" s="633"/>
      <c r="F6921" s="650"/>
    </row>
    <row r="6922" spans="3:6">
      <c r="C6922" s="631"/>
      <c r="D6922" s="631"/>
      <c r="E6922" s="633"/>
      <c r="F6922" s="650"/>
    </row>
    <row r="6923" spans="3:6">
      <c r="C6923" s="631"/>
      <c r="D6923" s="631"/>
      <c r="E6923" s="633"/>
      <c r="F6923" s="650"/>
    </row>
    <row r="6924" spans="3:6">
      <c r="C6924" s="631"/>
      <c r="D6924" s="631"/>
      <c r="E6924" s="633"/>
      <c r="F6924" s="650"/>
    </row>
    <row r="6925" spans="3:6">
      <c r="C6925" s="631"/>
      <c r="D6925" s="631"/>
      <c r="E6925" s="633"/>
      <c r="F6925" s="650"/>
    </row>
    <row r="6926" spans="3:6">
      <c r="C6926" s="631"/>
      <c r="D6926" s="631"/>
      <c r="E6926" s="633"/>
      <c r="F6926" s="650"/>
    </row>
    <row r="6927" spans="3:6">
      <c r="C6927" s="631"/>
      <c r="D6927" s="631"/>
      <c r="E6927" s="633"/>
      <c r="F6927" s="650"/>
    </row>
    <row r="6928" spans="3:6">
      <c r="C6928" s="631"/>
      <c r="D6928" s="631"/>
      <c r="E6928" s="633"/>
      <c r="F6928" s="650"/>
    </row>
    <row r="6929" spans="3:6">
      <c r="C6929" s="631"/>
      <c r="D6929" s="631"/>
      <c r="E6929" s="633"/>
      <c r="F6929" s="650"/>
    </row>
    <row r="6930" spans="3:6">
      <c r="C6930" s="631"/>
      <c r="D6930" s="631"/>
      <c r="E6930" s="633"/>
      <c r="F6930" s="650"/>
    </row>
    <row r="6931" spans="3:6">
      <c r="C6931" s="631"/>
      <c r="D6931" s="631"/>
      <c r="E6931" s="633"/>
      <c r="F6931" s="650"/>
    </row>
    <row r="6932" spans="3:6">
      <c r="C6932" s="631"/>
      <c r="D6932" s="631"/>
      <c r="E6932" s="633"/>
      <c r="F6932" s="650"/>
    </row>
    <row r="6933" spans="3:6">
      <c r="C6933" s="631"/>
      <c r="D6933" s="631"/>
      <c r="E6933" s="633"/>
      <c r="F6933" s="650"/>
    </row>
    <row r="6934" spans="3:6">
      <c r="C6934" s="631"/>
      <c r="D6934" s="631"/>
      <c r="E6934" s="633"/>
      <c r="F6934" s="650"/>
    </row>
    <row r="6935" spans="3:6">
      <c r="C6935" s="631"/>
      <c r="D6935" s="631"/>
      <c r="E6935" s="633"/>
      <c r="F6935" s="650"/>
    </row>
    <row r="6936" spans="3:6">
      <c r="C6936" s="631"/>
      <c r="D6936" s="631"/>
      <c r="E6936" s="633"/>
      <c r="F6936" s="650"/>
    </row>
    <row r="6937" spans="3:6">
      <c r="C6937" s="631"/>
      <c r="D6937" s="631"/>
      <c r="E6937" s="633"/>
      <c r="F6937" s="650"/>
    </row>
    <row r="6938" spans="3:6">
      <c r="C6938" s="631"/>
      <c r="D6938" s="631"/>
      <c r="E6938" s="633"/>
      <c r="F6938" s="650"/>
    </row>
    <row r="6939" spans="3:6">
      <c r="C6939" s="631"/>
      <c r="D6939" s="631"/>
      <c r="E6939" s="633"/>
      <c r="F6939" s="650"/>
    </row>
    <row r="6940" spans="3:6">
      <c r="C6940" s="631"/>
      <c r="D6940" s="631"/>
      <c r="E6940" s="633"/>
      <c r="F6940" s="650"/>
    </row>
    <row r="6941" spans="3:6">
      <c r="C6941" s="631"/>
      <c r="D6941" s="631"/>
      <c r="E6941" s="633"/>
      <c r="F6941" s="650"/>
    </row>
    <row r="6942" spans="3:6">
      <c r="C6942" s="631"/>
      <c r="D6942" s="631"/>
      <c r="E6942" s="633"/>
      <c r="F6942" s="650"/>
    </row>
    <row r="6943" spans="3:6">
      <c r="C6943" s="631"/>
      <c r="D6943" s="631"/>
      <c r="E6943" s="633"/>
      <c r="F6943" s="650"/>
    </row>
    <row r="6944" spans="3:6">
      <c r="C6944" s="631"/>
      <c r="D6944" s="631"/>
      <c r="E6944" s="633"/>
      <c r="F6944" s="650"/>
    </row>
    <row r="6945" spans="3:6">
      <c r="C6945" s="631"/>
      <c r="D6945" s="631"/>
      <c r="E6945" s="633"/>
      <c r="F6945" s="650"/>
    </row>
    <row r="6946" spans="3:6">
      <c r="C6946" s="631"/>
      <c r="D6946" s="631"/>
      <c r="E6946" s="633"/>
      <c r="F6946" s="650"/>
    </row>
    <row r="6947" spans="3:6">
      <c r="C6947" s="631"/>
      <c r="D6947" s="631"/>
      <c r="E6947" s="633"/>
      <c r="F6947" s="650"/>
    </row>
    <row r="6948" spans="3:6">
      <c r="C6948" s="631"/>
      <c r="D6948" s="631"/>
      <c r="E6948" s="633"/>
      <c r="F6948" s="650"/>
    </row>
    <row r="6949" spans="3:6">
      <c r="C6949" s="631"/>
      <c r="D6949" s="631"/>
      <c r="E6949" s="633"/>
      <c r="F6949" s="650"/>
    </row>
    <row r="6950" spans="3:6">
      <c r="C6950" s="631"/>
      <c r="D6950" s="631"/>
      <c r="E6950" s="633"/>
      <c r="F6950" s="650"/>
    </row>
    <row r="6951" spans="3:6">
      <c r="C6951" s="631"/>
      <c r="D6951" s="631"/>
      <c r="E6951" s="633"/>
      <c r="F6951" s="650"/>
    </row>
    <row r="6952" spans="3:6">
      <c r="C6952" s="631"/>
      <c r="D6952" s="631"/>
      <c r="E6952" s="633"/>
      <c r="F6952" s="650"/>
    </row>
    <row r="6953" spans="3:6">
      <c r="C6953" s="631"/>
      <c r="D6953" s="631"/>
      <c r="E6953" s="633"/>
      <c r="F6953" s="650"/>
    </row>
    <row r="6954" spans="3:6">
      <c r="C6954" s="631"/>
      <c r="D6954" s="631"/>
      <c r="E6954" s="633"/>
      <c r="F6954" s="650"/>
    </row>
    <row r="6955" spans="3:6">
      <c r="C6955" s="631"/>
      <c r="D6955" s="631"/>
      <c r="E6955" s="633"/>
      <c r="F6955" s="650"/>
    </row>
    <row r="6956" spans="3:6">
      <c r="C6956" s="631"/>
      <c r="D6956" s="631"/>
      <c r="E6956" s="633"/>
      <c r="F6956" s="650"/>
    </row>
    <row r="6957" spans="3:6">
      <c r="C6957" s="631"/>
      <c r="D6957" s="631"/>
      <c r="E6957" s="633"/>
      <c r="F6957" s="650"/>
    </row>
    <row r="6958" spans="3:6">
      <c r="C6958" s="631"/>
      <c r="D6958" s="631"/>
      <c r="E6958" s="633"/>
      <c r="F6958" s="650"/>
    </row>
    <row r="6959" spans="3:6">
      <c r="C6959" s="631"/>
      <c r="D6959" s="631"/>
      <c r="E6959" s="633"/>
      <c r="F6959" s="650"/>
    </row>
    <row r="6960" spans="3:6">
      <c r="C6960" s="631"/>
      <c r="D6960" s="631"/>
      <c r="E6960" s="633"/>
      <c r="F6960" s="650"/>
    </row>
    <row r="6961" spans="3:6">
      <c r="C6961" s="631"/>
      <c r="D6961" s="631"/>
      <c r="E6961" s="633"/>
      <c r="F6961" s="650"/>
    </row>
    <row r="6962" spans="3:6">
      <c r="C6962" s="631"/>
      <c r="D6962" s="631"/>
      <c r="E6962" s="633"/>
      <c r="F6962" s="650"/>
    </row>
    <row r="6963" spans="3:6">
      <c r="C6963" s="631"/>
      <c r="D6963" s="631"/>
      <c r="E6963" s="633"/>
      <c r="F6963" s="650"/>
    </row>
    <row r="6964" spans="3:6">
      <c r="C6964" s="631"/>
      <c r="D6964" s="631"/>
      <c r="E6964" s="633"/>
      <c r="F6964" s="650"/>
    </row>
    <row r="6965" spans="3:6">
      <c r="C6965" s="631"/>
      <c r="D6965" s="631"/>
      <c r="E6965" s="633"/>
      <c r="F6965" s="650"/>
    </row>
    <row r="6966" spans="3:6">
      <c r="C6966" s="631"/>
      <c r="D6966" s="631"/>
      <c r="E6966" s="633"/>
      <c r="F6966" s="650"/>
    </row>
    <row r="6967" spans="3:6">
      <c r="C6967" s="631"/>
      <c r="D6967" s="631"/>
      <c r="E6967" s="633"/>
      <c r="F6967" s="650"/>
    </row>
    <row r="6968" spans="3:6">
      <c r="C6968" s="631"/>
      <c r="D6968" s="631"/>
      <c r="E6968" s="633"/>
      <c r="F6968" s="650"/>
    </row>
    <row r="6969" spans="3:6">
      <c r="C6969" s="631"/>
      <c r="D6969" s="631"/>
      <c r="E6969" s="633"/>
      <c r="F6969" s="650"/>
    </row>
    <row r="6970" spans="3:6">
      <c r="C6970" s="631"/>
      <c r="D6970" s="631"/>
      <c r="E6970" s="633"/>
      <c r="F6970" s="650"/>
    </row>
    <row r="6971" spans="3:6">
      <c r="C6971" s="631"/>
      <c r="D6971" s="631"/>
      <c r="E6971" s="633"/>
      <c r="F6971" s="650"/>
    </row>
    <row r="6972" spans="3:6">
      <c r="C6972" s="631"/>
      <c r="D6972" s="631"/>
      <c r="E6972" s="633"/>
      <c r="F6972" s="650"/>
    </row>
    <row r="6973" spans="3:6">
      <c r="C6973" s="631"/>
      <c r="D6973" s="631"/>
      <c r="E6973" s="633"/>
      <c r="F6973" s="650"/>
    </row>
    <row r="6974" spans="3:6">
      <c r="C6974" s="631"/>
      <c r="D6974" s="631"/>
      <c r="E6974" s="633"/>
      <c r="F6974" s="650"/>
    </row>
    <row r="6975" spans="3:6">
      <c r="C6975" s="631"/>
      <c r="D6975" s="631"/>
      <c r="E6975" s="633"/>
      <c r="F6975" s="650"/>
    </row>
    <row r="6976" spans="3:6">
      <c r="C6976" s="631"/>
      <c r="D6976" s="631"/>
      <c r="E6976" s="633"/>
      <c r="F6976" s="650"/>
    </row>
    <row r="6977" spans="3:6">
      <c r="C6977" s="631"/>
      <c r="D6977" s="631"/>
      <c r="E6977" s="633"/>
      <c r="F6977" s="650"/>
    </row>
    <row r="6978" spans="3:6">
      <c r="C6978" s="631"/>
      <c r="D6978" s="631"/>
      <c r="E6978" s="633"/>
      <c r="F6978" s="650"/>
    </row>
    <row r="6979" spans="3:6">
      <c r="C6979" s="631"/>
      <c r="D6979" s="631"/>
      <c r="E6979" s="633"/>
      <c r="F6979" s="650"/>
    </row>
    <row r="6980" spans="3:6">
      <c r="C6980" s="631"/>
      <c r="D6980" s="631"/>
      <c r="E6980" s="633"/>
      <c r="F6980" s="650"/>
    </row>
    <row r="6981" spans="3:6">
      <c r="C6981" s="631"/>
      <c r="D6981" s="631"/>
      <c r="E6981" s="633"/>
      <c r="F6981" s="650"/>
    </row>
    <row r="6982" spans="3:6">
      <c r="C6982" s="631"/>
      <c r="D6982" s="631"/>
      <c r="E6982" s="633"/>
      <c r="F6982" s="650"/>
    </row>
    <row r="6983" spans="3:6">
      <c r="C6983" s="631"/>
      <c r="D6983" s="631"/>
      <c r="E6983" s="633"/>
      <c r="F6983" s="650"/>
    </row>
    <row r="6984" spans="3:6">
      <c r="C6984" s="631"/>
      <c r="D6984" s="631"/>
      <c r="E6984" s="633"/>
      <c r="F6984" s="650"/>
    </row>
    <row r="6985" spans="3:6">
      <c r="C6985" s="631"/>
      <c r="D6985" s="631"/>
      <c r="E6985" s="633"/>
      <c r="F6985" s="650"/>
    </row>
    <row r="6986" spans="3:6">
      <c r="C6986" s="631"/>
      <c r="D6986" s="631"/>
      <c r="E6986" s="633"/>
      <c r="F6986" s="650"/>
    </row>
    <row r="6987" spans="3:6">
      <c r="C6987" s="631"/>
      <c r="D6987" s="631"/>
      <c r="E6987" s="633"/>
      <c r="F6987" s="650"/>
    </row>
    <row r="6988" spans="3:6">
      <c r="C6988" s="631"/>
      <c r="D6988" s="631"/>
      <c r="E6988" s="633"/>
      <c r="F6988" s="650"/>
    </row>
    <row r="6989" spans="3:6">
      <c r="C6989" s="631"/>
      <c r="D6989" s="631"/>
      <c r="E6989" s="633"/>
      <c r="F6989" s="650"/>
    </row>
    <row r="6990" spans="3:6">
      <c r="C6990" s="631"/>
      <c r="D6990" s="631"/>
      <c r="E6990" s="633"/>
      <c r="F6990" s="650"/>
    </row>
    <row r="6991" spans="3:6">
      <c r="C6991" s="631"/>
      <c r="D6991" s="631"/>
      <c r="E6991" s="633"/>
      <c r="F6991" s="650"/>
    </row>
    <row r="6992" spans="3:6">
      <c r="C6992" s="631"/>
      <c r="D6992" s="631"/>
      <c r="E6992" s="633"/>
      <c r="F6992" s="650"/>
    </row>
    <row r="6993" spans="3:6">
      <c r="C6993" s="631"/>
      <c r="D6993" s="631"/>
      <c r="E6993" s="633"/>
      <c r="F6993" s="650"/>
    </row>
    <row r="6994" spans="3:6">
      <c r="C6994" s="631"/>
      <c r="D6994" s="631"/>
      <c r="E6994" s="633"/>
      <c r="F6994" s="650"/>
    </row>
    <row r="6995" spans="3:6">
      <c r="C6995" s="631"/>
      <c r="D6995" s="631"/>
      <c r="E6995" s="633"/>
      <c r="F6995" s="650"/>
    </row>
    <row r="6996" spans="3:6">
      <c r="C6996" s="631"/>
      <c r="D6996" s="631"/>
      <c r="E6996" s="633"/>
      <c r="F6996" s="650"/>
    </row>
    <row r="6997" spans="3:6">
      <c r="C6997" s="631"/>
      <c r="D6997" s="631"/>
      <c r="E6997" s="633"/>
      <c r="F6997" s="650"/>
    </row>
    <row r="6998" spans="3:6">
      <c r="C6998" s="631"/>
      <c r="D6998" s="631"/>
      <c r="E6998" s="633"/>
      <c r="F6998" s="650"/>
    </row>
    <row r="6999" spans="3:6">
      <c r="C6999" s="631"/>
      <c r="D6999" s="631"/>
      <c r="E6999" s="633"/>
      <c r="F6999" s="650"/>
    </row>
    <row r="7000" spans="3:6">
      <c r="C7000" s="631"/>
      <c r="D7000" s="631"/>
      <c r="E7000" s="633"/>
      <c r="F7000" s="650"/>
    </row>
    <row r="7001" spans="3:6">
      <c r="C7001" s="631"/>
      <c r="D7001" s="631"/>
      <c r="E7001" s="633"/>
      <c r="F7001" s="650"/>
    </row>
    <row r="7002" spans="3:6">
      <c r="C7002" s="631"/>
      <c r="D7002" s="631"/>
      <c r="E7002" s="633"/>
      <c r="F7002" s="650"/>
    </row>
    <row r="7003" spans="3:6">
      <c r="C7003" s="631"/>
      <c r="D7003" s="631"/>
      <c r="E7003" s="633"/>
      <c r="F7003" s="650"/>
    </row>
    <row r="7004" spans="3:6">
      <c r="C7004" s="631"/>
      <c r="D7004" s="631"/>
      <c r="E7004" s="633"/>
      <c r="F7004" s="650"/>
    </row>
    <row r="7005" spans="3:6">
      <c r="C7005" s="631"/>
      <c r="D7005" s="631"/>
      <c r="E7005" s="633"/>
      <c r="F7005" s="650"/>
    </row>
    <row r="7006" spans="3:6">
      <c r="C7006" s="631"/>
      <c r="D7006" s="631"/>
      <c r="E7006" s="633"/>
      <c r="F7006" s="650"/>
    </row>
    <row r="7007" spans="3:6">
      <c r="C7007" s="631"/>
      <c r="D7007" s="631"/>
      <c r="E7007" s="633"/>
      <c r="F7007" s="650"/>
    </row>
    <row r="7008" spans="3:6">
      <c r="C7008" s="631"/>
      <c r="D7008" s="631"/>
      <c r="E7008" s="633"/>
      <c r="F7008" s="650"/>
    </row>
    <row r="7009" spans="3:6">
      <c r="C7009" s="631"/>
      <c r="D7009" s="631"/>
      <c r="E7009" s="633"/>
      <c r="F7009" s="650"/>
    </row>
    <row r="7010" spans="3:6">
      <c r="C7010" s="631"/>
      <c r="D7010" s="631"/>
      <c r="E7010" s="633"/>
      <c r="F7010" s="650"/>
    </row>
    <row r="7011" spans="3:6">
      <c r="C7011" s="631"/>
      <c r="D7011" s="631"/>
      <c r="E7011" s="633"/>
      <c r="F7011" s="650"/>
    </row>
    <row r="7012" spans="3:6">
      <c r="C7012" s="631"/>
      <c r="D7012" s="631"/>
      <c r="E7012" s="633"/>
      <c r="F7012" s="650"/>
    </row>
    <row r="7013" spans="3:6">
      <c r="C7013" s="631"/>
      <c r="D7013" s="631"/>
      <c r="E7013" s="633"/>
      <c r="F7013" s="650"/>
    </row>
    <row r="7014" spans="3:6">
      <c r="C7014" s="631"/>
      <c r="D7014" s="631"/>
      <c r="E7014" s="633"/>
      <c r="F7014" s="650"/>
    </row>
    <row r="7015" spans="3:6">
      <c r="C7015" s="631"/>
      <c r="D7015" s="631"/>
      <c r="E7015" s="633"/>
      <c r="F7015" s="650"/>
    </row>
    <row r="7016" spans="3:6">
      <c r="C7016" s="631"/>
      <c r="D7016" s="631"/>
      <c r="E7016" s="633"/>
      <c r="F7016" s="650"/>
    </row>
    <row r="7017" spans="3:6">
      <c r="C7017" s="631"/>
      <c r="D7017" s="631"/>
      <c r="E7017" s="633"/>
      <c r="F7017" s="650"/>
    </row>
    <row r="7018" spans="3:6">
      <c r="C7018" s="631"/>
      <c r="D7018" s="631"/>
      <c r="E7018" s="633"/>
      <c r="F7018" s="650"/>
    </row>
    <row r="7019" spans="3:6">
      <c r="C7019" s="631"/>
      <c r="D7019" s="631"/>
      <c r="E7019" s="633"/>
      <c r="F7019" s="650"/>
    </row>
    <row r="7020" spans="3:6">
      <c r="C7020" s="631"/>
      <c r="D7020" s="631"/>
      <c r="E7020" s="633"/>
      <c r="F7020" s="650"/>
    </row>
    <row r="7021" spans="3:6">
      <c r="C7021" s="631"/>
      <c r="D7021" s="631"/>
      <c r="E7021" s="633"/>
      <c r="F7021" s="650"/>
    </row>
    <row r="7022" spans="3:6">
      <c r="C7022" s="631"/>
      <c r="D7022" s="631"/>
      <c r="E7022" s="633"/>
      <c r="F7022" s="650"/>
    </row>
    <row r="7023" spans="3:6">
      <c r="C7023" s="631"/>
      <c r="D7023" s="631"/>
      <c r="E7023" s="633"/>
      <c r="F7023" s="650"/>
    </row>
    <row r="7024" spans="3:6">
      <c r="C7024" s="631"/>
      <c r="D7024" s="631"/>
      <c r="E7024" s="633"/>
      <c r="F7024" s="650"/>
    </row>
    <row r="7025" spans="3:6">
      <c r="C7025" s="631"/>
      <c r="D7025" s="631"/>
      <c r="E7025" s="633"/>
      <c r="F7025" s="650"/>
    </row>
    <row r="7026" spans="3:6">
      <c r="C7026" s="631"/>
      <c r="D7026" s="631"/>
      <c r="E7026" s="633"/>
      <c r="F7026" s="650"/>
    </row>
    <row r="7027" spans="3:6">
      <c r="C7027" s="631"/>
      <c r="D7027" s="631"/>
      <c r="E7027" s="633"/>
      <c r="F7027" s="650"/>
    </row>
    <row r="7028" spans="3:6">
      <c r="C7028" s="631"/>
      <c r="D7028" s="631"/>
      <c r="E7028" s="633"/>
      <c r="F7028" s="650"/>
    </row>
    <row r="7029" spans="3:6">
      <c r="C7029" s="631"/>
      <c r="D7029" s="631"/>
      <c r="E7029" s="633"/>
      <c r="F7029" s="650"/>
    </row>
    <row r="7030" spans="3:6">
      <c r="C7030" s="631"/>
      <c r="D7030" s="631"/>
      <c r="E7030" s="633"/>
      <c r="F7030" s="650"/>
    </row>
    <row r="7031" spans="3:6">
      <c r="C7031" s="631"/>
      <c r="D7031" s="631"/>
      <c r="E7031" s="633"/>
      <c r="F7031" s="650"/>
    </row>
    <row r="7032" spans="3:6">
      <c r="C7032" s="631"/>
      <c r="D7032" s="631"/>
      <c r="E7032" s="633"/>
      <c r="F7032" s="650"/>
    </row>
    <row r="7033" spans="3:6">
      <c r="C7033" s="631"/>
      <c r="D7033" s="631"/>
      <c r="E7033" s="633"/>
      <c r="F7033" s="650"/>
    </row>
    <row r="7034" spans="3:6">
      <c r="C7034" s="631"/>
      <c r="D7034" s="631"/>
      <c r="E7034" s="633"/>
      <c r="F7034" s="650"/>
    </row>
    <row r="7035" spans="3:6">
      <c r="C7035" s="631"/>
      <c r="D7035" s="631"/>
      <c r="E7035" s="633"/>
      <c r="F7035" s="650"/>
    </row>
    <row r="7036" spans="3:6">
      <c r="C7036" s="631"/>
      <c r="D7036" s="631"/>
      <c r="E7036" s="633"/>
      <c r="F7036" s="650"/>
    </row>
    <row r="7037" spans="3:6">
      <c r="C7037" s="631"/>
      <c r="D7037" s="631"/>
      <c r="E7037" s="633"/>
      <c r="F7037" s="650"/>
    </row>
    <row r="7038" spans="3:6">
      <c r="C7038" s="631"/>
      <c r="D7038" s="631"/>
      <c r="E7038" s="633"/>
      <c r="F7038" s="650"/>
    </row>
    <row r="7039" spans="3:6">
      <c r="C7039" s="631"/>
      <c r="D7039" s="631"/>
      <c r="E7039" s="633"/>
      <c r="F7039" s="650"/>
    </row>
    <row r="7040" spans="3:6">
      <c r="C7040" s="631"/>
      <c r="D7040" s="631"/>
      <c r="E7040" s="633"/>
      <c r="F7040" s="650"/>
    </row>
    <row r="7041" spans="3:6">
      <c r="C7041" s="631"/>
      <c r="D7041" s="631"/>
      <c r="E7041" s="633"/>
      <c r="F7041" s="650"/>
    </row>
    <row r="7042" spans="3:6">
      <c r="C7042" s="631"/>
      <c r="D7042" s="631"/>
      <c r="E7042" s="633"/>
      <c r="F7042" s="650"/>
    </row>
    <row r="7043" spans="3:6">
      <c r="C7043" s="631"/>
      <c r="D7043" s="631"/>
      <c r="E7043" s="633"/>
      <c r="F7043" s="650"/>
    </row>
    <row r="7044" spans="3:6">
      <c r="C7044" s="631"/>
      <c r="D7044" s="631"/>
      <c r="E7044" s="633"/>
      <c r="F7044" s="650"/>
    </row>
    <row r="7045" spans="3:6">
      <c r="C7045" s="631"/>
      <c r="D7045" s="631"/>
      <c r="E7045" s="633"/>
      <c r="F7045" s="650"/>
    </row>
    <row r="7046" spans="3:6">
      <c r="C7046" s="631"/>
      <c r="D7046" s="631"/>
      <c r="E7046" s="633"/>
      <c r="F7046" s="650"/>
    </row>
    <row r="7047" spans="3:6">
      <c r="C7047" s="631"/>
      <c r="D7047" s="631"/>
      <c r="E7047" s="633"/>
      <c r="F7047" s="650"/>
    </row>
    <row r="7048" spans="3:6">
      <c r="C7048" s="631"/>
      <c r="D7048" s="631"/>
      <c r="E7048" s="633"/>
      <c r="F7048" s="650"/>
    </row>
    <row r="7049" spans="3:6">
      <c r="C7049" s="631"/>
      <c r="D7049" s="631"/>
      <c r="E7049" s="633"/>
      <c r="F7049" s="650"/>
    </row>
    <row r="7050" spans="3:6">
      <c r="C7050" s="631"/>
      <c r="D7050" s="631"/>
      <c r="E7050" s="633"/>
      <c r="F7050" s="650"/>
    </row>
    <row r="7051" spans="3:6">
      <c r="C7051" s="631"/>
      <c r="D7051" s="631"/>
      <c r="E7051" s="633"/>
      <c r="F7051" s="650"/>
    </row>
    <row r="7052" spans="3:6">
      <c r="C7052" s="631"/>
      <c r="D7052" s="631"/>
      <c r="E7052" s="633"/>
      <c r="F7052" s="650"/>
    </row>
    <row r="7053" spans="3:6">
      <c r="C7053" s="631"/>
      <c r="D7053" s="631"/>
      <c r="E7053" s="633"/>
      <c r="F7053" s="650"/>
    </row>
    <row r="7054" spans="3:6">
      <c r="C7054" s="631"/>
      <c r="D7054" s="631"/>
      <c r="E7054" s="633"/>
      <c r="F7054" s="650"/>
    </row>
    <row r="7055" spans="3:6">
      <c r="C7055" s="631"/>
      <c r="D7055" s="631"/>
      <c r="E7055" s="633"/>
      <c r="F7055" s="650"/>
    </row>
    <row r="7056" spans="3:6">
      <c r="C7056" s="631"/>
      <c r="D7056" s="631"/>
      <c r="E7056" s="633"/>
      <c r="F7056" s="650"/>
    </row>
    <row r="7057" spans="3:6">
      <c r="C7057" s="631"/>
      <c r="D7057" s="631"/>
      <c r="E7057" s="633"/>
      <c r="F7057" s="650"/>
    </row>
    <row r="7058" spans="3:6">
      <c r="C7058" s="631"/>
      <c r="D7058" s="631"/>
      <c r="E7058" s="633"/>
      <c r="F7058" s="650"/>
    </row>
    <row r="7059" spans="3:6">
      <c r="C7059" s="631"/>
      <c r="D7059" s="631"/>
      <c r="E7059" s="633"/>
      <c r="F7059" s="650"/>
    </row>
    <row r="7060" spans="3:6">
      <c r="C7060" s="631"/>
      <c r="D7060" s="631"/>
      <c r="E7060" s="633"/>
      <c r="F7060" s="650"/>
    </row>
    <row r="7061" spans="3:6">
      <c r="C7061" s="631"/>
      <c r="D7061" s="631"/>
      <c r="E7061" s="633"/>
      <c r="F7061" s="650"/>
    </row>
    <row r="7062" spans="3:6">
      <c r="C7062" s="631"/>
      <c r="D7062" s="631"/>
      <c r="E7062" s="633"/>
      <c r="F7062" s="650"/>
    </row>
    <row r="7063" spans="3:6">
      <c r="C7063" s="631"/>
      <c r="D7063" s="631"/>
      <c r="E7063" s="633"/>
      <c r="F7063" s="650"/>
    </row>
    <row r="7064" spans="3:6">
      <c r="C7064" s="631"/>
      <c r="D7064" s="631"/>
      <c r="E7064" s="633"/>
      <c r="F7064" s="650"/>
    </row>
    <row r="7065" spans="3:6">
      <c r="C7065" s="631"/>
      <c r="D7065" s="631"/>
      <c r="E7065" s="633"/>
      <c r="F7065" s="650"/>
    </row>
    <row r="7066" spans="3:6">
      <c r="C7066" s="631"/>
      <c r="D7066" s="631"/>
      <c r="E7066" s="633"/>
      <c r="F7066" s="650"/>
    </row>
    <row r="7067" spans="3:6">
      <c r="C7067" s="631"/>
      <c r="D7067" s="631"/>
      <c r="E7067" s="633"/>
      <c r="F7067" s="650"/>
    </row>
    <row r="7068" spans="3:6">
      <c r="C7068" s="631"/>
      <c r="D7068" s="631"/>
      <c r="E7068" s="633"/>
      <c r="F7068" s="650"/>
    </row>
    <row r="7069" spans="3:6">
      <c r="C7069" s="631"/>
      <c r="D7069" s="631"/>
      <c r="E7069" s="633"/>
      <c r="F7069" s="650"/>
    </row>
    <row r="7070" spans="3:6">
      <c r="C7070" s="631"/>
      <c r="D7070" s="631"/>
      <c r="E7070" s="633"/>
      <c r="F7070" s="650"/>
    </row>
    <row r="7071" spans="3:6">
      <c r="C7071" s="631"/>
      <c r="D7071" s="631"/>
      <c r="E7071" s="633"/>
      <c r="F7071" s="650"/>
    </row>
    <row r="7072" spans="3:6">
      <c r="C7072" s="631"/>
      <c r="D7072" s="631"/>
      <c r="E7072" s="633"/>
      <c r="F7072" s="650"/>
    </row>
    <row r="7073" spans="3:6">
      <c r="C7073" s="631"/>
      <c r="D7073" s="631"/>
      <c r="E7073" s="633"/>
      <c r="F7073" s="650"/>
    </row>
    <row r="7074" spans="3:6">
      <c r="C7074" s="631"/>
      <c r="D7074" s="631"/>
      <c r="E7074" s="633"/>
      <c r="F7074" s="650"/>
    </row>
    <row r="7075" spans="3:6">
      <c r="C7075" s="631"/>
      <c r="D7075" s="631"/>
      <c r="E7075" s="633"/>
      <c r="F7075" s="650"/>
    </row>
    <row r="7076" spans="3:6">
      <c r="C7076" s="631"/>
      <c r="D7076" s="631"/>
      <c r="E7076" s="633"/>
      <c r="F7076" s="650"/>
    </row>
    <row r="7077" spans="3:6">
      <c r="C7077" s="631"/>
      <c r="D7077" s="631"/>
      <c r="E7077" s="633"/>
      <c r="F7077" s="650"/>
    </row>
    <row r="7078" spans="3:6">
      <c r="C7078" s="631"/>
      <c r="D7078" s="631"/>
      <c r="E7078" s="633"/>
      <c r="F7078" s="650"/>
    </row>
    <row r="7079" spans="3:6">
      <c r="C7079" s="631"/>
      <c r="D7079" s="631"/>
      <c r="E7079" s="633"/>
      <c r="F7079" s="650"/>
    </row>
    <row r="7080" spans="3:6">
      <c r="C7080" s="631"/>
      <c r="D7080" s="631"/>
      <c r="E7080" s="633"/>
      <c r="F7080" s="650"/>
    </row>
    <row r="7081" spans="3:6">
      <c r="C7081" s="631"/>
      <c r="D7081" s="631"/>
      <c r="E7081" s="633"/>
      <c r="F7081" s="650"/>
    </row>
    <row r="7082" spans="3:6">
      <c r="C7082" s="631"/>
      <c r="D7082" s="631"/>
      <c r="E7082" s="633"/>
      <c r="F7082" s="650"/>
    </row>
    <row r="7083" spans="3:6">
      <c r="C7083" s="631"/>
      <c r="D7083" s="631"/>
      <c r="E7083" s="633"/>
      <c r="F7083" s="650"/>
    </row>
    <row r="7084" spans="3:6">
      <c r="C7084" s="631"/>
      <c r="D7084" s="631"/>
      <c r="E7084" s="633"/>
      <c r="F7084" s="650"/>
    </row>
    <row r="7085" spans="3:6">
      <c r="C7085" s="631"/>
      <c r="D7085" s="631"/>
      <c r="E7085" s="633"/>
      <c r="F7085" s="650"/>
    </row>
    <row r="7086" spans="3:6">
      <c r="C7086" s="631"/>
      <c r="D7086" s="631"/>
      <c r="E7086" s="633"/>
      <c r="F7086" s="650"/>
    </row>
    <row r="7087" spans="3:6">
      <c r="C7087" s="631"/>
      <c r="D7087" s="631"/>
      <c r="E7087" s="633"/>
      <c r="F7087" s="650"/>
    </row>
    <row r="7088" spans="3:6">
      <c r="C7088" s="631"/>
      <c r="D7088" s="631"/>
      <c r="E7088" s="633"/>
      <c r="F7088" s="650"/>
    </row>
    <row r="7089" spans="3:6">
      <c r="C7089" s="631"/>
      <c r="D7089" s="631"/>
      <c r="E7089" s="633"/>
      <c r="F7089" s="650"/>
    </row>
    <row r="7090" spans="3:6">
      <c r="C7090" s="631"/>
      <c r="D7090" s="631"/>
      <c r="E7090" s="633"/>
      <c r="F7090" s="650"/>
    </row>
    <row r="7091" spans="3:6">
      <c r="C7091" s="631"/>
      <c r="D7091" s="631"/>
      <c r="E7091" s="633"/>
      <c r="F7091" s="650"/>
    </row>
    <row r="7092" spans="3:6">
      <c r="C7092" s="631"/>
      <c r="D7092" s="631"/>
      <c r="E7092" s="633"/>
      <c r="F7092" s="650"/>
    </row>
    <row r="7093" spans="3:6">
      <c r="C7093" s="631"/>
      <c r="D7093" s="631"/>
      <c r="E7093" s="633"/>
      <c r="F7093" s="650"/>
    </row>
    <row r="7094" spans="3:6">
      <c r="C7094" s="631"/>
      <c r="D7094" s="631"/>
      <c r="E7094" s="633"/>
      <c r="F7094" s="650"/>
    </row>
    <row r="7095" spans="3:6">
      <c r="C7095" s="631"/>
      <c r="D7095" s="631"/>
      <c r="E7095" s="633"/>
      <c r="F7095" s="650"/>
    </row>
    <row r="7096" spans="3:6">
      <c r="C7096" s="631"/>
      <c r="D7096" s="631"/>
      <c r="E7096" s="633"/>
      <c r="F7096" s="650"/>
    </row>
    <row r="7097" spans="3:6">
      <c r="C7097" s="631"/>
      <c r="D7097" s="631"/>
      <c r="E7097" s="633"/>
      <c r="F7097" s="650"/>
    </row>
    <row r="7098" spans="3:6">
      <c r="C7098" s="631"/>
      <c r="D7098" s="631"/>
      <c r="E7098" s="633"/>
      <c r="F7098" s="650"/>
    </row>
    <row r="7099" spans="3:6">
      <c r="C7099" s="631"/>
      <c r="D7099" s="631"/>
      <c r="E7099" s="633"/>
      <c r="F7099" s="650"/>
    </row>
    <row r="7100" spans="3:6">
      <c r="C7100" s="631"/>
      <c r="D7100" s="631"/>
      <c r="E7100" s="633"/>
      <c r="F7100" s="650"/>
    </row>
    <row r="7101" spans="3:6">
      <c r="C7101" s="631"/>
      <c r="D7101" s="631"/>
      <c r="E7101" s="633"/>
      <c r="F7101" s="650"/>
    </row>
    <row r="7102" spans="3:6">
      <c r="C7102" s="631"/>
      <c r="D7102" s="631"/>
      <c r="E7102" s="633"/>
      <c r="F7102" s="650"/>
    </row>
    <row r="7103" spans="3:6">
      <c r="C7103" s="631"/>
      <c r="D7103" s="631"/>
      <c r="E7103" s="633"/>
      <c r="F7103" s="650"/>
    </row>
    <row r="7104" spans="3:6">
      <c r="C7104" s="631"/>
      <c r="D7104" s="631"/>
      <c r="E7104" s="633"/>
      <c r="F7104" s="650"/>
    </row>
    <row r="7105" spans="3:6">
      <c r="C7105" s="631"/>
      <c r="D7105" s="631"/>
      <c r="E7105" s="633"/>
      <c r="F7105" s="650"/>
    </row>
    <row r="7106" spans="3:6">
      <c r="C7106" s="631"/>
      <c r="D7106" s="631"/>
      <c r="E7106" s="633"/>
      <c r="F7106" s="650"/>
    </row>
    <row r="7107" spans="3:6">
      <c r="C7107" s="631"/>
      <c r="D7107" s="631"/>
      <c r="E7107" s="633"/>
      <c r="F7107" s="650"/>
    </row>
    <row r="7108" spans="3:6">
      <c r="C7108" s="631"/>
      <c r="D7108" s="631"/>
      <c r="E7108" s="633"/>
      <c r="F7108" s="650"/>
    </row>
    <row r="7109" spans="3:6">
      <c r="C7109" s="631"/>
      <c r="D7109" s="631"/>
      <c r="E7109" s="633"/>
      <c r="F7109" s="650"/>
    </row>
    <row r="7110" spans="3:6">
      <c r="C7110" s="631"/>
      <c r="D7110" s="631"/>
      <c r="E7110" s="633"/>
      <c r="F7110" s="650"/>
    </row>
    <row r="7111" spans="3:6">
      <c r="C7111" s="631"/>
      <c r="D7111" s="631"/>
      <c r="E7111" s="633"/>
      <c r="F7111" s="650"/>
    </row>
    <row r="7112" spans="3:6">
      <c r="C7112" s="631"/>
      <c r="D7112" s="631"/>
      <c r="E7112" s="633"/>
      <c r="F7112" s="650"/>
    </row>
    <row r="7113" spans="3:6">
      <c r="C7113" s="631"/>
      <c r="D7113" s="631"/>
      <c r="E7113" s="633"/>
      <c r="F7113" s="650"/>
    </row>
    <row r="7114" spans="3:6">
      <c r="C7114" s="631"/>
      <c r="D7114" s="631"/>
      <c r="E7114" s="633"/>
      <c r="F7114" s="650"/>
    </row>
    <row r="7115" spans="3:6">
      <c r="C7115" s="631"/>
      <c r="D7115" s="631"/>
      <c r="E7115" s="633"/>
      <c r="F7115" s="650"/>
    </row>
    <row r="7116" spans="3:6">
      <c r="C7116" s="631"/>
      <c r="D7116" s="631"/>
      <c r="E7116" s="633"/>
      <c r="F7116" s="650"/>
    </row>
    <row r="7117" spans="3:6">
      <c r="C7117" s="631"/>
      <c r="D7117" s="631"/>
      <c r="E7117" s="633"/>
      <c r="F7117" s="650"/>
    </row>
    <row r="7118" spans="3:6">
      <c r="C7118" s="631"/>
      <c r="D7118" s="631"/>
      <c r="E7118" s="633"/>
      <c r="F7118" s="650"/>
    </row>
    <row r="7119" spans="3:6">
      <c r="C7119" s="631"/>
      <c r="D7119" s="631"/>
      <c r="E7119" s="633"/>
      <c r="F7119" s="650"/>
    </row>
    <row r="7120" spans="3:6">
      <c r="C7120" s="631"/>
      <c r="D7120" s="631"/>
      <c r="E7120" s="633"/>
      <c r="F7120" s="650"/>
    </row>
    <row r="7121" spans="3:6">
      <c r="C7121" s="631"/>
      <c r="D7121" s="631"/>
      <c r="E7121" s="633"/>
      <c r="F7121" s="650"/>
    </row>
    <row r="7122" spans="3:6">
      <c r="C7122" s="631"/>
      <c r="D7122" s="631"/>
      <c r="E7122" s="633"/>
      <c r="F7122" s="650"/>
    </row>
    <row r="7123" spans="3:6">
      <c r="C7123" s="631"/>
      <c r="D7123" s="631"/>
      <c r="E7123" s="633"/>
      <c r="F7123" s="650"/>
    </row>
    <row r="7124" spans="3:6">
      <c r="C7124" s="631"/>
      <c r="D7124" s="631"/>
      <c r="E7124" s="633"/>
      <c r="F7124" s="650"/>
    </row>
    <row r="7125" spans="3:6">
      <c r="C7125" s="631"/>
      <c r="D7125" s="631"/>
      <c r="E7125" s="633"/>
      <c r="F7125" s="650"/>
    </row>
    <row r="7126" spans="3:6">
      <c r="C7126" s="631"/>
      <c r="D7126" s="631"/>
      <c r="E7126" s="633"/>
      <c r="F7126" s="650"/>
    </row>
    <row r="7127" spans="3:6">
      <c r="C7127" s="631"/>
      <c r="D7127" s="631"/>
      <c r="E7127" s="633"/>
      <c r="F7127" s="650"/>
    </row>
    <row r="7128" spans="3:6">
      <c r="C7128" s="631"/>
      <c r="D7128" s="631"/>
      <c r="E7128" s="633"/>
      <c r="F7128" s="650"/>
    </row>
    <row r="7129" spans="3:6">
      <c r="C7129" s="631"/>
      <c r="D7129" s="631"/>
      <c r="E7129" s="633"/>
      <c r="F7129" s="650"/>
    </row>
    <row r="7130" spans="3:6">
      <c r="C7130" s="631"/>
      <c r="D7130" s="631"/>
      <c r="E7130" s="633"/>
      <c r="F7130" s="650"/>
    </row>
    <row r="7131" spans="3:6">
      <c r="C7131" s="631"/>
      <c r="D7131" s="631"/>
      <c r="E7131" s="633"/>
      <c r="F7131" s="650"/>
    </row>
    <row r="7132" spans="3:6">
      <c r="C7132" s="631"/>
      <c r="D7132" s="631"/>
      <c r="E7132" s="633"/>
      <c r="F7132" s="650"/>
    </row>
    <row r="7133" spans="3:6">
      <c r="C7133" s="631"/>
      <c r="D7133" s="631"/>
      <c r="E7133" s="633"/>
      <c r="F7133" s="650"/>
    </row>
    <row r="7134" spans="3:6">
      <c r="C7134" s="631"/>
      <c r="D7134" s="631"/>
      <c r="E7134" s="633"/>
      <c r="F7134" s="650"/>
    </row>
    <row r="7135" spans="3:6">
      <c r="C7135" s="631"/>
      <c r="D7135" s="631"/>
      <c r="E7135" s="633"/>
      <c r="F7135" s="650"/>
    </row>
    <row r="7136" spans="3:6">
      <c r="C7136" s="631"/>
      <c r="D7136" s="631"/>
      <c r="E7136" s="633"/>
      <c r="F7136" s="650"/>
    </row>
    <row r="7137" spans="3:6">
      <c r="C7137" s="631"/>
      <c r="D7137" s="631"/>
      <c r="E7137" s="633"/>
      <c r="F7137" s="650"/>
    </row>
    <row r="7138" spans="3:6">
      <c r="C7138" s="631"/>
      <c r="D7138" s="631"/>
      <c r="E7138" s="633"/>
      <c r="F7138" s="650"/>
    </row>
    <row r="7139" spans="3:6">
      <c r="C7139" s="631"/>
      <c r="D7139" s="631"/>
      <c r="E7139" s="633"/>
      <c r="F7139" s="650"/>
    </row>
    <row r="7140" spans="3:6">
      <c r="C7140" s="631"/>
      <c r="D7140" s="631"/>
      <c r="E7140" s="633"/>
      <c r="F7140" s="650"/>
    </row>
    <row r="7141" spans="3:6">
      <c r="C7141" s="631"/>
      <c r="D7141" s="631"/>
      <c r="E7141" s="633"/>
      <c r="F7141" s="650"/>
    </row>
    <row r="7142" spans="3:6">
      <c r="C7142" s="631"/>
      <c r="D7142" s="631"/>
      <c r="E7142" s="633"/>
      <c r="F7142" s="650"/>
    </row>
    <row r="7143" spans="3:6">
      <c r="C7143" s="631"/>
      <c r="D7143" s="631"/>
      <c r="E7143" s="633"/>
      <c r="F7143" s="650"/>
    </row>
    <row r="7144" spans="3:6">
      <c r="C7144" s="631"/>
      <c r="D7144" s="631"/>
      <c r="E7144" s="633"/>
      <c r="F7144" s="650"/>
    </row>
    <row r="7145" spans="3:6">
      <c r="C7145" s="631"/>
      <c r="D7145" s="631"/>
      <c r="E7145" s="633"/>
      <c r="F7145" s="650"/>
    </row>
    <row r="7146" spans="3:6">
      <c r="C7146" s="631"/>
      <c r="D7146" s="631"/>
      <c r="E7146" s="633"/>
      <c r="F7146" s="650"/>
    </row>
    <row r="7147" spans="3:6">
      <c r="C7147" s="631"/>
      <c r="D7147" s="631"/>
      <c r="E7147" s="633"/>
      <c r="F7147" s="650"/>
    </row>
    <row r="7148" spans="3:6">
      <c r="C7148" s="631"/>
      <c r="D7148" s="631"/>
      <c r="E7148" s="633"/>
      <c r="F7148" s="650"/>
    </row>
    <row r="7149" spans="3:6">
      <c r="C7149" s="631"/>
      <c r="D7149" s="631"/>
      <c r="E7149" s="633"/>
      <c r="F7149" s="650"/>
    </row>
    <row r="7150" spans="3:6">
      <c r="C7150" s="631"/>
      <c r="D7150" s="631"/>
      <c r="E7150" s="633"/>
      <c r="F7150" s="650"/>
    </row>
    <row r="7151" spans="3:6">
      <c r="C7151" s="631"/>
      <c r="D7151" s="631"/>
      <c r="E7151" s="633"/>
      <c r="F7151" s="650"/>
    </row>
    <row r="7152" spans="3:6">
      <c r="C7152" s="631"/>
      <c r="D7152" s="631"/>
      <c r="E7152" s="633"/>
      <c r="F7152" s="650"/>
    </row>
    <row r="7153" spans="3:6">
      <c r="C7153" s="631"/>
      <c r="D7153" s="631"/>
      <c r="E7153" s="633"/>
      <c r="F7153" s="650"/>
    </row>
    <row r="7154" spans="3:6">
      <c r="C7154" s="631"/>
      <c r="D7154" s="631"/>
      <c r="E7154" s="633"/>
      <c r="F7154" s="650"/>
    </row>
    <row r="7155" spans="3:6">
      <c r="C7155" s="631"/>
      <c r="D7155" s="631"/>
      <c r="E7155" s="633"/>
      <c r="F7155" s="650"/>
    </row>
    <row r="7156" spans="3:6">
      <c r="C7156" s="631"/>
      <c r="D7156" s="631"/>
      <c r="E7156" s="633"/>
      <c r="F7156" s="650"/>
    </row>
    <row r="7157" spans="3:6">
      <c r="C7157" s="631"/>
      <c r="D7157" s="631"/>
      <c r="E7157" s="633"/>
      <c r="F7157" s="650"/>
    </row>
    <row r="7158" spans="3:6">
      <c r="C7158" s="631"/>
      <c r="D7158" s="631"/>
      <c r="E7158" s="633"/>
      <c r="F7158" s="650"/>
    </row>
    <row r="7159" spans="3:6">
      <c r="C7159" s="631"/>
      <c r="D7159" s="631"/>
      <c r="E7159" s="633"/>
      <c r="F7159" s="650"/>
    </row>
    <row r="7160" spans="3:6">
      <c r="C7160" s="631"/>
      <c r="D7160" s="631"/>
      <c r="E7160" s="633"/>
      <c r="F7160" s="650"/>
    </row>
    <row r="7161" spans="3:6">
      <c r="C7161" s="631"/>
      <c r="D7161" s="631"/>
      <c r="E7161" s="633"/>
      <c r="F7161" s="650"/>
    </row>
    <row r="7162" spans="3:6">
      <c r="C7162" s="631"/>
      <c r="D7162" s="631"/>
      <c r="E7162" s="633"/>
      <c r="F7162" s="650"/>
    </row>
    <row r="7163" spans="3:6">
      <c r="C7163" s="631"/>
      <c r="D7163" s="631"/>
      <c r="E7163" s="633"/>
      <c r="F7163" s="650"/>
    </row>
    <row r="7164" spans="3:6">
      <c r="C7164" s="631"/>
      <c r="D7164" s="631"/>
      <c r="E7164" s="633"/>
      <c r="F7164" s="650"/>
    </row>
    <row r="7165" spans="3:6">
      <c r="C7165" s="631"/>
      <c r="D7165" s="631"/>
      <c r="E7165" s="633"/>
      <c r="F7165" s="650"/>
    </row>
    <row r="7166" spans="3:6">
      <c r="C7166" s="631"/>
      <c r="D7166" s="631"/>
      <c r="E7166" s="633"/>
      <c r="F7166" s="650"/>
    </row>
    <row r="7167" spans="3:6">
      <c r="C7167" s="631"/>
      <c r="D7167" s="631"/>
      <c r="E7167" s="633"/>
      <c r="F7167" s="650"/>
    </row>
    <row r="7168" spans="3:6">
      <c r="C7168" s="631"/>
      <c r="D7168" s="631"/>
      <c r="E7168" s="633"/>
      <c r="F7168" s="650"/>
    </row>
    <row r="7169" spans="3:6">
      <c r="C7169" s="631"/>
      <c r="D7169" s="631"/>
      <c r="E7169" s="633"/>
      <c r="F7169" s="650"/>
    </row>
    <row r="7170" spans="3:6">
      <c r="C7170" s="631"/>
      <c r="D7170" s="631"/>
      <c r="E7170" s="633"/>
      <c r="F7170" s="650"/>
    </row>
    <row r="7171" spans="3:6">
      <c r="C7171" s="631"/>
      <c r="D7171" s="631"/>
      <c r="E7171" s="633"/>
      <c r="F7171" s="650"/>
    </row>
    <row r="7172" spans="3:6">
      <c r="C7172" s="631"/>
      <c r="D7172" s="631"/>
      <c r="E7172" s="633"/>
      <c r="F7172" s="650"/>
    </row>
    <row r="7173" spans="3:6">
      <c r="C7173" s="631"/>
      <c r="D7173" s="631"/>
      <c r="E7173" s="633"/>
      <c r="F7173" s="650"/>
    </row>
    <row r="7174" spans="3:6">
      <c r="C7174" s="631"/>
      <c r="D7174" s="631"/>
      <c r="E7174" s="633"/>
      <c r="F7174" s="650"/>
    </row>
    <row r="7175" spans="3:6">
      <c r="C7175" s="631"/>
      <c r="D7175" s="631"/>
      <c r="E7175" s="633"/>
      <c r="F7175" s="650"/>
    </row>
    <row r="7176" spans="3:6">
      <c r="C7176" s="631"/>
      <c r="D7176" s="631"/>
      <c r="E7176" s="633"/>
      <c r="F7176" s="650"/>
    </row>
    <row r="7177" spans="3:6">
      <c r="C7177" s="631"/>
      <c r="D7177" s="631"/>
      <c r="E7177" s="633"/>
      <c r="F7177" s="650"/>
    </row>
    <row r="7178" spans="3:6">
      <c r="C7178" s="631"/>
      <c r="D7178" s="631"/>
      <c r="E7178" s="633"/>
      <c r="F7178" s="650"/>
    </row>
    <row r="7179" spans="3:6">
      <c r="C7179" s="631"/>
      <c r="D7179" s="631"/>
      <c r="E7179" s="633"/>
      <c r="F7179" s="650"/>
    </row>
    <row r="7180" spans="3:6">
      <c r="C7180" s="631"/>
      <c r="D7180" s="631"/>
      <c r="E7180" s="633"/>
      <c r="F7180" s="650"/>
    </row>
    <row r="7181" spans="3:6">
      <c r="C7181" s="631"/>
      <c r="D7181" s="631"/>
      <c r="E7181" s="633"/>
      <c r="F7181" s="650"/>
    </row>
    <row r="7182" spans="3:6">
      <c r="C7182" s="631"/>
      <c r="D7182" s="631"/>
      <c r="E7182" s="633"/>
      <c r="F7182" s="650"/>
    </row>
    <row r="7183" spans="3:6">
      <c r="C7183" s="631"/>
      <c r="D7183" s="631"/>
      <c r="E7183" s="633"/>
      <c r="F7183" s="650"/>
    </row>
    <row r="7184" spans="3:6">
      <c r="C7184" s="631"/>
      <c r="D7184" s="631"/>
      <c r="E7184" s="633"/>
      <c r="F7184" s="650"/>
    </row>
    <row r="7185" spans="3:6">
      <c r="C7185" s="631"/>
      <c r="D7185" s="631"/>
      <c r="E7185" s="633"/>
      <c r="F7185" s="650"/>
    </row>
    <row r="7186" spans="3:6">
      <c r="C7186" s="631"/>
      <c r="D7186" s="631"/>
      <c r="E7186" s="633"/>
      <c r="F7186" s="650"/>
    </row>
    <row r="7187" spans="3:6">
      <c r="C7187" s="631"/>
      <c r="D7187" s="631"/>
      <c r="E7187" s="633"/>
      <c r="F7187" s="650"/>
    </row>
    <row r="7188" spans="3:6">
      <c r="C7188" s="631"/>
      <c r="D7188" s="631"/>
      <c r="E7188" s="633"/>
      <c r="F7188" s="650"/>
    </row>
    <row r="7189" spans="3:6">
      <c r="C7189" s="631"/>
      <c r="D7189" s="631"/>
      <c r="E7189" s="633"/>
      <c r="F7189" s="650"/>
    </row>
    <row r="7190" spans="3:6">
      <c r="C7190" s="631"/>
      <c r="D7190" s="631"/>
      <c r="E7190" s="633"/>
      <c r="F7190" s="650"/>
    </row>
    <row r="7191" spans="3:6">
      <c r="C7191" s="631"/>
      <c r="D7191" s="631"/>
      <c r="E7191" s="633"/>
      <c r="F7191" s="650"/>
    </row>
    <row r="7192" spans="3:6">
      <c r="C7192" s="631"/>
      <c r="D7192" s="631"/>
      <c r="E7192" s="633"/>
      <c r="F7192" s="650"/>
    </row>
    <row r="7193" spans="3:6">
      <c r="C7193" s="631"/>
      <c r="D7193" s="631"/>
      <c r="E7193" s="633"/>
      <c r="F7193" s="650"/>
    </row>
    <row r="7194" spans="3:6">
      <c r="C7194" s="631"/>
      <c r="D7194" s="631"/>
      <c r="E7194" s="633"/>
      <c r="F7194" s="650"/>
    </row>
    <row r="7195" spans="3:6">
      <c r="C7195" s="631"/>
      <c r="D7195" s="631"/>
      <c r="E7195" s="633"/>
      <c r="F7195" s="650"/>
    </row>
    <row r="7196" spans="3:6">
      <c r="C7196" s="631"/>
      <c r="D7196" s="631"/>
      <c r="E7196" s="633"/>
      <c r="F7196" s="650"/>
    </row>
    <row r="7197" spans="3:6">
      <c r="C7197" s="631"/>
      <c r="D7197" s="631"/>
      <c r="E7197" s="633"/>
      <c r="F7197" s="650"/>
    </row>
    <row r="7198" spans="3:6">
      <c r="C7198" s="631"/>
      <c r="D7198" s="631"/>
      <c r="E7198" s="633"/>
      <c r="F7198" s="650"/>
    </row>
    <row r="7199" spans="3:6">
      <c r="C7199" s="631"/>
      <c r="D7199" s="631"/>
      <c r="E7199" s="633"/>
      <c r="F7199" s="650"/>
    </row>
    <row r="7200" spans="3:6">
      <c r="C7200" s="631"/>
      <c r="D7200" s="631"/>
      <c r="E7200" s="633"/>
      <c r="F7200" s="650"/>
    </row>
    <row r="7201" spans="3:6">
      <c r="C7201" s="631"/>
      <c r="D7201" s="631"/>
      <c r="E7201" s="633"/>
      <c r="F7201" s="650"/>
    </row>
    <row r="7202" spans="3:6">
      <c r="C7202" s="631"/>
      <c r="D7202" s="631"/>
      <c r="E7202" s="633"/>
      <c r="F7202" s="650"/>
    </row>
    <row r="7203" spans="3:6">
      <c r="C7203" s="631"/>
      <c r="D7203" s="631"/>
      <c r="E7203" s="633"/>
      <c r="F7203" s="650"/>
    </row>
    <row r="7204" spans="3:6">
      <c r="C7204" s="631"/>
      <c r="D7204" s="631"/>
      <c r="E7204" s="633"/>
      <c r="F7204" s="650"/>
    </row>
    <row r="7205" spans="3:6">
      <c r="C7205" s="631"/>
      <c r="D7205" s="631"/>
      <c r="E7205" s="633"/>
      <c r="F7205" s="650"/>
    </row>
    <row r="7206" spans="3:6">
      <c r="C7206" s="631"/>
      <c r="D7206" s="631"/>
      <c r="E7206" s="633"/>
      <c r="F7206" s="650"/>
    </row>
    <row r="7207" spans="3:6">
      <c r="C7207" s="631"/>
      <c r="D7207" s="631"/>
      <c r="E7207" s="633"/>
      <c r="F7207" s="650"/>
    </row>
    <row r="7208" spans="3:6">
      <c r="C7208" s="631"/>
      <c r="D7208" s="631"/>
      <c r="E7208" s="633"/>
      <c r="F7208" s="650"/>
    </row>
    <row r="7209" spans="3:6">
      <c r="C7209" s="631"/>
      <c r="D7209" s="631"/>
      <c r="E7209" s="633"/>
      <c r="F7209" s="650"/>
    </row>
    <row r="7210" spans="3:6">
      <c r="C7210" s="631"/>
      <c r="D7210" s="631"/>
      <c r="E7210" s="633"/>
      <c r="F7210" s="650"/>
    </row>
    <row r="7211" spans="3:6">
      <c r="C7211" s="631"/>
      <c r="D7211" s="631"/>
      <c r="E7211" s="633"/>
      <c r="F7211" s="650"/>
    </row>
    <row r="7212" spans="3:6">
      <c r="C7212" s="631"/>
      <c r="D7212" s="631"/>
      <c r="E7212" s="633"/>
      <c r="F7212" s="650"/>
    </row>
    <row r="7213" spans="3:6">
      <c r="C7213" s="631"/>
      <c r="D7213" s="631"/>
      <c r="E7213" s="633"/>
      <c r="F7213" s="650"/>
    </row>
    <row r="7214" spans="3:6">
      <c r="C7214" s="631"/>
      <c r="D7214" s="631"/>
      <c r="E7214" s="633"/>
      <c r="F7214" s="650"/>
    </row>
    <row r="7215" spans="3:6">
      <c r="C7215" s="631"/>
      <c r="D7215" s="631"/>
      <c r="E7215" s="633"/>
      <c r="F7215" s="650"/>
    </row>
    <row r="7216" spans="3:6">
      <c r="C7216" s="631"/>
      <c r="D7216" s="631"/>
      <c r="E7216" s="633"/>
      <c r="F7216" s="650"/>
    </row>
    <row r="7217" spans="3:6">
      <c r="C7217" s="631"/>
      <c r="D7217" s="631"/>
      <c r="E7217" s="633"/>
      <c r="F7217" s="650"/>
    </row>
    <row r="7218" spans="3:6">
      <c r="C7218" s="631"/>
      <c r="D7218" s="631"/>
      <c r="E7218" s="633"/>
      <c r="F7218" s="650"/>
    </row>
    <row r="7219" spans="3:6">
      <c r="C7219" s="631"/>
      <c r="D7219" s="631"/>
      <c r="E7219" s="633"/>
      <c r="F7219" s="650"/>
    </row>
    <row r="7220" spans="3:6">
      <c r="C7220" s="631"/>
      <c r="D7220" s="631"/>
      <c r="E7220" s="633"/>
      <c r="F7220" s="650"/>
    </row>
    <row r="7221" spans="3:6">
      <c r="C7221" s="631"/>
      <c r="D7221" s="631"/>
      <c r="E7221" s="633"/>
      <c r="F7221" s="650"/>
    </row>
    <row r="7222" spans="3:6">
      <c r="C7222" s="631"/>
      <c r="D7222" s="631"/>
      <c r="E7222" s="633"/>
      <c r="F7222" s="650"/>
    </row>
    <row r="7223" spans="3:6">
      <c r="C7223" s="631"/>
      <c r="D7223" s="631"/>
      <c r="E7223" s="633"/>
      <c r="F7223" s="650"/>
    </row>
    <row r="7224" spans="3:6">
      <c r="C7224" s="631"/>
      <c r="D7224" s="631"/>
      <c r="E7224" s="633"/>
      <c r="F7224" s="650"/>
    </row>
    <row r="7225" spans="3:6">
      <c r="C7225" s="631"/>
      <c r="D7225" s="631"/>
      <c r="E7225" s="633"/>
      <c r="F7225" s="650"/>
    </row>
    <row r="7226" spans="3:6">
      <c r="C7226" s="631"/>
      <c r="D7226" s="631"/>
      <c r="E7226" s="633"/>
      <c r="F7226" s="650"/>
    </row>
    <row r="7227" spans="3:6">
      <c r="C7227" s="631"/>
      <c r="D7227" s="631"/>
      <c r="E7227" s="633"/>
      <c r="F7227" s="650"/>
    </row>
    <row r="7228" spans="3:6">
      <c r="C7228" s="631"/>
      <c r="D7228" s="631"/>
      <c r="E7228" s="633"/>
      <c r="F7228" s="650"/>
    </row>
    <row r="7229" spans="3:6">
      <c r="C7229" s="631"/>
      <c r="D7229" s="631"/>
      <c r="E7229" s="633"/>
      <c r="F7229" s="650"/>
    </row>
    <row r="7230" spans="3:6">
      <c r="C7230" s="631"/>
      <c r="D7230" s="631"/>
      <c r="E7230" s="633"/>
      <c r="F7230" s="650"/>
    </row>
    <row r="7231" spans="3:6">
      <c r="C7231" s="631"/>
      <c r="D7231" s="631"/>
      <c r="E7231" s="633"/>
      <c r="F7231" s="650"/>
    </row>
    <row r="7232" spans="3:6">
      <c r="C7232" s="631"/>
      <c r="D7232" s="631"/>
      <c r="E7232" s="633"/>
      <c r="F7232" s="650"/>
    </row>
    <row r="7233" spans="3:6">
      <c r="C7233" s="631"/>
      <c r="D7233" s="631"/>
      <c r="E7233" s="633"/>
      <c r="F7233" s="650"/>
    </row>
    <row r="7234" spans="3:6">
      <c r="C7234" s="631"/>
      <c r="D7234" s="631"/>
      <c r="E7234" s="633"/>
      <c r="F7234" s="650"/>
    </row>
    <row r="7235" spans="3:6">
      <c r="C7235" s="631"/>
      <c r="D7235" s="631"/>
      <c r="E7235" s="633"/>
      <c r="F7235" s="650"/>
    </row>
    <row r="7236" spans="3:6">
      <c r="C7236" s="631"/>
      <c r="D7236" s="631"/>
      <c r="E7236" s="633"/>
      <c r="F7236" s="650"/>
    </row>
    <row r="7237" spans="3:6">
      <c r="C7237" s="631"/>
      <c r="D7237" s="631"/>
      <c r="E7237" s="633"/>
      <c r="F7237" s="650"/>
    </row>
    <row r="7238" spans="3:6">
      <c r="C7238" s="631"/>
      <c r="D7238" s="631"/>
      <c r="E7238" s="633"/>
      <c r="F7238" s="650"/>
    </row>
    <row r="7239" spans="3:6">
      <c r="C7239" s="631"/>
      <c r="D7239" s="631"/>
      <c r="E7239" s="633"/>
      <c r="F7239" s="650"/>
    </row>
    <row r="7240" spans="3:6">
      <c r="C7240" s="631"/>
      <c r="D7240" s="631"/>
      <c r="E7240" s="633"/>
      <c r="F7240" s="650"/>
    </row>
    <row r="7241" spans="3:6">
      <c r="C7241" s="631"/>
      <c r="D7241" s="631"/>
      <c r="E7241" s="633"/>
      <c r="F7241" s="650"/>
    </row>
    <row r="7242" spans="3:6">
      <c r="C7242" s="631"/>
      <c r="D7242" s="631"/>
      <c r="E7242" s="633"/>
      <c r="F7242" s="650"/>
    </row>
    <row r="7243" spans="3:6">
      <c r="C7243" s="631"/>
      <c r="D7243" s="631"/>
      <c r="E7243" s="633"/>
      <c r="F7243" s="650"/>
    </row>
    <row r="7244" spans="3:6">
      <c r="C7244" s="631"/>
      <c r="D7244" s="631"/>
      <c r="E7244" s="633"/>
      <c r="F7244" s="650"/>
    </row>
    <row r="7245" spans="3:6">
      <c r="C7245" s="631"/>
      <c r="D7245" s="631"/>
      <c r="E7245" s="633"/>
      <c r="F7245" s="650"/>
    </row>
    <row r="7246" spans="3:6">
      <c r="C7246" s="631"/>
      <c r="D7246" s="631"/>
      <c r="E7246" s="633"/>
      <c r="F7246" s="650"/>
    </row>
    <row r="7247" spans="3:6">
      <c r="C7247" s="631"/>
      <c r="D7247" s="631"/>
      <c r="E7247" s="633"/>
      <c r="F7247" s="650"/>
    </row>
    <row r="7248" spans="3:6">
      <c r="C7248" s="631"/>
      <c r="D7248" s="631"/>
      <c r="E7248" s="633"/>
      <c r="F7248" s="650"/>
    </row>
    <row r="7249" spans="3:6">
      <c r="C7249" s="631"/>
      <c r="D7249" s="631"/>
      <c r="E7249" s="633"/>
      <c r="F7249" s="650"/>
    </row>
    <row r="7250" spans="3:6">
      <c r="C7250" s="631"/>
      <c r="D7250" s="631"/>
      <c r="E7250" s="633"/>
      <c r="F7250" s="650"/>
    </row>
    <row r="7251" spans="3:6">
      <c r="C7251" s="631"/>
      <c r="D7251" s="631"/>
      <c r="E7251" s="633"/>
      <c r="F7251" s="650"/>
    </row>
    <row r="7252" spans="3:6">
      <c r="C7252" s="631"/>
      <c r="D7252" s="631"/>
      <c r="E7252" s="633"/>
      <c r="F7252" s="650"/>
    </row>
    <row r="7253" spans="3:6">
      <c r="C7253" s="631"/>
      <c r="D7253" s="631"/>
      <c r="E7253" s="633"/>
      <c r="F7253" s="650"/>
    </row>
    <row r="7254" spans="3:6">
      <c r="C7254" s="631"/>
      <c r="D7254" s="631"/>
      <c r="E7254" s="633"/>
      <c r="F7254" s="650"/>
    </row>
    <row r="7255" spans="3:6">
      <c r="C7255" s="631"/>
      <c r="D7255" s="631"/>
      <c r="E7255" s="633"/>
      <c r="F7255" s="650"/>
    </row>
    <row r="7256" spans="3:6">
      <c r="C7256" s="631"/>
      <c r="D7256" s="631"/>
      <c r="E7256" s="633"/>
      <c r="F7256" s="650"/>
    </row>
    <row r="7257" spans="3:6">
      <c r="C7257" s="631"/>
      <c r="D7257" s="631"/>
      <c r="E7257" s="633"/>
      <c r="F7257" s="650"/>
    </row>
    <row r="7258" spans="3:6">
      <c r="C7258" s="631"/>
      <c r="D7258" s="631"/>
      <c r="E7258" s="633"/>
      <c r="F7258" s="650"/>
    </row>
    <row r="7259" spans="3:6">
      <c r="C7259" s="631"/>
      <c r="D7259" s="631"/>
      <c r="E7259" s="633"/>
      <c r="F7259" s="650"/>
    </row>
    <row r="7260" spans="3:6">
      <c r="C7260" s="631"/>
      <c r="D7260" s="631"/>
      <c r="E7260" s="633"/>
      <c r="F7260" s="650"/>
    </row>
    <row r="7261" spans="3:6">
      <c r="C7261" s="631"/>
      <c r="D7261" s="631"/>
      <c r="E7261" s="633"/>
      <c r="F7261" s="650"/>
    </row>
    <row r="7262" spans="3:6">
      <c r="C7262" s="631"/>
      <c r="D7262" s="631"/>
      <c r="E7262" s="633"/>
      <c r="F7262" s="650"/>
    </row>
    <row r="7263" spans="3:6">
      <c r="C7263" s="631"/>
      <c r="D7263" s="631"/>
      <c r="E7263" s="633"/>
      <c r="F7263" s="650"/>
    </row>
    <row r="7264" spans="3:6">
      <c r="C7264" s="631"/>
      <c r="D7264" s="631"/>
      <c r="E7264" s="633"/>
      <c r="F7264" s="650"/>
    </row>
    <row r="7265" spans="3:6">
      <c r="C7265" s="631"/>
      <c r="D7265" s="631"/>
      <c r="E7265" s="633"/>
      <c r="F7265" s="650"/>
    </row>
    <row r="7266" spans="3:6">
      <c r="C7266" s="631"/>
      <c r="D7266" s="631"/>
      <c r="E7266" s="633"/>
      <c r="F7266" s="650"/>
    </row>
    <row r="7267" spans="3:6">
      <c r="C7267" s="631"/>
      <c r="D7267" s="631"/>
      <c r="E7267" s="633"/>
      <c r="F7267" s="650"/>
    </row>
    <row r="7268" spans="3:6">
      <c r="C7268" s="631"/>
      <c r="D7268" s="631"/>
      <c r="E7268" s="633"/>
      <c r="F7268" s="650"/>
    </row>
    <row r="7269" spans="3:6">
      <c r="C7269" s="631"/>
      <c r="D7269" s="631"/>
      <c r="E7269" s="633"/>
      <c r="F7269" s="650"/>
    </row>
    <row r="7270" spans="3:6">
      <c r="C7270" s="631"/>
      <c r="D7270" s="631"/>
      <c r="E7270" s="633"/>
      <c r="F7270" s="650"/>
    </row>
    <row r="7271" spans="3:6">
      <c r="C7271" s="631"/>
      <c r="D7271" s="631"/>
      <c r="E7271" s="633"/>
      <c r="F7271" s="650"/>
    </row>
    <row r="7272" spans="3:6">
      <c r="C7272" s="631"/>
      <c r="D7272" s="631"/>
      <c r="E7272" s="633"/>
      <c r="F7272" s="650"/>
    </row>
    <row r="7273" spans="3:6">
      <c r="C7273" s="631"/>
      <c r="D7273" s="631"/>
      <c r="E7273" s="633"/>
      <c r="F7273" s="650"/>
    </row>
    <row r="7274" spans="3:6">
      <c r="C7274" s="631"/>
      <c r="D7274" s="631"/>
      <c r="E7274" s="633"/>
      <c r="F7274" s="650"/>
    </row>
    <row r="7275" spans="3:6">
      <c r="C7275" s="631"/>
      <c r="D7275" s="631"/>
      <c r="E7275" s="633"/>
      <c r="F7275" s="650"/>
    </row>
    <row r="7276" spans="3:6">
      <c r="C7276" s="631"/>
      <c r="D7276" s="631"/>
      <c r="E7276" s="633"/>
      <c r="F7276" s="650"/>
    </row>
    <row r="7277" spans="3:6">
      <c r="C7277" s="631"/>
      <c r="D7277" s="631"/>
      <c r="E7277" s="633"/>
      <c r="F7277" s="650"/>
    </row>
    <row r="7278" spans="3:6">
      <c r="C7278" s="631"/>
      <c r="D7278" s="631"/>
      <c r="E7278" s="633"/>
      <c r="F7278" s="650"/>
    </row>
    <row r="7279" spans="3:6">
      <c r="C7279" s="631"/>
      <c r="D7279" s="631"/>
      <c r="E7279" s="633"/>
      <c r="F7279" s="650"/>
    </row>
    <row r="7280" spans="3:6">
      <c r="C7280" s="631"/>
      <c r="D7280" s="631"/>
      <c r="E7280" s="633"/>
      <c r="F7280" s="650"/>
    </row>
    <row r="7281" spans="3:6">
      <c r="C7281" s="631"/>
      <c r="D7281" s="631"/>
      <c r="E7281" s="633"/>
      <c r="F7281" s="650"/>
    </row>
    <row r="7282" spans="3:6">
      <c r="C7282" s="631"/>
      <c r="D7282" s="631"/>
      <c r="E7282" s="633"/>
      <c r="F7282" s="650"/>
    </row>
    <row r="7283" spans="3:6">
      <c r="C7283" s="631"/>
      <c r="D7283" s="631"/>
      <c r="E7283" s="633"/>
      <c r="F7283" s="650"/>
    </row>
    <row r="7284" spans="3:6">
      <c r="C7284" s="631"/>
      <c r="D7284" s="631"/>
      <c r="E7284" s="633"/>
      <c r="F7284" s="650"/>
    </row>
    <row r="7285" spans="3:6">
      <c r="C7285" s="631"/>
      <c r="D7285" s="631"/>
      <c r="E7285" s="633"/>
      <c r="F7285" s="650"/>
    </row>
    <row r="7286" spans="3:6">
      <c r="C7286" s="631"/>
      <c r="D7286" s="631"/>
      <c r="E7286" s="633"/>
      <c r="F7286" s="650"/>
    </row>
    <row r="7287" spans="3:6">
      <c r="C7287" s="631"/>
      <c r="D7287" s="631"/>
      <c r="E7287" s="633"/>
      <c r="F7287" s="650"/>
    </row>
    <row r="7288" spans="3:6">
      <c r="C7288" s="631"/>
      <c r="D7288" s="631"/>
      <c r="E7288" s="633"/>
      <c r="F7288" s="650"/>
    </row>
    <row r="7289" spans="3:6">
      <c r="C7289" s="631"/>
      <c r="D7289" s="631"/>
      <c r="E7289" s="633"/>
      <c r="F7289" s="650"/>
    </row>
    <row r="7290" spans="3:6">
      <c r="C7290" s="631"/>
      <c r="D7290" s="631"/>
      <c r="E7290" s="633"/>
      <c r="F7290" s="650"/>
    </row>
    <row r="7291" spans="3:6">
      <c r="C7291" s="631"/>
      <c r="D7291" s="631"/>
      <c r="E7291" s="633"/>
      <c r="F7291" s="650"/>
    </row>
    <row r="7292" spans="3:6">
      <c r="C7292" s="631"/>
      <c r="D7292" s="631"/>
      <c r="E7292" s="633"/>
      <c r="F7292" s="650"/>
    </row>
    <row r="7293" spans="3:6">
      <c r="C7293" s="631"/>
      <c r="D7293" s="631"/>
      <c r="E7293" s="633"/>
      <c r="F7293" s="650"/>
    </row>
    <row r="7294" spans="3:6">
      <c r="C7294" s="631"/>
      <c r="D7294" s="631"/>
      <c r="E7294" s="633"/>
      <c r="F7294" s="650"/>
    </row>
    <row r="7295" spans="3:6">
      <c r="C7295" s="631"/>
      <c r="D7295" s="631"/>
      <c r="E7295" s="633"/>
      <c r="F7295" s="650"/>
    </row>
    <row r="7296" spans="3:6">
      <c r="C7296" s="631"/>
      <c r="D7296" s="631"/>
      <c r="E7296" s="633"/>
      <c r="F7296" s="650"/>
    </row>
    <row r="7297" spans="3:6">
      <c r="C7297" s="631"/>
      <c r="D7297" s="631"/>
      <c r="E7297" s="633"/>
      <c r="F7297" s="650"/>
    </row>
    <row r="7298" spans="3:6">
      <c r="C7298" s="631"/>
      <c r="D7298" s="631"/>
      <c r="E7298" s="633"/>
      <c r="F7298" s="650"/>
    </row>
    <row r="7299" spans="3:6">
      <c r="C7299" s="631"/>
      <c r="D7299" s="631"/>
      <c r="E7299" s="633"/>
      <c r="F7299" s="650"/>
    </row>
    <row r="7300" spans="3:6">
      <c r="C7300" s="631"/>
      <c r="D7300" s="631"/>
      <c r="E7300" s="633"/>
      <c r="F7300" s="650"/>
    </row>
    <row r="7301" spans="3:6">
      <c r="C7301" s="631"/>
      <c r="D7301" s="631"/>
      <c r="E7301" s="633"/>
      <c r="F7301" s="650"/>
    </row>
    <row r="7302" spans="3:6">
      <c r="C7302" s="631"/>
      <c r="D7302" s="631"/>
      <c r="E7302" s="633"/>
      <c r="F7302" s="650"/>
    </row>
    <row r="7303" spans="3:6">
      <c r="C7303" s="631"/>
      <c r="D7303" s="631"/>
      <c r="E7303" s="633"/>
      <c r="F7303" s="650"/>
    </row>
    <row r="7304" spans="3:6">
      <c r="C7304" s="631"/>
      <c r="D7304" s="631"/>
      <c r="E7304" s="633"/>
      <c r="F7304" s="650"/>
    </row>
    <row r="7305" spans="3:6">
      <c r="C7305" s="631"/>
      <c r="D7305" s="631"/>
      <c r="E7305" s="633"/>
      <c r="F7305" s="650"/>
    </row>
    <row r="7306" spans="3:6">
      <c r="C7306" s="631"/>
      <c r="D7306" s="631"/>
      <c r="E7306" s="633"/>
      <c r="F7306" s="650"/>
    </row>
    <row r="7307" spans="3:6">
      <c r="C7307" s="631"/>
      <c r="D7307" s="631"/>
      <c r="E7307" s="633"/>
      <c r="F7307" s="650"/>
    </row>
    <row r="7308" spans="3:6">
      <c r="C7308" s="631"/>
      <c r="D7308" s="631"/>
      <c r="E7308" s="633"/>
      <c r="F7308" s="650"/>
    </row>
    <row r="7309" spans="3:6">
      <c r="C7309" s="631"/>
      <c r="D7309" s="631"/>
      <c r="E7309" s="633"/>
      <c r="F7309" s="650"/>
    </row>
    <row r="7310" spans="3:6">
      <c r="C7310" s="631"/>
      <c r="D7310" s="631"/>
      <c r="E7310" s="633"/>
      <c r="F7310" s="650"/>
    </row>
    <row r="7311" spans="3:6">
      <c r="C7311" s="631"/>
      <c r="D7311" s="631"/>
      <c r="E7311" s="633"/>
      <c r="F7311" s="650"/>
    </row>
    <row r="7312" spans="3:6">
      <c r="C7312" s="631"/>
      <c r="D7312" s="631"/>
      <c r="E7312" s="633"/>
      <c r="F7312" s="650"/>
    </row>
    <row r="7313" spans="3:6">
      <c r="C7313" s="631"/>
      <c r="D7313" s="631"/>
      <c r="E7313" s="633"/>
      <c r="F7313" s="650"/>
    </row>
    <row r="7314" spans="3:6">
      <c r="C7314" s="631"/>
      <c r="D7314" s="631"/>
      <c r="E7314" s="633"/>
      <c r="F7314" s="650"/>
    </row>
    <row r="7315" spans="3:6">
      <c r="C7315" s="631"/>
      <c r="D7315" s="631"/>
      <c r="E7315" s="633"/>
      <c r="F7315" s="650"/>
    </row>
    <row r="7316" spans="3:6">
      <c r="C7316" s="631"/>
      <c r="D7316" s="631"/>
      <c r="E7316" s="633"/>
      <c r="F7316" s="650"/>
    </row>
    <row r="7317" spans="3:6">
      <c r="C7317" s="631"/>
      <c r="D7317" s="631"/>
      <c r="E7317" s="633"/>
      <c r="F7317" s="650"/>
    </row>
    <row r="7318" spans="3:6">
      <c r="C7318" s="631"/>
      <c r="D7318" s="631"/>
      <c r="E7318" s="633"/>
      <c r="F7318" s="650"/>
    </row>
    <row r="7319" spans="3:6">
      <c r="C7319" s="631"/>
      <c r="D7319" s="631"/>
      <c r="E7319" s="633"/>
      <c r="F7319" s="650"/>
    </row>
    <row r="7320" spans="3:6">
      <c r="C7320" s="631"/>
      <c r="D7320" s="631"/>
      <c r="E7320" s="633"/>
      <c r="F7320" s="650"/>
    </row>
    <row r="7321" spans="3:6">
      <c r="C7321" s="631"/>
      <c r="D7321" s="631"/>
      <c r="E7321" s="633"/>
      <c r="F7321" s="650"/>
    </row>
    <row r="7322" spans="3:6">
      <c r="C7322" s="631"/>
      <c r="D7322" s="631"/>
      <c r="E7322" s="633"/>
      <c r="F7322" s="650"/>
    </row>
    <row r="7323" spans="3:6">
      <c r="C7323" s="631"/>
      <c r="D7323" s="631"/>
      <c r="E7323" s="633"/>
      <c r="F7323" s="650"/>
    </row>
    <row r="7324" spans="3:6">
      <c r="C7324" s="631"/>
      <c r="D7324" s="631"/>
      <c r="E7324" s="633"/>
      <c r="F7324" s="650"/>
    </row>
    <row r="7325" spans="3:6">
      <c r="C7325" s="631"/>
      <c r="D7325" s="631"/>
      <c r="E7325" s="633"/>
      <c r="F7325" s="650"/>
    </row>
    <row r="7326" spans="3:6">
      <c r="C7326" s="631"/>
      <c r="D7326" s="631"/>
      <c r="E7326" s="633"/>
      <c r="F7326" s="650"/>
    </row>
    <row r="7327" spans="3:6">
      <c r="C7327" s="631"/>
      <c r="D7327" s="631"/>
      <c r="E7327" s="633"/>
      <c r="F7327" s="650"/>
    </row>
    <row r="7328" spans="3:6">
      <c r="C7328" s="631"/>
      <c r="D7328" s="631"/>
      <c r="E7328" s="633"/>
      <c r="F7328" s="650"/>
    </row>
    <row r="7329" spans="3:6">
      <c r="C7329" s="631"/>
      <c r="D7329" s="631"/>
      <c r="E7329" s="633"/>
      <c r="F7329" s="650"/>
    </row>
    <row r="7330" spans="3:6">
      <c r="C7330" s="631"/>
      <c r="D7330" s="631"/>
      <c r="E7330" s="633"/>
      <c r="F7330" s="650"/>
    </row>
    <row r="7331" spans="3:6">
      <c r="C7331" s="631"/>
      <c r="D7331" s="631"/>
      <c r="E7331" s="633"/>
      <c r="F7331" s="650"/>
    </row>
    <row r="7332" spans="3:6">
      <c r="C7332" s="631"/>
      <c r="D7332" s="631"/>
      <c r="E7332" s="633"/>
      <c r="F7332" s="650"/>
    </row>
    <row r="7333" spans="3:6">
      <c r="C7333" s="631"/>
      <c r="D7333" s="631"/>
      <c r="E7333" s="633"/>
      <c r="F7333" s="650"/>
    </row>
    <row r="7334" spans="3:6">
      <c r="C7334" s="631"/>
      <c r="D7334" s="631"/>
      <c r="E7334" s="633"/>
      <c r="F7334" s="650"/>
    </row>
    <row r="7335" spans="3:6">
      <c r="C7335" s="631"/>
      <c r="D7335" s="631"/>
      <c r="E7335" s="633"/>
      <c r="F7335" s="650"/>
    </row>
    <row r="7336" spans="3:6">
      <c r="C7336" s="631"/>
      <c r="D7336" s="631"/>
      <c r="E7336" s="633"/>
      <c r="F7336" s="650"/>
    </row>
    <row r="7337" spans="3:6">
      <c r="C7337" s="631"/>
      <c r="D7337" s="631"/>
      <c r="E7337" s="633"/>
      <c r="F7337" s="650"/>
    </row>
    <row r="7338" spans="3:6">
      <c r="C7338" s="631"/>
      <c r="D7338" s="631"/>
      <c r="E7338" s="633"/>
      <c r="F7338" s="650"/>
    </row>
    <row r="7339" spans="3:6">
      <c r="C7339" s="631"/>
      <c r="D7339" s="631"/>
      <c r="E7339" s="633"/>
      <c r="F7339" s="650"/>
    </row>
    <row r="7340" spans="3:6">
      <c r="C7340" s="631"/>
      <c r="D7340" s="631"/>
      <c r="E7340" s="633"/>
      <c r="F7340" s="650"/>
    </row>
    <row r="7341" spans="3:6">
      <c r="C7341" s="631"/>
      <c r="D7341" s="631"/>
      <c r="E7341" s="633"/>
      <c r="F7341" s="650"/>
    </row>
    <row r="7342" spans="3:6">
      <c r="C7342" s="631"/>
      <c r="D7342" s="631"/>
      <c r="E7342" s="633"/>
      <c r="F7342" s="650"/>
    </row>
    <row r="7343" spans="3:6">
      <c r="C7343" s="631"/>
      <c r="D7343" s="631"/>
      <c r="E7343" s="633"/>
      <c r="F7343" s="650"/>
    </row>
    <row r="7344" spans="3:6">
      <c r="C7344" s="631"/>
      <c r="D7344" s="631"/>
      <c r="E7344" s="633"/>
      <c r="F7344" s="650"/>
    </row>
    <row r="7345" spans="3:6">
      <c r="C7345" s="631"/>
      <c r="D7345" s="631"/>
      <c r="E7345" s="633"/>
      <c r="F7345" s="650"/>
    </row>
    <row r="7346" spans="3:6">
      <c r="C7346" s="631"/>
      <c r="D7346" s="631"/>
      <c r="E7346" s="633"/>
      <c r="F7346" s="650"/>
    </row>
    <row r="7347" spans="3:6">
      <c r="C7347" s="631"/>
      <c r="D7347" s="631"/>
      <c r="E7347" s="633"/>
      <c r="F7347" s="650"/>
    </row>
    <row r="7348" spans="3:6">
      <c r="C7348" s="631"/>
      <c r="D7348" s="631"/>
      <c r="E7348" s="633"/>
      <c r="F7348" s="650"/>
    </row>
    <row r="7349" spans="3:6">
      <c r="C7349" s="631"/>
      <c r="D7349" s="631"/>
      <c r="E7349" s="633"/>
      <c r="F7349" s="650"/>
    </row>
    <row r="7350" spans="3:6">
      <c r="C7350" s="631"/>
      <c r="D7350" s="631"/>
      <c r="E7350" s="633"/>
      <c r="F7350" s="650"/>
    </row>
    <row r="7351" spans="3:6">
      <c r="C7351" s="631"/>
      <c r="D7351" s="631"/>
      <c r="E7351" s="633"/>
      <c r="F7351" s="650"/>
    </row>
    <row r="7352" spans="3:6">
      <c r="C7352" s="631"/>
      <c r="D7352" s="631"/>
      <c r="E7352" s="633"/>
      <c r="F7352" s="650"/>
    </row>
    <row r="7353" spans="3:6">
      <c r="C7353" s="631"/>
      <c r="D7353" s="631"/>
      <c r="E7353" s="633"/>
      <c r="F7353" s="650"/>
    </row>
    <row r="7354" spans="3:6">
      <c r="C7354" s="631"/>
      <c r="D7354" s="631"/>
      <c r="E7354" s="633"/>
      <c r="F7354" s="650"/>
    </row>
    <row r="7355" spans="3:6">
      <c r="C7355" s="631"/>
      <c r="D7355" s="631"/>
      <c r="E7355" s="633"/>
      <c r="F7355" s="650"/>
    </row>
    <row r="7356" spans="3:6">
      <c r="C7356" s="631"/>
      <c r="D7356" s="631"/>
      <c r="E7356" s="633"/>
      <c r="F7356" s="650"/>
    </row>
    <row r="7357" spans="3:6">
      <c r="C7357" s="631"/>
      <c r="D7357" s="631"/>
      <c r="E7357" s="633"/>
      <c r="F7357" s="650"/>
    </row>
    <row r="7358" spans="3:6">
      <c r="C7358" s="631"/>
      <c r="D7358" s="631"/>
      <c r="E7358" s="633"/>
      <c r="F7358" s="650"/>
    </row>
    <row r="7359" spans="3:6">
      <c r="C7359" s="631"/>
      <c r="D7359" s="631"/>
      <c r="E7359" s="633"/>
      <c r="F7359" s="650"/>
    </row>
    <row r="7360" spans="3:6">
      <c r="C7360" s="631"/>
      <c r="D7360" s="631"/>
      <c r="E7360" s="633"/>
      <c r="F7360" s="650"/>
    </row>
    <row r="7361" spans="3:6">
      <c r="C7361" s="631"/>
      <c r="D7361" s="631"/>
      <c r="E7361" s="633"/>
      <c r="F7361" s="650"/>
    </row>
    <row r="7362" spans="3:6">
      <c r="C7362" s="631"/>
      <c r="D7362" s="631"/>
      <c r="E7362" s="633"/>
      <c r="F7362" s="650"/>
    </row>
    <row r="7363" spans="3:6">
      <c r="C7363" s="631"/>
      <c r="D7363" s="631"/>
      <c r="E7363" s="633"/>
      <c r="F7363" s="650"/>
    </row>
    <row r="7364" spans="3:6">
      <c r="C7364" s="631"/>
      <c r="D7364" s="631"/>
      <c r="E7364" s="633"/>
      <c r="F7364" s="650"/>
    </row>
    <row r="7365" spans="3:6">
      <c r="C7365" s="631"/>
      <c r="D7365" s="631"/>
      <c r="E7365" s="633"/>
      <c r="F7365" s="650"/>
    </row>
    <row r="7366" spans="3:6">
      <c r="C7366" s="631"/>
      <c r="D7366" s="631"/>
      <c r="E7366" s="633"/>
      <c r="F7366" s="650"/>
    </row>
    <row r="7367" spans="3:6">
      <c r="C7367" s="631"/>
      <c r="D7367" s="631"/>
      <c r="E7367" s="633"/>
      <c r="F7367" s="650"/>
    </row>
    <row r="7368" spans="3:6">
      <c r="C7368" s="631"/>
      <c r="D7368" s="631"/>
      <c r="E7368" s="633"/>
      <c r="F7368" s="650"/>
    </row>
    <row r="7369" spans="3:6">
      <c r="C7369" s="631"/>
      <c r="D7369" s="631"/>
      <c r="E7369" s="633"/>
      <c r="F7369" s="650"/>
    </row>
    <row r="7370" spans="3:6">
      <c r="C7370" s="631"/>
      <c r="D7370" s="631"/>
      <c r="E7370" s="633"/>
      <c r="F7370" s="650"/>
    </row>
    <row r="7371" spans="3:6">
      <c r="C7371" s="631"/>
      <c r="D7371" s="631"/>
      <c r="E7371" s="633"/>
      <c r="F7371" s="650"/>
    </row>
    <row r="7372" spans="3:6">
      <c r="C7372" s="631"/>
      <c r="D7372" s="631"/>
      <c r="E7372" s="633"/>
      <c r="F7372" s="650"/>
    </row>
    <row r="7373" spans="3:6">
      <c r="C7373" s="631"/>
      <c r="D7373" s="631"/>
      <c r="E7373" s="633"/>
      <c r="F7373" s="650"/>
    </row>
    <row r="7374" spans="3:6">
      <c r="C7374" s="631"/>
      <c r="D7374" s="631"/>
      <c r="E7374" s="633"/>
      <c r="F7374" s="650"/>
    </row>
    <row r="7375" spans="3:6">
      <c r="C7375" s="631"/>
      <c r="D7375" s="631"/>
      <c r="E7375" s="633"/>
      <c r="F7375" s="650"/>
    </row>
    <row r="7376" spans="3:6">
      <c r="C7376" s="631"/>
      <c r="D7376" s="631"/>
      <c r="E7376" s="633"/>
      <c r="F7376" s="650"/>
    </row>
    <row r="7377" spans="3:6">
      <c r="C7377" s="631"/>
      <c r="D7377" s="631"/>
      <c r="E7377" s="633"/>
      <c r="F7377" s="650"/>
    </row>
    <row r="7378" spans="3:6">
      <c r="C7378" s="631"/>
      <c r="D7378" s="631"/>
      <c r="E7378" s="633"/>
      <c r="F7378" s="650"/>
    </row>
    <row r="7379" spans="3:6">
      <c r="C7379" s="631"/>
      <c r="D7379" s="631"/>
      <c r="E7379" s="633"/>
      <c r="F7379" s="650"/>
    </row>
    <row r="7380" spans="3:6">
      <c r="C7380" s="631"/>
      <c r="D7380" s="631"/>
      <c r="E7380" s="633"/>
      <c r="F7380" s="650"/>
    </row>
    <row r="7381" spans="3:6">
      <c r="C7381" s="631"/>
      <c r="D7381" s="631"/>
      <c r="E7381" s="633"/>
      <c r="F7381" s="650"/>
    </row>
    <row r="7382" spans="3:6">
      <c r="C7382" s="631"/>
      <c r="D7382" s="631"/>
      <c r="E7382" s="633"/>
      <c r="F7382" s="650"/>
    </row>
    <row r="7383" spans="3:6">
      <c r="C7383" s="631"/>
      <c r="D7383" s="631"/>
      <c r="E7383" s="633"/>
      <c r="F7383" s="650"/>
    </row>
    <row r="7384" spans="3:6">
      <c r="C7384" s="631"/>
      <c r="D7384" s="631"/>
      <c r="E7384" s="633"/>
      <c r="F7384" s="650"/>
    </row>
    <row r="7385" spans="3:6">
      <c r="C7385" s="631"/>
      <c r="D7385" s="631"/>
      <c r="E7385" s="633"/>
      <c r="F7385" s="650"/>
    </row>
    <row r="7386" spans="3:6">
      <c r="C7386" s="631"/>
      <c r="D7386" s="631"/>
      <c r="E7386" s="633"/>
      <c r="F7386" s="650"/>
    </row>
    <row r="7387" spans="3:6">
      <c r="C7387" s="631"/>
      <c r="D7387" s="631"/>
      <c r="E7387" s="633"/>
      <c r="F7387" s="650"/>
    </row>
    <row r="7388" spans="3:6">
      <c r="C7388" s="631"/>
      <c r="D7388" s="631"/>
      <c r="E7388" s="633"/>
      <c r="F7388" s="650"/>
    </row>
    <row r="7389" spans="3:6">
      <c r="C7389" s="631"/>
      <c r="D7389" s="631"/>
      <c r="E7389" s="633"/>
      <c r="F7389" s="650"/>
    </row>
    <row r="7390" spans="3:6">
      <c r="C7390" s="631"/>
      <c r="D7390" s="631"/>
      <c r="E7390" s="633"/>
      <c r="F7390" s="650"/>
    </row>
    <row r="7391" spans="3:6">
      <c r="C7391" s="631"/>
      <c r="D7391" s="631"/>
      <c r="E7391" s="633"/>
      <c r="F7391" s="650"/>
    </row>
    <row r="7392" spans="3:6">
      <c r="C7392" s="631"/>
      <c r="D7392" s="631"/>
      <c r="E7392" s="633"/>
      <c r="F7392" s="650"/>
    </row>
    <row r="7393" spans="3:6">
      <c r="C7393" s="631"/>
      <c r="D7393" s="631"/>
      <c r="E7393" s="633"/>
      <c r="F7393" s="650"/>
    </row>
    <row r="7394" spans="3:6">
      <c r="C7394" s="631"/>
      <c r="D7394" s="631"/>
      <c r="E7394" s="633"/>
      <c r="F7394" s="650"/>
    </row>
    <row r="7395" spans="3:6">
      <c r="C7395" s="631"/>
      <c r="D7395" s="631"/>
      <c r="E7395" s="633"/>
      <c r="F7395" s="650"/>
    </row>
    <row r="7396" spans="3:6">
      <c r="C7396" s="631"/>
      <c r="D7396" s="631"/>
      <c r="E7396" s="633"/>
      <c r="F7396" s="650"/>
    </row>
    <row r="7397" spans="3:6">
      <c r="C7397" s="631"/>
      <c r="D7397" s="631"/>
      <c r="E7397" s="633"/>
      <c r="F7397" s="650"/>
    </row>
    <row r="7398" spans="3:6">
      <c r="C7398" s="631"/>
      <c r="D7398" s="631"/>
      <c r="E7398" s="633"/>
      <c r="F7398" s="650"/>
    </row>
    <row r="7399" spans="3:6">
      <c r="C7399" s="631"/>
      <c r="D7399" s="631"/>
      <c r="E7399" s="633"/>
      <c r="F7399" s="650"/>
    </row>
    <row r="7400" spans="3:6">
      <c r="C7400" s="631"/>
      <c r="D7400" s="631"/>
      <c r="E7400" s="633"/>
      <c r="F7400" s="650"/>
    </row>
    <row r="7401" spans="3:6">
      <c r="C7401" s="631"/>
      <c r="D7401" s="631"/>
      <c r="E7401" s="633"/>
      <c r="F7401" s="650"/>
    </row>
    <row r="7402" spans="3:6">
      <c r="C7402" s="631"/>
      <c r="D7402" s="631"/>
      <c r="E7402" s="633"/>
      <c r="F7402" s="650"/>
    </row>
    <row r="7403" spans="3:6">
      <c r="C7403" s="631"/>
      <c r="D7403" s="631"/>
      <c r="E7403" s="633"/>
      <c r="F7403" s="650"/>
    </row>
    <row r="7404" spans="3:6">
      <c r="C7404" s="631"/>
      <c r="D7404" s="631"/>
      <c r="E7404" s="633"/>
      <c r="F7404" s="650"/>
    </row>
    <row r="7405" spans="3:6">
      <c r="C7405" s="631"/>
      <c r="D7405" s="631"/>
      <c r="E7405" s="633"/>
      <c r="F7405" s="650"/>
    </row>
    <row r="7406" spans="3:6">
      <c r="C7406" s="631"/>
      <c r="D7406" s="631"/>
      <c r="E7406" s="633"/>
      <c r="F7406" s="650"/>
    </row>
    <row r="7407" spans="3:6">
      <c r="C7407" s="631"/>
      <c r="D7407" s="631"/>
      <c r="E7407" s="633"/>
      <c r="F7407" s="650"/>
    </row>
    <row r="7408" spans="3:6">
      <c r="C7408" s="631"/>
      <c r="D7408" s="631"/>
      <c r="E7408" s="633"/>
      <c r="F7408" s="650"/>
    </row>
    <row r="7409" spans="3:6">
      <c r="C7409" s="631"/>
      <c r="D7409" s="631"/>
      <c r="E7409" s="633"/>
      <c r="F7409" s="650"/>
    </row>
    <row r="7410" spans="3:6">
      <c r="C7410" s="631"/>
      <c r="D7410" s="631"/>
      <c r="E7410" s="633"/>
      <c r="F7410" s="650"/>
    </row>
    <row r="7411" spans="3:6">
      <c r="C7411" s="631"/>
      <c r="D7411" s="631"/>
      <c r="E7411" s="633"/>
      <c r="F7411" s="650"/>
    </row>
    <row r="7412" spans="3:6">
      <c r="C7412" s="631"/>
      <c r="D7412" s="631"/>
      <c r="E7412" s="633"/>
      <c r="F7412" s="650"/>
    </row>
    <row r="7413" spans="3:6">
      <c r="C7413" s="631"/>
      <c r="D7413" s="631"/>
      <c r="E7413" s="633"/>
      <c r="F7413" s="650"/>
    </row>
    <row r="7414" spans="3:6">
      <c r="C7414" s="631"/>
      <c r="D7414" s="631"/>
      <c r="E7414" s="633"/>
      <c r="F7414" s="650"/>
    </row>
    <row r="7415" spans="3:6">
      <c r="C7415" s="631"/>
      <c r="D7415" s="631"/>
      <c r="E7415" s="633"/>
      <c r="F7415" s="650"/>
    </row>
    <row r="7416" spans="3:6">
      <c r="C7416" s="631"/>
      <c r="D7416" s="631"/>
      <c r="E7416" s="633"/>
      <c r="F7416" s="650"/>
    </row>
    <row r="7417" spans="3:6">
      <c r="C7417" s="631"/>
      <c r="D7417" s="631"/>
      <c r="E7417" s="633"/>
      <c r="F7417" s="650"/>
    </row>
    <row r="7418" spans="3:6">
      <c r="C7418" s="631"/>
      <c r="D7418" s="631"/>
      <c r="E7418" s="633"/>
      <c r="F7418" s="650"/>
    </row>
    <row r="7419" spans="3:6">
      <c r="C7419" s="631"/>
      <c r="D7419" s="631"/>
      <c r="E7419" s="633"/>
      <c r="F7419" s="650"/>
    </row>
    <row r="7420" spans="3:6">
      <c r="C7420" s="631"/>
      <c r="D7420" s="631"/>
      <c r="E7420" s="633"/>
      <c r="F7420" s="650"/>
    </row>
    <row r="7421" spans="3:6">
      <c r="C7421" s="631"/>
      <c r="D7421" s="631"/>
      <c r="E7421" s="633"/>
      <c r="F7421" s="650"/>
    </row>
    <row r="7422" spans="3:6">
      <c r="C7422" s="631"/>
      <c r="D7422" s="631"/>
      <c r="E7422" s="633"/>
      <c r="F7422" s="650"/>
    </row>
    <row r="7423" spans="3:6">
      <c r="C7423" s="631"/>
      <c r="D7423" s="631"/>
      <c r="E7423" s="633"/>
      <c r="F7423" s="650"/>
    </row>
    <row r="7424" spans="3:6">
      <c r="C7424" s="631"/>
      <c r="D7424" s="631"/>
      <c r="E7424" s="633"/>
      <c r="F7424" s="650"/>
    </row>
    <row r="7425" spans="3:6">
      <c r="C7425" s="631"/>
      <c r="D7425" s="631"/>
      <c r="E7425" s="633"/>
      <c r="F7425" s="650"/>
    </row>
    <row r="7426" spans="3:6">
      <c r="C7426" s="631"/>
      <c r="D7426" s="631"/>
      <c r="E7426" s="633"/>
      <c r="F7426" s="650"/>
    </row>
    <row r="7427" spans="3:6">
      <c r="C7427" s="631"/>
      <c r="D7427" s="631"/>
      <c r="E7427" s="633"/>
      <c r="F7427" s="650"/>
    </row>
    <row r="7428" spans="3:6">
      <c r="C7428" s="631"/>
      <c r="D7428" s="631"/>
      <c r="E7428" s="633"/>
      <c r="F7428" s="650"/>
    </row>
    <row r="7429" spans="3:6">
      <c r="C7429" s="631"/>
      <c r="D7429" s="631"/>
      <c r="E7429" s="633"/>
      <c r="F7429" s="650"/>
    </row>
    <row r="7430" spans="3:6">
      <c r="C7430" s="631"/>
      <c r="D7430" s="631"/>
      <c r="E7430" s="633"/>
      <c r="F7430" s="650"/>
    </row>
    <row r="7431" spans="3:6">
      <c r="C7431" s="631"/>
      <c r="D7431" s="631"/>
      <c r="E7431" s="633"/>
      <c r="F7431" s="650"/>
    </row>
    <row r="7432" spans="3:6">
      <c r="C7432" s="631"/>
      <c r="D7432" s="631"/>
      <c r="E7432" s="633"/>
      <c r="F7432" s="650"/>
    </row>
    <row r="7433" spans="3:6">
      <c r="C7433" s="631"/>
      <c r="D7433" s="631"/>
      <c r="E7433" s="633"/>
      <c r="F7433" s="650"/>
    </row>
    <row r="7434" spans="3:6">
      <c r="C7434" s="631"/>
      <c r="D7434" s="631"/>
      <c r="E7434" s="633"/>
      <c r="F7434" s="650"/>
    </row>
    <row r="7435" spans="3:6">
      <c r="C7435" s="631"/>
      <c r="D7435" s="631"/>
      <c r="E7435" s="633"/>
      <c r="F7435" s="650"/>
    </row>
    <row r="7436" spans="3:6">
      <c r="C7436" s="631"/>
      <c r="D7436" s="631"/>
      <c r="E7436" s="633"/>
      <c r="F7436" s="650"/>
    </row>
    <row r="7437" spans="3:6">
      <c r="C7437" s="631"/>
      <c r="D7437" s="631"/>
      <c r="E7437" s="633"/>
      <c r="F7437" s="650"/>
    </row>
    <row r="7438" spans="3:6">
      <c r="C7438" s="631"/>
      <c r="D7438" s="631"/>
      <c r="E7438" s="633"/>
      <c r="F7438" s="650"/>
    </row>
    <row r="7439" spans="3:6">
      <c r="C7439" s="631"/>
      <c r="D7439" s="631"/>
      <c r="E7439" s="633"/>
      <c r="F7439" s="650"/>
    </row>
    <row r="7440" spans="3:6">
      <c r="C7440" s="631"/>
      <c r="D7440" s="631"/>
      <c r="E7440" s="633"/>
      <c r="F7440" s="650"/>
    </row>
    <row r="7441" spans="3:6">
      <c r="C7441" s="631"/>
      <c r="D7441" s="631"/>
      <c r="E7441" s="633"/>
      <c r="F7441" s="650"/>
    </row>
    <row r="7442" spans="3:6">
      <c r="C7442" s="631"/>
      <c r="D7442" s="631"/>
      <c r="E7442" s="633"/>
      <c r="F7442" s="650"/>
    </row>
    <row r="7443" spans="3:6">
      <c r="C7443" s="631"/>
      <c r="D7443" s="631"/>
      <c r="E7443" s="633"/>
      <c r="F7443" s="650"/>
    </row>
    <row r="7444" spans="3:6">
      <c r="C7444" s="631"/>
      <c r="D7444" s="631"/>
      <c r="E7444" s="633"/>
      <c r="F7444" s="650"/>
    </row>
    <row r="7445" spans="3:6">
      <c r="C7445" s="631"/>
      <c r="D7445" s="631"/>
      <c r="E7445" s="633"/>
      <c r="F7445" s="650"/>
    </row>
    <row r="7446" spans="3:6">
      <c r="C7446" s="631"/>
      <c r="D7446" s="631"/>
      <c r="E7446" s="633"/>
      <c r="F7446" s="650"/>
    </row>
    <row r="7447" spans="3:6">
      <c r="C7447" s="631"/>
      <c r="D7447" s="631"/>
      <c r="E7447" s="633"/>
      <c r="F7447" s="650"/>
    </row>
    <row r="7448" spans="3:6">
      <c r="C7448" s="631"/>
      <c r="D7448" s="631"/>
      <c r="E7448" s="633"/>
      <c r="F7448" s="650"/>
    </row>
    <row r="7449" spans="3:6">
      <c r="C7449" s="631"/>
      <c r="D7449" s="631"/>
      <c r="E7449" s="633"/>
      <c r="F7449" s="650"/>
    </row>
    <row r="7450" spans="3:6">
      <c r="C7450" s="631"/>
      <c r="D7450" s="631"/>
      <c r="E7450" s="633"/>
      <c r="F7450" s="650"/>
    </row>
    <row r="7451" spans="3:6">
      <c r="C7451" s="631"/>
      <c r="D7451" s="631"/>
      <c r="E7451" s="633"/>
      <c r="F7451" s="650"/>
    </row>
    <row r="7452" spans="3:6">
      <c r="C7452" s="631"/>
      <c r="D7452" s="631"/>
      <c r="E7452" s="633"/>
      <c r="F7452" s="650"/>
    </row>
    <row r="7453" spans="3:6">
      <c r="C7453" s="631"/>
      <c r="D7453" s="631"/>
      <c r="E7453" s="633"/>
      <c r="F7453" s="650"/>
    </row>
    <row r="7454" spans="3:6">
      <c r="C7454" s="631"/>
      <c r="D7454" s="631"/>
      <c r="E7454" s="633"/>
      <c r="F7454" s="650"/>
    </row>
    <row r="7455" spans="3:6">
      <c r="C7455" s="631"/>
      <c r="D7455" s="631"/>
      <c r="E7455" s="633"/>
      <c r="F7455" s="650"/>
    </row>
    <row r="7456" spans="3:6">
      <c r="C7456" s="631"/>
      <c r="D7456" s="631"/>
      <c r="E7456" s="633"/>
      <c r="F7456" s="650"/>
    </row>
    <row r="7457" spans="3:6">
      <c r="C7457" s="631"/>
      <c r="D7457" s="631"/>
      <c r="E7457" s="633"/>
      <c r="F7457" s="650"/>
    </row>
    <row r="7458" spans="3:6">
      <c r="C7458" s="631"/>
      <c r="D7458" s="631"/>
      <c r="E7458" s="633"/>
      <c r="F7458" s="650"/>
    </row>
    <row r="7459" spans="3:6">
      <c r="C7459" s="631"/>
      <c r="D7459" s="631"/>
      <c r="E7459" s="633"/>
      <c r="F7459" s="650"/>
    </row>
    <row r="7460" spans="3:6">
      <c r="C7460" s="631"/>
      <c r="D7460" s="631"/>
      <c r="E7460" s="633"/>
      <c r="F7460" s="650"/>
    </row>
    <row r="7461" spans="3:6">
      <c r="C7461" s="631"/>
      <c r="D7461" s="631"/>
      <c r="E7461" s="633"/>
      <c r="F7461" s="650"/>
    </row>
    <row r="7462" spans="3:6">
      <c r="C7462" s="631"/>
      <c r="D7462" s="631"/>
      <c r="E7462" s="633"/>
      <c r="F7462" s="650"/>
    </row>
    <row r="7463" spans="3:6">
      <c r="C7463" s="631"/>
      <c r="D7463" s="631"/>
      <c r="E7463" s="633"/>
      <c r="F7463" s="650"/>
    </row>
    <row r="7464" spans="3:6">
      <c r="C7464" s="631"/>
      <c r="D7464" s="631"/>
      <c r="E7464" s="633"/>
      <c r="F7464" s="650"/>
    </row>
    <row r="7465" spans="3:6">
      <c r="C7465" s="631"/>
      <c r="D7465" s="631"/>
      <c r="E7465" s="633"/>
      <c r="F7465" s="650"/>
    </row>
    <row r="7466" spans="3:6">
      <c r="C7466" s="631"/>
      <c r="D7466" s="631"/>
      <c r="E7466" s="633"/>
      <c r="F7466" s="650"/>
    </row>
    <row r="7467" spans="3:6">
      <c r="C7467" s="631"/>
      <c r="D7467" s="631"/>
      <c r="E7467" s="633"/>
      <c r="F7467" s="650"/>
    </row>
    <row r="7468" spans="3:6">
      <c r="C7468" s="631"/>
      <c r="D7468" s="631"/>
      <c r="E7468" s="633"/>
      <c r="F7468" s="650"/>
    </row>
    <row r="7469" spans="3:6">
      <c r="C7469" s="631"/>
      <c r="D7469" s="631"/>
      <c r="E7469" s="633"/>
      <c r="F7469" s="650"/>
    </row>
    <row r="7470" spans="3:6">
      <c r="C7470" s="631"/>
      <c r="D7470" s="631"/>
      <c r="E7470" s="633"/>
      <c r="F7470" s="650"/>
    </row>
    <row r="7471" spans="3:6">
      <c r="C7471" s="631"/>
      <c r="D7471" s="631"/>
      <c r="E7471" s="633"/>
      <c r="F7471" s="650"/>
    </row>
    <row r="7472" spans="3:6">
      <c r="C7472" s="631"/>
      <c r="D7472" s="631"/>
      <c r="E7472" s="633"/>
      <c r="F7472" s="650"/>
    </row>
    <row r="7473" spans="3:6">
      <c r="C7473" s="631"/>
      <c r="D7473" s="631"/>
      <c r="E7473" s="633"/>
      <c r="F7473" s="650"/>
    </row>
    <row r="7474" spans="3:6">
      <c r="C7474" s="631"/>
      <c r="D7474" s="631"/>
      <c r="E7474" s="633"/>
      <c r="F7474" s="650"/>
    </row>
    <row r="7475" spans="3:6">
      <c r="C7475" s="631"/>
      <c r="D7475" s="631"/>
      <c r="E7475" s="633"/>
      <c r="F7475" s="650"/>
    </row>
    <row r="7476" spans="3:6">
      <c r="C7476" s="631"/>
      <c r="D7476" s="631"/>
      <c r="E7476" s="633"/>
      <c r="F7476" s="650"/>
    </row>
    <row r="7477" spans="3:6">
      <c r="C7477" s="631"/>
      <c r="D7477" s="631"/>
      <c r="E7477" s="633"/>
      <c r="F7477" s="650"/>
    </row>
    <row r="7478" spans="3:6">
      <c r="C7478" s="631"/>
      <c r="D7478" s="631"/>
      <c r="E7478" s="633"/>
      <c r="F7478" s="650"/>
    </row>
    <row r="7479" spans="3:6">
      <c r="C7479" s="631"/>
      <c r="D7479" s="631"/>
      <c r="E7479" s="633"/>
      <c r="F7479" s="650"/>
    </row>
    <row r="7480" spans="3:6">
      <c r="C7480" s="631"/>
      <c r="D7480" s="631"/>
      <c r="E7480" s="633"/>
      <c r="F7480" s="650"/>
    </row>
    <row r="7481" spans="3:6">
      <c r="C7481" s="631"/>
      <c r="D7481" s="631"/>
      <c r="E7481" s="633"/>
      <c r="F7481" s="650"/>
    </row>
    <row r="7482" spans="3:6">
      <c r="C7482" s="631"/>
      <c r="D7482" s="631"/>
      <c r="E7482" s="633"/>
      <c r="F7482" s="650"/>
    </row>
    <row r="7483" spans="3:6">
      <c r="C7483" s="631"/>
      <c r="D7483" s="631"/>
      <c r="E7483" s="633"/>
      <c r="F7483" s="650"/>
    </row>
    <row r="7484" spans="3:6">
      <c r="C7484" s="631"/>
      <c r="D7484" s="631"/>
      <c r="E7484" s="633"/>
      <c r="F7484" s="650"/>
    </row>
    <row r="7485" spans="3:6">
      <c r="C7485" s="631"/>
      <c r="D7485" s="631"/>
      <c r="E7485" s="633"/>
      <c r="F7485" s="650"/>
    </row>
    <row r="7486" spans="3:6">
      <c r="C7486" s="631"/>
      <c r="D7486" s="631"/>
      <c r="E7486" s="633"/>
      <c r="F7486" s="650"/>
    </row>
    <row r="7487" spans="3:6">
      <c r="C7487" s="631"/>
      <c r="D7487" s="631"/>
      <c r="E7487" s="633"/>
      <c r="F7487" s="650"/>
    </row>
    <row r="7488" spans="3:6">
      <c r="C7488" s="631"/>
      <c r="D7488" s="631"/>
      <c r="E7488" s="633"/>
      <c r="F7488" s="650"/>
    </row>
    <row r="7489" spans="3:6">
      <c r="C7489" s="631"/>
      <c r="D7489" s="631"/>
      <c r="E7489" s="633"/>
      <c r="F7489" s="650"/>
    </row>
    <row r="7490" spans="3:6">
      <c r="C7490" s="631"/>
      <c r="D7490" s="631"/>
      <c r="E7490" s="633"/>
      <c r="F7490" s="650"/>
    </row>
    <row r="7491" spans="3:6">
      <c r="C7491" s="631"/>
      <c r="D7491" s="631"/>
      <c r="E7491" s="633"/>
      <c r="F7491" s="650"/>
    </row>
    <row r="7492" spans="3:6">
      <c r="C7492" s="631"/>
      <c r="D7492" s="631"/>
      <c r="E7492" s="633"/>
      <c r="F7492" s="650"/>
    </row>
    <row r="7493" spans="3:6">
      <c r="C7493" s="631"/>
      <c r="D7493" s="631"/>
      <c r="E7493" s="633"/>
      <c r="F7493" s="650"/>
    </row>
    <row r="7494" spans="3:6">
      <c r="C7494" s="631"/>
      <c r="D7494" s="631"/>
      <c r="E7494" s="633"/>
      <c r="F7494" s="650"/>
    </row>
    <row r="7495" spans="3:6">
      <c r="C7495" s="631"/>
      <c r="D7495" s="631"/>
      <c r="E7495" s="633"/>
      <c r="F7495" s="650"/>
    </row>
    <row r="7496" spans="3:6">
      <c r="C7496" s="631"/>
      <c r="D7496" s="631"/>
      <c r="E7496" s="633"/>
      <c r="F7496" s="650"/>
    </row>
    <row r="7497" spans="3:6">
      <c r="C7497" s="631"/>
      <c r="D7497" s="631"/>
      <c r="E7497" s="633"/>
      <c r="F7497" s="650"/>
    </row>
    <row r="7498" spans="3:6">
      <c r="C7498" s="631"/>
      <c r="D7498" s="631"/>
      <c r="E7498" s="633"/>
      <c r="F7498" s="650"/>
    </row>
    <row r="7499" spans="3:6">
      <c r="C7499" s="631"/>
      <c r="D7499" s="631"/>
      <c r="E7499" s="633"/>
      <c r="F7499" s="650"/>
    </row>
    <row r="7500" spans="3:6">
      <c r="C7500" s="631"/>
      <c r="D7500" s="631"/>
      <c r="E7500" s="633"/>
      <c r="F7500" s="650"/>
    </row>
    <row r="7501" spans="3:6">
      <c r="C7501" s="631"/>
      <c r="D7501" s="631"/>
      <c r="E7501" s="633"/>
      <c r="F7501" s="650"/>
    </row>
    <row r="7502" spans="3:6">
      <c r="C7502" s="631"/>
      <c r="D7502" s="631"/>
      <c r="E7502" s="633"/>
      <c r="F7502" s="650"/>
    </row>
    <row r="7503" spans="3:6">
      <c r="C7503" s="631"/>
      <c r="D7503" s="631"/>
      <c r="E7503" s="633"/>
      <c r="F7503" s="650"/>
    </row>
    <row r="7504" spans="3:6">
      <c r="C7504" s="631"/>
      <c r="D7504" s="631"/>
      <c r="E7504" s="633"/>
      <c r="F7504" s="650"/>
    </row>
    <row r="7505" spans="3:6">
      <c r="C7505" s="631"/>
      <c r="D7505" s="631"/>
      <c r="E7505" s="633"/>
      <c r="F7505" s="650"/>
    </row>
    <row r="7506" spans="3:6">
      <c r="C7506" s="631"/>
      <c r="D7506" s="631"/>
      <c r="E7506" s="633"/>
      <c r="F7506" s="650"/>
    </row>
    <row r="7507" spans="3:6">
      <c r="C7507" s="631"/>
      <c r="D7507" s="631"/>
      <c r="E7507" s="633"/>
      <c r="F7507" s="650"/>
    </row>
    <row r="7508" spans="3:6">
      <c r="C7508" s="631"/>
      <c r="D7508" s="631"/>
      <c r="E7508" s="633"/>
      <c r="F7508" s="650"/>
    </row>
    <row r="7509" spans="3:6">
      <c r="C7509" s="631"/>
      <c r="D7509" s="631"/>
      <c r="E7509" s="633"/>
      <c r="F7509" s="650"/>
    </row>
    <row r="7510" spans="3:6">
      <c r="C7510" s="631"/>
      <c r="D7510" s="631"/>
      <c r="E7510" s="633"/>
      <c r="F7510" s="650"/>
    </row>
    <row r="7511" spans="3:6">
      <c r="C7511" s="631"/>
      <c r="D7511" s="631"/>
      <c r="E7511" s="633"/>
      <c r="F7511" s="650"/>
    </row>
    <row r="7512" spans="3:6">
      <c r="C7512" s="631"/>
      <c r="D7512" s="631"/>
      <c r="E7512" s="633"/>
      <c r="F7512" s="650"/>
    </row>
    <row r="7513" spans="3:6">
      <c r="C7513" s="631"/>
      <c r="D7513" s="631"/>
      <c r="E7513" s="633"/>
      <c r="F7513" s="650"/>
    </row>
    <row r="7514" spans="3:6">
      <c r="C7514" s="631"/>
      <c r="D7514" s="631"/>
      <c r="E7514" s="633"/>
      <c r="F7514" s="650"/>
    </row>
    <row r="7515" spans="3:6">
      <c r="C7515" s="631"/>
      <c r="D7515" s="631"/>
      <c r="E7515" s="633"/>
      <c r="F7515" s="650"/>
    </row>
    <row r="7516" spans="3:6">
      <c r="C7516" s="631"/>
      <c r="D7516" s="631"/>
      <c r="E7516" s="633"/>
      <c r="F7516" s="650"/>
    </row>
    <row r="7517" spans="3:6">
      <c r="C7517" s="631"/>
      <c r="D7517" s="631"/>
      <c r="E7517" s="633"/>
      <c r="F7517" s="650"/>
    </row>
    <row r="7518" spans="3:6">
      <c r="C7518" s="631"/>
      <c r="D7518" s="631"/>
      <c r="E7518" s="633"/>
      <c r="F7518" s="650"/>
    </row>
    <row r="7519" spans="3:6">
      <c r="C7519" s="631"/>
      <c r="D7519" s="631"/>
      <c r="E7519" s="633"/>
      <c r="F7519" s="650"/>
    </row>
    <row r="7520" spans="3:6">
      <c r="C7520" s="631"/>
      <c r="D7520" s="631"/>
      <c r="E7520" s="633"/>
      <c r="F7520" s="650"/>
    </row>
    <row r="7521" spans="3:6">
      <c r="C7521" s="631"/>
      <c r="D7521" s="631"/>
      <c r="E7521" s="633"/>
      <c r="F7521" s="650"/>
    </row>
    <row r="7522" spans="3:6">
      <c r="C7522" s="631"/>
      <c r="D7522" s="631"/>
      <c r="E7522" s="633"/>
      <c r="F7522" s="650"/>
    </row>
    <row r="7523" spans="3:6">
      <c r="C7523" s="631"/>
      <c r="D7523" s="631"/>
      <c r="E7523" s="633"/>
      <c r="F7523" s="650"/>
    </row>
    <row r="7524" spans="3:6">
      <c r="C7524" s="631"/>
      <c r="D7524" s="631"/>
      <c r="E7524" s="633"/>
      <c r="F7524" s="650"/>
    </row>
    <row r="7525" spans="3:6">
      <c r="C7525" s="631"/>
      <c r="D7525" s="631"/>
      <c r="E7525" s="633"/>
      <c r="F7525" s="650"/>
    </row>
    <row r="7526" spans="3:6">
      <c r="C7526" s="631"/>
      <c r="D7526" s="631"/>
      <c r="E7526" s="633"/>
      <c r="F7526" s="650"/>
    </row>
    <row r="7527" spans="3:6">
      <c r="C7527" s="631"/>
      <c r="D7527" s="631"/>
      <c r="E7527" s="633"/>
      <c r="F7527" s="650"/>
    </row>
    <row r="7528" spans="3:6">
      <c r="C7528" s="631"/>
      <c r="D7528" s="631"/>
      <c r="E7528" s="633"/>
      <c r="F7528" s="650"/>
    </row>
    <row r="7529" spans="3:6">
      <c r="C7529" s="631"/>
      <c r="D7529" s="631"/>
      <c r="E7529" s="633"/>
      <c r="F7529" s="650"/>
    </row>
    <row r="7530" spans="3:6">
      <c r="C7530" s="631"/>
      <c r="D7530" s="631"/>
      <c r="E7530" s="633"/>
      <c r="F7530" s="650"/>
    </row>
    <row r="7531" spans="3:6">
      <c r="C7531" s="631"/>
      <c r="D7531" s="631"/>
      <c r="E7531" s="633"/>
      <c r="F7531" s="650"/>
    </row>
    <row r="7532" spans="3:6">
      <c r="C7532" s="631"/>
      <c r="D7532" s="631"/>
      <c r="E7532" s="633"/>
      <c r="F7532" s="650"/>
    </row>
    <row r="7533" spans="3:6">
      <c r="C7533" s="631"/>
      <c r="D7533" s="631"/>
      <c r="E7533" s="633"/>
      <c r="F7533" s="650"/>
    </row>
    <row r="7534" spans="3:6">
      <c r="C7534" s="631"/>
      <c r="D7534" s="631"/>
      <c r="E7534" s="633"/>
      <c r="F7534" s="650"/>
    </row>
    <row r="7535" spans="3:6">
      <c r="C7535" s="631"/>
      <c r="D7535" s="631"/>
      <c r="E7535" s="633"/>
      <c r="F7535" s="650"/>
    </row>
    <row r="7536" spans="3:6">
      <c r="C7536" s="631"/>
      <c r="D7536" s="631"/>
      <c r="E7536" s="633"/>
      <c r="F7536" s="650"/>
    </row>
    <row r="7537" spans="3:6">
      <c r="C7537" s="631"/>
      <c r="D7537" s="631"/>
      <c r="E7537" s="633"/>
      <c r="F7537" s="650"/>
    </row>
    <row r="7538" spans="3:6">
      <c r="C7538" s="631"/>
      <c r="D7538" s="631"/>
      <c r="E7538" s="633"/>
      <c r="F7538" s="650"/>
    </row>
    <row r="7539" spans="3:6">
      <c r="C7539" s="631"/>
      <c r="D7539" s="631"/>
      <c r="E7539" s="633"/>
      <c r="F7539" s="650"/>
    </row>
    <row r="7540" spans="3:6">
      <c r="C7540" s="631"/>
      <c r="D7540" s="631"/>
      <c r="E7540" s="633"/>
      <c r="F7540" s="650"/>
    </row>
    <row r="7541" spans="3:6">
      <c r="C7541" s="631"/>
      <c r="D7541" s="631"/>
      <c r="E7541" s="633"/>
      <c r="F7541" s="650"/>
    </row>
    <row r="7542" spans="3:6">
      <c r="C7542" s="631"/>
      <c r="D7542" s="631"/>
      <c r="E7542" s="633"/>
      <c r="F7542" s="650"/>
    </row>
    <row r="7543" spans="3:6">
      <c r="C7543" s="631"/>
      <c r="D7543" s="631"/>
      <c r="E7543" s="633"/>
      <c r="F7543" s="650"/>
    </row>
    <row r="7544" spans="3:6">
      <c r="C7544" s="631"/>
      <c r="D7544" s="631"/>
      <c r="E7544" s="633"/>
      <c r="F7544" s="650"/>
    </row>
    <row r="7545" spans="3:6">
      <c r="C7545" s="631"/>
      <c r="D7545" s="631"/>
      <c r="E7545" s="633"/>
      <c r="F7545" s="650"/>
    </row>
    <row r="7546" spans="3:6">
      <c r="C7546" s="631"/>
      <c r="D7546" s="631"/>
      <c r="E7546" s="633"/>
      <c r="F7546" s="650"/>
    </row>
    <row r="7547" spans="3:6">
      <c r="C7547" s="631"/>
      <c r="D7547" s="631"/>
      <c r="E7547" s="633"/>
      <c r="F7547" s="650"/>
    </row>
    <row r="7548" spans="3:6">
      <c r="C7548" s="631"/>
      <c r="D7548" s="631"/>
      <c r="E7548" s="633"/>
      <c r="F7548" s="650"/>
    </row>
    <row r="7549" spans="3:6">
      <c r="C7549" s="631"/>
      <c r="D7549" s="631"/>
      <c r="E7549" s="633"/>
      <c r="F7549" s="650"/>
    </row>
    <row r="7550" spans="3:6">
      <c r="C7550" s="631"/>
      <c r="D7550" s="631"/>
      <c r="E7550" s="633"/>
      <c r="F7550" s="650"/>
    </row>
    <row r="7551" spans="3:6">
      <c r="C7551" s="631"/>
      <c r="D7551" s="631"/>
      <c r="E7551" s="633"/>
      <c r="F7551" s="650"/>
    </row>
    <row r="7552" spans="3:6">
      <c r="C7552" s="631"/>
      <c r="D7552" s="631"/>
      <c r="E7552" s="633"/>
      <c r="F7552" s="650"/>
    </row>
    <row r="7553" spans="3:6">
      <c r="C7553" s="631"/>
      <c r="D7553" s="631"/>
      <c r="E7553" s="633"/>
      <c r="F7553" s="650"/>
    </row>
    <row r="7554" spans="3:6">
      <c r="C7554" s="631"/>
      <c r="D7554" s="631"/>
      <c r="E7554" s="633"/>
      <c r="F7554" s="650"/>
    </row>
    <row r="7555" spans="3:6">
      <c r="C7555" s="631"/>
      <c r="D7555" s="631"/>
      <c r="E7555" s="633"/>
      <c r="F7555" s="650"/>
    </row>
    <row r="7556" spans="3:6">
      <c r="C7556" s="631"/>
      <c r="D7556" s="631"/>
      <c r="E7556" s="633"/>
      <c r="F7556" s="650"/>
    </row>
    <row r="7557" spans="3:6">
      <c r="C7557" s="631"/>
      <c r="D7557" s="631"/>
      <c r="E7557" s="633"/>
      <c r="F7557" s="650"/>
    </row>
    <row r="7558" spans="3:6">
      <c r="C7558" s="631"/>
      <c r="D7558" s="631"/>
      <c r="E7558" s="633"/>
      <c r="F7558" s="650"/>
    </row>
    <row r="7559" spans="3:6">
      <c r="C7559" s="631"/>
      <c r="D7559" s="631"/>
      <c r="E7559" s="633"/>
      <c r="F7559" s="650"/>
    </row>
    <row r="7560" spans="3:6">
      <c r="C7560" s="631"/>
      <c r="D7560" s="631"/>
      <c r="E7560" s="633"/>
      <c r="F7560" s="650"/>
    </row>
    <row r="7561" spans="3:6">
      <c r="C7561" s="631"/>
      <c r="D7561" s="631"/>
      <c r="E7561" s="633"/>
      <c r="F7561" s="650"/>
    </row>
    <row r="7562" spans="3:6">
      <c r="C7562" s="631"/>
      <c r="D7562" s="631"/>
      <c r="E7562" s="633"/>
      <c r="F7562" s="650"/>
    </row>
    <row r="7563" spans="3:6">
      <c r="C7563" s="631"/>
      <c r="D7563" s="631"/>
      <c r="E7563" s="633"/>
      <c r="F7563" s="650"/>
    </row>
    <row r="7564" spans="3:6">
      <c r="C7564" s="631"/>
      <c r="D7564" s="631"/>
      <c r="E7564" s="633"/>
      <c r="F7564" s="650"/>
    </row>
    <row r="7565" spans="3:6">
      <c r="C7565" s="631"/>
      <c r="D7565" s="631"/>
      <c r="E7565" s="633"/>
      <c r="F7565" s="650"/>
    </row>
    <row r="7566" spans="3:6">
      <c r="C7566" s="631"/>
      <c r="D7566" s="631"/>
      <c r="E7566" s="633"/>
      <c r="F7566" s="650"/>
    </row>
    <row r="7567" spans="3:6">
      <c r="C7567" s="631"/>
      <c r="D7567" s="631"/>
      <c r="E7567" s="633"/>
      <c r="F7567" s="650"/>
    </row>
    <row r="7568" spans="3:6">
      <c r="C7568" s="631"/>
      <c r="D7568" s="631"/>
      <c r="E7568" s="633"/>
      <c r="F7568" s="650"/>
    </row>
    <row r="7569" spans="3:6">
      <c r="C7569" s="631"/>
      <c r="D7569" s="631"/>
      <c r="E7569" s="633"/>
      <c r="F7569" s="650"/>
    </row>
    <row r="7570" spans="3:6">
      <c r="C7570" s="631"/>
      <c r="D7570" s="631"/>
      <c r="E7570" s="633"/>
      <c r="F7570" s="650"/>
    </row>
    <row r="7571" spans="3:6">
      <c r="C7571" s="631"/>
      <c r="D7571" s="631"/>
      <c r="E7571" s="633"/>
      <c r="F7571" s="650"/>
    </row>
    <row r="7572" spans="3:6">
      <c r="C7572" s="631"/>
      <c r="D7572" s="631"/>
      <c r="E7572" s="633"/>
      <c r="F7572" s="650"/>
    </row>
    <row r="7573" spans="3:6">
      <c r="C7573" s="631"/>
      <c r="D7573" s="631"/>
      <c r="E7573" s="633"/>
      <c r="F7573" s="650"/>
    </row>
    <row r="7574" spans="3:6">
      <c r="C7574" s="631"/>
      <c r="D7574" s="631"/>
      <c r="E7574" s="633"/>
      <c r="F7574" s="650"/>
    </row>
    <row r="7575" spans="3:6">
      <c r="C7575" s="631"/>
      <c r="D7575" s="631"/>
      <c r="E7575" s="633"/>
      <c r="F7575" s="650"/>
    </row>
    <row r="7576" spans="3:6">
      <c r="C7576" s="631"/>
      <c r="D7576" s="631"/>
      <c r="E7576" s="633"/>
      <c r="F7576" s="650"/>
    </row>
    <row r="7577" spans="3:6">
      <c r="C7577" s="631"/>
      <c r="D7577" s="631"/>
      <c r="E7577" s="633"/>
      <c r="F7577" s="650"/>
    </row>
    <row r="7578" spans="3:6">
      <c r="C7578" s="631"/>
      <c r="D7578" s="631"/>
      <c r="E7578" s="633"/>
      <c r="F7578" s="650"/>
    </row>
    <row r="7579" spans="3:6">
      <c r="C7579" s="631"/>
      <c r="D7579" s="631"/>
      <c r="E7579" s="633"/>
      <c r="F7579" s="650"/>
    </row>
    <row r="7580" spans="3:6">
      <c r="C7580" s="631"/>
      <c r="D7580" s="631"/>
      <c r="E7580" s="633"/>
      <c r="F7580" s="650"/>
    </row>
    <row r="7581" spans="3:6">
      <c r="C7581" s="631"/>
      <c r="D7581" s="631"/>
      <c r="E7581" s="633"/>
      <c r="F7581" s="650"/>
    </row>
    <row r="7582" spans="3:6">
      <c r="C7582" s="631"/>
      <c r="D7582" s="631"/>
      <c r="E7582" s="633"/>
      <c r="F7582" s="650"/>
    </row>
    <row r="7583" spans="3:6">
      <c r="C7583" s="631"/>
      <c r="D7583" s="631"/>
      <c r="E7583" s="633"/>
      <c r="F7583" s="650"/>
    </row>
    <row r="7584" spans="3:6">
      <c r="C7584" s="631"/>
      <c r="D7584" s="631"/>
      <c r="E7584" s="633"/>
      <c r="F7584" s="650"/>
    </row>
    <row r="7585" spans="3:6">
      <c r="C7585" s="631"/>
      <c r="D7585" s="631"/>
      <c r="E7585" s="633"/>
      <c r="F7585" s="650"/>
    </row>
    <row r="7586" spans="3:6">
      <c r="C7586" s="631"/>
      <c r="D7586" s="631"/>
      <c r="E7586" s="633"/>
      <c r="F7586" s="650"/>
    </row>
    <row r="7587" spans="3:6">
      <c r="C7587" s="631"/>
      <c r="D7587" s="631"/>
      <c r="E7587" s="633"/>
      <c r="F7587" s="650"/>
    </row>
    <row r="7588" spans="3:6">
      <c r="C7588" s="631"/>
      <c r="D7588" s="631"/>
      <c r="E7588" s="633"/>
      <c r="F7588" s="650"/>
    </row>
    <row r="7589" spans="3:6">
      <c r="C7589" s="631"/>
      <c r="D7589" s="631"/>
      <c r="E7589" s="633"/>
      <c r="F7589" s="650"/>
    </row>
    <row r="7590" spans="3:6">
      <c r="C7590" s="631"/>
      <c r="D7590" s="631"/>
      <c r="E7590" s="633"/>
      <c r="F7590" s="650"/>
    </row>
    <row r="7591" spans="3:6">
      <c r="C7591" s="631"/>
      <c r="D7591" s="631"/>
      <c r="E7591" s="633"/>
      <c r="F7591" s="650"/>
    </row>
    <row r="7592" spans="3:6">
      <c r="C7592" s="631"/>
      <c r="D7592" s="631"/>
      <c r="E7592" s="633"/>
      <c r="F7592" s="650"/>
    </row>
    <row r="7593" spans="3:6">
      <c r="C7593" s="631"/>
      <c r="D7593" s="631"/>
      <c r="E7593" s="633"/>
      <c r="F7593" s="650"/>
    </row>
    <row r="7594" spans="3:6">
      <c r="C7594" s="631"/>
      <c r="D7594" s="631"/>
      <c r="E7594" s="633"/>
      <c r="F7594" s="650"/>
    </row>
    <row r="7595" spans="3:6">
      <c r="C7595" s="631"/>
      <c r="D7595" s="631"/>
      <c r="E7595" s="633"/>
      <c r="F7595" s="650"/>
    </row>
    <row r="7596" spans="3:6">
      <c r="C7596" s="631"/>
      <c r="D7596" s="631"/>
      <c r="E7596" s="633"/>
      <c r="F7596" s="650"/>
    </row>
    <row r="7597" spans="3:6">
      <c r="C7597" s="631"/>
      <c r="D7597" s="631"/>
      <c r="E7597" s="633"/>
      <c r="F7597" s="650"/>
    </row>
    <row r="7598" spans="3:6">
      <c r="C7598" s="631"/>
      <c r="D7598" s="631"/>
      <c r="E7598" s="633"/>
      <c r="F7598" s="650"/>
    </row>
    <row r="7599" spans="3:6">
      <c r="C7599" s="631"/>
      <c r="D7599" s="631"/>
      <c r="E7599" s="633"/>
      <c r="F7599" s="650"/>
    </row>
    <row r="7600" spans="3:6">
      <c r="C7600" s="631"/>
      <c r="D7600" s="631"/>
      <c r="E7600" s="633"/>
      <c r="F7600" s="650"/>
    </row>
    <row r="7601" spans="3:6">
      <c r="C7601" s="631"/>
      <c r="D7601" s="631"/>
      <c r="E7601" s="633"/>
      <c r="F7601" s="650"/>
    </row>
    <row r="7602" spans="3:6">
      <c r="C7602" s="631"/>
      <c r="D7602" s="631"/>
      <c r="E7602" s="633"/>
      <c r="F7602" s="650"/>
    </row>
    <row r="7603" spans="3:6">
      <c r="C7603" s="631"/>
      <c r="D7603" s="631"/>
      <c r="E7603" s="633"/>
      <c r="F7603" s="650"/>
    </row>
    <row r="7604" spans="3:6">
      <c r="C7604" s="631"/>
      <c r="D7604" s="631"/>
      <c r="E7604" s="633"/>
      <c r="F7604" s="650"/>
    </row>
    <row r="7605" spans="3:6">
      <c r="C7605" s="631"/>
      <c r="D7605" s="631"/>
      <c r="E7605" s="633"/>
      <c r="F7605" s="650"/>
    </row>
    <row r="7606" spans="3:6">
      <c r="C7606" s="631"/>
      <c r="D7606" s="631"/>
      <c r="E7606" s="633"/>
      <c r="F7606" s="650"/>
    </row>
    <row r="7607" spans="3:6">
      <c r="C7607" s="631"/>
      <c r="D7607" s="631"/>
      <c r="E7607" s="633"/>
      <c r="F7607" s="650"/>
    </row>
    <row r="7608" spans="3:6">
      <c r="C7608" s="631"/>
      <c r="D7608" s="631"/>
      <c r="E7608" s="633"/>
      <c r="F7608" s="650"/>
    </row>
    <row r="7609" spans="3:6">
      <c r="C7609" s="631"/>
      <c r="D7609" s="631"/>
      <c r="E7609" s="633"/>
      <c r="F7609" s="650"/>
    </row>
    <row r="7610" spans="3:6">
      <c r="C7610" s="631"/>
      <c r="D7610" s="631"/>
      <c r="E7610" s="633"/>
      <c r="F7610" s="650"/>
    </row>
    <row r="7611" spans="3:6">
      <c r="C7611" s="631"/>
      <c r="D7611" s="631"/>
      <c r="E7611" s="633"/>
      <c r="F7611" s="650"/>
    </row>
    <row r="7612" spans="3:6">
      <c r="C7612" s="631"/>
      <c r="D7612" s="631"/>
      <c r="E7612" s="633"/>
      <c r="F7612" s="650"/>
    </row>
    <row r="7613" spans="3:6">
      <c r="C7613" s="631"/>
      <c r="D7613" s="631"/>
      <c r="E7613" s="633"/>
      <c r="F7613" s="650"/>
    </row>
    <row r="7614" spans="3:6">
      <c r="C7614" s="631"/>
      <c r="D7614" s="631"/>
      <c r="E7614" s="633"/>
      <c r="F7614" s="650"/>
    </row>
    <row r="7615" spans="3:6">
      <c r="C7615" s="631"/>
      <c r="D7615" s="631"/>
      <c r="E7615" s="633"/>
      <c r="F7615" s="650"/>
    </row>
    <row r="7616" spans="3:6">
      <c r="C7616" s="631"/>
      <c r="D7616" s="631"/>
      <c r="E7616" s="633"/>
      <c r="F7616" s="650"/>
    </row>
    <row r="7617" spans="3:6">
      <c r="C7617" s="631"/>
      <c r="D7617" s="631"/>
      <c r="E7617" s="633"/>
      <c r="F7617" s="650"/>
    </row>
    <row r="7618" spans="3:6">
      <c r="C7618" s="631"/>
      <c r="D7618" s="631"/>
      <c r="E7618" s="633"/>
      <c r="F7618" s="650"/>
    </row>
    <row r="7619" spans="3:6">
      <c r="C7619" s="631"/>
      <c r="D7619" s="631"/>
      <c r="E7619" s="633"/>
      <c r="F7619" s="650"/>
    </row>
    <row r="7620" spans="3:6">
      <c r="C7620" s="631"/>
      <c r="D7620" s="631"/>
      <c r="E7620" s="633"/>
      <c r="F7620" s="650"/>
    </row>
    <row r="7621" spans="3:6">
      <c r="C7621" s="631"/>
      <c r="D7621" s="631"/>
      <c r="E7621" s="633"/>
      <c r="F7621" s="650"/>
    </row>
    <row r="7622" spans="3:6">
      <c r="C7622" s="631"/>
      <c r="D7622" s="631"/>
      <c r="E7622" s="633"/>
      <c r="F7622" s="650"/>
    </row>
    <row r="7623" spans="3:6">
      <c r="C7623" s="631"/>
      <c r="D7623" s="631"/>
      <c r="E7623" s="633"/>
      <c r="F7623" s="650"/>
    </row>
    <row r="7624" spans="3:6">
      <c r="C7624" s="631"/>
      <c r="D7624" s="631"/>
      <c r="E7624" s="633"/>
      <c r="F7624" s="650"/>
    </row>
    <row r="7625" spans="3:6">
      <c r="C7625" s="631"/>
      <c r="D7625" s="631"/>
      <c r="E7625" s="633"/>
      <c r="F7625" s="650"/>
    </row>
    <row r="7626" spans="3:6">
      <c r="C7626" s="631"/>
      <c r="D7626" s="631"/>
      <c r="E7626" s="633"/>
      <c r="F7626" s="650"/>
    </row>
    <row r="7627" spans="3:6">
      <c r="C7627" s="631"/>
      <c r="D7627" s="631"/>
      <c r="E7627" s="633"/>
      <c r="F7627" s="650"/>
    </row>
    <row r="7628" spans="3:6">
      <c r="C7628" s="631"/>
      <c r="D7628" s="631"/>
      <c r="E7628" s="633"/>
      <c r="F7628" s="650"/>
    </row>
    <row r="7629" spans="3:6">
      <c r="C7629" s="631"/>
      <c r="D7629" s="631"/>
      <c r="E7629" s="633"/>
      <c r="F7629" s="650"/>
    </row>
    <row r="7630" spans="3:6">
      <c r="C7630" s="631"/>
      <c r="D7630" s="631"/>
      <c r="E7630" s="633"/>
      <c r="F7630" s="650"/>
    </row>
    <row r="7631" spans="3:6">
      <c r="C7631" s="631"/>
      <c r="D7631" s="631"/>
      <c r="E7631" s="633"/>
      <c r="F7631" s="650"/>
    </row>
    <row r="7632" spans="3:6">
      <c r="C7632" s="631"/>
      <c r="D7632" s="631"/>
      <c r="E7632" s="633"/>
      <c r="F7632" s="650"/>
    </row>
    <row r="7633" spans="3:6">
      <c r="C7633" s="631"/>
      <c r="D7633" s="631"/>
      <c r="E7633" s="633"/>
      <c r="F7633" s="650"/>
    </row>
    <row r="7634" spans="3:6">
      <c r="C7634" s="631"/>
      <c r="D7634" s="631"/>
      <c r="E7634" s="633"/>
      <c r="F7634" s="650"/>
    </row>
    <row r="7635" spans="3:6">
      <c r="C7635" s="631"/>
      <c r="D7635" s="631"/>
      <c r="E7635" s="633"/>
      <c r="F7635" s="650"/>
    </row>
    <row r="7636" spans="3:6">
      <c r="C7636" s="631"/>
      <c r="D7636" s="631"/>
      <c r="E7636" s="633"/>
      <c r="F7636" s="650"/>
    </row>
    <row r="7637" spans="3:6">
      <c r="C7637" s="631"/>
      <c r="D7637" s="631"/>
      <c r="E7637" s="633"/>
      <c r="F7637" s="650"/>
    </row>
    <row r="7638" spans="3:6">
      <c r="C7638" s="631"/>
      <c r="D7638" s="631"/>
      <c r="E7638" s="633"/>
      <c r="F7638" s="650"/>
    </row>
    <row r="7639" spans="3:6">
      <c r="C7639" s="631"/>
      <c r="D7639" s="631"/>
      <c r="E7639" s="633"/>
      <c r="F7639" s="650"/>
    </row>
    <row r="7640" spans="3:6">
      <c r="C7640" s="631"/>
      <c r="D7640" s="631"/>
      <c r="E7640" s="633"/>
      <c r="F7640" s="650"/>
    </row>
    <row r="7641" spans="3:6">
      <c r="C7641" s="631"/>
      <c r="D7641" s="631"/>
      <c r="E7641" s="633"/>
      <c r="F7641" s="650"/>
    </row>
    <row r="7642" spans="3:6">
      <c r="C7642" s="631"/>
      <c r="D7642" s="631"/>
      <c r="E7642" s="633"/>
      <c r="F7642" s="650"/>
    </row>
    <row r="7643" spans="3:6">
      <c r="C7643" s="631"/>
      <c r="D7643" s="631"/>
      <c r="E7643" s="633"/>
      <c r="F7643" s="650"/>
    </row>
    <row r="7644" spans="3:6">
      <c r="C7644" s="631"/>
      <c r="D7644" s="631"/>
      <c r="E7644" s="633"/>
      <c r="F7644" s="650"/>
    </row>
    <row r="7645" spans="3:6">
      <c r="C7645" s="631"/>
      <c r="D7645" s="631"/>
      <c r="E7645" s="633"/>
      <c r="F7645" s="650"/>
    </row>
    <row r="7646" spans="3:6">
      <c r="C7646" s="631"/>
      <c r="D7646" s="631"/>
      <c r="E7646" s="633"/>
      <c r="F7646" s="650"/>
    </row>
    <row r="7647" spans="3:6">
      <c r="C7647" s="631"/>
      <c r="D7647" s="631"/>
      <c r="E7647" s="633"/>
      <c r="F7647" s="650"/>
    </row>
    <row r="7648" spans="3:6">
      <c r="C7648" s="631"/>
      <c r="D7648" s="631"/>
      <c r="E7648" s="633"/>
      <c r="F7648" s="650"/>
    </row>
    <row r="7649" spans="3:6">
      <c r="C7649" s="631"/>
      <c r="D7649" s="631"/>
      <c r="E7649" s="633"/>
      <c r="F7649" s="650"/>
    </row>
    <row r="7650" spans="3:6">
      <c r="C7650" s="631"/>
      <c r="D7650" s="631"/>
      <c r="E7650" s="633"/>
      <c r="F7650" s="650"/>
    </row>
    <row r="7651" spans="3:6">
      <c r="C7651" s="631"/>
      <c r="D7651" s="631"/>
      <c r="E7651" s="633"/>
      <c r="F7651" s="650"/>
    </row>
    <row r="7652" spans="3:6">
      <c r="C7652" s="631"/>
      <c r="D7652" s="631"/>
      <c r="E7652" s="633"/>
      <c r="F7652" s="650"/>
    </row>
    <row r="7653" spans="3:6">
      <c r="C7653" s="631"/>
      <c r="D7653" s="631"/>
      <c r="E7653" s="633"/>
      <c r="F7653" s="650"/>
    </row>
    <row r="7654" spans="3:6">
      <c r="C7654" s="631"/>
      <c r="D7654" s="631"/>
      <c r="E7654" s="633"/>
      <c r="F7654" s="650"/>
    </row>
    <row r="7655" spans="3:6">
      <c r="C7655" s="631"/>
      <c r="D7655" s="631"/>
      <c r="E7655" s="633"/>
      <c r="F7655" s="650"/>
    </row>
    <row r="7656" spans="3:6">
      <c r="C7656" s="631"/>
      <c r="D7656" s="631"/>
      <c r="E7656" s="633"/>
      <c r="F7656" s="650"/>
    </row>
    <row r="7657" spans="3:6">
      <c r="C7657" s="631"/>
      <c r="D7657" s="631"/>
      <c r="E7657" s="633"/>
      <c r="F7657" s="650"/>
    </row>
    <row r="7658" spans="3:6">
      <c r="C7658" s="631"/>
      <c r="D7658" s="631"/>
      <c r="E7658" s="633"/>
      <c r="F7658" s="650"/>
    </row>
    <row r="7659" spans="3:6">
      <c r="C7659" s="631"/>
      <c r="D7659" s="631"/>
      <c r="E7659" s="633"/>
      <c r="F7659" s="650"/>
    </row>
    <row r="7660" spans="3:6">
      <c r="C7660" s="631"/>
      <c r="D7660" s="631"/>
      <c r="E7660" s="633"/>
      <c r="F7660" s="650"/>
    </row>
    <row r="7661" spans="3:6">
      <c r="C7661" s="631"/>
      <c r="D7661" s="631"/>
      <c r="E7661" s="633"/>
      <c r="F7661" s="650"/>
    </row>
    <row r="7662" spans="3:6">
      <c r="C7662" s="631"/>
      <c r="D7662" s="631"/>
      <c r="E7662" s="633"/>
      <c r="F7662" s="650"/>
    </row>
    <row r="7663" spans="3:6">
      <c r="C7663" s="631"/>
      <c r="D7663" s="631"/>
      <c r="E7663" s="633"/>
      <c r="F7663" s="650"/>
    </row>
    <row r="7664" spans="3:6">
      <c r="C7664" s="631"/>
      <c r="D7664" s="631"/>
      <c r="E7664" s="633"/>
      <c r="F7664" s="650"/>
    </row>
    <row r="7665" spans="3:6">
      <c r="C7665" s="631"/>
      <c r="D7665" s="631"/>
      <c r="E7665" s="633"/>
      <c r="F7665" s="650"/>
    </row>
    <row r="7666" spans="3:6">
      <c r="C7666" s="631"/>
      <c r="D7666" s="631"/>
      <c r="E7666" s="633"/>
      <c r="F7666" s="650"/>
    </row>
    <row r="7667" spans="3:6">
      <c r="C7667" s="631"/>
      <c r="D7667" s="631"/>
      <c r="E7667" s="633"/>
      <c r="F7667" s="650"/>
    </row>
    <row r="7668" spans="3:6">
      <c r="C7668" s="631"/>
      <c r="D7668" s="631"/>
      <c r="E7668" s="633"/>
      <c r="F7668" s="650"/>
    </row>
    <row r="7669" spans="3:6">
      <c r="C7669" s="631"/>
      <c r="D7669" s="631"/>
      <c r="E7669" s="633"/>
      <c r="F7669" s="650"/>
    </row>
    <row r="7670" spans="3:6">
      <c r="C7670" s="631"/>
      <c r="D7670" s="631"/>
      <c r="E7670" s="633"/>
      <c r="F7670" s="650"/>
    </row>
    <row r="7671" spans="3:6">
      <c r="C7671" s="631"/>
      <c r="D7671" s="631"/>
      <c r="E7671" s="633"/>
      <c r="F7671" s="650"/>
    </row>
    <row r="7672" spans="3:6">
      <c r="C7672" s="631"/>
      <c r="D7672" s="631"/>
      <c r="E7672" s="633"/>
      <c r="F7672" s="650"/>
    </row>
    <row r="7673" spans="3:6">
      <c r="C7673" s="631"/>
      <c r="D7673" s="631"/>
      <c r="E7673" s="633"/>
      <c r="F7673" s="650"/>
    </row>
    <row r="7674" spans="3:6">
      <c r="C7674" s="631"/>
      <c r="D7674" s="631"/>
      <c r="E7674" s="633"/>
      <c r="F7674" s="650"/>
    </row>
    <row r="7675" spans="3:6">
      <c r="C7675" s="631"/>
      <c r="D7675" s="631"/>
      <c r="E7675" s="633"/>
      <c r="F7675" s="650"/>
    </row>
    <row r="7676" spans="3:6">
      <c r="C7676" s="631"/>
      <c r="D7676" s="631"/>
      <c r="E7676" s="633"/>
      <c r="F7676" s="650"/>
    </row>
    <row r="7677" spans="3:6">
      <c r="C7677" s="631"/>
      <c r="D7677" s="631"/>
      <c r="E7677" s="633"/>
      <c r="F7677" s="650"/>
    </row>
    <row r="7678" spans="3:6">
      <c r="C7678" s="631"/>
      <c r="D7678" s="631"/>
      <c r="E7678" s="633"/>
      <c r="F7678" s="650"/>
    </row>
    <row r="7679" spans="3:6">
      <c r="C7679" s="631"/>
      <c r="D7679" s="631"/>
      <c r="E7679" s="633"/>
      <c r="F7679" s="650"/>
    </row>
    <row r="7680" spans="3:6">
      <c r="C7680" s="631"/>
      <c r="D7680" s="631"/>
      <c r="E7680" s="633"/>
      <c r="F7680" s="650"/>
    </row>
    <row r="7681" spans="3:6">
      <c r="C7681" s="631"/>
      <c r="D7681" s="631"/>
      <c r="E7681" s="633"/>
      <c r="F7681" s="650"/>
    </row>
    <row r="7682" spans="3:6">
      <c r="C7682" s="631"/>
      <c r="D7682" s="631"/>
      <c r="E7682" s="633"/>
      <c r="F7682" s="650"/>
    </row>
    <row r="7683" spans="3:6">
      <c r="C7683" s="631"/>
      <c r="D7683" s="631"/>
      <c r="E7683" s="633"/>
      <c r="F7683" s="650"/>
    </row>
    <row r="7684" spans="3:6">
      <c r="C7684" s="631"/>
      <c r="D7684" s="631"/>
      <c r="E7684" s="633"/>
      <c r="F7684" s="650"/>
    </row>
    <row r="7685" spans="3:6">
      <c r="C7685" s="631"/>
      <c r="D7685" s="631"/>
      <c r="E7685" s="633"/>
      <c r="F7685" s="650"/>
    </row>
    <row r="7686" spans="3:6">
      <c r="C7686" s="631"/>
      <c r="D7686" s="631"/>
      <c r="E7686" s="633"/>
      <c r="F7686" s="650"/>
    </row>
    <row r="7687" spans="3:6">
      <c r="C7687" s="631"/>
      <c r="D7687" s="631"/>
      <c r="E7687" s="633"/>
      <c r="F7687" s="650"/>
    </row>
    <row r="7688" spans="3:6">
      <c r="C7688" s="631"/>
      <c r="D7688" s="631"/>
      <c r="E7688" s="633"/>
      <c r="F7688" s="650"/>
    </row>
    <row r="7689" spans="3:6">
      <c r="C7689" s="631"/>
      <c r="D7689" s="631"/>
      <c r="E7689" s="633"/>
      <c r="F7689" s="650"/>
    </row>
    <row r="7690" spans="3:6">
      <c r="C7690" s="631"/>
      <c r="D7690" s="631"/>
      <c r="E7690" s="633"/>
      <c r="F7690" s="650"/>
    </row>
    <row r="7691" spans="3:6">
      <c r="C7691" s="631"/>
      <c r="D7691" s="631"/>
      <c r="E7691" s="633"/>
      <c r="F7691" s="650"/>
    </row>
    <row r="7692" spans="3:6">
      <c r="C7692" s="631"/>
      <c r="D7692" s="631"/>
      <c r="E7692" s="633"/>
      <c r="F7692" s="650"/>
    </row>
    <row r="7693" spans="3:6">
      <c r="C7693" s="631"/>
      <c r="D7693" s="631"/>
      <c r="E7693" s="633"/>
      <c r="F7693" s="650"/>
    </row>
    <row r="7694" spans="3:6">
      <c r="C7694" s="631"/>
      <c r="D7694" s="631"/>
      <c r="E7694" s="633"/>
      <c r="F7694" s="650"/>
    </row>
    <row r="7695" spans="3:6">
      <c r="C7695" s="631"/>
      <c r="D7695" s="631"/>
      <c r="E7695" s="633"/>
      <c r="F7695" s="650"/>
    </row>
    <row r="7696" spans="3:6">
      <c r="C7696" s="631"/>
      <c r="D7696" s="631"/>
      <c r="E7696" s="633"/>
      <c r="F7696" s="650"/>
    </row>
    <row r="7697" spans="3:6">
      <c r="C7697" s="631"/>
      <c r="D7697" s="631"/>
      <c r="E7697" s="633"/>
      <c r="F7697" s="650"/>
    </row>
    <row r="7698" spans="3:6">
      <c r="C7698" s="631"/>
      <c r="D7698" s="631"/>
      <c r="E7698" s="633"/>
      <c r="F7698" s="650"/>
    </row>
    <row r="7699" spans="3:6">
      <c r="C7699" s="631"/>
      <c r="D7699" s="631"/>
      <c r="E7699" s="633"/>
      <c r="F7699" s="650"/>
    </row>
    <row r="7700" spans="3:6">
      <c r="C7700" s="631"/>
      <c r="D7700" s="631"/>
      <c r="E7700" s="633"/>
      <c r="F7700" s="650"/>
    </row>
    <row r="7701" spans="3:6">
      <c r="C7701" s="631"/>
      <c r="D7701" s="631"/>
      <c r="E7701" s="633"/>
      <c r="F7701" s="650"/>
    </row>
    <row r="7702" spans="3:6">
      <c r="C7702" s="631"/>
      <c r="D7702" s="631"/>
      <c r="E7702" s="633"/>
      <c r="F7702" s="650"/>
    </row>
    <row r="7703" spans="3:6">
      <c r="C7703" s="631"/>
      <c r="D7703" s="631"/>
      <c r="E7703" s="633"/>
      <c r="F7703" s="650"/>
    </row>
    <row r="7704" spans="3:6">
      <c r="C7704" s="631"/>
      <c r="D7704" s="631"/>
      <c r="E7704" s="633"/>
      <c r="F7704" s="650"/>
    </row>
    <row r="7705" spans="3:6">
      <c r="C7705" s="631"/>
      <c r="D7705" s="631"/>
      <c r="E7705" s="633"/>
      <c r="F7705" s="650"/>
    </row>
    <row r="7706" spans="3:6">
      <c r="C7706" s="631"/>
      <c r="D7706" s="631"/>
      <c r="E7706" s="633"/>
      <c r="F7706" s="650"/>
    </row>
    <row r="7707" spans="3:6">
      <c r="C7707" s="631"/>
      <c r="D7707" s="631"/>
      <c r="E7707" s="633"/>
      <c r="F7707" s="650"/>
    </row>
    <row r="7708" spans="3:6">
      <c r="C7708" s="631"/>
      <c r="D7708" s="631"/>
      <c r="E7708" s="633"/>
      <c r="F7708" s="650"/>
    </row>
    <row r="7709" spans="3:6">
      <c r="C7709" s="631"/>
      <c r="D7709" s="631"/>
      <c r="E7709" s="633"/>
      <c r="F7709" s="650"/>
    </row>
    <row r="7710" spans="3:6">
      <c r="C7710" s="631"/>
      <c r="D7710" s="631"/>
      <c r="E7710" s="633"/>
      <c r="F7710" s="650"/>
    </row>
    <row r="7711" spans="3:6">
      <c r="C7711" s="631"/>
      <c r="D7711" s="631"/>
      <c r="E7711" s="633"/>
      <c r="F7711" s="650"/>
    </row>
    <row r="7712" spans="3:6">
      <c r="C7712" s="631"/>
      <c r="D7712" s="631"/>
      <c r="E7712" s="633"/>
      <c r="F7712" s="650"/>
    </row>
    <row r="7713" spans="3:6">
      <c r="C7713" s="631"/>
      <c r="D7713" s="631"/>
      <c r="E7713" s="633"/>
      <c r="F7713" s="650"/>
    </row>
    <row r="7714" spans="3:6">
      <c r="C7714" s="631"/>
      <c r="D7714" s="631"/>
      <c r="E7714" s="633"/>
      <c r="F7714" s="650"/>
    </row>
    <row r="7715" spans="3:6">
      <c r="C7715" s="631"/>
      <c r="D7715" s="631"/>
      <c r="E7715" s="633"/>
      <c r="F7715" s="650"/>
    </row>
    <row r="7716" spans="3:6">
      <c r="C7716" s="631"/>
      <c r="D7716" s="631"/>
      <c r="E7716" s="633"/>
      <c r="F7716" s="650"/>
    </row>
    <row r="7717" spans="3:6">
      <c r="C7717" s="631"/>
      <c r="D7717" s="631"/>
      <c r="E7717" s="633"/>
      <c r="F7717" s="650"/>
    </row>
    <row r="7718" spans="3:6">
      <c r="C7718" s="631"/>
      <c r="D7718" s="631"/>
      <c r="E7718" s="633"/>
      <c r="F7718" s="650"/>
    </row>
    <row r="7719" spans="3:6">
      <c r="C7719" s="631"/>
      <c r="D7719" s="631"/>
      <c r="E7719" s="633"/>
      <c r="F7719" s="650"/>
    </row>
    <row r="7720" spans="3:6">
      <c r="C7720" s="631"/>
      <c r="D7720" s="631"/>
      <c r="E7720" s="633"/>
      <c r="F7720" s="650"/>
    </row>
    <row r="7721" spans="3:6">
      <c r="C7721" s="631"/>
      <c r="D7721" s="631"/>
      <c r="E7721" s="633"/>
      <c r="F7721" s="650"/>
    </row>
    <row r="7722" spans="3:6">
      <c r="C7722" s="631"/>
      <c r="D7722" s="631"/>
      <c r="E7722" s="633"/>
      <c r="F7722" s="650"/>
    </row>
    <row r="7723" spans="3:6">
      <c r="C7723" s="631"/>
      <c r="D7723" s="631"/>
      <c r="E7723" s="633"/>
      <c r="F7723" s="650"/>
    </row>
    <row r="7724" spans="3:6">
      <c r="C7724" s="631"/>
      <c r="D7724" s="631"/>
      <c r="E7724" s="633"/>
      <c r="F7724" s="650"/>
    </row>
    <row r="7725" spans="3:6">
      <c r="C7725" s="631"/>
      <c r="D7725" s="631"/>
      <c r="E7725" s="633"/>
      <c r="F7725" s="650"/>
    </row>
    <row r="7726" spans="3:6">
      <c r="C7726" s="631"/>
      <c r="D7726" s="631"/>
      <c r="E7726" s="633"/>
      <c r="F7726" s="650"/>
    </row>
    <row r="7727" spans="3:6">
      <c r="C7727" s="631"/>
      <c r="D7727" s="631"/>
      <c r="E7727" s="633"/>
      <c r="F7727" s="650"/>
    </row>
    <row r="7728" spans="3:6">
      <c r="C7728" s="631"/>
      <c r="D7728" s="631"/>
      <c r="E7728" s="633"/>
      <c r="F7728" s="650"/>
    </row>
    <row r="7729" spans="3:6">
      <c r="C7729" s="631"/>
      <c r="D7729" s="631"/>
      <c r="E7729" s="633"/>
      <c r="F7729" s="650"/>
    </row>
    <row r="7730" spans="3:6">
      <c r="C7730" s="631"/>
      <c r="D7730" s="631"/>
      <c r="E7730" s="633"/>
      <c r="F7730" s="650"/>
    </row>
    <row r="7731" spans="3:6">
      <c r="C7731" s="631"/>
      <c r="D7731" s="631"/>
      <c r="E7731" s="633"/>
      <c r="F7731" s="650"/>
    </row>
    <row r="7732" spans="3:6">
      <c r="C7732" s="631"/>
      <c r="D7732" s="631"/>
      <c r="E7732" s="633"/>
      <c r="F7732" s="650"/>
    </row>
    <row r="7733" spans="3:6">
      <c r="C7733" s="631"/>
      <c r="D7733" s="631"/>
      <c r="E7733" s="633"/>
      <c r="F7733" s="650"/>
    </row>
    <row r="7734" spans="3:6">
      <c r="C7734" s="631"/>
      <c r="D7734" s="631"/>
      <c r="E7734" s="633"/>
      <c r="F7734" s="650"/>
    </row>
    <row r="7735" spans="3:6">
      <c r="C7735" s="631"/>
      <c r="D7735" s="631"/>
      <c r="E7735" s="633"/>
      <c r="F7735" s="650"/>
    </row>
    <row r="7736" spans="3:6">
      <c r="C7736" s="631"/>
      <c r="D7736" s="631"/>
      <c r="E7736" s="633"/>
      <c r="F7736" s="650"/>
    </row>
    <row r="7737" spans="3:6">
      <c r="C7737" s="631"/>
      <c r="D7737" s="631"/>
      <c r="E7737" s="633"/>
      <c r="F7737" s="650"/>
    </row>
    <row r="7738" spans="3:6">
      <c r="C7738" s="631"/>
      <c r="D7738" s="631"/>
      <c r="E7738" s="633"/>
      <c r="F7738" s="650"/>
    </row>
    <row r="7739" spans="3:6">
      <c r="C7739" s="631"/>
      <c r="D7739" s="631"/>
      <c r="E7739" s="633"/>
      <c r="F7739" s="650"/>
    </row>
    <row r="7740" spans="3:6">
      <c r="C7740" s="631"/>
      <c r="D7740" s="631"/>
      <c r="E7740" s="633"/>
      <c r="F7740" s="650"/>
    </row>
    <row r="7741" spans="3:6">
      <c r="C7741" s="631"/>
      <c r="D7741" s="631"/>
      <c r="E7741" s="633"/>
      <c r="F7741" s="650"/>
    </row>
    <row r="7742" spans="3:6">
      <c r="C7742" s="631"/>
      <c r="D7742" s="631"/>
      <c r="E7742" s="633"/>
      <c r="F7742" s="650"/>
    </row>
    <row r="7743" spans="3:6">
      <c r="C7743" s="631"/>
      <c r="D7743" s="631"/>
      <c r="E7743" s="633"/>
      <c r="F7743" s="650"/>
    </row>
    <row r="7744" spans="3:6">
      <c r="C7744" s="631"/>
      <c r="D7744" s="631"/>
      <c r="E7744" s="633"/>
      <c r="F7744" s="650"/>
    </row>
    <row r="7745" spans="3:6">
      <c r="C7745" s="631"/>
      <c r="D7745" s="631"/>
      <c r="E7745" s="633"/>
      <c r="F7745" s="650"/>
    </row>
    <row r="7746" spans="3:6">
      <c r="C7746" s="631"/>
      <c r="D7746" s="631"/>
      <c r="E7746" s="633"/>
      <c r="F7746" s="650"/>
    </row>
    <row r="7747" spans="3:6">
      <c r="C7747" s="631"/>
      <c r="D7747" s="631"/>
      <c r="E7747" s="633"/>
      <c r="F7747" s="650"/>
    </row>
    <row r="7748" spans="3:6">
      <c r="C7748" s="631"/>
      <c r="D7748" s="631"/>
      <c r="E7748" s="633"/>
      <c r="F7748" s="650"/>
    </row>
    <row r="7749" spans="3:6">
      <c r="C7749" s="631"/>
      <c r="D7749" s="631"/>
      <c r="E7749" s="633"/>
      <c r="F7749" s="650"/>
    </row>
    <row r="7750" spans="3:6">
      <c r="C7750" s="631"/>
      <c r="D7750" s="631"/>
      <c r="E7750" s="633"/>
      <c r="F7750" s="650"/>
    </row>
    <row r="7751" spans="3:6">
      <c r="C7751" s="631"/>
      <c r="D7751" s="631"/>
      <c r="E7751" s="633"/>
      <c r="F7751" s="650"/>
    </row>
    <row r="7752" spans="3:6">
      <c r="C7752" s="631"/>
      <c r="D7752" s="631"/>
      <c r="E7752" s="633"/>
      <c r="F7752" s="650"/>
    </row>
    <row r="7753" spans="3:6">
      <c r="C7753" s="631"/>
      <c r="D7753" s="631"/>
      <c r="E7753" s="633"/>
      <c r="F7753" s="650"/>
    </row>
    <row r="7754" spans="3:6">
      <c r="C7754" s="631"/>
      <c r="D7754" s="631"/>
      <c r="E7754" s="633"/>
      <c r="F7754" s="650"/>
    </row>
    <row r="7755" spans="3:6">
      <c r="C7755" s="631"/>
      <c r="D7755" s="631"/>
      <c r="E7755" s="633"/>
      <c r="F7755" s="650"/>
    </row>
    <row r="7756" spans="3:6">
      <c r="C7756" s="631"/>
      <c r="D7756" s="631"/>
      <c r="E7756" s="633"/>
      <c r="F7756" s="650"/>
    </row>
    <row r="7757" spans="3:6">
      <c r="C7757" s="631"/>
      <c r="D7757" s="631"/>
      <c r="E7757" s="633"/>
      <c r="F7757" s="650"/>
    </row>
    <row r="7758" spans="3:6">
      <c r="C7758" s="631"/>
      <c r="D7758" s="631"/>
      <c r="E7758" s="633"/>
      <c r="F7758" s="650"/>
    </row>
    <row r="7759" spans="3:6">
      <c r="C7759" s="631"/>
      <c r="D7759" s="631"/>
      <c r="E7759" s="633"/>
      <c r="F7759" s="650"/>
    </row>
    <row r="7760" spans="3:6">
      <c r="C7760" s="631"/>
      <c r="D7760" s="631"/>
      <c r="E7760" s="633"/>
      <c r="F7760" s="650"/>
    </row>
    <row r="7761" spans="3:6">
      <c r="C7761" s="631"/>
      <c r="D7761" s="631"/>
      <c r="E7761" s="633"/>
      <c r="F7761" s="650"/>
    </row>
    <row r="7762" spans="3:6">
      <c r="C7762" s="631"/>
      <c r="D7762" s="631"/>
      <c r="E7762" s="633"/>
      <c r="F7762" s="650"/>
    </row>
    <row r="7763" spans="3:6">
      <c r="C7763" s="631"/>
      <c r="D7763" s="631"/>
      <c r="E7763" s="633"/>
      <c r="F7763" s="650"/>
    </row>
    <row r="7764" spans="3:6">
      <c r="C7764" s="631"/>
      <c r="D7764" s="631"/>
      <c r="E7764" s="633"/>
      <c r="F7764" s="650"/>
    </row>
    <row r="7765" spans="3:6">
      <c r="C7765" s="631"/>
      <c r="D7765" s="631"/>
      <c r="E7765" s="633"/>
      <c r="F7765" s="650"/>
    </row>
    <row r="7766" spans="3:6">
      <c r="C7766" s="631"/>
      <c r="D7766" s="631"/>
      <c r="E7766" s="633"/>
      <c r="F7766" s="650"/>
    </row>
    <row r="7767" spans="3:6">
      <c r="C7767" s="631"/>
      <c r="D7767" s="631"/>
      <c r="E7767" s="633"/>
      <c r="F7767" s="650"/>
    </row>
    <row r="7768" spans="3:6">
      <c r="C7768" s="631"/>
      <c r="D7768" s="631"/>
      <c r="E7768" s="633"/>
      <c r="F7768" s="650"/>
    </row>
    <row r="7769" spans="3:6">
      <c r="C7769" s="631"/>
      <c r="D7769" s="631"/>
      <c r="E7769" s="633"/>
      <c r="F7769" s="650"/>
    </row>
    <row r="7770" spans="3:6">
      <c r="C7770" s="631"/>
      <c r="D7770" s="631"/>
      <c r="E7770" s="633"/>
      <c r="F7770" s="650"/>
    </row>
    <row r="7771" spans="3:6">
      <c r="C7771" s="631"/>
      <c r="D7771" s="631"/>
      <c r="E7771" s="633"/>
      <c r="F7771" s="650"/>
    </row>
    <row r="7772" spans="3:6">
      <c r="C7772" s="631"/>
      <c r="D7772" s="631"/>
      <c r="E7772" s="633"/>
      <c r="F7772" s="650"/>
    </row>
    <row r="7773" spans="3:6">
      <c r="C7773" s="631"/>
      <c r="D7773" s="631"/>
      <c r="E7773" s="633"/>
      <c r="F7773" s="650"/>
    </row>
    <row r="7774" spans="3:6">
      <c r="C7774" s="631"/>
      <c r="D7774" s="631"/>
      <c r="E7774" s="633"/>
      <c r="F7774" s="650"/>
    </row>
    <row r="7775" spans="3:6">
      <c r="C7775" s="631"/>
      <c r="D7775" s="631"/>
      <c r="E7775" s="633"/>
      <c r="F7775" s="650"/>
    </row>
    <row r="7776" spans="3:6">
      <c r="C7776" s="631"/>
      <c r="D7776" s="631"/>
      <c r="E7776" s="633"/>
      <c r="F7776" s="650"/>
    </row>
    <row r="7777" spans="3:6">
      <c r="C7777" s="631"/>
      <c r="D7777" s="631"/>
      <c r="E7777" s="633"/>
      <c r="F7777" s="650"/>
    </row>
    <row r="7778" spans="3:6">
      <c r="C7778" s="631"/>
      <c r="D7778" s="631"/>
      <c r="E7778" s="633"/>
      <c r="F7778" s="650"/>
    </row>
    <row r="7779" spans="3:6">
      <c r="C7779" s="631"/>
      <c r="D7779" s="631"/>
      <c r="E7779" s="633"/>
      <c r="F7779" s="650"/>
    </row>
    <row r="7780" spans="3:6">
      <c r="C7780" s="631"/>
      <c r="D7780" s="631"/>
      <c r="E7780" s="633"/>
      <c r="F7780" s="650"/>
    </row>
    <row r="7781" spans="3:6">
      <c r="C7781" s="631"/>
      <c r="D7781" s="631"/>
      <c r="E7781" s="633"/>
      <c r="F7781" s="650"/>
    </row>
    <row r="7782" spans="3:6">
      <c r="C7782" s="631"/>
      <c r="D7782" s="631"/>
      <c r="E7782" s="633"/>
      <c r="F7782" s="650"/>
    </row>
    <row r="7783" spans="3:6">
      <c r="C7783" s="631"/>
      <c r="D7783" s="631"/>
      <c r="E7783" s="633"/>
      <c r="F7783" s="650"/>
    </row>
    <row r="7784" spans="3:6">
      <c r="C7784" s="631"/>
      <c r="D7784" s="631"/>
      <c r="E7784" s="633"/>
      <c r="F7784" s="650"/>
    </row>
    <row r="7785" spans="3:6">
      <c r="C7785" s="631"/>
      <c r="D7785" s="631"/>
      <c r="E7785" s="633"/>
      <c r="F7785" s="650"/>
    </row>
    <row r="7786" spans="3:6">
      <c r="C7786" s="631"/>
      <c r="D7786" s="631"/>
      <c r="E7786" s="633"/>
      <c r="F7786" s="650"/>
    </row>
    <row r="7787" spans="3:6">
      <c r="C7787" s="631"/>
      <c r="D7787" s="631"/>
      <c r="E7787" s="633"/>
      <c r="F7787" s="650"/>
    </row>
    <row r="7788" spans="3:6">
      <c r="C7788" s="631"/>
      <c r="D7788" s="631"/>
      <c r="E7788" s="633"/>
      <c r="F7788" s="650"/>
    </row>
    <row r="7789" spans="3:6">
      <c r="C7789" s="631"/>
      <c r="D7789" s="631"/>
      <c r="E7789" s="633"/>
      <c r="F7789" s="650"/>
    </row>
    <row r="7790" spans="3:6">
      <c r="C7790" s="631"/>
      <c r="D7790" s="631"/>
      <c r="E7790" s="633"/>
      <c r="F7790" s="650"/>
    </row>
    <row r="7791" spans="3:6">
      <c r="C7791" s="631"/>
      <c r="D7791" s="631"/>
      <c r="E7791" s="633"/>
      <c r="F7791" s="650"/>
    </row>
    <row r="7792" spans="3:6">
      <c r="C7792" s="631"/>
      <c r="D7792" s="631"/>
      <c r="E7792" s="633"/>
      <c r="F7792" s="650"/>
    </row>
    <row r="7793" spans="3:6">
      <c r="C7793" s="631"/>
      <c r="D7793" s="631"/>
      <c r="E7793" s="633"/>
      <c r="F7793" s="650"/>
    </row>
    <row r="7794" spans="3:6">
      <c r="C7794" s="631"/>
      <c r="D7794" s="631"/>
      <c r="E7794" s="633"/>
      <c r="F7794" s="650"/>
    </row>
    <row r="7795" spans="3:6">
      <c r="C7795" s="631"/>
      <c r="D7795" s="631"/>
      <c r="E7795" s="633"/>
      <c r="F7795" s="650"/>
    </row>
    <row r="7796" spans="3:6">
      <c r="C7796" s="631"/>
      <c r="D7796" s="631"/>
      <c r="E7796" s="633"/>
      <c r="F7796" s="650"/>
    </row>
    <row r="7797" spans="3:6">
      <c r="C7797" s="631"/>
      <c r="D7797" s="631"/>
      <c r="E7797" s="633"/>
      <c r="F7797" s="650"/>
    </row>
    <row r="7798" spans="3:6">
      <c r="C7798" s="631"/>
      <c r="D7798" s="631"/>
      <c r="E7798" s="633"/>
      <c r="F7798" s="650"/>
    </row>
    <row r="7799" spans="3:6">
      <c r="C7799" s="631"/>
      <c r="D7799" s="631"/>
      <c r="E7799" s="633"/>
      <c r="F7799" s="650"/>
    </row>
    <row r="7800" spans="3:6">
      <c r="C7800" s="631"/>
      <c r="D7800" s="631"/>
      <c r="E7800" s="633"/>
      <c r="F7800" s="650"/>
    </row>
    <row r="7801" spans="3:6">
      <c r="C7801" s="631"/>
      <c r="D7801" s="631"/>
      <c r="E7801" s="633"/>
      <c r="F7801" s="650"/>
    </row>
    <row r="7802" spans="3:6">
      <c r="C7802" s="631"/>
      <c r="D7802" s="631"/>
      <c r="E7802" s="633"/>
      <c r="F7802" s="650"/>
    </row>
    <row r="7803" spans="3:6">
      <c r="C7803" s="631"/>
      <c r="D7803" s="631"/>
      <c r="E7803" s="633"/>
      <c r="F7803" s="650"/>
    </row>
    <row r="7804" spans="3:6">
      <c r="C7804" s="631"/>
      <c r="D7804" s="631"/>
      <c r="E7804" s="633"/>
      <c r="F7804" s="650"/>
    </row>
    <row r="7805" spans="3:6">
      <c r="C7805" s="631"/>
      <c r="D7805" s="631"/>
      <c r="E7805" s="633"/>
      <c r="F7805" s="650"/>
    </row>
    <row r="7806" spans="3:6">
      <c r="C7806" s="631"/>
      <c r="D7806" s="631"/>
      <c r="E7806" s="633"/>
      <c r="F7806" s="650"/>
    </row>
    <row r="7807" spans="3:6">
      <c r="C7807" s="631"/>
      <c r="D7807" s="631"/>
      <c r="E7807" s="633"/>
      <c r="F7807" s="650"/>
    </row>
    <row r="7808" spans="3:6">
      <c r="C7808" s="631"/>
      <c r="D7808" s="631"/>
      <c r="E7808" s="633"/>
      <c r="F7808" s="650"/>
    </row>
    <row r="7809" spans="3:6">
      <c r="C7809" s="631"/>
      <c r="D7809" s="631"/>
      <c r="E7809" s="633"/>
      <c r="F7809" s="650"/>
    </row>
    <row r="7810" spans="3:6">
      <c r="C7810" s="631"/>
      <c r="D7810" s="631"/>
      <c r="E7810" s="633"/>
      <c r="F7810" s="650"/>
    </row>
    <row r="7811" spans="3:6">
      <c r="C7811" s="631"/>
      <c r="D7811" s="631"/>
      <c r="E7811" s="633"/>
      <c r="F7811" s="650"/>
    </row>
    <row r="7812" spans="3:6">
      <c r="C7812" s="631"/>
      <c r="D7812" s="631"/>
      <c r="E7812" s="633"/>
      <c r="F7812" s="650"/>
    </row>
    <row r="7813" spans="3:6">
      <c r="C7813" s="631"/>
      <c r="D7813" s="631"/>
      <c r="E7813" s="633"/>
      <c r="F7813" s="650"/>
    </row>
    <row r="7814" spans="3:6">
      <c r="C7814" s="631"/>
      <c r="D7814" s="631"/>
      <c r="E7814" s="633"/>
      <c r="F7814" s="650"/>
    </row>
    <row r="7815" spans="3:6">
      <c r="C7815" s="631"/>
      <c r="D7815" s="631"/>
      <c r="E7815" s="633"/>
      <c r="F7815" s="650"/>
    </row>
    <row r="7816" spans="3:6">
      <c r="C7816" s="631"/>
      <c r="D7816" s="631"/>
      <c r="E7816" s="633"/>
      <c r="F7816" s="650"/>
    </row>
    <row r="7817" spans="3:6">
      <c r="C7817" s="631"/>
      <c r="D7817" s="631"/>
      <c r="E7817" s="633"/>
      <c r="F7817" s="650"/>
    </row>
    <row r="7818" spans="3:6">
      <c r="C7818" s="631"/>
      <c r="D7818" s="631"/>
      <c r="E7818" s="633"/>
      <c r="F7818" s="650"/>
    </row>
    <row r="7819" spans="3:6">
      <c r="C7819" s="631"/>
      <c r="D7819" s="631"/>
      <c r="E7819" s="633"/>
      <c r="F7819" s="650"/>
    </row>
    <row r="7820" spans="3:6">
      <c r="C7820" s="631"/>
      <c r="D7820" s="631"/>
      <c r="E7820" s="633"/>
      <c r="F7820" s="650"/>
    </row>
    <row r="7821" spans="3:6">
      <c r="C7821" s="631"/>
      <c r="D7821" s="631"/>
      <c r="E7821" s="633"/>
      <c r="F7821" s="650"/>
    </row>
    <row r="7822" spans="3:6">
      <c r="C7822" s="631"/>
      <c r="D7822" s="631"/>
      <c r="E7822" s="633"/>
      <c r="F7822" s="650"/>
    </row>
    <row r="7823" spans="3:6">
      <c r="C7823" s="631"/>
      <c r="D7823" s="631"/>
      <c r="E7823" s="633"/>
      <c r="F7823" s="650"/>
    </row>
    <row r="7824" spans="3:6">
      <c r="C7824" s="631"/>
      <c r="D7824" s="631"/>
      <c r="E7824" s="633"/>
      <c r="F7824" s="650"/>
    </row>
    <row r="7825" spans="3:6">
      <c r="C7825" s="631"/>
      <c r="D7825" s="631"/>
      <c r="E7825" s="633"/>
      <c r="F7825" s="650"/>
    </row>
    <row r="7826" spans="3:6">
      <c r="C7826" s="631"/>
      <c r="D7826" s="631"/>
      <c r="E7826" s="633"/>
      <c r="F7826" s="650"/>
    </row>
    <row r="7827" spans="3:6">
      <c r="C7827" s="631"/>
      <c r="D7827" s="631"/>
      <c r="E7827" s="633"/>
      <c r="F7827" s="650"/>
    </row>
    <row r="7828" spans="3:6">
      <c r="C7828" s="631"/>
      <c r="D7828" s="631"/>
      <c r="E7828" s="633"/>
      <c r="F7828" s="650"/>
    </row>
    <row r="7829" spans="3:6">
      <c r="C7829" s="631"/>
      <c r="D7829" s="631"/>
      <c r="E7829" s="633"/>
      <c r="F7829" s="650"/>
    </row>
    <row r="7830" spans="3:6">
      <c r="C7830" s="631"/>
      <c r="D7830" s="631"/>
      <c r="E7830" s="633"/>
      <c r="F7830" s="650"/>
    </row>
    <row r="7831" spans="3:6">
      <c r="C7831" s="631"/>
      <c r="D7831" s="631"/>
      <c r="E7831" s="633"/>
      <c r="F7831" s="650"/>
    </row>
    <row r="7832" spans="3:6">
      <c r="C7832" s="631"/>
      <c r="D7832" s="631"/>
      <c r="E7832" s="633"/>
      <c r="F7832" s="650"/>
    </row>
    <row r="7833" spans="3:6">
      <c r="C7833" s="631"/>
      <c r="D7833" s="631"/>
      <c r="E7833" s="633"/>
      <c r="F7833" s="650"/>
    </row>
    <row r="7834" spans="3:6">
      <c r="C7834" s="631"/>
      <c r="D7834" s="631"/>
      <c r="E7834" s="633"/>
      <c r="F7834" s="650"/>
    </row>
    <row r="7835" spans="3:6">
      <c r="C7835" s="631"/>
      <c r="D7835" s="631"/>
      <c r="E7835" s="633"/>
      <c r="F7835" s="650"/>
    </row>
    <row r="7836" spans="3:6">
      <c r="C7836" s="631"/>
      <c r="D7836" s="631"/>
      <c r="E7836" s="633"/>
      <c r="F7836" s="650"/>
    </row>
    <row r="7837" spans="3:6">
      <c r="C7837" s="631"/>
      <c r="D7837" s="631"/>
      <c r="E7837" s="633"/>
      <c r="F7837" s="650"/>
    </row>
    <row r="7838" spans="3:6">
      <c r="C7838" s="631"/>
      <c r="D7838" s="631"/>
      <c r="E7838" s="633"/>
      <c r="F7838" s="650"/>
    </row>
    <row r="7839" spans="3:6">
      <c r="C7839" s="631"/>
      <c r="D7839" s="631"/>
      <c r="E7839" s="633"/>
      <c r="F7839" s="650"/>
    </row>
    <row r="7840" spans="3:6">
      <c r="C7840" s="631"/>
      <c r="D7840" s="631"/>
      <c r="E7840" s="633"/>
      <c r="F7840" s="650"/>
    </row>
    <row r="7841" spans="3:6">
      <c r="C7841" s="631"/>
      <c r="D7841" s="631"/>
      <c r="E7841" s="633"/>
      <c r="F7841" s="650"/>
    </row>
    <row r="7842" spans="3:6">
      <c r="C7842" s="631"/>
      <c r="D7842" s="631"/>
      <c r="E7842" s="633"/>
      <c r="F7842" s="650"/>
    </row>
    <row r="7843" spans="3:6">
      <c r="C7843" s="631"/>
      <c r="D7843" s="631"/>
      <c r="E7843" s="633"/>
      <c r="F7843" s="650"/>
    </row>
    <row r="7844" spans="3:6">
      <c r="C7844" s="631"/>
      <c r="D7844" s="631"/>
      <c r="E7844" s="633"/>
      <c r="F7844" s="650"/>
    </row>
    <row r="7845" spans="3:6">
      <c r="C7845" s="631"/>
      <c r="D7845" s="631"/>
      <c r="E7845" s="633"/>
      <c r="F7845" s="650"/>
    </row>
    <row r="7846" spans="3:6">
      <c r="C7846" s="631"/>
      <c r="D7846" s="631"/>
      <c r="E7846" s="633"/>
      <c r="F7846" s="650"/>
    </row>
    <row r="7847" spans="3:6">
      <c r="C7847" s="631"/>
      <c r="D7847" s="631"/>
      <c r="E7847" s="633"/>
      <c r="F7847" s="650"/>
    </row>
    <row r="7848" spans="3:6">
      <c r="C7848" s="631"/>
      <c r="D7848" s="631"/>
      <c r="E7848" s="633"/>
      <c r="F7848" s="650"/>
    </row>
    <row r="7849" spans="3:6">
      <c r="C7849" s="631"/>
      <c r="D7849" s="631"/>
      <c r="E7849" s="633"/>
      <c r="F7849" s="650"/>
    </row>
    <row r="7850" spans="3:6">
      <c r="C7850" s="631"/>
      <c r="D7850" s="631"/>
      <c r="E7850" s="633"/>
      <c r="F7850" s="650"/>
    </row>
    <row r="7851" spans="3:6">
      <c r="C7851" s="631"/>
      <c r="D7851" s="631"/>
      <c r="E7851" s="633"/>
      <c r="F7851" s="650"/>
    </row>
    <row r="7852" spans="3:6">
      <c r="C7852" s="631"/>
      <c r="D7852" s="631"/>
      <c r="E7852" s="633"/>
      <c r="F7852" s="650"/>
    </row>
    <row r="7853" spans="3:6">
      <c r="C7853" s="631"/>
      <c r="D7853" s="631"/>
      <c r="E7853" s="633"/>
      <c r="F7853" s="650"/>
    </row>
    <row r="7854" spans="3:6">
      <c r="C7854" s="631"/>
      <c r="D7854" s="631"/>
      <c r="E7854" s="633"/>
      <c r="F7854" s="650"/>
    </row>
    <row r="7855" spans="3:6">
      <c r="C7855" s="631"/>
      <c r="D7855" s="631"/>
      <c r="E7855" s="633"/>
      <c r="F7855" s="650"/>
    </row>
    <row r="7856" spans="3:6">
      <c r="C7856" s="631"/>
      <c r="D7856" s="631"/>
      <c r="E7856" s="633"/>
      <c r="F7856" s="650"/>
    </row>
    <row r="7857" spans="3:6">
      <c r="C7857" s="631"/>
      <c r="D7857" s="631"/>
      <c r="E7857" s="633"/>
      <c r="F7857" s="650"/>
    </row>
    <row r="7858" spans="3:6">
      <c r="C7858" s="631"/>
      <c r="D7858" s="631"/>
      <c r="E7858" s="633"/>
      <c r="F7858" s="650"/>
    </row>
    <row r="7859" spans="3:6">
      <c r="C7859" s="631"/>
      <c r="D7859" s="631"/>
      <c r="E7859" s="633"/>
      <c r="F7859" s="650"/>
    </row>
    <row r="7860" spans="3:6">
      <c r="C7860" s="631"/>
      <c r="D7860" s="631"/>
      <c r="E7860" s="633"/>
      <c r="F7860" s="650"/>
    </row>
    <row r="7861" spans="3:6">
      <c r="C7861" s="631"/>
      <c r="D7861" s="631"/>
      <c r="E7861" s="633"/>
      <c r="F7861" s="650"/>
    </row>
    <row r="7862" spans="3:6">
      <c r="C7862" s="631"/>
      <c r="D7862" s="631"/>
      <c r="E7862" s="633"/>
      <c r="F7862" s="650"/>
    </row>
    <row r="7863" spans="3:6">
      <c r="C7863" s="631"/>
      <c r="D7863" s="631"/>
      <c r="E7863" s="633"/>
      <c r="F7863" s="650"/>
    </row>
    <row r="7864" spans="3:6">
      <c r="C7864" s="631"/>
      <c r="D7864" s="631"/>
      <c r="E7864" s="633"/>
      <c r="F7864" s="650"/>
    </row>
    <row r="7865" spans="3:6">
      <c r="C7865" s="631"/>
      <c r="D7865" s="631"/>
      <c r="E7865" s="633"/>
      <c r="F7865" s="650"/>
    </row>
    <row r="7866" spans="3:6">
      <c r="C7866" s="631"/>
      <c r="D7866" s="631"/>
      <c r="E7866" s="633"/>
      <c r="F7866" s="650"/>
    </row>
    <row r="7867" spans="3:6">
      <c r="C7867" s="631"/>
      <c r="D7867" s="631"/>
      <c r="E7867" s="633"/>
      <c r="F7867" s="650"/>
    </row>
    <row r="7868" spans="3:6">
      <c r="C7868" s="631"/>
      <c r="D7868" s="631"/>
      <c r="E7868" s="633"/>
      <c r="F7868" s="650"/>
    </row>
    <row r="7869" spans="3:6">
      <c r="C7869" s="631"/>
      <c r="D7869" s="631"/>
      <c r="E7869" s="633"/>
      <c r="F7869" s="650"/>
    </row>
    <row r="7870" spans="3:6">
      <c r="C7870" s="631"/>
      <c r="D7870" s="631"/>
      <c r="E7870" s="633"/>
      <c r="F7870" s="650"/>
    </row>
    <row r="7871" spans="3:6">
      <c r="C7871" s="631"/>
      <c r="D7871" s="631"/>
      <c r="E7871" s="633"/>
      <c r="F7871" s="650"/>
    </row>
    <row r="7872" spans="3:6">
      <c r="C7872" s="631"/>
      <c r="D7872" s="631"/>
      <c r="E7872" s="633"/>
      <c r="F7872" s="650"/>
    </row>
    <row r="7873" spans="3:6">
      <c r="C7873" s="631"/>
      <c r="D7873" s="631"/>
      <c r="E7873" s="633"/>
      <c r="F7873" s="650"/>
    </row>
    <row r="7874" spans="3:6">
      <c r="C7874" s="631"/>
      <c r="D7874" s="631"/>
      <c r="E7874" s="633"/>
      <c r="F7874" s="650"/>
    </row>
    <row r="7875" spans="3:6">
      <c r="C7875" s="631"/>
      <c r="D7875" s="631"/>
      <c r="E7875" s="633"/>
      <c r="F7875" s="650"/>
    </row>
    <row r="7876" spans="3:6">
      <c r="C7876" s="631"/>
      <c r="D7876" s="631"/>
      <c r="E7876" s="633"/>
      <c r="F7876" s="650"/>
    </row>
    <row r="7877" spans="3:6">
      <c r="C7877" s="631"/>
      <c r="D7877" s="631"/>
      <c r="E7877" s="633"/>
      <c r="F7877" s="650"/>
    </row>
    <row r="7878" spans="3:6">
      <c r="C7878" s="631"/>
      <c r="D7878" s="631"/>
      <c r="E7878" s="633"/>
      <c r="F7878" s="650"/>
    </row>
    <row r="7879" spans="3:6">
      <c r="C7879" s="631"/>
      <c r="D7879" s="631"/>
      <c r="E7879" s="633"/>
      <c r="F7879" s="650"/>
    </row>
    <row r="7880" spans="3:6">
      <c r="C7880" s="631"/>
      <c r="D7880" s="631"/>
      <c r="E7880" s="633"/>
      <c r="F7880" s="650"/>
    </row>
    <row r="7881" spans="3:6">
      <c r="C7881" s="631"/>
      <c r="D7881" s="631"/>
      <c r="E7881" s="633"/>
      <c r="F7881" s="650"/>
    </row>
    <row r="7882" spans="3:6">
      <c r="C7882" s="631"/>
      <c r="D7882" s="631"/>
      <c r="E7882" s="633"/>
      <c r="F7882" s="650"/>
    </row>
    <row r="7883" spans="3:6">
      <c r="C7883" s="631"/>
      <c r="D7883" s="631"/>
      <c r="E7883" s="633"/>
      <c r="F7883" s="650"/>
    </row>
    <row r="7884" spans="3:6">
      <c r="C7884" s="631"/>
      <c r="D7884" s="631"/>
      <c r="E7884" s="633"/>
      <c r="F7884" s="650"/>
    </row>
    <row r="7885" spans="3:6">
      <c r="C7885" s="631"/>
      <c r="D7885" s="631"/>
      <c r="E7885" s="633"/>
      <c r="F7885" s="650"/>
    </row>
    <row r="7886" spans="3:6">
      <c r="C7886" s="631"/>
      <c r="D7886" s="631"/>
      <c r="E7886" s="633"/>
      <c r="F7886" s="650"/>
    </row>
    <row r="7887" spans="3:6">
      <c r="C7887" s="631"/>
      <c r="D7887" s="631"/>
      <c r="E7887" s="633"/>
      <c r="F7887" s="650"/>
    </row>
    <row r="7888" spans="3:6">
      <c r="C7888" s="631"/>
      <c r="D7888" s="631"/>
      <c r="E7888" s="633"/>
      <c r="F7888" s="650"/>
    </row>
    <row r="7889" spans="3:6">
      <c r="C7889" s="631"/>
      <c r="D7889" s="631"/>
      <c r="E7889" s="633"/>
      <c r="F7889" s="650"/>
    </row>
    <row r="7890" spans="3:6">
      <c r="C7890" s="631"/>
      <c r="D7890" s="631"/>
      <c r="E7890" s="633"/>
      <c r="F7890" s="650"/>
    </row>
    <row r="7891" spans="3:6">
      <c r="C7891" s="631"/>
      <c r="D7891" s="631"/>
      <c r="E7891" s="633"/>
      <c r="F7891" s="650"/>
    </row>
    <row r="7892" spans="3:6">
      <c r="C7892" s="631"/>
      <c r="D7892" s="631"/>
      <c r="E7892" s="633"/>
      <c r="F7892" s="650"/>
    </row>
    <row r="7893" spans="3:6">
      <c r="C7893" s="631"/>
      <c r="D7893" s="631"/>
      <c r="E7893" s="633"/>
      <c r="F7893" s="650"/>
    </row>
    <row r="7894" spans="3:6">
      <c r="C7894" s="631"/>
      <c r="D7894" s="631"/>
      <c r="E7894" s="633"/>
      <c r="F7894" s="650"/>
    </row>
    <row r="7895" spans="3:6">
      <c r="C7895" s="631"/>
      <c r="D7895" s="631"/>
      <c r="E7895" s="633"/>
      <c r="F7895" s="650"/>
    </row>
    <row r="7896" spans="3:6">
      <c r="C7896" s="631"/>
      <c r="D7896" s="631"/>
      <c r="E7896" s="633"/>
      <c r="F7896" s="650"/>
    </row>
    <row r="7897" spans="3:6">
      <c r="C7897" s="631"/>
      <c r="D7897" s="631"/>
      <c r="E7897" s="633"/>
      <c r="F7897" s="650"/>
    </row>
    <row r="7898" spans="3:6">
      <c r="C7898" s="631"/>
      <c r="D7898" s="631"/>
      <c r="E7898" s="633"/>
      <c r="F7898" s="650"/>
    </row>
    <row r="7899" spans="3:6">
      <c r="C7899" s="631"/>
      <c r="D7899" s="631"/>
      <c r="E7899" s="633"/>
      <c r="F7899" s="650"/>
    </row>
    <row r="7900" spans="3:6">
      <c r="C7900" s="631"/>
      <c r="D7900" s="631"/>
      <c r="E7900" s="633"/>
      <c r="F7900" s="650"/>
    </row>
    <row r="7901" spans="3:6">
      <c r="C7901" s="631"/>
      <c r="D7901" s="631"/>
      <c r="E7901" s="633"/>
      <c r="F7901" s="650"/>
    </row>
    <row r="7902" spans="3:6">
      <c r="C7902" s="631"/>
      <c r="D7902" s="631"/>
      <c r="E7902" s="633"/>
      <c r="F7902" s="650"/>
    </row>
    <row r="7903" spans="3:6">
      <c r="C7903" s="631"/>
      <c r="D7903" s="631"/>
      <c r="E7903" s="633"/>
      <c r="F7903" s="650"/>
    </row>
    <row r="7904" spans="3:6">
      <c r="C7904" s="631"/>
      <c r="D7904" s="631"/>
      <c r="E7904" s="633"/>
      <c r="F7904" s="650"/>
    </row>
    <row r="7905" spans="3:6">
      <c r="C7905" s="631"/>
      <c r="D7905" s="631"/>
      <c r="E7905" s="633"/>
      <c r="F7905" s="650"/>
    </row>
    <row r="7906" spans="3:6">
      <c r="C7906" s="631"/>
      <c r="D7906" s="631"/>
      <c r="E7906" s="633"/>
      <c r="F7906" s="650"/>
    </row>
    <row r="7907" spans="3:6">
      <c r="C7907" s="631"/>
      <c r="D7907" s="631"/>
      <c r="E7907" s="633"/>
      <c r="F7907" s="650"/>
    </row>
    <row r="7908" spans="3:6">
      <c r="C7908" s="631"/>
      <c r="D7908" s="631"/>
      <c r="E7908" s="633"/>
      <c r="F7908" s="650"/>
    </row>
    <row r="7909" spans="3:6">
      <c r="C7909" s="631"/>
      <c r="D7909" s="631"/>
      <c r="E7909" s="633"/>
      <c r="F7909" s="650"/>
    </row>
    <row r="7910" spans="3:6">
      <c r="C7910" s="631"/>
      <c r="D7910" s="631"/>
      <c r="E7910" s="633"/>
      <c r="F7910" s="650"/>
    </row>
    <row r="7911" spans="3:6">
      <c r="C7911" s="631"/>
      <c r="D7911" s="631"/>
      <c r="E7911" s="633"/>
      <c r="F7911" s="650"/>
    </row>
    <row r="7912" spans="3:6">
      <c r="C7912" s="631"/>
      <c r="D7912" s="631"/>
      <c r="E7912" s="633"/>
      <c r="F7912" s="650"/>
    </row>
    <row r="7913" spans="3:6">
      <c r="C7913" s="631"/>
      <c r="D7913" s="631"/>
      <c r="E7913" s="633"/>
      <c r="F7913" s="650"/>
    </row>
    <row r="7914" spans="3:6">
      <c r="C7914" s="631"/>
      <c r="D7914" s="631"/>
      <c r="E7914" s="633"/>
      <c r="F7914" s="650"/>
    </row>
    <row r="7915" spans="3:6">
      <c r="C7915" s="631"/>
      <c r="D7915" s="631"/>
      <c r="E7915" s="633"/>
      <c r="F7915" s="650"/>
    </row>
    <row r="7916" spans="3:6">
      <c r="C7916" s="631"/>
      <c r="D7916" s="631"/>
      <c r="E7916" s="633"/>
      <c r="F7916" s="650"/>
    </row>
    <row r="7917" spans="3:6">
      <c r="C7917" s="631"/>
      <c r="D7917" s="631"/>
      <c r="E7917" s="633"/>
      <c r="F7917" s="650"/>
    </row>
    <row r="7918" spans="3:6">
      <c r="C7918" s="631"/>
      <c r="D7918" s="631"/>
      <c r="E7918" s="633"/>
      <c r="F7918" s="650"/>
    </row>
    <row r="7919" spans="3:6">
      <c r="C7919" s="631"/>
      <c r="D7919" s="631"/>
      <c r="E7919" s="633"/>
      <c r="F7919" s="650"/>
    </row>
    <row r="7920" spans="3:6">
      <c r="C7920" s="631"/>
      <c r="D7920" s="631"/>
      <c r="E7920" s="633"/>
      <c r="F7920" s="650"/>
    </row>
    <row r="7921" spans="3:6">
      <c r="C7921" s="631"/>
      <c r="D7921" s="631"/>
      <c r="E7921" s="633"/>
      <c r="F7921" s="650"/>
    </row>
    <row r="7922" spans="3:6">
      <c r="C7922" s="631"/>
      <c r="D7922" s="631"/>
      <c r="E7922" s="633"/>
      <c r="F7922" s="650"/>
    </row>
    <row r="7923" spans="3:6">
      <c r="C7923" s="631"/>
      <c r="D7923" s="631"/>
      <c r="E7923" s="633"/>
      <c r="F7923" s="650"/>
    </row>
    <row r="7924" spans="3:6">
      <c r="C7924" s="631"/>
      <c r="D7924" s="631"/>
      <c r="E7924" s="633"/>
      <c r="F7924" s="650"/>
    </row>
    <row r="7925" spans="3:6">
      <c r="C7925" s="631"/>
      <c r="D7925" s="631"/>
      <c r="E7925" s="633"/>
      <c r="F7925" s="650"/>
    </row>
    <row r="7926" spans="3:6">
      <c r="C7926" s="631"/>
      <c r="D7926" s="631"/>
      <c r="E7926" s="633"/>
      <c r="F7926" s="650"/>
    </row>
    <row r="7927" spans="3:6">
      <c r="C7927" s="631"/>
      <c r="D7927" s="631"/>
      <c r="E7927" s="633"/>
      <c r="F7927" s="650"/>
    </row>
    <row r="7928" spans="3:6">
      <c r="C7928" s="631"/>
      <c r="D7928" s="631"/>
      <c r="E7928" s="633"/>
      <c r="F7928" s="650"/>
    </row>
    <row r="7929" spans="3:6">
      <c r="C7929" s="631"/>
      <c r="D7929" s="631"/>
      <c r="E7929" s="633"/>
      <c r="F7929" s="650"/>
    </row>
    <row r="7930" spans="3:6">
      <c r="C7930" s="631"/>
      <c r="D7930" s="631"/>
      <c r="E7930" s="633"/>
      <c r="F7930" s="650"/>
    </row>
    <row r="7931" spans="3:6">
      <c r="C7931" s="631"/>
      <c r="D7931" s="631"/>
      <c r="E7931" s="633"/>
      <c r="F7931" s="650"/>
    </row>
    <row r="7932" spans="3:6">
      <c r="C7932" s="631"/>
      <c r="D7932" s="631"/>
      <c r="E7932" s="633"/>
      <c r="F7932" s="650"/>
    </row>
    <row r="7933" spans="3:6">
      <c r="C7933" s="631"/>
      <c r="D7933" s="631"/>
      <c r="E7933" s="633"/>
      <c r="F7933" s="650"/>
    </row>
    <row r="7934" spans="3:6">
      <c r="C7934" s="631"/>
      <c r="D7934" s="631"/>
      <c r="E7934" s="633"/>
      <c r="F7934" s="650"/>
    </row>
    <row r="7935" spans="3:6">
      <c r="C7935" s="631"/>
      <c r="D7935" s="631"/>
      <c r="E7935" s="633"/>
      <c r="F7935" s="650"/>
    </row>
    <row r="7936" spans="3:6">
      <c r="C7936" s="631"/>
      <c r="D7936" s="631"/>
      <c r="E7936" s="633"/>
      <c r="F7936" s="650"/>
    </row>
    <row r="7937" spans="3:6">
      <c r="C7937" s="631"/>
      <c r="D7937" s="631"/>
      <c r="E7937" s="633"/>
      <c r="F7937" s="650"/>
    </row>
    <row r="7938" spans="3:6">
      <c r="C7938" s="631"/>
      <c r="D7938" s="631"/>
      <c r="E7938" s="633"/>
      <c r="F7938" s="650"/>
    </row>
    <row r="7939" spans="3:6">
      <c r="C7939" s="631"/>
      <c r="D7939" s="631"/>
      <c r="E7939" s="633"/>
      <c r="F7939" s="650"/>
    </row>
    <row r="7940" spans="3:6">
      <c r="C7940" s="631"/>
      <c r="D7940" s="631"/>
      <c r="E7940" s="633"/>
      <c r="F7940" s="650"/>
    </row>
    <row r="7941" spans="3:6">
      <c r="C7941" s="631"/>
      <c r="D7941" s="631"/>
      <c r="E7941" s="633"/>
      <c r="F7941" s="650"/>
    </row>
    <row r="7942" spans="3:6">
      <c r="C7942" s="631"/>
      <c r="D7942" s="631"/>
      <c r="E7942" s="633"/>
      <c r="F7942" s="650"/>
    </row>
    <row r="7943" spans="3:6">
      <c r="C7943" s="631"/>
      <c r="D7943" s="631"/>
      <c r="E7943" s="633"/>
      <c r="F7943" s="650"/>
    </row>
    <row r="7944" spans="3:6">
      <c r="C7944" s="631"/>
      <c r="D7944" s="631"/>
      <c r="E7944" s="633"/>
      <c r="F7944" s="650"/>
    </row>
    <row r="7945" spans="3:6">
      <c r="C7945" s="631"/>
      <c r="D7945" s="631"/>
      <c r="E7945" s="633"/>
      <c r="F7945" s="650"/>
    </row>
    <row r="7946" spans="3:6">
      <c r="C7946" s="631"/>
      <c r="D7946" s="631"/>
      <c r="E7946" s="633"/>
      <c r="F7946" s="650"/>
    </row>
    <row r="7947" spans="3:6">
      <c r="C7947" s="631"/>
      <c r="D7947" s="631"/>
      <c r="E7947" s="633"/>
      <c r="F7947" s="650"/>
    </row>
    <row r="7948" spans="3:6">
      <c r="C7948" s="631"/>
      <c r="D7948" s="631"/>
      <c r="E7948" s="633"/>
      <c r="F7948" s="650"/>
    </row>
    <row r="7949" spans="3:6">
      <c r="C7949" s="631"/>
      <c r="D7949" s="631"/>
      <c r="E7949" s="633"/>
      <c r="F7949" s="650"/>
    </row>
    <row r="7950" spans="3:6">
      <c r="C7950" s="631"/>
      <c r="D7950" s="631"/>
      <c r="E7950" s="633"/>
      <c r="F7950" s="650"/>
    </row>
    <row r="7951" spans="3:6">
      <c r="C7951" s="631"/>
      <c r="D7951" s="631"/>
      <c r="E7951" s="633"/>
      <c r="F7951" s="650"/>
    </row>
    <row r="7952" spans="3:6">
      <c r="C7952" s="631"/>
      <c r="D7952" s="631"/>
      <c r="E7952" s="633"/>
      <c r="F7952" s="650"/>
    </row>
    <row r="7953" spans="3:6">
      <c r="C7953" s="631"/>
      <c r="D7953" s="631"/>
      <c r="E7953" s="633"/>
      <c r="F7953" s="650"/>
    </row>
    <row r="7954" spans="3:6">
      <c r="C7954" s="631"/>
      <c r="D7954" s="631"/>
      <c r="E7954" s="633"/>
      <c r="F7954" s="650"/>
    </row>
    <row r="7955" spans="3:6">
      <c r="C7955" s="631"/>
      <c r="D7955" s="631"/>
      <c r="E7955" s="633"/>
      <c r="F7955" s="650"/>
    </row>
    <row r="7956" spans="3:6">
      <c r="C7956" s="631"/>
      <c r="D7956" s="631"/>
      <c r="E7956" s="633"/>
      <c r="F7956" s="650"/>
    </row>
    <row r="7957" spans="3:6">
      <c r="C7957" s="631"/>
      <c r="D7957" s="631"/>
      <c r="E7957" s="633"/>
      <c r="F7957" s="650"/>
    </row>
    <row r="7958" spans="3:6">
      <c r="C7958" s="631"/>
      <c r="D7958" s="631"/>
      <c r="E7958" s="633"/>
      <c r="F7958" s="650"/>
    </row>
    <row r="7959" spans="3:6">
      <c r="C7959" s="631"/>
      <c r="D7959" s="631"/>
      <c r="E7959" s="633"/>
      <c r="F7959" s="650"/>
    </row>
    <row r="7960" spans="3:6">
      <c r="C7960" s="631"/>
      <c r="D7960" s="631"/>
      <c r="E7960" s="633"/>
      <c r="F7960" s="650"/>
    </row>
    <row r="7961" spans="3:6">
      <c r="C7961" s="631"/>
      <c r="D7961" s="631"/>
      <c r="E7961" s="633"/>
      <c r="F7961" s="650"/>
    </row>
    <row r="7962" spans="3:6">
      <c r="C7962" s="631"/>
      <c r="D7962" s="631"/>
      <c r="E7962" s="633"/>
      <c r="F7962" s="650"/>
    </row>
    <row r="7963" spans="3:6">
      <c r="C7963" s="631"/>
      <c r="D7963" s="631"/>
      <c r="E7963" s="633"/>
      <c r="F7963" s="650"/>
    </row>
    <row r="7964" spans="3:6">
      <c r="C7964" s="631"/>
      <c r="D7964" s="631"/>
      <c r="E7964" s="633"/>
      <c r="F7964" s="650"/>
    </row>
    <row r="7965" spans="3:6">
      <c r="C7965" s="631"/>
      <c r="D7965" s="631"/>
      <c r="E7965" s="633"/>
      <c r="F7965" s="650"/>
    </row>
    <row r="7966" spans="3:6">
      <c r="C7966" s="631"/>
      <c r="D7966" s="631"/>
      <c r="E7966" s="633"/>
      <c r="F7966" s="650"/>
    </row>
    <row r="7967" spans="3:6">
      <c r="C7967" s="631"/>
      <c r="D7967" s="631"/>
      <c r="E7967" s="633"/>
      <c r="F7967" s="650"/>
    </row>
    <row r="7968" spans="3:6">
      <c r="C7968" s="631"/>
      <c r="D7968" s="631"/>
      <c r="E7968" s="633"/>
      <c r="F7968" s="650"/>
    </row>
    <row r="7969" spans="3:6">
      <c r="C7969" s="631"/>
      <c r="D7969" s="631"/>
      <c r="E7969" s="633"/>
      <c r="F7969" s="650"/>
    </row>
    <row r="7970" spans="3:6">
      <c r="C7970" s="631"/>
      <c r="D7970" s="631"/>
      <c r="E7970" s="633"/>
      <c r="F7970" s="650"/>
    </row>
    <row r="7971" spans="3:6">
      <c r="C7971" s="631"/>
      <c r="D7971" s="631"/>
      <c r="E7971" s="633"/>
      <c r="F7971" s="650"/>
    </row>
    <row r="7972" spans="3:6">
      <c r="C7972" s="631"/>
      <c r="D7972" s="631"/>
      <c r="E7972" s="633"/>
      <c r="F7972" s="650"/>
    </row>
    <row r="7973" spans="3:6">
      <c r="C7973" s="631"/>
      <c r="D7973" s="631"/>
      <c r="E7973" s="633"/>
      <c r="F7973" s="650"/>
    </row>
    <row r="7974" spans="3:6">
      <c r="C7974" s="631"/>
      <c r="D7974" s="631"/>
      <c r="E7974" s="633"/>
      <c r="F7974" s="650"/>
    </row>
    <row r="7975" spans="3:6">
      <c r="C7975" s="631"/>
      <c r="D7975" s="631"/>
      <c r="E7975" s="633"/>
      <c r="F7975" s="650"/>
    </row>
    <row r="7976" spans="3:6">
      <c r="C7976" s="631"/>
      <c r="D7976" s="631"/>
      <c r="E7976" s="633"/>
      <c r="F7976" s="650"/>
    </row>
    <row r="7977" spans="3:6">
      <c r="C7977" s="631"/>
      <c r="D7977" s="631"/>
      <c r="E7977" s="633"/>
      <c r="F7977" s="650"/>
    </row>
    <row r="7978" spans="3:6">
      <c r="C7978" s="631"/>
      <c r="D7978" s="631"/>
      <c r="E7978" s="633"/>
      <c r="F7978" s="650"/>
    </row>
    <row r="7979" spans="3:6">
      <c r="C7979" s="631"/>
      <c r="D7979" s="631"/>
      <c r="E7979" s="633"/>
      <c r="F7979" s="650"/>
    </row>
    <row r="7980" spans="3:6">
      <c r="C7980" s="631"/>
      <c r="D7980" s="631"/>
      <c r="E7980" s="633"/>
      <c r="F7980" s="650"/>
    </row>
    <row r="7981" spans="3:6">
      <c r="C7981" s="631"/>
      <c r="D7981" s="631"/>
      <c r="E7981" s="633"/>
      <c r="F7981" s="650"/>
    </row>
    <row r="7982" spans="3:6">
      <c r="C7982" s="631"/>
      <c r="D7982" s="631"/>
      <c r="E7982" s="633"/>
      <c r="F7982" s="650"/>
    </row>
    <row r="7983" spans="3:6">
      <c r="C7983" s="631"/>
      <c r="D7983" s="631"/>
      <c r="E7983" s="633"/>
      <c r="F7983" s="650"/>
    </row>
    <row r="7984" spans="3:6">
      <c r="C7984" s="631"/>
      <c r="D7984" s="631"/>
      <c r="E7984" s="633"/>
      <c r="F7984" s="650"/>
    </row>
    <row r="7985" spans="3:6">
      <c r="C7985" s="631"/>
      <c r="D7985" s="631"/>
      <c r="E7985" s="633"/>
      <c r="F7985" s="650"/>
    </row>
    <row r="7986" spans="3:6">
      <c r="C7986" s="631"/>
      <c r="D7986" s="631"/>
      <c r="E7986" s="633"/>
      <c r="F7986" s="650"/>
    </row>
    <row r="7987" spans="3:6">
      <c r="C7987" s="631"/>
      <c r="D7987" s="631"/>
      <c r="E7987" s="633"/>
      <c r="F7987" s="650"/>
    </row>
    <row r="7988" spans="3:6">
      <c r="C7988" s="631"/>
      <c r="D7988" s="631"/>
      <c r="E7988" s="633"/>
      <c r="F7988" s="650"/>
    </row>
    <row r="7989" spans="3:6">
      <c r="C7989" s="631"/>
      <c r="D7989" s="631"/>
      <c r="E7989" s="633"/>
      <c r="F7989" s="650"/>
    </row>
    <row r="7990" spans="3:6">
      <c r="C7990" s="631"/>
      <c r="D7990" s="631"/>
      <c r="E7990" s="633"/>
      <c r="F7990" s="650"/>
    </row>
    <row r="7991" spans="3:6">
      <c r="C7991" s="631"/>
      <c r="D7991" s="631"/>
      <c r="E7991" s="633"/>
      <c r="F7991" s="650"/>
    </row>
    <row r="7992" spans="3:6">
      <c r="C7992" s="631"/>
      <c r="D7992" s="631"/>
      <c r="E7992" s="633"/>
      <c r="F7992" s="650"/>
    </row>
    <row r="7993" spans="3:6">
      <c r="C7993" s="631"/>
      <c r="D7993" s="631"/>
      <c r="E7993" s="633"/>
      <c r="F7993" s="650"/>
    </row>
    <row r="7994" spans="3:6">
      <c r="C7994" s="631"/>
      <c r="D7994" s="631"/>
      <c r="E7994" s="633"/>
      <c r="F7994" s="650"/>
    </row>
    <row r="7995" spans="3:6">
      <c r="C7995" s="631"/>
      <c r="D7995" s="631"/>
      <c r="E7995" s="633"/>
      <c r="F7995" s="650"/>
    </row>
    <row r="7996" spans="3:6">
      <c r="C7996" s="631"/>
      <c r="D7996" s="631"/>
      <c r="E7996" s="633"/>
      <c r="F7996" s="650"/>
    </row>
    <row r="7997" spans="3:6">
      <c r="C7997" s="631"/>
      <c r="D7997" s="631"/>
      <c r="E7997" s="633"/>
      <c r="F7997" s="650"/>
    </row>
    <row r="7998" spans="3:6">
      <c r="C7998" s="631"/>
      <c r="D7998" s="631"/>
      <c r="E7998" s="633"/>
      <c r="F7998" s="650"/>
    </row>
    <row r="7999" spans="3:6">
      <c r="C7999" s="631"/>
      <c r="D7999" s="631"/>
      <c r="E7999" s="633"/>
      <c r="F7999" s="650"/>
    </row>
    <row r="8000" spans="3:6">
      <c r="C8000" s="631"/>
      <c r="D8000" s="631"/>
      <c r="E8000" s="633"/>
      <c r="F8000" s="650"/>
    </row>
    <row r="8001" spans="3:6">
      <c r="C8001" s="631"/>
      <c r="D8001" s="631"/>
      <c r="E8001" s="633"/>
      <c r="F8001" s="650"/>
    </row>
    <row r="8002" spans="3:6">
      <c r="C8002" s="631"/>
      <c r="D8002" s="631"/>
      <c r="E8002" s="633"/>
      <c r="F8002" s="650"/>
    </row>
    <row r="8003" spans="3:6">
      <c r="C8003" s="631"/>
      <c r="D8003" s="631"/>
      <c r="E8003" s="633"/>
      <c r="F8003" s="650"/>
    </row>
    <row r="8004" spans="3:6">
      <c r="C8004" s="631"/>
      <c r="D8004" s="631"/>
      <c r="E8004" s="633"/>
      <c r="F8004" s="650"/>
    </row>
    <row r="8005" spans="3:6">
      <c r="C8005" s="631"/>
      <c r="D8005" s="631"/>
      <c r="E8005" s="633"/>
      <c r="F8005" s="650"/>
    </row>
    <row r="8006" spans="3:6">
      <c r="C8006" s="631"/>
      <c r="D8006" s="631"/>
      <c r="E8006" s="633"/>
      <c r="F8006" s="650"/>
    </row>
    <row r="8007" spans="3:6">
      <c r="C8007" s="631"/>
      <c r="D8007" s="631"/>
      <c r="E8007" s="633"/>
      <c r="F8007" s="650"/>
    </row>
    <row r="8008" spans="3:6">
      <c r="C8008" s="631"/>
      <c r="D8008" s="631"/>
      <c r="E8008" s="633"/>
      <c r="F8008" s="650"/>
    </row>
    <row r="8009" spans="3:6">
      <c r="C8009" s="631"/>
      <c r="D8009" s="631"/>
      <c r="E8009" s="633"/>
      <c r="F8009" s="650"/>
    </row>
    <row r="8010" spans="3:6">
      <c r="C8010" s="631"/>
      <c r="D8010" s="631"/>
      <c r="E8010" s="633"/>
      <c r="F8010" s="650"/>
    </row>
    <row r="8011" spans="3:6">
      <c r="C8011" s="631"/>
      <c r="D8011" s="631"/>
      <c r="E8011" s="633"/>
      <c r="F8011" s="650"/>
    </row>
    <row r="8012" spans="3:6">
      <c r="C8012" s="631"/>
      <c r="D8012" s="631"/>
      <c r="E8012" s="633"/>
      <c r="F8012" s="650"/>
    </row>
    <row r="8013" spans="3:6">
      <c r="C8013" s="631"/>
      <c r="D8013" s="631"/>
      <c r="E8013" s="633"/>
      <c r="F8013" s="650"/>
    </row>
    <row r="8014" spans="3:6">
      <c r="C8014" s="631"/>
      <c r="D8014" s="631"/>
      <c r="E8014" s="633"/>
      <c r="F8014" s="650"/>
    </row>
    <row r="8015" spans="3:6">
      <c r="C8015" s="631"/>
      <c r="D8015" s="631"/>
      <c r="E8015" s="633"/>
      <c r="F8015" s="650"/>
    </row>
    <row r="8016" spans="3:6">
      <c r="C8016" s="631"/>
      <c r="D8016" s="631"/>
      <c r="E8016" s="633"/>
      <c r="F8016" s="650"/>
    </row>
    <row r="8017" spans="3:6">
      <c r="C8017" s="631"/>
      <c r="D8017" s="631"/>
      <c r="E8017" s="633"/>
      <c r="F8017" s="650"/>
    </row>
    <row r="8018" spans="3:6">
      <c r="C8018" s="631"/>
      <c r="D8018" s="631"/>
      <c r="E8018" s="633"/>
      <c r="F8018" s="650"/>
    </row>
    <row r="8019" spans="3:6">
      <c r="C8019" s="631"/>
      <c r="D8019" s="631"/>
      <c r="E8019" s="633"/>
      <c r="F8019" s="650"/>
    </row>
    <row r="8020" spans="3:6">
      <c r="C8020" s="631"/>
      <c r="D8020" s="631"/>
      <c r="E8020" s="633"/>
      <c r="F8020" s="650"/>
    </row>
    <row r="8021" spans="3:6">
      <c r="C8021" s="631"/>
      <c r="D8021" s="631"/>
      <c r="E8021" s="633"/>
      <c r="F8021" s="650"/>
    </row>
    <row r="8022" spans="3:6">
      <c r="C8022" s="631"/>
      <c r="D8022" s="631"/>
      <c r="E8022" s="633"/>
      <c r="F8022" s="650"/>
    </row>
    <row r="8023" spans="3:6">
      <c r="C8023" s="631"/>
      <c r="D8023" s="631"/>
      <c r="E8023" s="633"/>
      <c r="F8023" s="650"/>
    </row>
    <row r="8024" spans="3:6">
      <c r="C8024" s="631"/>
      <c r="D8024" s="631"/>
      <c r="E8024" s="633"/>
      <c r="F8024" s="650"/>
    </row>
    <row r="8025" spans="3:6">
      <c r="C8025" s="631"/>
      <c r="D8025" s="631"/>
      <c r="E8025" s="633"/>
      <c r="F8025" s="650"/>
    </row>
    <row r="8026" spans="3:6">
      <c r="C8026" s="631"/>
      <c r="D8026" s="631"/>
      <c r="E8026" s="633"/>
      <c r="F8026" s="650"/>
    </row>
    <row r="8027" spans="3:6">
      <c r="C8027" s="631"/>
      <c r="D8027" s="631"/>
      <c r="E8027" s="633"/>
      <c r="F8027" s="650"/>
    </row>
    <row r="8028" spans="3:6">
      <c r="C8028" s="631"/>
      <c r="D8028" s="631"/>
      <c r="E8028" s="633"/>
      <c r="F8028" s="650"/>
    </row>
    <row r="8029" spans="3:6">
      <c r="C8029" s="631"/>
      <c r="D8029" s="631"/>
      <c r="E8029" s="633"/>
      <c r="F8029" s="650"/>
    </row>
    <row r="8030" spans="3:6">
      <c r="C8030" s="631"/>
      <c r="D8030" s="631"/>
      <c r="E8030" s="633"/>
      <c r="F8030" s="650"/>
    </row>
    <row r="8031" spans="3:6">
      <c r="C8031" s="631"/>
      <c r="D8031" s="631"/>
      <c r="E8031" s="633"/>
      <c r="F8031" s="650"/>
    </row>
    <row r="8032" spans="3:6">
      <c r="C8032" s="631"/>
      <c r="D8032" s="631"/>
      <c r="E8032" s="633"/>
      <c r="F8032" s="650"/>
    </row>
    <row r="8033" spans="3:6">
      <c r="C8033" s="631"/>
      <c r="D8033" s="631"/>
      <c r="E8033" s="633"/>
      <c r="F8033" s="650"/>
    </row>
    <row r="8034" spans="3:6">
      <c r="C8034" s="631"/>
      <c r="D8034" s="631"/>
      <c r="E8034" s="633"/>
      <c r="F8034" s="650"/>
    </row>
    <row r="8035" spans="3:6">
      <c r="C8035" s="631"/>
      <c r="D8035" s="631"/>
      <c r="E8035" s="633"/>
      <c r="F8035" s="650"/>
    </row>
    <row r="8036" spans="3:6">
      <c r="C8036" s="631"/>
      <c r="D8036" s="631"/>
      <c r="E8036" s="633"/>
      <c r="F8036" s="650"/>
    </row>
    <row r="8037" spans="3:6">
      <c r="C8037" s="631"/>
      <c r="D8037" s="631"/>
      <c r="E8037" s="633"/>
      <c r="F8037" s="650"/>
    </row>
    <row r="8038" spans="3:6">
      <c r="C8038" s="631"/>
      <c r="D8038" s="631"/>
      <c r="E8038" s="633"/>
      <c r="F8038" s="650"/>
    </row>
    <row r="8039" spans="3:6">
      <c r="C8039" s="631"/>
      <c r="D8039" s="631"/>
      <c r="E8039" s="633"/>
      <c r="F8039" s="650"/>
    </row>
    <row r="8040" spans="3:6">
      <c r="C8040" s="631"/>
      <c r="D8040" s="631"/>
      <c r="E8040" s="633"/>
      <c r="F8040" s="650"/>
    </row>
    <row r="8041" spans="3:6">
      <c r="C8041" s="631"/>
      <c r="D8041" s="631"/>
      <c r="E8041" s="633"/>
      <c r="F8041" s="650"/>
    </row>
    <row r="8042" spans="3:6">
      <c r="C8042" s="631"/>
      <c r="D8042" s="631"/>
      <c r="E8042" s="633"/>
      <c r="F8042" s="650"/>
    </row>
    <row r="8043" spans="3:6">
      <c r="C8043" s="631"/>
      <c r="D8043" s="631"/>
      <c r="E8043" s="633"/>
      <c r="F8043" s="650"/>
    </row>
    <row r="8044" spans="3:6">
      <c r="C8044" s="631"/>
      <c r="D8044" s="631"/>
      <c r="E8044" s="633"/>
      <c r="F8044" s="650"/>
    </row>
    <row r="8045" spans="3:6">
      <c r="C8045" s="631"/>
      <c r="D8045" s="631"/>
      <c r="E8045" s="633"/>
      <c r="F8045" s="650"/>
    </row>
    <row r="8046" spans="3:6">
      <c r="C8046" s="631"/>
      <c r="D8046" s="631"/>
      <c r="E8046" s="633"/>
      <c r="F8046" s="650"/>
    </row>
    <row r="8047" spans="3:6">
      <c r="C8047" s="631"/>
      <c r="D8047" s="631"/>
      <c r="E8047" s="633"/>
      <c r="F8047" s="650"/>
    </row>
    <row r="8048" spans="3:6">
      <c r="C8048" s="631"/>
      <c r="D8048" s="631"/>
      <c r="E8048" s="633"/>
      <c r="F8048" s="650"/>
    </row>
    <row r="8049" spans="3:6">
      <c r="C8049" s="631"/>
      <c r="D8049" s="631"/>
      <c r="E8049" s="633"/>
      <c r="F8049" s="650"/>
    </row>
    <row r="8050" spans="3:6">
      <c r="C8050" s="631"/>
      <c r="D8050" s="631"/>
      <c r="E8050" s="633"/>
      <c r="F8050" s="650"/>
    </row>
    <row r="8051" spans="3:6">
      <c r="C8051" s="631"/>
      <c r="D8051" s="631"/>
      <c r="E8051" s="633"/>
      <c r="F8051" s="650"/>
    </row>
    <row r="8052" spans="3:6">
      <c r="C8052" s="631"/>
      <c r="D8052" s="631"/>
      <c r="E8052" s="633"/>
      <c r="F8052" s="650"/>
    </row>
    <row r="8053" spans="3:6">
      <c r="C8053" s="631"/>
      <c r="D8053" s="631"/>
      <c r="E8053" s="633"/>
      <c r="F8053" s="650"/>
    </row>
    <row r="8054" spans="3:6">
      <c r="C8054" s="631"/>
      <c r="D8054" s="631"/>
      <c r="E8054" s="633"/>
      <c r="F8054" s="650"/>
    </row>
    <row r="8055" spans="3:6">
      <c r="C8055" s="631"/>
      <c r="D8055" s="631"/>
      <c r="E8055" s="633"/>
      <c r="F8055" s="650"/>
    </row>
    <row r="8056" spans="3:6">
      <c r="C8056" s="631"/>
      <c r="D8056" s="631"/>
      <c r="E8056" s="633"/>
      <c r="F8056" s="650"/>
    </row>
    <row r="8057" spans="3:6">
      <c r="C8057" s="631"/>
      <c r="D8057" s="631"/>
      <c r="E8057" s="633"/>
      <c r="F8057" s="650"/>
    </row>
    <row r="8058" spans="3:6">
      <c r="C8058" s="631"/>
      <c r="D8058" s="631"/>
      <c r="E8058" s="633"/>
      <c r="F8058" s="650"/>
    </row>
    <row r="8059" spans="3:6">
      <c r="C8059" s="631"/>
      <c r="D8059" s="631"/>
      <c r="E8059" s="633"/>
      <c r="F8059" s="650"/>
    </row>
    <row r="8060" spans="3:6">
      <c r="C8060" s="631"/>
      <c r="D8060" s="631"/>
      <c r="E8060" s="633"/>
      <c r="F8060" s="650"/>
    </row>
    <row r="8061" spans="3:6">
      <c r="C8061" s="631"/>
      <c r="D8061" s="631"/>
      <c r="E8061" s="633"/>
      <c r="F8061" s="650"/>
    </row>
    <row r="8062" spans="3:6">
      <c r="C8062" s="631"/>
      <c r="D8062" s="631"/>
      <c r="E8062" s="633"/>
      <c r="F8062" s="650"/>
    </row>
    <row r="8063" spans="3:6">
      <c r="C8063" s="631"/>
      <c r="D8063" s="631"/>
      <c r="E8063" s="633"/>
      <c r="F8063" s="650"/>
    </row>
    <row r="8064" spans="3:6">
      <c r="C8064" s="631"/>
      <c r="D8064" s="631"/>
      <c r="E8064" s="633"/>
      <c r="F8064" s="650"/>
    </row>
    <row r="8065" spans="3:6">
      <c r="C8065" s="631"/>
      <c r="D8065" s="631"/>
      <c r="E8065" s="633"/>
      <c r="F8065" s="650"/>
    </row>
    <row r="8066" spans="3:6">
      <c r="C8066" s="631"/>
      <c r="D8066" s="631"/>
      <c r="E8066" s="633"/>
      <c r="F8066" s="650"/>
    </row>
    <row r="8067" spans="3:6">
      <c r="C8067" s="631"/>
      <c r="D8067" s="631"/>
      <c r="E8067" s="633"/>
      <c r="F8067" s="650"/>
    </row>
    <row r="8068" spans="3:6">
      <c r="C8068" s="631"/>
      <c r="D8068" s="631"/>
      <c r="E8068" s="633"/>
      <c r="F8068" s="650"/>
    </row>
    <row r="8069" spans="3:6">
      <c r="C8069" s="631"/>
      <c r="D8069" s="631"/>
      <c r="E8069" s="633"/>
      <c r="F8069" s="650"/>
    </row>
    <row r="8070" spans="3:6">
      <c r="C8070" s="631"/>
      <c r="D8070" s="631"/>
      <c r="E8070" s="633"/>
      <c r="F8070" s="650"/>
    </row>
    <row r="8071" spans="3:6">
      <c r="C8071" s="631"/>
      <c r="D8071" s="631"/>
      <c r="E8071" s="633"/>
      <c r="F8071" s="650"/>
    </row>
    <row r="8072" spans="3:6">
      <c r="C8072" s="631"/>
      <c r="D8072" s="631"/>
      <c r="E8072" s="633"/>
      <c r="F8072" s="650"/>
    </row>
    <row r="8073" spans="3:6">
      <c r="C8073" s="631"/>
      <c r="D8073" s="631"/>
      <c r="E8073" s="633"/>
      <c r="F8073" s="650"/>
    </row>
    <row r="8074" spans="3:6">
      <c r="C8074" s="631"/>
      <c r="D8074" s="631"/>
      <c r="E8074" s="633"/>
      <c r="F8074" s="650"/>
    </row>
    <row r="8075" spans="3:6">
      <c r="C8075" s="631"/>
      <c r="D8075" s="631"/>
      <c r="E8075" s="633"/>
      <c r="F8075" s="650"/>
    </row>
    <row r="8076" spans="3:6">
      <c r="C8076" s="631"/>
      <c r="D8076" s="631"/>
      <c r="E8076" s="633"/>
      <c r="F8076" s="650"/>
    </row>
    <row r="8077" spans="3:6">
      <c r="C8077" s="631"/>
      <c r="D8077" s="631"/>
      <c r="E8077" s="633"/>
      <c r="F8077" s="650"/>
    </row>
    <row r="8078" spans="3:6">
      <c r="C8078" s="631"/>
      <c r="D8078" s="631"/>
      <c r="E8078" s="633"/>
      <c r="F8078" s="650"/>
    </row>
    <row r="8079" spans="3:6">
      <c r="C8079" s="631"/>
      <c r="D8079" s="631"/>
      <c r="E8079" s="633"/>
      <c r="F8079" s="650"/>
    </row>
    <row r="8080" spans="3:6">
      <c r="C8080" s="631"/>
      <c r="D8080" s="631"/>
      <c r="E8080" s="633"/>
      <c r="F8080" s="650"/>
    </row>
    <row r="8081" spans="3:6">
      <c r="C8081" s="631"/>
      <c r="D8081" s="631"/>
      <c r="E8081" s="633"/>
      <c r="F8081" s="650"/>
    </row>
    <row r="8082" spans="3:6">
      <c r="C8082" s="631"/>
      <c r="D8082" s="631"/>
      <c r="E8082" s="633"/>
      <c r="F8082" s="650"/>
    </row>
    <row r="8083" spans="3:6">
      <c r="C8083" s="631"/>
      <c r="D8083" s="631"/>
      <c r="E8083" s="633"/>
      <c r="F8083" s="650"/>
    </row>
    <row r="8084" spans="3:6">
      <c r="C8084" s="631"/>
      <c r="D8084" s="631"/>
      <c r="E8084" s="633"/>
      <c r="F8084" s="650"/>
    </row>
    <row r="8085" spans="3:6">
      <c r="C8085" s="631"/>
      <c r="D8085" s="631"/>
      <c r="E8085" s="633"/>
      <c r="F8085" s="650"/>
    </row>
    <row r="8086" spans="3:6">
      <c r="C8086" s="631"/>
      <c r="D8086" s="631"/>
      <c r="E8086" s="633"/>
      <c r="F8086" s="650"/>
    </row>
    <row r="8087" spans="3:6">
      <c r="C8087" s="631"/>
      <c r="D8087" s="631"/>
      <c r="E8087" s="633"/>
      <c r="F8087" s="650"/>
    </row>
    <row r="8088" spans="3:6">
      <c r="C8088" s="631"/>
      <c r="D8088" s="631"/>
      <c r="E8088" s="633"/>
      <c r="F8088" s="650"/>
    </row>
    <row r="8089" spans="3:6">
      <c r="C8089" s="631"/>
      <c r="D8089" s="631"/>
      <c r="E8089" s="633"/>
      <c r="F8089" s="650"/>
    </row>
    <row r="8090" spans="3:6">
      <c r="C8090" s="631"/>
      <c r="D8090" s="631"/>
      <c r="E8090" s="633"/>
      <c r="F8090" s="650"/>
    </row>
    <row r="8091" spans="3:6">
      <c r="C8091" s="631"/>
      <c r="D8091" s="631"/>
      <c r="E8091" s="633"/>
      <c r="F8091" s="650"/>
    </row>
    <row r="8092" spans="3:6">
      <c r="C8092" s="631"/>
      <c r="D8092" s="631"/>
      <c r="E8092" s="633"/>
      <c r="F8092" s="650"/>
    </row>
    <row r="8093" spans="3:6">
      <c r="C8093" s="631"/>
      <c r="D8093" s="631"/>
      <c r="E8093" s="633"/>
      <c r="F8093" s="650"/>
    </row>
    <row r="8094" spans="3:6">
      <c r="C8094" s="631"/>
      <c r="D8094" s="631"/>
      <c r="E8094" s="633"/>
      <c r="F8094" s="650"/>
    </row>
    <row r="8095" spans="3:6">
      <c r="C8095" s="631"/>
      <c r="D8095" s="631"/>
      <c r="E8095" s="633"/>
      <c r="F8095" s="650"/>
    </row>
    <row r="8096" spans="3:6">
      <c r="C8096" s="631"/>
      <c r="D8096" s="631"/>
      <c r="E8096" s="633"/>
      <c r="F8096" s="650"/>
    </row>
    <row r="8097" spans="3:6">
      <c r="C8097" s="631"/>
      <c r="D8097" s="631"/>
      <c r="E8097" s="633"/>
      <c r="F8097" s="650"/>
    </row>
    <row r="8098" spans="3:6">
      <c r="C8098" s="631"/>
      <c r="D8098" s="631"/>
      <c r="E8098" s="633"/>
      <c r="F8098" s="650"/>
    </row>
    <row r="8099" spans="3:6">
      <c r="C8099" s="631"/>
      <c r="D8099" s="631"/>
      <c r="E8099" s="633"/>
      <c r="F8099" s="650"/>
    </row>
    <row r="8100" spans="3:6">
      <c r="C8100" s="631"/>
      <c r="D8100" s="631"/>
      <c r="E8100" s="633"/>
      <c r="F8100" s="650"/>
    </row>
    <row r="8101" spans="3:6">
      <c r="C8101" s="631"/>
      <c r="D8101" s="631"/>
      <c r="E8101" s="633"/>
      <c r="F8101" s="650"/>
    </row>
    <row r="8102" spans="3:6">
      <c r="C8102" s="631"/>
      <c r="D8102" s="631"/>
      <c r="E8102" s="633"/>
      <c r="F8102" s="650"/>
    </row>
    <row r="8103" spans="3:6">
      <c r="C8103" s="631"/>
      <c r="D8103" s="631"/>
      <c r="E8103" s="633"/>
      <c r="F8103" s="650"/>
    </row>
    <row r="8104" spans="3:6">
      <c r="C8104" s="631"/>
      <c r="D8104" s="631"/>
      <c r="E8104" s="633"/>
      <c r="F8104" s="650"/>
    </row>
    <row r="8105" spans="3:6">
      <c r="C8105" s="631"/>
      <c r="D8105" s="631"/>
      <c r="E8105" s="633"/>
      <c r="F8105" s="650"/>
    </row>
    <row r="8106" spans="3:6">
      <c r="C8106" s="631"/>
      <c r="D8106" s="631"/>
      <c r="E8106" s="633"/>
      <c r="F8106" s="650"/>
    </row>
    <row r="8107" spans="3:6">
      <c r="C8107" s="631"/>
      <c r="D8107" s="631"/>
      <c r="E8107" s="633"/>
      <c r="F8107" s="650"/>
    </row>
    <row r="8108" spans="3:6">
      <c r="C8108" s="631"/>
      <c r="D8108" s="631"/>
      <c r="E8108" s="633"/>
      <c r="F8108" s="650"/>
    </row>
    <row r="8109" spans="3:6">
      <c r="C8109" s="631"/>
      <c r="D8109" s="631"/>
      <c r="E8109" s="633"/>
      <c r="F8109" s="650"/>
    </row>
    <row r="8110" spans="3:6">
      <c r="C8110" s="631"/>
      <c r="D8110" s="631"/>
      <c r="E8110" s="633"/>
      <c r="F8110" s="650"/>
    </row>
    <row r="8111" spans="3:6">
      <c r="C8111" s="631"/>
      <c r="D8111" s="631"/>
      <c r="E8111" s="633"/>
      <c r="F8111" s="650"/>
    </row>
    <row r="8112" spans="3:6">
      <c r="C8112" s="631"/>
      <c r="D8112" s="631"/>
      <c r="E8112" s="633"/>
      <c r="F8112" s="650"/>
    </row>
    <row r="8113" spans="3:6">
      <c r="C8113" s="631"/>
      <c r="D8113" s="631"/>
      <c r="E8113" s="633"/>
      <c r="F8113" s="650"/>
    </row>
    <row r="8114" spans="3:6">
      <c r="C8114" s="631"/>
      <c r="D8114" s="631"/>
      <c r="E8114" s="633"/>
      <c r="F8114" s="650"/>
    </row>
    <row r="8115" spans="3:6">
      <c r="C8115" s="631"/>
      <c r="D8115" s="631"/>
      <c r="E8115" s="633"/>
      <c r="F8115" s="650"/>
    </row>
    <row r="8116" spans="3:6">
      <c r="C8116" s="631"/>
      <c r="D8116" s="631"/>
      <c r="E8116" s="633"/>
      <c r="F8116" s="650"/>
    </row>
    <row r="8117" spans="3:6">
      <c r="C8117" s="631"/>
      <c r="D8117" s="631"/>
      <c r="E8117" s="633"/>
      <c r="F8117" s="650"/>
    </row>
    <row r="8118" spans="3:6">
      <c r="C8118" s="631"/>
      <c r="D8118" s="631"/>
      <c r="E8118" s="633"/>
      <c r="F8118" s="650"/>
    </row>
    <row r="8119" spans="3:6">
      <c r="C8119" s="631"/>
      <c r="D8119" s="631"/>
      <c r="E8119" s="633"/>
      <c r="F8119" s="650"/>
    </row>
    <row r="8120" spans="3:6">
      <c r="C8120" s="631"/>
      <c r="D8120" s="631"/>
      <c r="E8120" s="633"/>
      <c r="F8120" s="650"/>
    </row>
    <row r="8121" spans="3:6">
      <c r="C8121" s="631"/>
      <c r="D8121" s="631"/>
      <c r="E8121" s="633"/>
      <c r="F8121" s="650"/>
    </row>
    <row r="8122" spans="3:6">
      <c r="C8122" s="631"/>
      <c r="D8122" s="631"/>
      <c r="E8122" s="633"/>
      <c r="F8122" s="650"/>
    </row>
    <row r="8123" spans="3:6">
      <c r="C8123" s="631"/>
      <c r="D8123" s="631"/>
      <c r="E8123" s="633"/>
      <c r="F8123" s="650"/>
    </row>
    <row r="8124" spans="3:6">
      <c r="C8124" s="631"/>
      <c r="D8124" s="631"/>
      <c r="E8124" s="633"/>
      <c r="F8124" s="650"/>
    </row>
    <row r="8125" spans="3:6">
      <c r="C8125" s="631"/>
      <c r="D8125" s="631"/>
      <c r="E8125" s="633"/>
      <c r="F8125" s="650"/>
    </row>
    <row r="8126" spans="3:6">
      <c r="C8126" s="631"/>
      <c r="D8126" s="631"/>
      <c r="E8126" s="633"/>
      <c r="F8126" s="650"/>
    </row>
    <row r="8127" spans="3:6">
      <c r="C8127" s="631"/>
      <c r="D8127" s="631"/>
      <c r="E8127" s="633"/>
      <c r="F8127" s="650"/>
    </row>
    <row r="8128" spans="3:6">
      <c r="C8128" s="631"/>
      <c r="D8128" s="631"/>
      <c r="E8128" s="633"/>
      <c r="F8128" s="650"/>
    </row>
    <row r="8129" spans="3:6">
      <c r="C8129" s="631"/>
      <c r="D8129" s="631"/>
      <c r="E8129" s="633"/>
      <c r="F8129" s="650"/>
    </row>
    <row r="8130" spans="3:6">
      <c r="C8130" s="631"/>
      <c r="D8130" s="631"/>
      <c r="E8130" s="633"/>
      <c r="F8130" s="650"/>
    </row>
    <row r="8131" spans="3:6">
      <c r="C8131" s="631"/>
      <c r="D8131" s="631"/>
      <c r="E8131" s="633"/>
      <c r="F8131" s="650"/>
    </row>
    <row r="8132" spans="3:6">
      <c r="C8132" s="631"/>
      <c r="D8132" s="631"/>
      <c r="E8132" s="633"/>
      <c r="F8132" s="650"/>
    </row>
    <row r="8133" spans="3:6">
      <c r="C8133" s="631"/>
      <c r="D8133" s="631"/>
      <c r="E8133" s="633"/>
      <c r="F8133" s="650"/>
    </row>
    <row r="8134" spans="3:6">
      <c r="C8134" s="631"/>
      <c r="D8134" s="631"/>
      <c r="E8134" s="633"/>
      <c r="F8134" s="650"/>
    </row>
    <row r="8135" spans="3:6">
      <c r="C8135" s="631"/>
      <c r="D8135" s="631"/>
      <c r="E8135" s="633"/>
      <c r="F8135" s="650"/>
    </row>
    <row r="8136" spans="3:6">
      <c r="C8136" s="631"/>
      <c r="D8136" s="631"/>
      <c r="E8136" s="633"/>
      <c r="F8136" s="650"/>
    </row>
    <row r="8137" spans="3:6">
      <c r="C8137" s="631"/>
      <c r="D8137" s="631"/>
      <c r="E8137" s="633"/>
      <c r="F8137" s="650"/>
    </row>
    <row r="8138" spans="3:6">
      <c r="C8138" s="631"/>
      <c r="D8138" s="631"/>
      <c r="E8138" s="633"/>
      <c r="F8138" s="650"/>
    </row>
    <row r="8139" spans="3:6">
      <c r="C8139" s="631"/>
      <c r="D8139" s="631"/>
      <c r="E8139" s="633"/>
      <c r="F8139" s="650"/>
    </row>
    <row r="8140" spans="3:6">
      <c r="C8140" s="631"/>
      <c r="D8140" s="631"/>
      <c r="E8140" s="633"/>
      <c r="F8140" s="650"/>
    </row>
    <row r="8141" spans="3:6">
      <c r="C8141" s="631"/>
      <c r="D8141" s="631"/>
      <c r="E8141" s="633"/>
      <c r="F8141" s="650"/>
    </row>
    <row r="8142" spans="3:6">
      <c r="C8142" s="631"/>
      <c r="D8142" s="631"/>
      <c r="E8142" s="633"/>
      <c r="F8142" s="650"/>
    </row>
    <row r="8143" spans="3:6">
      <c r="C8143" s="631"/>
      <c r="D8143" s="631"/>
      <c r="E8143" s="633"/>
      <c r="F8143" s="650"/>
    </row>
    <row r="8144" spans="3:6">
      <c r="C8144" s="631"/>
      <c r="D8144" s="631"/>
      <c r="E8144" s="633"/>
      <c r="F8144" s="650"/>
    </row>
    <row r="8145" spans="3:6">
      <c r="C8145" s="631"/>
      <c r="D8145" s="631"/>
      <c r="E8145" s="633"/>
      <c r="F8145" s="650"/>
    </row>
    <row r="8146" spans="3:6">
      <c r="C8146" s="631"/>
      <c r="D8146" s="631"/>
      <c r="E8146" s="633"/>
      <c r="F8146" s="650"/>
    </row>
    <row r="8147" spans="3:6">
      <c r="C8147" s="631"/>
      <c r="D8147" s="631"/>
      <c r="E8147" s="633"/>
      <c r="F8147" s="650"/>
    </row>
    <row r="8148" spans="3:6">
      <c r="C8148" s="631"/>
      <c r="D8148" s="631"/>
      <c r="E8148" s="633"/>
      <c r="F8148" s="650"/>
    </row>
    <row r="8149" spans="3:6">
      <c r="C8149" s="631"/>
      <c r="D8149" s="631"/>
      <c r="E8149" s="633"/>
      <c r="F8149" s="650"/>
    </row>
    <row r="8150" spans="3:6">
      <c r="C8150" s="631"/>
      <c r="D8150" s="631"/>
      <c r="E8150" s="633"/>
      <c r="F8150" s="650"/>
    </row>
    <row r="8151" spans="3:6">
      <c r="C8151" s="631"/>
      <c r="D8151" s="631"/>
      <c r="E8151" s="633"/>
      <c r="F8151" s="650"/>
    </row>
    <row r="8152" spans="3:6">
      <c r="C8152" s="631"/>
      <c r="D8152" s="631"/>
      <c r="E8152" s="633"/>
      <c r="F8152" s="650"/>
    </row>
    <row r="8153" spans="3:6">
      <c r="C8153" s="631"/>
      <c r="D8153" s="631"/>
      <c r="E8153" s="633"/>
      <c r="F8153" s="650"/>
    </row>
    <row r="8154" spans="3:6">
      <c r="C8154" s="631"/>
      <c r="D8154" s="631"/>
      <c r="E8154" s="633"/>
      <c r="F8154" s="650"/>
    </row>
    <row r="8155" spans="3:6">
      <c r="C8155" s="631"/>
      <c r="D8155" s="631"/>
      <c r="E8155" s="633"/>
      <c r="F8155" s="650"/>
    </row>
    <row r="8156" spans="3:6">
      <c r="C8156" s="631"/>
      <c r="D8156" s="631"/>
      <c r="E8156" s="633"/>
      <c r="F8156" s="650"/>
    </row>
    <row r="8157" spans="3:6">
      <c r="C8157" s="631"/>
      <c r="D8157" s="631"/>
      <c r="E8157" s="633"/>
      <c r="F8157" s="650"/>
    </row>
    <row r="8158" spans="3:6">
      <c r="C8158" s="631"/>
      <c r="D8158" s="631"/>
      <c r="E8158" s="633"/>
      <c r="F8158" s="650"/>
    </row>
    <row r="8159" spans="3:6">
      <c r="C8159" s="631"/>
      <c r="D8159" s="631"/>
      <c r="E8159" s="633"/>
      <c r="F8159" s="650"/>
    </row>
    <row r="8160" spans="3:6">
      <c r="C8160" s="631"/>
      <c r="D8160" s="631"/>
      <c r="E8160" s="633"/>
      <c r="F8160" s="650"/>
    </row>
    <row r="8161" spans="3:6">
      <c r="C8161" s="631"/>
      <c r="D8161" s="631"/>
      <c r="E8161" s="633"/>
      <c r="F8161" s="650"/>
    </row>
    <row r="8162" spans="3:6">
      <c r="C8162" s="631"/>
      <c r="D8162" s="631"/>
      <c r="E8162" s="633"/>
      <c r="F8162" s="650"/>
    </row>
    <row r="8163" spans="3:6">
      <c r="C8163" s="631"/>
      <c r="D8163" s="631"/>
      <c r="E8163" s="633"/>
      <c r="F8163" s="650"/>
    </row>
    <row r="8164" spans="3:6">
      <c r="C8164" s="631"/>
      <c r="D8164" s="631"/>
      <c r="E8164" s="633"/>
      <c r="F8164" s="650"/>
    </row>
    <row r="8165" spans="3:6">
      <c r="C8165" s="631"/>
      <c r="D8165" s="631"/>
      <c r="E8165" s="633"/>
      <c r="F8165" s="650"/>
    </row>
    <row r="8166" spans="3:6">
      <c r="C8166" s="631"/>
      <c r="D8166" s="631"/>
      <c r="E8166" s="633"/>
      <c r="F8166" s="650"/>
    </row>
    <row r="8167" spans="3:6">
      <c r="C8167" s="631"/>
      <c r="D8167" s="631"/>
      <c r="E8167" s="633"/>
      <c r="F8167" s="650"/>
    </row>
    <row r="8168" spans="3:6">
      <c r="C8168" s="631"/>
      <c r="D8168" s="631"/>
      <c r="E8168" s="633"/>
      <c r="F8168" s="650"/>
    </row>
    <row r="8169" spans="3:6">
      <c r="C8169" s="631"/>
      <c r="D8169" s="631"/>
      <c r="E8169" s="633"/>
      <c r="F8169" s="650"/>
    </row>
    <row r="8170" spans="3:6">
      <c r="C8170" s="631"/>
      <c r="D8170" s="631"/>
      <c r="E8170" s="633"/>
      <c r="F8170" s="650"/>
    </row>
    <row r="8171" spans="3:6">
      <c r="C8171" s="631"/>
      <c r="D8171" s="631"/>
      <c r="E8171" s="633"/>
      <c r="F8171" s="650"/>
    </row>
    <row r="8172" spans="3:6">
      <c r="C8172" s="631"/>
      <c r="D8172" s="631"/>
      <c r="E8172" s="633"/>
      <c r="F8172" s="650"/>
    </row>
    <row r="8173" spans="3:6">
      <c r="C8173" s="631"/>
      <c r="D8173" s="631"/>
      <c r="E8173" s="633"/>
      <c r="F8173" s="650"/>
    </row>
    <row r="8174" spans="3:6">
      <c r="C8174" s="631"/>
      <c r="D8174" s="631"/>
      <c r="E8174" s="633"/>
      <c r="F8174" s="650"/>
    </row>
    <row r="8175" spans="3:6">
      <c r="C8175" s="631"/>
      <c r="D8175" s="631"/>
      <c r="E8175" s="633"/>
      <c r="F8175" s="650"/>
    </row>
    <row r="8176" spans="3:6">
      <c r="C8176" s="631"/>
      <c r="D8176" s="631"/>
      <c r="E8176" s="633"/>
      <c r="F8176" s="650"/>
    </row>
    <row r="8177" spans="3:6">
      <c r="C8177" s="631"/>
      <c r="D8177" s="631"/>
      <c r="E8177" s="633"/>
      <c r="F8177" s="650"/>
    </row>
    <row r="8178" spans="3:6">
      <c r="C8178" s="631"/>
      <c r="D8178" s="631"/>
      <c r="E8178" s="633"/>
      <c r="F8178" s="650"/>
    </row>
    <row r="8179" spans="3:6">
      <c r="C8179" s="631"/>
      <c r="D8179" s="631"/>
      <c r="E8179" s="633"/>
      <c r="F8179" s="650"/>
    </row>
    <row r="8180" spans="3:6">
      <c r="C8180" s="631"/>
      <c r="D8180" s="631"/>
      <c r="E8180" s="633"/>
      <c r="F8180" s="650"/>
    </row>
    <row r="8181" spans="3:6">
      <c r="C8181" s="631"/>
      <c r="D8181" s="631"/>
      <c r="E8181" s="633"/>
      <c r="F8181" s="650"/>
    </row>
    <row r="8182" spans="3:6">
      <c r="C8182" s="631"/>
      <c r="D8182" s="631"/>
      <c r="E8182" s="633"/>
      <c r="F8182" s="650"/>
    </row>
    <row r="8183" spans="3:6">
      <c r="C8183" s="631"/>
      <c r="D8183" s="631"/>
      <c r="E8183" s="633"/>
      <c r="F8183" s="650"/>
    </row>
    <row r="8184" spans="3:6">
      <c r="C8184" s="631"/>
      <c r="D8184" s="631"/>
      <c r="E8184" s="633"/>
      <c r="F8184" s="650"/>
    </row>
    <row r="8185" spans="3:6">
      <c r="C8185" s="631"/>
      <c r="D8185" s="631"/>
      <c r="E8185" s="633"/>
      <c r="F8185" s="650"/>
    </row>
    <row r="8186" spans="3:6">
      <c r="C8186" s="631"/>
      <c r="D8186" s="631"/>
      <c r="E8186" s="633"/>
      <c r="F8186" s="650"/>
    </row>
    <row r="8187" spans="3:6">
      <c r="C8187" s="631"/>
      <c r="D8187" s="631"/>
      <c r="E8187" s="633"/>
      <c r="F8187" s="650"/>
    </row>
    <row r="8188" spans="3:6">
      <c r="C8188" s="631"/>
      <c r="D8188" s="631"/>
      <c r="E8188" s="633"/>
      <c r="F8188" s="650"/>
    </row>
    <row r="8189" spans="3:6">
      <c r="C8189" s="631"/>
      <c r="D8189" s="631"/>
      <c r="E8189" s="633"/>
      <c r="F8189" s="650"/>
    </row>
    <row r="8190" spans="3:6">
      <c r="C8190" s="631"/>
      <c r="D8190" s="631"/>
      <c r="E8190" s="633"/>
      <c r="F8190" s="650"/>
    </row>
    <row r="8191" spans="3:6">
      <c r="C8191" s="631"/>
      <c r="D8191" s="631"/>
      <c r="E8191" s="633"/>
      <c r="F8191" s="650"/>
    </row>
    <row r="8192" spans="3:6">
      <c r="C8192" s="631"/>
      <c r="D8192" s="631"/>
      <c r="E8192" s="633"/>
      <c r="F8192" s="650"/>
    </row>
    <row r="8193" spans="3:6">
      <c r="C8193" s="631"/>
      <c r="D8193" s="631"/>
      <c r="E8193" s="633"/>
      <c r="F8193" s="650"/>
    </row>
    <row r="8194" spans="3:6">
      <c r="C8194" s="631"/>
      <c r="D8194" s="631"/>
      <c r="E8194" s="633"/>
      <c r="F8194" s="650"/>
    </row>
    <row r="8195" spans="3:6">
      <c r="C8195" s="631"/>
      <c r="D8195" s="631"/>
      <c r="E8195" s="633"/>
      <c r="F8195" s="650"/>
    </row>
    <row r="8196" spans="3:6">
      <c r="C8196" s="631"/>
      <c r="D8196" s="631"/>
      <c r="E8196" s="633"/>
      <c r="F8196" s="650"/>
    </row>
    <row r="8197" spans="3:6">
      <c r="C8197" s="631"/>
      <c r="D8197" s="631"/>
      <c r="E8197" s="633"/>
      <c r="F8197" s="650"/>
    </row>
    <row r="8198" spans="3:6">
      <c r="C8198" s="631"/>
      <c r="D8198" s="631"/>
      <c r="E8198" s="633"/>
      <c r="F8198" s="650"/>
    </row>
    <row r="8199" spans="3:6">
      <c r="C8199" s="631"/>
      <c r="D8199" s="631"/>
      <c r="E8199" s="633"/>
      <c r="F8199" s="650"/>
    </row>
    <row r="8200" spans="3:6">
      <c r="C8200" s="631"/>
      <c r="D8200" s="631"/>
      <c r="E8200" s="633"/>
      <c r="F8200" s="650"/>
    </row>
    <row r="8201" spans="3:6">
      <c r="C8201" s="631"/>
      <c r="D8201" s="631"/>
      <c r="E8201" s="633"/>
      <c r="F8201" s="650"/>
    </row>
    <row r="8202" spans="3:6">
      <c r="C8202" s="631"/>
      <c r="D8202" s="631"/>
      <c r="E8202" s="633"/>
      <c r="F8202" s="650"/>
    </row>
    <row r="8203" spans="3:6">
      <c r="C8203" s="631"/>
      <c r="D8203" s="631"/>
      <c r="E8203" s="633"/>
      <c r="F8203" s="650"/>
    </row>
    <row r="8204" spans="3:6">
      <c r="C8204" s="631"/>
      <c r="D8204" s="631"/>
      <c r="E8204" s="633"/>
      <c r="F8204" s="650"/>
    </row>
    <row r="8205" spans="3:6">
      <c r="C8205" s="631"/>
      <c r="D8205" s="631"/>
      <c r="E8205" s="633"/>
      <c r="F8205" s="650"/>
    </row>
    <row r="8206" spans="3:6">
      <c r="C8206" s="631"/>
      <c r="D8206" s="631"/>
      <c r="E8206" s="633"/>
      <c r="F8206" s="650"/>
    </row>
    <row r="8207" spans="3:6">
      <c r="C8207" s="631"/>
      <c r="D8207" s="631"/>
      <c r="E8207" s="633"/>
      <c r="F8207" s="650"/>
    </row>
    <row r="8208" spans="3:6">
      <c r="C8208" s="631"/>
      <c r="D8208" s="631"/>
      <c r="E8208" s="633"/>
      <c r="F8208" s="650"/>
    </row>
    <row r="8209" spans="3:6">
      <c r="C8209" s="631"/>
      <c r="D8209" s="631"/>
      <c r="E8209" s="633"/>
      <c r="F8209" s="650"/>
    </row>
    <row r="8210" spans="3:6">
      <c r="C8210" s="631"/>
      <c r="D8210" s="631"/>
      <c r="E8210" s="633"/>
      <c r="F8210" s="650"/>
    </row>
    <row r="8211" spans="3:6">
      <c r="C8211" s="631"/>
      <c r="D8211" s="631"/>
      <c r="E8211" s="633"/>
      <c r="F8211" s="650"/>
    </row>
    <row r="8212" spans="3:6">
      <c r="C8212" s="631"/>
      <c r="D8212" s="631"/>
      <c r="E8212" s="633"/>
      <c r="F8212" s="650"/>
    </row>
    <row r="8213" spans="3:6">
      <c r="C8213" s="631"/>
      <c r="D8213" s="631"/>
      <c r="E8213" s="633"/>
      <c r="F8213" s="650"/>
    </row>
    <row r="8214" spans="3:6">
      <c r="C8214" s="631"/>
      <c r="D8214" s="631"/>
      <c r="E8214" s="633"/>
      <c r="F8214" s="650"/>
    </row>
    <row r="8215" spans="3:6">
      <c r="C8215" s="631"/>
      <c r="D8215" s="631"/>
      <c r="E8215" s="633"/>
      <c r="F8215" s="650"/>
    </row>
    <row r="8216" spans="3:6">
      <c r="C8216" s="631"/>
      <c r="D8216" s="631"/>
      <c r="E8216" s="633"/>
      <c r="F8216" s="650"/>
    </row>
    <row r="8217" spans="3:6">
      <c r="C8217" s="631"/>
      <c r="D8217" s="631"/>
      <c r="E8217" s="633"/>
      <c r="F8217" s="650"/>
    </row>
    <row r="8218" spans="3:6">
      <c r="C8218" s="631"/>
      <c r="D8218" s="631"/>
      <c r="E8218" s="633"/>
      <c r="F8218" s="650"/>
    </row>
    <row r="8219" spans="3:6">
      <c r="C8219" s="631"/>
      <c r="D8219" s="631"/>
      <c r="E8219" s="633"/>
      <c r="F8219" s="650"/>
    </row>
    <row r="8220" spans="3:6">
      <c r="C8220" s="631"/>
      <c r="D8220" s="631"/>
      <c r="E8220" s="633"/>
      <c r="F8220" s="650"/>
    </row>
    <row r="8221" spans="3:6">
      <c r="C8221" s="631"/>
      <c r="D8221" s="631"/>
      <c r="E8221" s="633"/>
      <c r="F8221" s="650"/>
    </row>
    <row r="8222" spans="3:6">
      <c r="C8222" s="631"/>
      <c r="D8222" s="631"/>
      <c r="E8222" s="633"/>
      <c r="F8222" s="650"/>
    </row>
    <row r="8223" spans="3:6">
      <c r="C8223" s="631"/>
      <c r="D8223" s="631"/>
      <c r="E8223" s="633"/>
      <c r="F8223" s="650"/>
    </row>
    <row r="8224" spans="3:6">
      <c r="C8224" s="631"/>
      <c r="D8224" s="631"/>
      <c r="E8224" s="633"/>
      <c r="F8224" s="650"/>
    </row>
    <row r="8225" spans="3:6">
      <c r="C8225" s="631"/>
      <c r="D8225" s="631"/>
      <c r="E8225" s="633"/>
      <c r="F8225" s="650"/>
    </row>
    <row r="8226" spans="3:6">
      <c r="C8226" s="631"/>
      <c r="D8226" s="631"/>
      <c r="E8226" s="633"/>
      <c r="F8226" s="650"/>
    </row>
    <row r="8227" spans="3:6">
      <c r="C8227" s="631"/>
      <c r="D8227" s="631"/>
      <c r="E8227" s="633"/>
      <c r="F8227" s="650"/>
    </row>
    <row r="8228" spans="3:6">
      <c r="C8228" s="631"/>
      <c r="D8228" s="631"/>
      <c r="E8228" s="633"/>
      <c r="F8228" s="650"/>
    </row>
    <row r="8229" spans="3:6">
      <c r="C8229" s="631"/>
      <c r="D8229" s="631"/>
      <c r="E8229" s="633"/>
      <c r="F8229" s="650"/>
    </row>
    <row r="8230" spans="3:6">
      <c r="C8230" s="631"/>
      <c r="D8230" s="631"/>
      <c r="E8230" s="633"/>
      <c r="F8230" s="650"/>
    </row>
    <row r="8231" spans="3:6">
      <c r="C8231" s="631"/>
      <c r="D8231" s="631"/>
      <c r="E8231" s="633"/>
      <c r="F8231" s="650"/>
    </row>
    <row r="8232" spans="3:6">
      <c r="C8232" s="631"/>
      <c r="D8232" s="631"/>
      <c r="E8232" s="633"/>
      <c r="F8232" s="650"/>
    </row>
    <row r="8233" spans="3:6">
      <c r="C8233" s="631"/>
      <c r="D8233" s="631"/>
      <c r="E8233" s="633"/>
      <c r="F8233" s="650"/>
    </row>
    <row r="8234" spans="3:6">
      <c r="C8234" s="631"/>
      <c r="D8234" s="631"/>
      <c r="E8234" s="633"/>
      <c r="F8234" s="650"/>
    </row>
    <row r="8235" spans="3:6">
      <c r="C8235" s="631"/>
      <c r="D8235" s="631"/>
      <c r="E8235" s="633"/>
      <c r="F8235" s="650"/>
    </row>
    <row r="8236" spans="3:6">
      <c r="C8236" s="631"/>
      <c r="D8236" s="631"/>
      <c r="E8236" s="633"/>
      <c r="F8236" s="650"/>
    </row>
    <row r="8237" spans="3:6">
      <c r="C8237" s="631"/>
      <c r="D8237" s="631"/>
      <c r="E8237" s="633"/>
      <c r="F8237" s="650"/>
    </row>
    <row r="8238" spans="3:6">
      <c r="C8238" s="631"/>
      <c r="D8238" s="631"/>
      <c r="E8238" s="633"/>
      <c r="F8238" s="650"/>
    </row>
    <row r="8239" spans="3:6">
      <c r="C8239" s="631"/>
      <c r="D8239" s="631"/>
      <c r="E8239" s="633"/>
      <c r="F8239" s="650"/>
    </row>
    <row r="8240" spans="3:6">
      <c r="C8240" s="631"/>
      <c r="D8240" s="631"/>
      <c r="E8240" s="633"/>
      <c r="F8240" s="650"/>
    </row>
    <row r="8241" spans="3:6">
      <c r="C8241" s="631"/>
      <c r="D8241" s="631"/>
      <c r="E8241" s="633"/>
      <c r="F8241" s="650"/>
    </row>
    <row r="8242" spans="3:6">
      <c r="C8242" s="631"/>
      <c r="D8242" s="631"/>
      <c r="E8242" s="633"/>
      <c r="F8242" s="650"/>
    </row>
    <row r="8243" spans="3:6">
      <c r="C8243" s="631"/>
      <c r="D8243" s="631"/>
      <c r="E8243" s="633"/>
      <c r="F8243" s="650"/>
    </row>
    <row r="8244" spans="3:6">
      <c r="C8244" s="631"/>
      <c r="D8244" s="631"/>
      <c r="E8244" s="633"/>
      <c r="F8244" s="650"/>
    </row>
    <row r="8245" spans="3:6">
      <c r="C8245" s="631"/>
      <c r="D8245" s="631"/>
      <c r="E8245" s="633"/>
      <c r="F8245" s="650"/>
    </row>
    <row r="8246" spans="3:6">
      <c r="C8246" s="631"/>
      <c r="D8246" s="631"/>
      <c r="E8246" s="633"/>
      <c r="F8246" s="650"/>
    </row>
    <row r="8247" spans="3:6">
      <c r="C8247" s="631"/>
      <c r="D8247" s="631"/>
      <c r="E8247" s="633"/>
      <c r="F8247" s="650"/>
    </row>
    <row r="8248" spans="3:6">
      <c r="C8248" s="631"/>
      <c r="D8248" s="631"/>
      <c r="E8248" s="633"/>
      <c r="F8248" s="650"/>
    </row>
    <row r="8249" spans="3:6">
      <c r="C8249" s="631"/>
      <c r="D8249" s="631"/>
      <c r="E8249" s="633"/>
      <c r="F8249" s="650"/>
    </row>
    <row r="8250" spans="3:6">
      <c r="C8250" s="631"/>
      <c r="D8250" s="631"/>
      <c r="E8250" s="633"/>
      <c r="F8250" s="650"/>
    </row>
    <row r="8251" spans="3:6">
      <c r="C8251" s="631"/>
      <c r="D8251" s="631"/>
      <c r="E8251" s="633"/>
      <c r="F8251" s="650"/>
    </row>
    <row r="8252" spans="3:6">
      <c r="C8252" s="631"/>
      <c r="D8252" s="631"/>
      <c r="E8252" s="633"/>
      <c r="F8252" s="650"/>
    </row>
    <row r="8253" spans="3:6">
      <c r="C8253" s="631"/>
      <c r="D8253" s="631"/>
      <c r="E8253" s="633"/>
      <c r="F8253" s="650"/>
    </row>
    <row r="8254" spans="3:6">
      <c r="C8254" s="631"/>
      <c r="D8254" s="631"/>
      <c r="E8254" s="633"/>
      <c r="F8254" s="650"/>
    </row>
    <row r="8255" spans="3:6">
      <c r="C8255" s="631"/>
      <c r="D8255" s="631"/>
      <c r="E8255" s="633"/>
      <c r="F8255" s="650"/>
    </row>
    <row r="8256" spans="3:6">
      <c r="C8256" s="631"/>
      <c r="D8256" s="631"/>
      <c r="E8256" s="633"/>
      <c r="F8256" s="650"/>
    </row>
    <row r="8257" spans="3:6">
      <c r="C8257" s="631"/>
      <c r="D8257" s="631"/>
      <c r="E8257" s="633"/>
      <c r="F8257" s="650"/>
    </row>
    <row r="8258" spans="3:6">
      <c r="C8258" s="631"/>
      <c r="D8258" s="631"/>
      <c r="E8258" s="633"/>
      <c r="F8258" s="650"/>
    </row>
    <row r="8259" spans="3:6">
      <c r="C8259" s="631"/>
      <c r="D8259" s="631"/>
      <c r="E8259" s="633"/>
      <c r="F8259" s="650"/>
    </row>
    <row r="8260" spans="3:6">
      <c r="C8260" s="631"/>
      <c r="D8260" s="631"/>
      <c r="E8260" s="633"/>
      <c r="F8260" s="650"/>
    </row>
    <row r="8261" spans="3:6">
      <c r="C8261" s="631"/>
      <c r="D8261" s="631"/>
      <c r="E8261" s="633"/>
      <c r="F8261" s="650"/>
    </row>
    <row r="8262" spans="3:6">
      <c r="C8262" s="631"/>
      <c r="D8262" s="631"/>
      <c r="E8262" s="633"/>
      <c r="F8262" s="650"/>
    </row>
    <row r="8263" spans="3:6">
      <c r="C8263" s="631"/>
      <c r="D8263" s="631"/>
      <c r="E8263" s="633"/>
      <c r="F8263" s="650"/>
    </row>
    <row r="8264" spans="3:6">
      <c r="C8264" s="631"/>
      <c r="D8264" s="631"/>
      <c r="E8264" s="633"/>
      <c r="F8264" s="650"/>
    </row>
    <row r="8265" spans="3:6">
      <c r="C8265" s="631"/>
      <c r="D8265" s="631"/>
      <c r="E8265" s="633"/>
      <c r="F8265" s="650"/>
    </row>
    <row r="8266" spans="3:6">
      <c r="C8266" s="631"/>
      <c r="D8266" s="631"/>
      <c r="E8266" s="633"/>
      <c r="F8266" s="650"/>
    </row>
    <row r="8267" spans="3:6">
      <c r="C8267" s="631"/>
      <c r="D8267" s="631"/>
      <c r="E8267" s="633"/>
      <c r="F8267" s="650"/>
    </row>
    <row r="8268" spans="3:6">
      <c r="C8268" s="631"/>
      <c r="D8268" s="631"/>
      <c r="E8268" s="633"/>
      <c r="F8268" s="650"/>
    </row>
    <row r="8269" spans="3:6">
      <c r="C8269" s="631"/>
      <c r="D8269" s="631"/>
      <c r="E8269" s="633"/>
      <c r="F8269" s="650"/>
    </row>
    <row r="8270" spans="3:6">
      <c r="C8270" s="631"/>
      <c r="D8270" s="631"/>
      <c r="E8270" s="633"/>
      <c r="F8270" s="650"/>
    </row>
    <row r="8271" spans="3:6">
      <c r="C8271" s="631"/>
      <c r="D8271" s="631"/>
      <c r="E8271" s="633"/>
      <c r="F8271" s="650"/>
    </row>
    <row r="8272" spans="3:6">
      <c r="C8272" s="631"/>
      <c r="D8272" s="631"/>
      <c r="E8272" s="633"/>
      <c r="F8272" s="650"/>
    </row>
    <row r="8273" spans="3:6">
      <c r="C8273" s="631"/>
      <c r="D8273" s="631"/>
      <c r="E8273" s="633"/>
      <c r="F8273" s="650"/>
    </row>
    <row r="8274" spans="3:6">
      <c r="C8274" s="631"/>
      <c r="D8274" s="631"/>
      <c r="E8274" s="633"/>
      <c r="F8274" s="650"/>
    </row>
    <row r="8275" spans="3:6">
      <c r="C8275" s="631"/>
      <c r="D8275" s="631"/>
      <c r="E8275" s="633"/>
      <c r="F8275" s="650"/>
    </row>
    <row r="8276" spans="3:6">
      <c r="C8276" s="631"/>
      <c r="D8276" s="631"/>
      <c r="E8276" s="633"/>
      <c r="F8276" s="650"/>
    </row>
    <row r="8277" spans="3:6">
      <c r="C8277" s="631"/>
      <c r="D8277" s="631"/>
      <c r="E8277" s="633"/>
      <c r="F8277" s="650"/>
    </row>
    <row r="8278" spans="3:6">
      <c r="C8278" s="631"/>
      <c r="D8278" s="631"/>
      <c r="E8278" s="633"/>
      <c r="F8278" s="650"/>
    </row>
    <row r="8279" spans="3:6">
      <c r="C8279" s="631"/>
      <c r="D8279" s="631"/>
      <c r="E8279" s="633"/>
      <c r="F8279" s="650"/>
    </row>
    <row r="8280" spans="3:6">
      <c r="C8280" s="631"/>
      <c r="D8280" s="631"/>
      <c r="E8280" s="633"/>
      <c r="F8280" s="650"/>
    </row>
    <row r="8281" spans="3:6">
      <c r="C8281" s="631"/>
      <c r="D8281" s="631"/>
      <c r="E8281" s="633"/>
      <c r="F8281" s="650"/>
    </row>
    <row r="8282" spans="3:6">
      <c r="C8282" s="631"/>
      <c r="D8282" s="631"/>
      <c r="E8282" s="633"/>
      <c r="F8282" s="650"/>
    </row>
    <row r="8283" spans="3:6">
      <c r="C8283" s="631"/>
      <c r="D8283" s="631"/>
      <c r="E8283" s="633"/>
      <c r="F8283" s="650"/>
    </row>
    <row r="8284" spans="3:6">
      <c r="C8284" s="631"/>
      <c r="D8284" s="631"/>
      <c r="E8284" s="633"/>
      <c r="F8284" s="650"/>
    </row>
    <row r="8285" spans="3:6">
      <c r="C8285" s="631"/>
      <c r="D8285" s="631"/>
      <c r="E8285" s="633"/>
      <c r="F8285" s="650"/>
    </row>
    <row r="8286" spans="3:6">
      <c r="C8286" s="631"/>
      <c r="D8286" s="631"/>
      <c r="E8286" s="633"/>
      <c r="F8286" s="650"/>
    </row>
    <row r="8287" spans="3:6">
      <c r="C8287" s="631"/>
      <c r="D8287" s="631"/>
      <c r="E8287" s="633"/>
      <c r="F8287" s="650"/>
    </row>
    <row r="8288" spans="3:6">
      <c r="C8288" s="631"/>
      <c r="D8288" s="631"/>
      <c r="E8288" s="633"/>
      <c r="F8288" s="650"/>
    </row>
    <row r="8289" spans="3:6">
      <c r="C8289" s="631"/>
      <c r="D8289" s="631"/>
      <c r="E8289" s="633"/>
      <c r="F8289" s="650"/>
    </row>
    <row r="8290" spans="3:6">
      <c r="C8290" s="631"/>
      <c r="D8290" s="631"/>
      <c r="E8290" s="633"/>
      <c r="F8290" s="650"/>
    </row>
    <row r="8291" spans="3:6">
      <c r="C8291" s="631"/>
      <c r="D8291" s="631"/>
      <c r="E8291" s="633"/>
      <c r="F8291" s="650"/>
    </row>
    <row r="8292" spans="3:6">
      <c r="C8292" s="631"/>
      <c r="D8292" s="631"/>
      <c r="E8292" s="633"/>
      <c r="F8292" s="650"/>
    </row>
    <row r="8293" spans="3:6">
      <c r="C8293" s="631"/>
      <c r="D8293" s="631"/>
      <c r="E8293" s="633"/>
      <c r="F8293" s="650"/>
    </row>
    <row r="8294" spans="3:6">
      <c r="C8294" s="631"/>
      <c r="D8294" s="631"/>
      <c r="E8294" s="633"/>
      <c r="F8294" s="650"/>
    </row>
    <row r="8295" spans="3:6">
      <c r="C8295" s="631"/>
      <c r="D8295" s="631"/>
      <c r="E8295" s="633"/>
      <c r="F8295" s="650"/>
    </row>
    <row r="8296" spans="3:6">
      <c r="C8296" s="631"/>
      <c r="D8296" s="631"/>
      <c r="E8296" s="633"/>
      <c r="F8296" s="650"/>
    </row>
    <row r="8297" spans="3:6">
      <c r="C8297" s="631"/>
      <c r="D8297" s="631"/>
      <c r="E8297" s="633"/>
      <c r="F8297" s="650"/>
    </row>
    <row r="8298" spans="3:6">
      <c r="C8298" s="631"/>
      <c r="D8298" s="631"/>
      <c r="E8298" s="633"/>
      <c r="F8298" s="650"/>
    </row>
    <row r="8299" spans="3:6">
      <c r="C8299" s="631"/>
      <c r="D8299" s="631"/>
      <c r="E8299" s="633"/>
      <c r="F8299" s="650"/>
    </row>
    <row r="8300" spans="3:6">
      <c r="C8300" s="631"/>
      <c r="D8300" s="631"/>
      <c r="E8300" s="633"/>
      <c r="F8300" s="650"/>
    </row>
    <row r="8301" spans="3:6">
      <c r="C8301" s="631"/>
      <c r="D8301" s="631"/>
      <c r="E8301" s="633"/>
      <c r="F8301" s="650"/>
    </row>
    <row r="8302" spans="3:6">
      <c r="C8302" s="631"/>
      <c r="D8302" s="631"/>
      <c r="E8302" s="633"/>
      <c r="F8302" s="650"/>
    </row>
    <row r="8303" spans="3:6">
      <c r="C8303" s="631"/>
      <c r="D8303" s="631"/>
      <c r="E8303" s="633"/>
      <c r="F8303" s="650"/>
    </row>
    <row r="8304" spans="3:6">
      <c r="C8304" s="631"/>
      <c r="D8304" s="631"/>
      <c r="E8304" s="633"/>
      <c r="F8304" s="650"/>
    </row>
    <row r="8305" spans="3:6">
      <c r="C8305" s="631"/>
      <c r="D8305" s="631"/>
      <c r="E8305" s="633"/>
      <c r="F8305" s="650"/>
    </row>
    <row r="8306" spans="3:6">
      <c r="C8306" s="631"/>
      <c r="D8306" s="631"/>
      <c r="E8306" s="633"/>
      <c r="F8306" s="650"/>
    </row>
    <row r="8307" spans="3:6">
      <c r="C8307" s="631"/>
      <c r="D8307" s="631"/>
      <c r="E8307" s="633"/>
      <c r="F8307" s="650"/>
    </row>
    <row r="8308" spans="3:6">
      <c r="C8308" s="631"/>
      <c r="D8308" s="631"/>
      <c r="E8308" s="633"/>
      <c r="F8308" s="650"/>
    </row>
    <row r="8309" spans="3:6">
      <c r="C8309" s="631"/>
      <c r="D8309" s="631"/>
      <c r="E8309" s="633"/>
      <c r="F8309" s="650"/>
    </row>
    <row r="8310" spans="3:6">
      <c r="C8310" s="631"/>
      <c r="D8310" s="631"/>
      <c r="E8310" s="633"/>
      <c r="F8310" s="650"/>
    </row>
    <row r="8311" spans="3:6">
      <c r="C8311" s="631"/>
      <c r="D8311" s="631"/>
      <c r="E8311" s="633"/>
      <c r="F8311" s="650"/>
    </row>
    <row r="8312" spans="3:6">
      <c r="C8312" s="631"/>
      <c r="D8312" s="631"/>
      <c r="E8312" s="633"/>
      <c r="F8312" s="650"/>
    </row>
    <row r="8313" spans="3:6">
      <c r="C8313" s="631"/>
      <c r="D8313" s="631"/>
      <c r="E8313" s="633"/>
      <c r="F8313" s="650"/>
    </row>
    <row r="8314" spans="3:6">
      <c r="C8314" s="631"/>
      <c r="D8314" s="631"/>
      <c r="E8314" s="633"/>
      <c r="F8314" s="650"/>
    </row>
    <row r="8315" spans="3:6">
      <c r="C8315" s="631"/>
      <c r="D8315" s="631"/>
      <c r="E8315" s="633"/>
      <c r="F8315" s="650"/>
    </row>
    <row r="8316" spans="3:6">
      <c r="C8316" s="631"/>
      <c r="D8316" s="631"/>
      <c r="E8316" s="633"/>
      <c r="F8316" s="650"/>
    </row>
    <row r="8317" spans="3:6">
      <c r="C8317" s="631"/>
      <c r="D8317" s="631"/>
      <c r="E8317" s="633"/>
      <c r="F8317" s="650"/>
    </row>
    <row r="8318" spans="3:6">
      <c r="C8318" s="631"/>
      <c r="D8318" s="631"/>
      <c r="E8318" s="633"/>
      <c r="F8318" s="650"/>
    </row>
    <row r="8319" spans="3:6">
      <c r="C8319" s="631"/>
      <c r="D8319" s="631"/>
      <c r="E8319" s="633"/>
      <c r="F8319" s="650"/>
    </row>
    <row r="8320" spans="3:6">
      <c r="C8320" s="631"/>
      <c r="D8320" s="631"/>
      <c r="E8320" s="633"/>
      <c r="F8320" s="650"/>
    </row>
    <row r="8321" spans="3:6">
      <c r="C8321" s="631"/>
      <c r="D8321" s="631"/>
      <c r="E8321" s="633"/>
      <c r="F8321" s="650"/>
    </row>
    <row r="8322" spans="3:6">
      <c r="C8322" s="631"/>
      <c r="D8322" s="631"/>
      <c r="E8322" s="633"/>
      <c r="F8322" s="650"/>
    </row>
    <row r="8323" spans="3:6">
      <c r="C8323" s="631"/>
      <c r="D8323" s="631"/>
      <c r="E8323" s="633"/>
      <c r="F8323" s="650"/>
    </row>
    <row r="8324" spans="3:6">
      <c r="C8324" s="631"/>
      <c r="D8324" s="631"/>
      <c r="E8324" s="633"/>
      <c r="F8324" s="650"/>
    </row>
    <row r="8325" spans="3:6">
      <c r="C8325" s="631"/>
      <c r="D8325" s="631"/>
      <c r="E8325" s="633"/>
      <c r="F8325" s="650"/>
    </row>
    <row r="8326" spans="3:6">
      <c r="C8326" s="631"/>
      <c r="D8326" s="631"/>
      <c r="E8326" s="633"/>
      <c r="F8326" s="650"/>
    </row>
    <row r="8327" spans="3:6">
      <c r="C8327" s="631"/>
      <c r="D8327" s="631"/>
      <c r="E8327" s="633"/>
      <c r="F8327" s="650"/>
    </row>
    <row r="8328" spans="3:6">
      <c r="C8328" s="631"/>
      <c r="D8328" s="631"/>
      <c r="E8328" s="633"/>
      <c r="F8328" s="650"/>
    </row>
    <row r="8329" spans="3:6">
      <c r="C8329" s="631"/>
      <c r="D8329" s="631"/>
      <c r="E8329" s="633"/>
      <c r="F8329" s="650"/>
    </row>
    <row r="8330" spans="3:6">
      <c r="C8330" s="631"/>
      <c r="D8330" s="631"/>
      <c r="E8330" s="633"/>
      <c r="F8330" s="650"/>
    </row>
    <row r="8331" spans="3:6">
      <c r="C8331" s="631"/>
      <c r="D8331" s="631"/>
      <c r="E8331" s="633"/>
      <c r="F8331" s="650"/>
    </row>
    <row r="8332" spans="3:6">
      <c r="C8332" s="631"/>
      <c r="D8332" s="631"/>
      <c r="E8332" s="633"/>
      <c r="F8332" s="650"/>
    </row>
    <row r="8333" spans="3:6">
      <c r="C8333" s="631"/>
      <c r="D8333" s="631"/>
      <c r="E8333" s="633"/>
      <c r="F8333" s="650"/>
    </row>
    <row r="8334" spans="3:6">
      <c r="C8334" s="631"/>
      <c r="D8334" s="631"/>
      <c r="E8334" s="633"/>
      <c r="F8334" s="650"/>
    </row>
    <row r="8335" spans="3:6">
      <c r="C8335" s="631"/>
      <c r="D8335" s="631"/>
      <c r="E8335" s="633"/>
      <c r="F8335" s="650"/>
    </row>
    <row r="8336" spans="3:6">
      <c r="C8336" s="631"/>
      <c r="D8336" s="631"/>
      <c r="E8336" s="633"/>
      <c r="F8336" s="650"/>
    </row>
    <row r="8337" spans="3:6">
      <c r="C8337" s="631"/>
      <c r="D8337" s="631"/>
      <c r="E8337" s="633"/>
      <c r="F8337" s="650"/>
    </row>
    <row r="8338" spans="3:6">
      <c r="C8338" s="631"/>
      <c r="D8338" s="631"/>
      <c r="E8338" s="633"/>
      <c r="F8338" s="650"/>
    </row>
    <row r="8339" spans="3:6">
      <c r="C8339" s="631"/>
      <c r="D8339" s="631"/>
      <c r="E8339" s="633"/>
      <c r="F8339" s="650"/>
    </row>
    <row r="8340" spans="3:6">
      <c r="C8340" s="631"/>
      <c r="D8340" s="631"/>
      <c r="E8340" s="633"/>
      <c r="F8340" s="650"/>
    </row>
    <row r="8341" spans="3:6">
      <c r="C8341" s="631"/>
      <c r="D8341" s="631"/>
      <c r="E8341" s="633"/>
      <c r="F8341" s="650"/>
    </row>
    <row r="8342" spans="3:6">
      <c r="C8342" s="631"/>
      <c r="D8342" s="631"/>
      <c r="E8342" s="633"/>
      <c r="F8342" s="650"/>
    </row>
    <row r="8343" spans="3:6">
      <c r="C8343" s="631"/>
      <c r="D8343" s="631"/>
      <c r="E8343" s="633"/>
      <c r="F8343" s="650"/>
    </row>
    <row r="8344" spans="3:6">
      <c r="C8344" s="631"/>
      <c r="D8344" s="631"/>
      <c r="E8344" s="633"/>
      <c r="F8344" s="650"/>
    </row>
    <row r="8345" spans="3:6">
      <c r="C8345" s="631"/>
      <c r="D8345" s="631"/>
      <c r="E8345" s="633"/>
      <c r="F8345" s="650"/>
    </row>
    <row r="8346" spans="3:6">
      <c r="C8346" s="631"/>
      <c r="D8346" s="631"/>
      <c r="E8346" s="633"/>
      <c r="F8346" s="650"/>
    </row>
    <row r="8347" spans="3:6">
      <c r="C8347" s="631"/>
      <c r="D8347" s="631"/>
      <c r="E8347" s="633"/>
      <c r="F8347" s="650"/>
    </row>
    <row r="8348" spans="3:6">
      <c r="C8348" s="631"/>
      <c r="D8348" s="631"/>
      <c r="E8348" s="633"/>
      <c r="F8348" s="650"/>
    </row>
    <row r="8349" spans="3:6">
      <c r="C8349" s="631"/>
      <c r="D8349" s="631"/>
      <c r="E8349" s="633"/>
      <c r="F8349" s="650"/>
    </row>
    <row r="8350" spans="3:6">
      <c r="C8350" s="631"/>
      <c r="D8350" s="631"/>
      <c r="E8350" s="633"/>
      <c r="F8350" s="650"/>
    </row>
    <row r="8351" spans="3:6">
      <c r="C8351" s="631"/>
      <c r="D8351" s="631"/>
      <c r="E8351" s="633"/>
      <c r="F8351" s="650"/>
    </row>
    <row r="8352" spans="3:6">
      <c r="C8352" s="631"/>
      <c r="D8352" s="631"/>
      <c r="E8352" s="633"/>
      <c r="F8352" s="650"/>
    </row>
    <row r="8353" spans="3:6">
      <c r="C8353" s="631"/>
      <c r="D8353" s="631"/>
      <c r="E8353" s="633"/>
      <c r="F8353" s="650"/>
    </row>
    <row r="8354" spans="3:6">
      <c r="C8354" s="631"/>
      <c r="D8354" s="631"/>
      <c r="E8354" s="633"/>
      <c r="F8354" s="650"/>
    </row>
    <row r="8355" spans="3:6">
      <c r="C8355" s="631"/>
      <c r="D8355" s="631"/>
      <c r="E8355" s="633"/>
      <c r="F8355" s="650"/>
    </row>
    <row r="8356" spans="3:6">
      <c r="C8356" s="631"/>
      <c r="D8356" s="631"/>
      <c r="E8356" s="633"/>
      <c r="F8356" s="650"/>
    </row>
    <row r="8357" spans="3:6">
      <c r="C8357" s="631"/>
      <c r="D8357" s="631"/>
      <c r="E8357" s="633"/>
      <c r="F8357" s="650"/>
    </row>
    <row r="8358" spans="3:6">
      <c r="C8358" s="631"/>
      <c r="D8358" s="631"/>
      <c r="E8358" s="633"/>
      <c r="F8358" s="650"/>
    </row>
    <row r="8359" spans="3:6">
      <c r="C8359" s="631"/>
      <c r="D8359" s="631"/>
      <c r="E8359" s="633"/>
      <c r="F8359" s="650"/>
    </row>
    <row r="8360" spans="3:6">
      <c r="C8360" s="631"/>
      <c r="D8360" s="631"/>
      <c r="E8360" s="633"/>
      <c r="F8360" s="650"/>
    </row>
    <row r="8361" spans="3:6">
      <c r="C8361" s="631"/>
      <c r="D8361" s="631"/>
      <c r="E8361" s="633"/>
      <c r="F8361" s="650"/>
    </row>
    <row r="8362" spans="3:6">
      <c r="C8362" s="631"/>
      <c r="D8362" s="631"/>
      <c r="E8362" s="633"/>
      <c r="F8362" s="650"/>
    </row>
    <row r="8363" spans="3:6">
      <c r="C8363" s="631"/>
      <c r="D8363" s="631"/>
      <c r="E8363" s="633"/>
      <c r="F8363" s="650"/>
    </row>
    <row r="8364" spans="3:6">
      <c r="C8364" s="631"/>
      <c r="D8364" s="631"/>
      <c r="E8364" s="633"/>
      <c r="F8364" s="650"/>
    </row>
    <row r="8365" spans="3:6">
      <c r="C8365" s="631"/>
      <c r="D8365" s="631"/>
      <c r="E8365" s="633"/>
      <c r="F8365" s="650"/>
    </row>
    <row r="8366" spans="3:6">
      <c r="C8366" s="631"/>
      <c r="D8366" s="631"/>
      <c r="E8366" s="633"/>
      <c r="F8366" s="650"/>
    </row>
    <row r="8367" spans="3:6">
      <c r="C8367" s="631"/>
      <c r="D8367" s="631"/>
      <c r="E8367" s="633"/>
      <c r="F8367" s="650"/>
    </row>
    <row r="8368" spans="3:6">
      <c r="C8368" s="631"/>
      <c r="D8368" s="631"/>
      <c r="E8368" s="633"/>
      <c r="F8368" s="650"/>
    </row>
    <row r="8369" spans="3:6">
      <c r="C8369" s="631"/>
      <c r="D8369" s="631"/>
      <c r="E8369" s="633"/>
      <c r="F8369" s="650"/>
    </row>
    <row r="8370" spans="3:6">
      <c r="C8370" s="631"/>
      <c r="D8370" s="631"/>
      <c r="E8370" s="633"/>
      <c r="F8370" s="650"/>
    </row>
    <row r="8371" spans="3:6">
      <c r="C8371" s="631"/>
      <c r="D8371" s="631"/>
      <c r="E8371" s="633"/>
      <c r="F8371" s="650"/>
    </row>
    <row r="8372" spans="3:6">
      <c r="C8372" s="631"/>
      <c r="D8372" s="631"/>
      <c r="E8372" s="633"/>
      <c r="F8372" s="650"/>
    </row>
    <row r="8373" spans="3:6">
      <c r="C8373" s="631"/>
      <c r="D8373" s="631"/>
      <c r="E8373" s="633"/>
      <c r="F8373" s="650"/>
    </row>
    <row r="8374" spans="3:6">
      <c r="C8374" s="631"/>
      <c r="D8374" s="631"/>
      <c r="E8374" s="633"/>
      <c r="F8374" s="650"/>
    </row>
    <row r="8375" spans="3:6">
      <c r="C8375" s="631"/>
      <c r="D8375" s="631"/>
      <c r="E8375" s="633"/>
      <c r="F8375" s="650"/>
    </row>
    <row r="8376" spans="3:6">
      <c r="C8376" s="631"/>
      <c r="D8376" s="631"/>
      <c r="E8376" s="633"/>
      <c r="F8376" s="650"/>
    </row>
    <row r="8377" spans="3:6">
      <c r="C8377" s="631"/>
      <c r="D8377" s="631"/>
      <c r="E8377" s="633"/>
      <c r="F8377" s="650"/>
    </row>
    <row r="8378" spans="3:6">
      <c r="C8378" s="631"/>
      <c r="D8378" s="631"/>
      <c r="E8378" s="633"/>
      <c r="F8378" s="650"/>
    </row>
    <row r="8379" spans="3:6">
      <c r="C8379" s="631"/>
      <c r="D8379" s="631"/>
      <c r="E8379" s="633"/>
      <c r="F8379" s="650"/>
    </row>
    <row r="8380" spans="3:6">
      <c r="C8380" s="631"/>
      <c r="D8380" s="631"/>
      <c r="E8380" s="633"/>
      <c r="F8380" s="650"/>
    </row>
    <row r="8381" spans="3:6">
      <c r="C8381" s="631"/>
      <c r="D8381" s="631"/>
      <c r="E8381" s="633"/>
      <c r="F8381" s="650"/>
    </row>
    <row r="8382" spans="3:6">
      <c r="C8382" s="631"/>
      <c r="D8382" s="631"/>
      <c r="E8382" s="633"/>
      <c r="F8382" s="650"/>
    </row>
    <row r="8383" spans="3:6">
      <c r="C8383" s="631"/>
      <c r="D8383" s="631"/>
      <c r="E8383" s="633"/>
      <c r="F8383" s="650"/>
    </row>
    <row r="8384" spans="3:6">
      <c r="C8384" s="631"/>
      <c r="D8384" s="631"/>
      <c r="E8384" s="633"/>
      <c r="F8384" s="650"/>
    </row>
    <row r="8385" spans="3:6">
      <c r="C8385" s="631"/>
      <c r="D8385" s="631"/>
      <c r="E8385" s="633"/>
      <c r="F8385" s="650"/>
    </row>
    <row r="8386" spans="3:6">
      <c r="C8386" s="631"/>
      <c r="D8386" s="631"/>
      <c r="E8386" s="633"/>
      <c r="F8386" s="650"/>
    </row>
    <row r="8387" spans="3:6">
      <c r="C8387" s="631"/>
      <c r="D8387" s="631"/>
      <c r="E8387" s="633"/>
      <c r="F8387" s="650"/>
    </row>
    <row r="8388" spans="3:6">
      <c r="C8388" s="631"/>
      <c r="D8388" s="631"/>
      <c r="E8388" s="633"/>
      <c r="F8388" s="650"/>
    </row>
    <row r="8389" spans="3:6">
      <c r="C8389" s="631"/>
      <c r="D8389" s="631"/>
      <c r="E8389" s="633"/>
      <c r="F8389" s="650"/>
    </row>
    <row r="8390" spans="3:6">
      <c r="C8390" s="631"/>
      <c r="D8390" s="631"/>
      <c r="E8390" s="633"/>
      <c r="F8390" s="650"/>
    </row>
    <row r="8391" spans="3:6">
      <c r="C8391" s="631"/>
      <c r="D8391" s="631"/>
      <c r="E8391" s="633"/>
      <c r="F8391" s="650"/>
    </row>
    <row r="8392" spans="3:6">
      <c r="C8392" s="631"/>
      <c r="D8392" s="631"/>
      <c r="E8392" s="633"/>
      <c r="F8392" s="650"/>
    </row>
    <row r="8393" spans="3:6">
      <c r="C8393" s="631"/>
      <c r="D8393" s="631"/>
      <c r="E8393" s="633"/>
      <c r="F8393" s="650"/>
    </row>
    <row r="8394" spans="3:6">
      <c r="C8394" s="631"/>
      <c r="D8394" s="631"/>
      <c r="E8394" s="633"/>
      <c r="F8394" s="650"/>
    </row>
    <row r="8395" spans="3:6">
      <c r="C8395" s="631"/>
      <c r="D8395" s="631"/>
      <c r="E8395" s="633"/>
      <c r="F8395" s="650"/>
    </row>
    <row r="8396" spans="3:6">
      <c r="C8396" s="631"/>
      <c r="D8396" s="631"/>
      <c r="E8396" s="633"/>
      <c r="F8396" s="650"/>
    </row>
    <row r="8397" spans="3:6">
      <c r="C8397" s="631"/>
      <c r="D8397" s="631"/>
      <c r="E8397" s="633"/>
      <c r="F8397" s="650"/>
    </row>
    <row r="8398" spans="3:6">
      <c r="C8398" s="631"/>
      <c r="D8398" s="631"/>
      <c r="E8398" s="633"/>
      <c r="F8398" s="650"/>
    </row>
    <row r="8399" spans="3:6">
      <c r="C8399" s="631"/>
      <c r="D8399" s="631"/>
      <c r="E8399" s="633"/>
      <c r="F8399" s="650"/>
    </row>
    <row r="8400" spans="3:6">
      <c r="C8400" s="631"/>
      <c r="D8400" s="631"/>
      <c r="E8400" s="633"/>
      <c r="F8400" s="650"/>
    </row>
    <row r="8401" spans="3:6">
      <c r="C8401" s="631"/>
      <c r="D8401" s="631"/>
      <c r="E8401" s="633"/>
      <c r="F8401" s="650"/>
    </row>
    <row r="8402" spans="3:6">
      <c r="C8402" s="631"/>
      <c r="D8402" s="631"/>
      <c r="E8402" s="633"/>
      <c r="F8402" s="650"/>
    </row>
    <row r="8403" spans="3:6">
      <c r="C8403" s="631"/>
      <c r="D8403" s="631"/>
      <c r="E8403" s="633"/>
      <c r="F8403" s="650"/>
    </row>
    <row r="8404" spans="3:6">
      <c r="C8404" s="631"/>
      <c r="D8404" s="631"/>
      <c r="E8404" s="633"/>
      <c r="F8404" s="650"/>
    </row>
    <row r="8405" spans="3:6">
      <c r="C8405" s="631"/>
      <c r="D8405" s="631"/>
      <c r="E8405" s="633"/>
      <c r="F8405" s="650"/>
    </row>
    <row r="8406" spans="3:6">
      <c r="C8406" s="631"/>
      <c r="D8406" s="631"/>
      <c r="E8406" s="633"/>
      <c r="F8406" s="650"/>
    </row>
    <row r="8407" spans="3:6">
      <c r="C8407" s="631"/>
      <c r="D8407" s="631"/>
      <c r="E8407" s="633"/>
      <c r="F8407" s="650"/>
    </row>
    <row r="8408" spans="3:6">
      <c r="C8408" s="631"/>
      <c r="D8408" s="631"/>
      <c r="E8408" s="633"/>
      <c r="F8408" s="650"/>
    </row>
    <row r="8409" spans="3:6">
      <c r="C8409" s="631"/>
      <c r="D8409" s="631"/>
      <c r="E8409" s="633"/>
      <c r="F8409" s="650"/>
    </row>
    <row r="8410" spans="3:6">
      <c r="C8410" s="631"/>
      <c r="D8410" s="631"/>
      <c r="E8410" s="633"/>
      <c r="F8410" s="650"/>
    </row>
    <row r="8411" spans="3:6">
      <c r="C8411" s="631"/>
      <c r="D8411" s="631"/>
      <c r="E8411" s="633"/>
      <c r="F8411" s="650"/>
    </row>
    <row r="8412" spans="3:6">
      <c r="C8412" s="631"/>
      <c r="D8412" s="631"/>
      <c r="E8412" s="633"/>
      <c r="F8412" s="650"/>
    </row>
    <row r="8413" spans="3:6">
      <c r="C8413" s="631"/>
      <c r="D8413" s="631"/>
      <c r="E8413" s="633"/>
      <c r="F8413" s="650"/>
    </row>
    <row r="8414" spans="3:6">
      <c r="C8414" s="631"/>
      <c r="D8414" s="631"/>
      <c r="E8414" s="633"/>
      <c r="F8414" s="650"/>
    </row>
    <row r="8415" spans="3:6">
      <c r="C8415" s="631"/>
      <c r="D8415" s="631"/>
      <c r="E8415" s="633"/>
      <c r="F8415" s="650"/>
    </row>
    <row r="8416" spans="3:6">
      <c r="C8416" s="631"/>
      <c r="D8416" s="631"/>
      <c r="E8416" s="633"/>
      <c r="F8416" s="650"/>
    </row>
    <row r="8417" spans="3:6">
      <c r="C8417" s="631"/>
      <c r="D8417" s="631"/>
      <c r="E8417" s="633"/>
      <c r="F8417" s="650"/>
    </row>
    <row r="8418" spans="3:6">
      <c r="C8418" s="631"/>
      <c r="D8418" s="631"/>
      <c r="E8418" s="633"/>
      <c r="F8418" s="650"/>
    </row>
    <row r="8419" spans="3:6">
      <c r="C8419" s="631"/>
      <c r="D8419" s="631"/>
      <c r="E8419" s="633"/>
      <c r="F8419" s="650"/>
    </row>
    <row r="8420" spans="3:6">
      <c r="C8420" s="631"/>
      <c r="D8420" s="631"/>
      <c r="E8420" s="633"/>
      <c r="F8420" s="650"/>
    </row>
    <row r="8421" spans="3:6">
      <c r="C8421" s="631"/>
      <c r="D8421" s="631"/>
      <c r="E8421" s="633"/>
      <c r="F8421" s="650"/>
    </row>
    <row r="8422" spans="3:6">
      <c r="C8422" s="631"/>
      <c r="D8422" s="631"/>
      <c r="E8422" s="633"/>
      <c r="F8422" s="650"/>
    </row>
    <row r="8423" spans="3:6">
      <c r="C8423" s="631"/>
      <c r="D8423" s="631"/>
      <c r="E8423" s="633"/>
      <c r="F8423" s="650"/>
    </row>
    <row r="8424" spans="3:6">
      <c r="C8424" s="631"/>
      <c r="D8424" s="631"/>
      <c r="E8424" s="633"/>
      <c r="F8424" s="650"/>
    </row>
    <row r="8425" spans="3:6">
      <c r="C8425" s="631"/>
      <c r="D8425" s="631"/>
      <c r="E8425" s="633"/>
      <c r="F8425" s="650"/>
    </row>
    <row r="8426" spans="3:6">
      <c r="C8426" s="631"/>
      <c r="D8426" s="631"/>
      <c r="E8426" s="633"/>
      <c r="F8426" s="650"/>
    </row>
    <row r="8427" spans="3:6">
      <c r="C8427" s="631"/>
      <c r="D8427" s="631"/>
      <c r="E8427" s="633"/>
      <c r="F8427" s="650"/>
    </row>
    <row r="8428" spans="3:6">
      <c r="C8428" s="631"/>
      <c r="D8428" s="631"/>
      <c r="E8428" s="633"/>
      <c r="F8428" s="650"/>
    </row>
    <row r="8429" spans="3:6">
      <c r="C8429" s="631"/>
      <c r="D8429" s="631"/>
      <c r="E8429" s="633"/>
      <c r="F8429" s="650"/>
    </row>
    <row r="8430" spans="3:6">
      <c r="C8430" s="631"/>
      <c r="D8430" s="631"/>
      <c r="E8430" s="633"/>
      <c r="F8430" s="650"/>
    </row>
    <row r="8431" spans="3:6">
      <c r="C8431" s="631"/>
      <c r="D8431" s="631"/>
      <c r="E8431" s="633"/>
      <c r="F8431" s="650"/>
    </row>
    <row r="8432" spans="3:6">
      <c r="C8432" s="631"/>
      <c r="D8432" s="631"/>
      <c r="E8432" s="633"/>
      <c r="F8432" s="650"/>
    </row>
    <row r="8433" spans="3:6">
      <c r="C8433" s="631"/>
      <c r="D8433" s="631"/>
      <c r="E8433" s="633"/>
      <c r="F8433" s="650"/>
    </row>
    <row r="8434" spans="3:6">
      <c r="C8434" s="631"/>
      <c r="D8434" s="631"/>
      <c r="E8434" s="633"/>
      <c r="F8434" s="650"/>
    </row>
    <row r="8435" spans="3:6">
      <c r="C8435" s="631"/>
      <c r="D8435" s="631"/>
      <c r="E8435" s="633"/>
      <c r="F8435" s="650"/>
    </row>
    <row r="8436" spans="3:6">
      <c r="C8436" s="631"/>
      <c r="D8436" s="631"/>
      <c r="E8436" s="633"/>
      <c r="F8436" s="650"/>
    </row>
    <row r="8437" spans="3:6">
      <c r="C8437" s="631"/>
      <c r="D8437" s="631"/>
      <c r="E8437" s="633"/>
      <c r="F8437" s="650"/>
    </row>
    <row r="8438" spans="3:6">
      <c r="C8438" s="631"/>
      <c r="D8438" s="631"/>
      <c r="E8438" s="633"/>
      <c r="F8438" s="650"/>
    </row>
    <row r="8439" spans="3:6">
      <c r="C8439" s="631"/>
      <c r="D8439" s="631"/>
      <c r="E8439" s="633"/>
      <c r="F8439" s="650"/>
    </row>
    <row r="8440" spans="3:6">
      <c r="C8440" s="631"/>
      <c r="D8440" s="631"/>
      <c r="E8440" s="633"/>
      <c r="F8440" s="650"/>
    </row>
    <row r="8441" spans="3:6">
      <c r="C8441" s="631"/>
      <c r="D8441" s="631"/>
      <c r="E8441" s="633"/>
      <c r="F8441" s="650"/>
    </row>
    <row r="8442" spans="3:6">
      <c r="C8442" s="631"/>
      <c r="D8442" s="631"/>
      <c r="E8442" s="633"/>
      <c r="F8442" s="650"/>
    </row>
    <row r="8443" spans="3:6">
      <c r="C8443" s="631"/>
      <c r="D8443" s="631"/>
      <c r="E8443" s="633"/>
      <c r="F8443" s="650"/>
    </row>
    <row r="8444" spans="3:6">
      <c r="C8444" s="631"/>
      <c r="D8444" s="631"/>
      <c r="E8444" s="633"/>
      <c r="F8444" s="650"/>
    </row>
    <row r="8445" spans="3:6">
      <c r="C8445" s="631"/>
      <c r="D8445" s="631"/>
      <c r="E8445" s="633"/>
      <c r="F8445" s="650"/>
    </row>
    <row r="8446" spans="3:6">
      <c r="C8446" s="631"/>
      <c r="D8446" s="631"/>
      <c r="E8446" s="633"/>
      <c r="F8446" s="650"/>
    </row>
    <row r="8447" spans="3:6">
      <c r="C8447" s="631"/>
      <c r="D8447" s="631"/>
      <c r="E8447" s="633"/>
      <c r="F8447" s="650"/>
    </row>
    <row r="8448" spans="3:6">
      <c r="C8448" s="631"/>
      <c r="D8448" s="631"/>
      <c r="E8448" s="633"/>
      <c r="F8448" s="650"/>
    </row>
    <row r="8449" spans="3:6">
      <c r="C8449" s="631"/>
      <c r="D8449" s="631"/>
      <c r="E8449" s="633"/>
      <c r="F8449" s="650"/>
    </row>
    <row r="8450" spans="3:6">
      <c r="C8450" s="631"/>
      <c r="D8450" s="631"/>
      <c r="E8450" s="633"/>
      <c r="F8450" s="650"/>
    </row>
    <row r="8451" spans="3:6">
      <c r="C8451" s="631"/>
      <c r="D8451" s="631"/>
      <c r="E8451" s="633"/>
      <c r="F8451" s="650"/>
    </row>
    <row r="8452" spans="3:6">
      <c r="C8452" s="631"/>
      <c r="D8452" s="631"/>
      <c r="E8452" s="633"/>
      <c r="F8452" s="650"/>
    </row>
    <row r="8453" spans="3:6">
      <c r="C8453" s="631"/>
      <c r="D8453" s="631"/>
      <c r="E8453" s="633"/>
      <c r="F8453" s="650"/>
    </row>
    <row r="8454" spans="3:6">
      <c r="C8454" s="631"/>
      <c r="D8454" s="631"/>
      <c r="E8454" s="633"/>
      <c r="F8454" s="650"/>
    </row>
    <row r="8455" spans="3:6">
      <c r="C8455" s="631"/>
      <c r="D8455" s="631"/>
      <c r="E8455" s="633"/>
      <c r="F8455" s="650"/>
    </row>
    <row r="8456" spans="3:6">
      <c r="C8456" s="631"/>
      <c r="D8456" s="631"/>
      <c r="E8456" s="633"/>
      <c r="F8456" s="650"/>
    </row>
    <row r="8457" spans="3:6">
      <c r="C8457" s="631"/>
      <c r="D8457" s="631"/>
      <c r="E8457" s="633"/>
      <c r="F8457" s="650"/>
    </row>
    <row r="8458" spans="3:6">
      <c r="C8458" s="631"/>
      <c r="D8458" s="631"/>
      <c r="E8458" s="633"/>
      <c r="F8458" s="650"/>
    </row>
    <row r="8459" spans="3:6">
      <c r="C8459" s="631"/>
      <c r="D8459" s="631"/>
      <c r="E8459" s="633"/>
      <c r="F8459" s="650"/>
    </row>
    <row r="8460" spans="3:6">
      <c r="C8460" s="631"/>
      <c r="D8460" s="631"/>
      <c r="E8460" s="633"/>
      <c r="F8460" s="650"/>
    </row>
    <row r="8461" spans="3:6">
      <c r="C8461" s="631"/>
      <c r="D8461" s="631"/>
      <c r="E8461" s="633"/>
      <c r="F8461" s="650"/>
    </row>
    <row r="8462" spans="3:6">
      <c r="C8462" s="631"/>
      <c r="D8462" s="631"/>
      <c r="E8462" s="633"/>
      <c r="F8462" s="650"/>
    </row>
    <row r="8463" spans="3:6">
      <c r="C8463" s="631"/>
      <c r="D8463" s="631"/>
      <c r="E8463" s="633"/>
      <c r="F8463" s="650"/>
    </row>
    <row r="8464" spans="3:6">
      <c r="C8464" s="631"/>
      <c r="D8464" s="631"/>
      <c r="E8464" s="633"/>
      <c r="F8464" s="650"/>
    </row>
    <row r="8465" spans="3:6">
      <c r="C8465" s="631"/>
      <c r="D8465" s="631"/>
      <c r="E8465" s="633"/>
      <c r="F8465" s="650"/>
    </row>
    <row r="8466" spans="3:6">
      <c r="C8466" s="631"/>
      <c r="D8466" s="631"/>
      <c r="E8466" s="633"/>
      <c r="F8466" s="650"/>
    </row>
    <row r="8467" spans="3:6">
      <c r="C8467" s="631"/>
      <c r="D8467" s="631"/>
      <c r="E8467" s="633"/>
      <c r="F8467" s="650"/>
    </row>
    <row r="8468" spans="3:6">
      <c r="C8468" s="631"/>
      <c r="D8468" s="631"/>
      <c r="E8468" s="633"/>
      <c r="F8468" s="650"/>
    </row>
    <row r="8469" spans="3:6">
      <c r="C8469" s="631"/>
      <c r="D8469" s="631"/>
      <c r="E8469" s="633"/>
      <c r="F8469" s="650"/>
    </row>
    <row r="8470" spans="3:6">
      <c r="C8470" s="631"/>
      <c r="D8470" s="631"/>
      <c r="E8470" s="633"/>
      <c r="F8470" s="650"/>
    </row>
    <row r="8471" spans="3:6">
      <c r="C8471" s="631"/>
      <c r="D8471" s="631"/>
      <c r="E8471" s="633"/>
      <c r="F8471" s="650"/>
    </row>
    <row r="8472" spans="3:6">
      <c r="C8472" s="631"/>
      <c r="D8472" s="631"/>
      <c r="E8472" s="633"/>
      <c r="F8472" s="650"/>
    </row>
    <row r="8473" spans="3:6">
      <c r="C8473" s="631"/>
      <c r="D8473" s="631"/>
      <c r="E8473" s="633"/>
      <c r="F8473" s="650"/>
    </row>
    <row r="8474" spans="3:6">
      <c r="C8474" s="631"/>
      <c r="D8474" s="631"/>
      <c r="E8474" s="633"/>
      <c r="F8474" s="650"/>
    </row>
    <row r="8475" spans="3:6">
      <c r="C8475" s="631"/>
      <c r="D8475" s="631"/>
      <c r="E8475" s="633"/>
      <c r="F8475" s="650"/>
    </row>
    <row r="8476" spans="3:6">
      <c r="C8476" s="631"/>
      <c r="D8476" s="631"/>
      <c r="E8476" s="633"/>
      <c r="F8476" s="650"/>
    </row>
    <row r="8477" spans="3:6">
      <c r="C8477" s="631"/>
      <c r="D8477" s="631"/>
      <c r="E8477" s="633"/>
      <c r="F8477" s="650"/>
    </row>
    <row r="8478" spans="3:6">
      <c r="C8478" s="631"/>
      <c r="D8478" s="631"/>
      <c r="E8478" s="633"/>
      <c r="F8478" s="650"/>
    </row>
    <row r="8479" spans="3:6">
      <c r="C8479" s="631"/>
      <c r="D8479" s="631"/>
      <c r="E8479" s="633"/>
      <c r="F8479" s="650"/>
    </row>
    <row r="8480" spans="3:6">
      <c r="C8480" s="631"/>
      <c r="D8480" s="631"/>
      <c r="E8480" s="633"/>
      <c r="F8480" s="650"/>
    </row>
    <row r="8481" spans="3:6">
      <c r="C8481" s="631"/>
      <c r="D8481" s="631"/>
      <c r="E8481" s="633"/>
      <c r="F8481" s="650"/>
    </row>
    <row r="8482" spans="3:6">
      <c r="C8482" s="631"/>
      <c r="D8482" s="631"/>
      <c r="E8482" s="633"/>
      <c r="F8482" s="650"/>
    </row>
    <row r="8483" spans="3:6">
      <c r="C8483" s="631"/>
      <c r="D8483" s="631"/>
      <c r="E8483" s="633"/>
      <c r="F8483" s="650"/>
    </row>
    <row r="8484" spans="3:6">
      <c r="C8484" s="631"/>
      <c r="D8484" s="631"/>
      <c r="E8484" s="633"/>
      <c r="F8484" s="650"/>
    </row>
    <row r="8485" spans="3:6">
      <c r="C8485" s="631"/>
      <c r="D8485" s="631"/>
      <c r="E8485" s="633"/>
      <c r="F8485" s="650"/>
    </row>
    <row r="8486" spans="3:6">
      <c r="C8486" s="631"/>
      <c r="D8486" s="631"/>
      <c r="E8486" s="633"/>
      <c r="F8486" s="650"/>
    </row>
    <row r="8487" spans="3:6">
      <c r="C8487" s="631"/>
      <c r="D8487" s="631"/>
      <c r="E8487" s="633"/>
      <c r="F8487" s="650"/>
    </row>
    <row r="8488" spans="3:6">
      <c r="C8488" s="631"/>
      <c r="D8488" s="631"/>
      <c r="E8488" s="633"/>
      <c r="F8488" s="650"/>
    </row>
    <row r="8489" spans="3:6">
      <c r="C8489" s="631"/>
      <c r="D8489" s="631"/>
      <c r="E8489" s="633"/>
      <c r="F8489" s="650"/>
    </row>
    <row r="8490" spans="3:6">
      <c r="C8490" s="631"/>
      <c r="D8490" s="631"/>
      <c r="E8490" s="633"/>
      <c r="F8490" s="650"/>
    </row>
    <row r="8491" spans="3:6">
      <c r="C8491" s="631"/>
      <c r="D8491" s="631"/>
      <c r="E8491" s="633"/>
      <c r="F8491" s="650"/>
    </row>
    <row r="8492" spans="3:6">
      <c r="C8492" s="631"/>
      <c r="D8492" s="631"/>
      <c r="E8492" s="633"/>
      <c r="F8492" s="650"/>
    </row>
    <row r="8493" spans="3:6">
      <c r="C8493" s="631"/>
      <c r="D8493" s="631"/>
      <c r="E8493" s="633"/>
      <c r="F8493" s="650"/>
    </row>
    <row r="8494" spans="3:6">
      <c r="C8494" s="631"/>
      <c r="D8494" s="631"/>
      <c r="E8494" s="633"/>
      <c r="F8494" s="650"/>
    </row>
    <row r="8495" spans="3:6">
      <c r="C8495" s="631"/>
      <c r="D8495" s="631"/>
      <c r="E8495" s="633"/>
      <c r="F8495" s="650"/>
    </row>
    <row r="8496" spans="3:6">
      <c r="C8496" s="631"/>
      <c r="D8496" s="631"/>
      <c r="E8496" s="633"/>
      <c r="F8496" s="650"/>
    </row>
    <row r="8497" spans="3:6">
      <c r="C8497" s="631"/>
      <c r="D8497" s="631"/>
      <c r="E8497" s="633"/>
      <c r="F8497" s="650"/>
    </row>
    <row r="8498" spans="3:6">
      <c r="C8498" s="631"/>
      <c r="D8498" s="631"/>
      <c r="E8498" s="633"/>
      <c r="F8498" s="650"/>
    </row>
    <row r="8499" spans="3:6">
      <c r="C8499" s="631"/>
      <c r="D8499" s="631"/>
      <c r="E8499" s="633"/>
      <c r="F8499" s="650"/>
    </row>
    <row r="8500" spans="3:6">
      <c r="C8500" s="631"/>
      <c r="D8500" s="631"/>
      <c r="E8500" s="633"/>
      <c r="F8500" s="650"/>
    </row>
    <row r="8501" spans="3:6">
      <c r="C8501" s="631"/>
      <c r="D8501" s="631"/>
      <c r="E8501" s="633"/>
      <c r="F8501" s="650"/>
    </row>
    <row r="8502" spans="3:6">
      <c r="C8502" s="631"/>
      <c r="D8502" s="631"/>
      <c r="E8502" s="633"/>
      <c r="F8502" s="650"/>
    </row>
    <row r="8503" spans="3:6">
      <c r="C8503" s="631"/>
      <c r="D8503" s="631"/>
      <c r="E8503" s="633"/>
      <c r="F8503" s="650"/>
    </row>
    <row r="8504" spans="3:6">
      <c r="C8504" s="631"/>
      <c r="D8504" s="631"/>
      <c r="E8504" s="633"/>
      <c r="F8504" s="650"/>
    </row>
    <row r="8505" spans="3:6">
      <c r="C8505" s="631"/>
      <c r="D8505" s="631"/>
      <c r="E8505" s="633"/>
      <c r="F8505" s="650"/>
    </row>
    <row r="8506" spans="3:6">
      <c r="C8506" s="631"/>
      <c r="D8506" s="631"/>
      <c r="E8506" s="633"/>
      <c r="F8506" s="650"/>
    </row>
    <row r="8507" spans="3:6">
      <c r="C8507" s="631"/>
      <c r="D8507" s="631"/>
      <c r="E8507" s="633"/>
      <c r="F8507" s="650"/>
    </row>
    <row r="8508" spans="3:6">
      <c r="C8508" s="631"/>
      <c r="D8508" s="631"/>
      <c r="E8508" s="633"/>
      <c r="F8508" s="650"/>
    </row>
    <row r="8509" spans="3:6">
      <c r="C8509" s="631"/>
      <c r="D8509" s="631"/>
      <c r="E8509" s="633"/>
      <c r="F8509" s="650"/>
    </row>
    <row r="8510" spans="3:6">
      <c r="C8510" s="631"/>
      <c r="D8510" s="631"/>
      <c r="E8510" s="633"/>
      <c r="F8510" s="650"/>
    </row>
    <row r="8511" spans="3:6">
      <c r="C8511" s="631"/>
      <c r="D8511" s="631"/>
      <c r="E8511" s="633"/>
      <c r="F8511" s="650"/>
    </row>
    <row r="8512" spans="3:6">
      <c r="C8512" s="631"/>
      <c r="D8512" s="631"/>
      <c r="E8512" s="633"/>
      <c r="F8512" s="650"/>
    </row>
    <row r="8513" spans="3:6">
      <c r="C8513" s="631"/>
      <c r="D8513" s="631"/>
      <c r="E8513" s="633"/>
      <c r="F8513" s="650"/>
    </row>
    <row r="8514" spans="3:6">
      <c r="C8514" s="631"/>
      <c r="D8514" s="631"/>
      <c r="E8514" s="633"/>
      <c r="F8514" s="650"/>
    </row>
    <row r="8515" spans="3:6">
      <c r="C8515" s="631"/>
      <c r="D8515" s="631"/>
      <c r="E8515" s="633"/>
      <c r="F8515" s="650"/>
    </row>
    <row r="8516" spans="3:6">
      <c r="C8516" s="631"/>
      <c r="D8516" s="631"/>
      <c r="E8516" s="633"/>
      <c r="F8516" s="650"/>
    </row>
    <row r="8517" spans="3:6">
      <c r="C8517" s="631"/>
      <c r="D8517" s="631"/>
      <c r="E8517" s="633"/>
      <c r="F8517" s="650"/>
    </row>
    <row r="8518" spans="3:6">
      <c r="C8518" s="631"/>
      <c r="D8518" s="631"/>
      <c r="E8518" s="633"/>
      <c r="F8518" s="650"/>
    </row>
    <row r="8519" spans="3:6">
      <c r="C8519" s="631"/>
      <c r="D8519" s="631"/>
      <c r="E8519" s="633"/>
      <c r="F8519" s="650"/>
    </row>
    <row r="8520" spans="3:6">
      <c r="C8520" s="631"/>
      <c r="D8520" s="631"/>
      <c r="E8520" s="633"/>
      <c r="F8520" s="650"/>
    </row>
    <row r="8521" spans="3:6">
      <c r="C8521" s="631"/>
      <c r="D8521" s="631"/>
      <c r="E8521" s="633"/>
      <c r="F8521" s="650"/>
    </row>
    <row r="8522" spans="3:6">
      <c r="C8522" s="631"/>
      <c r="D8522" s="631"/>
      <c r="E8522" s="633"/>
      <c r="F8522" s="650"/>
    </row>
    <row r="8523" spans="3:6">
      <c r="C8523" s="631"/>
      <c r="D8523" s="631"/>
      <c r="E8523" s="633"/>
      <c r="F8523" s="650"/>
    </row>
    <row r="8524" spans="3:6">
      <c r="C8524" s="631"/>
      <c r="D8524" s="631"/>
      <c r="E8524" s="633"/>
      <c r="F8524" s="650"/>
    </row>
    <row r="8525" spans="3:6">
      <c r="C8525" s="631"/>
      <c r="D8525" s="631"/>
      <c r="E8525" s="633"/>
      <c r="F8525" s="650"/>
    </row>
    <row r="8526" spans="3:6">
      <c r="C8526" s="631"/>
      <c r="D8526" s="631"/>
      <c r="E8526" s="633"/>
      <c r="F8526" s="650"/>
    </row>
    <row r="8527" spans="3:6">
      <c r="C8527" s="631"/>
      <c r="D8527" s="631"/>
      <c r="E8527" s="633"/>
      <c r="F8527" s="650"/>
    </row>
    <row r="8528" spans="3:6">
      <c r="C8528" s="631"/>
      <c r="D8528" s="631"/>
      <c r="E8528" s="633"/>
      <c r="F8528" s="650"/>
    </row>
    <row r="8529" spans="3:6">
      <c r="C8529" s="631"/>
      <c r="D8529" s="631"/>
      <c r="E8529" s="633"/>
      <c r="F8529" s="650"/>
    </row>
    <row r="8530" spans="3:6">
      <c r="C8530" s="631"/>
      <c r="D8530" s="631"/>
      <c r="E8530" s="633"/>
      <c r="F8530" s="650"/>
    </row>
    <row r="8531" spans="3:6">
      <c r="C8531" s="631"/>
      <c r="D8531" s="631"/>
      <c r="E8531" s="633"/>
      <c r="F8531" s="650"/>
    </row>
    <row r="8532" spans="3:6">
      <c r="C8532" s="631"/>
      <c r="D8532" s="631"/>
      <c r="E8532" s="633"/>
      <c r="F8532" s="650"/>
    </row>
    <row r="8533" spans="3:6">
      <c r="C8533" s="631"/>
      <c r="D8533" s="631"/>
      <c r="E8533" s="633"/>
      <c r="F8533" s="650"/>
    </row>
    <row r="8534" spans="3:6">
      <c r="C8534" s="631"/>
      <c r="D8534" s="631"/>
      <c r="E8534" s="633"/>
      <c r="F8534" s="650"/>
    </row>
    <row r="8535" spans="3:6">
      <c r="C8535" s="631"/>
      <c r="D8535" s="631"/>
      <c r="E8535" s="633"/>
      <c r="F8535" s="650"/>
    </row>
    <row r="8536" spans="3:6">
      <c r="C8536" s="631"/>
      <c r="D8536" s="631"/>
      <c r="E8536" s="633"/>
      <c r="F8536" s="650"/>
    </row>
    <row r="8537" spans="3:6">
      <c r="C8537" s="631"/>
      <c r="D8537" s="631"/>
      <c r="E8537" s="633"/>
      <c r="F8537" s="650"/>
    </row>
    <row r="8538" spans="3:6">
      <c r="C8538" s="631"/>
      <c r="D8538" s="631"/>
      <c r="E8538" s="633"/>
      <c r="F8538" s="650"/>
    </row>
    <row r="8539" spans="3:6">
      <c r="C8539" s="631"/>
      <c r="D8539" s="631"/>
      <c r="E8539" s="633"/>
      <c r="F8539" s="650"/>
    </row>
    <row r="8540" spans="3:6">
      <c r="C8540" s="631"/>
      <c r="D8540" s="631"/>
      <c r="E8540" s="633"/>
      <c r="F8540" s="650"/>
    </row>
    <row r="8541" spans="3:6">
      <c r="C8541" s="631"/>
      <c r="D8541" s="631"/>
      <c r="E8541" s="633"/>
      <c r="F8541" s="650"/>
    </row>
    <row r="8542" spans="3:6">
      <c r="C8542" s="631"/>
      <c r="D8542" s="631"/>
      <c r="E8542" s="633"/>
      <c r="F8542" s="650"/>
    </row>
    <row r="8543" spans="3:6">
      <c r="C8543" s="631"/>
      <c r="D8543" s="631"/>
      <c r="E8543" s="633"/>
      <c r="F8543" s="650"/>
    </row>
    <row r="8544" spans="3:6">
      <c r="C8544" s="631"/>
      <c r="D8544" s="631"/>
      <c r="E8544" s="633"/>
      <c r="F8544" s="650"/>
    </row>
    <row r="8545" spans="3:6">
      <c r="C8545" s="631"/>
      <c r="D8545" s="631"/>
      <c r="E8545" s="633"/>
      <c r="F8545" s="650"/>
    </row>
    <row r="8546" spans="3:6">
      <c r="C8546" s="631"/>
      <c r="D8546" s="631"/>
      <c r="E8546" s="633"/>
      <c r="F8546" s="650"/>
    </row>
    <row r="8547" spans="3:6">
      <c r="C8547" s="631"/>
      <c r="D8547" s="631"/>
      <c r="E8547" s="633"/>
      <c r="F8547" s="650"/>
    </row>
    <row r="8548" spans="3:6">
      <c r="C8548" s="631"/>
      <c r="D8548" s="631"/>
      <c r="E8548" s="633"/>
      <c r="F8548" s="650"/>
    </row>
    <row r="8549" spans="3:6">
      <c r="C8549" s="631"/>
      <c r="D8549" s="631"/>
      <c r="E8549" s="633"/>
      <c r="F8549" s="650"/>
    </row>
    <row r="8550" spans="3:6">
      <c r="C8550" s="631"/>
      <c r="D8550" s="631"/>
      <c r="E8550" s="633"/>
      <c r="F8550" s="650"/>
    </row>
    <row r="8551" spans="3:6">
      <c r="C8551" s="631"/>
      <c r="D8551" s="631"/>
      <c r="E8551" s="633"/>
      <c r="F8551" s="650"/>
    </row>
    <row r="8552" spans="3:6">
      <c r="C8552" s="631"/>
      <c r="D8552" s="631"/>
      <c r="E8552" s="633"/>
      <c r="F8552" s="650"/>
    </row>
    <row r="8553" spans="3:6">
      <c r="C8553" s="631"/>
      <c r="D8553" s="631"/>
      <c r="E8553" s="633"/>
      <c r="F8553" s="650"/>
    </row>
    <row r="8554" spans="3:6">
      <c r="C8554" s="631"/>
      <c r="D8554" s="631"/>
      <c r="E8554" s="633"/>
      <c r="F8554" s="650"/>
    </row>
    <row r="8555" spans="3:6">
      <c r="C8555" s="631"/>
      <c r="D8555" s="631"/>
      <c r="E8555" s="633"/>
      <c r="F8555" s="650"/>
    </row>
    <row r="8556" spans="3:6">
      <c r="C8556" s="631"/>
      <c r="D8556" s="631"/>
      <c r="E8556" s="633"/>
      <c r="F8556" s="650"/>
    </row>
    <row r="8557" spans="3:6">
      <c r="C8557" s="631"/>
      <c r="D8557" s="631"/>
      <c r="E8557" s="633"/>
      <c r="F8557" s="650"/>
    </row>
    <row r="8558" spans="3:6">
      <c r="C8558" s="631"/>
      <c r="D8558" s="631"/>
      <c r="E8558" s="633"/>
      <c r="F8558" s="650"/>
    </row>
    <row r="8559" spans="3:6">
      <c r="C8559" s="631"/>
      <c r="D8559" s="631"/>
      <c r="E8559" s="633"/>
      <c r="F8559" s="650"/>
    </row>
    <row r="8560" spans="3:6">
      <c r="C8560" s="631"/>
      <c r="D8560" s="631"/>
      <c r="E8560" s="633"/>
      <c r="F8560" s="650"/>
    </row>
    <row r="8561" spans="3:6">
      <c r="C8561" s="631"/>
      <c r="D8561" s="631"/>
      <c r="E8561" s="633"/>
      <c r="F8561" s="650"/>
    </row>
    <row r="8562" spans="3:6">
      <c r="C8562" s="631"/>
      <c r="D8562" s="631"/>
      <c r="E8562" s="633"/>
      <c r="F8562" s="650"/>
    </row>
    <row r="8563" spans="3:6">
      <c r="C8563" s="631"/>
      <c r="D8563" s="631"/>
      <c r="E8563" s="633"/>
      <c r="F8563" s="650"/>
    </row>
    <row r="8564" spans="3:6">
      <c r="C8564" s="631"/>
      <c r="D8564" s="631"/>
      <c r="E8564" s="633"/>
      <c r="F8564" s="650"/>
    </row>
    <row r="8565" spans="3:6">
      <c r="C8565" s="631"/>
      <c r="D8565" s="631"/>
      <c r="E8565" s="633"/>
      <c r="F8565" s="650"/>
    </row>
    <row r="8566" spans="3:6">
      <c r="C8566" s="631"/>
      <c r="D8566" s="631"/>
      <c r="E8566" s="633"/>
      <c r="F8566" s="650"/>
    </row>
    <row r="8567" spans="3:6">
      <c r="C8567" s="631"/>
      <c r="D8567" s="631"/>
      <c r="E8567" s="633"/>
      <c r="F8567" s="650"/>
    </row>
    <row r="8568" spans="3:6">
      <c r="C8568" s="631"/>
      <c r="D8568" s="631"/>
      <c r="E8568" s="633"/>
      <c r="F8568" s="650"/>
    </row>
    <row r="8569" spans="3:6">
      <c r="C8569" s="631"/>
      <c r="D8569" s="631"/>
      <c r="E8569" s="633"/>
      <c r="F8569" s="650"/>
    </row>
    <row r="8570" spans="3:6">
      <c r="C8570" s="631"/>
      <c r="D8570" s="631"/>
      <c r="E8570" s="633"/>
      <c r="F8570" s="650"/>
    </row>
    <row r="8571" spans="3:6">
      <c r="C8571" s="631"/>
      <c r="D8571" s="631"/>
      <c r="E8571" s="633"/>
      <c r="F8571" s="650"/>
    </row>
    <row r="8572" spans="3:6">
      <c r="C8572" s="631"/>
      <c r="D8572" s="631"/>
      <c r="E8572" s="633"/>
      <c r="F8572" s="650"/>
    </row>
  </sheetData>
  <sortState ref="A6:F77">
    <sortCondition ref="A6:A77"/>
  </sortState>
  <mergeCells count="3">
    <mergeCell ref="A1:F1"/>
    <mergeCell ref="A2:F2"/>
    <mergeCell ref="A3:B3"/>
  </mergeCells>
  <printOptions horizontalCentered="1"/>
  <pageMargins left="0.59055118110236227" right="0.59055118110236227" top="0.59055118110236227" bottom="0.78740157480314965" header="0.51181102362204722" footer="0.59055118110236227"/>
  <pageSetup paperSize="9" scale="50" firstPageNumber="178" fitToHeight="5" orientation="landscape" useFirstPageNumber="1" r:id="rId1"/>
  <headerFooter alignWithMargins="0">
    <oddFooter>&amp;C&amp;12página &amp;P</oddFooter>
  </headerFooter>
  <rowBreaks count="2" manualBreakCount="2">
    <brk id="77" max="5" man="1"/>
    <brk id="101" max="5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1317"/>
  <sheetViews>
    <sheetView showGridLines="0" view="pageBreakPreview" topLeftCell="C1072" zoomScale="90" zoomScaleNormal="100" zoomScaleSheetLayoutView="90" workbookViewId="0">
      <selection activeCell="F13" sqref="F13"/>
    </sheetView>
  </sheetViews>
  <sheetFormatPr defaultColWidth="9.140625" defaultRowHeight="14.25" outlineLevelRow="2"/>
  <cols>
    <col min="1" max="1" width="27.42578125" style="751" hidden="1" customWidth="1"/>
    <col min="2" max="2" width="21" style="760" hidden="1" customWidth="1"/>
    <col min="3" max="3" width="13.7109375" style="481" customWidth="1"/>
    <col min="4" max="4" width="10.42578125" style="770" customWidth="1"/>
    <col min="5" max="5" width="61.140625" style="480" customWidth="1"/>
    <col min="6" max="6" width="47.42578125" style="948" customWidth="1"/>
    <col min="7" max="7" width="32.28515625" style="949" customWidth="1"/>
    <col min="8" max="8" width="12.5703125" style="769" customWidth="1"/>
    <col min="9" max="9" width="18.140625" style="870" customWidth="1"/>
    <col min="10" max="10" width="20.7109375" style="765" customWidth="1"/>
    <col min="11" max="16384" width="9.140625" style="751"/>
  </cols>
  <sheetData>
    <row r="1" spans="1:10" s="479" customFormat="1" ht="27">
      <c r="A1" s="84"/>
      <c r="B1" s="708"/>
      <c r="C1" s="716"/>
      <c r="D1" s="717"/>
      <c r="E1" s="710"/>
      <c r="F1" s="718" t="s">
        <v>111</v>
      </c>
      <c r="G1" s="711"/>
      <c r="H1" s="713"/>
      <c r="I1" s="719"/>
      <c r="J1" s="715"/>
    </row>
    <row r="2" spans="1:10" s="504" customFormat="1" ht="22.5">
      <c r="A2" s="84"/>
      <c r="B2" s="708"/>
      <c r="C2" s="720"/>
      <c r="D2" s="721"/>
      <c r="E2" s="722"/>
      <c r="F2" s="742" t="s">
        <v>265</v>
      </c>
      <c r="G2" s="874"/>
      <c r="H2" s="723"/>
      <c r="I2" s="724"/>
      <c r="J2" s="715"/>
    </row>
    <row r="3" spans="1:10" s="84" customFormat="1" ht="27">
      <c r="B3" s="708"/>
      <c r="C3" s="709"/>
      <c r="D3" s="710"/>
      <c r="E3" s="711"/>
      <c r="F3" s="742" t="s">
        <v>2766</v>
      </c>
      <c r="G3" s="711"/>
      <c r="H3" s="713"/>
      <c r="I3" s="714"/>
      <c r="J3" s="715"/>
    </row>
    <row r="4" spans="1:10" ht="15" thickBot="1"/>
    <row r="5" spans="1:10" s="84" customFormat="1" ht="29.25" thickBot="1">
      <c r="A5" s="959" t="s">
        <v>2078</v>
      </c>
      <c r="B5" s="1049" t="s">
        <v>2077</v>
      </c>
      <c r="C5" s="961" t="s">
        <v>266</v>
      </c>
      <c r="D5" s="962"/>
      <c r="E5" s="961" t="s">
        <v>114</v>
      </c>
      <c r="F5" s="960" t="s">
        <v>115</v>
      </c>
      <c r="G5" s="962" t="s">
        <v>116</v>
      </c>
      <c r="H5" s="963" t="s">
        <v>117</v>
      </c>
      <c r="I5" s="964" t="s">
        <v>118</v>
      </c>
      <c r="J5" s="965" t="s">
        <v>119</v>
      </c>
    </row>
    <row r="6" spans="1:10" s="84" customFormat="1" outlineLevel="2">
      <c r="A6" s="878" t="s">
        <v>2373</v>
      </c>
      <c r="B6" s="879">
        <v>112120611040</v>
      </c>
      <c r="C6" s="880" t="s">
        <v>267</v>
      </c>
      <c r="D6" s="460"/>
      <c r="E6" s="881" t="s">
        <v>407</v>
      </c>
      <c r="F6" s="881" t="s">
        <v>2418</v>
      </c>
      <c r="G6" s="881" t="s">
        <v>6806</v>
      </c>
      <c r="H6" s="882">
        <v>42401</v>
      </c>
      <c r="I6" s="883">
        <v>42467</v>
      </c>
      <c r="J6" s="957">
        <v>1058.95</v>
      </c>
    </row>
    <row r="7" spans="1:10" s="84" customFormat="1" outlineLevel="2">
      <c r="A7" s="878" t="s">
        <v>2373</v>
      </c>
      <c r="B7" s="879">
        <v>112120611040</v>
      </c>
      <c r="C7" s="880" t="s">
        <v>267</v>
      </c>
      <c r="D7" s="460"/>
      <c r="E7" s="881" t="s">
        <v>409</v>
      </c>
      <c r="F7" s="881" t="s">
        <v>2418</v>
      </c>
      <c r="G7" s="881" t="s">
        <v>6759</v>
      </c>
      <c r="H7" s="882">
        <v>42401</v>
      </c>
      <c r="I7" s="883">
        <v>42475</v>
      </c>
      <c r="J7" s="957">
        <v>1567.25</v>
      </c>
    </row>
    <row r="8" spans="1:10" s="84" customFormat="1" outlineLevel="2">
      <c r="A8" s="878" t="s">
        <v>2373</v>
      </c>
      <c r="B8" s="879">
        <v>112120611040</v>
      </c>
      <c r="C8" s="880" t="s">
        <v>267</v>
      </c>
      <c r="D8" s="460"/>
      <c r="E8" s="881" t="s">
        <v>408</v>
      </c>
      <c r="F8" s="881" t="s">
        <v>2418</v>
      </c>
      <c r="G8" s="881" t="s">
        <v>6871</v>
      </c>
      <c r="H8" s="882">
        <v>42370</v>
      </c>
      <c r="I8" s="883">
        <v>42478</v>
      </c>
      <c r="J8" s="957">
        <v>1617.79</v>
      </c>
    </row>
    <row r="9" spans="1:10" s="84" customFormat="1" outlineLevel="2">
      <c r="A9" s="884" t="s">
        <v>2373</v>
      </c>
      <c r="B9" s="1050" t="s">
        <v>7732</v>
      </c>
      <c r="C9" s="885" t="s">
        <v>267</v>
      </c>
      <c r="D9" s="884"/>
      <c r="E9" s="884" t="s">
        <v>2336</v>
      </c>
      <c r="F9" s="884" t="s">
        <v>6994</v>
      </c>
      <c r="G9" s="884" t="s">
        <v>6995</v>
      </c>
      <c r="H9" s="886">
        <v>42401</v>
      </c>
      <c r="I9" s="887">
        <v>42480</v>
      </c>
      <c r="J9" s="958">
        <v>225.98</v>
      </c>
    </row>
    <row r="10" spans="1:10" s="84" customFormat="1" outlineLevel="2">
      <c r="A10" s="884" t="s">
        <v>2373</v>
      </c>
      <c r="B10" s="1050" t="s">
        <v>7732</v>
      </c>
      <c r="C10" s="885" t="s">
        <v>267</v>
      </c>
      <c r="D10" s="884"/>
      <c r="E10" s="884" t="s">
        <v>2336</v>
      </c>
      <c r="F10" s="884" t="s">
        <v>6996</v>
      </c>
      <c r="G10" s="884" t="s">
        <v>6997</v>
      </c>
      <c r="H10" s="886">
        <v>42401</v>
      </c>
      <c r="I10" s="887">
        <v>42480</v>
      </c>
      <c r="J10" s="958">
        <v>148.66999999999999</v>
      </c>
    </row>
    <row r="11" spans="1:10" s="84" customFormat="1" outlineLevel="2">
      <c r="A11" s="884" t="s">
        <v>2373</v>
      </c>
      <c r="B11" s="1050" t="s">
        <v>7732</v>
      </c>
      <c r="C11" s="885" t="s">
        <v>267</v>
      </c>
      <c r="D11" s="884"/>
      <c r="E11" s="884" t="s">
        <v>2336</v>
      </c>
      <c r="F11" s="884" t="s">
        <v>6998</v>
      </c>
      <c r="G11" s="884" t="s">
        <v>6999</v>
      </c>
      <c r="H11" s="886">
        <v>42401</v>
      </c>
      <c r="I11" s="887">
        <v>42480</v>
      </c>
      <c r="J11" s="958">
        <v>220.04</v>
      </c>
    </row>
    <row r="12" spans="1:10" s="84" customFormat="1" outlineLevel="2">
      <c r="A12" s="884" t="s">
        <v>2373</v>
      </c>
      <c r="B12" s="1050" t="s">
        <v>7732</v>
      </c>
      <c r="C12" s="885" t="s">
        <v>267</v>
      </c>
      <c r="D12" s="884"/>
      <c r="E12" s="884" t="s">
        <v>1909</v>
      </c>
      <c r="F12" s="884" t="s">
        <v>7382</v>
      </c>
      <c r="G12" s="884" t="s">
        <v>7383</v>
      </c>
      <c r="H12" s="886">
        <v>42401</v>
      </c>
      <c r="I12" s="887">
        <v>42480</v>
      </c>
      <c r="J12" s="958">
        <v>20.54</v>
      </c>
    </row>
    <row r="13" spans="1:10" s="84" customFormat="1" outlineLevel="2">
      <c r="A13" s="884" t="s">
        <v>2373</v>
      </c>
      <c r="B13" s="1050" t="s">
        <v>7732</v>
      </c>
      <c r="C13" s="885" t="s">
        <v>267</v>
      </c>
      <c r="D13" s="884"/>
      <c r="E13" s="884" t="s">
        <v>1909</v>
      </c>
      <c r="F13" s="884" t="s">
        <v>7448</v>
      </c>
      <c r="G13" s="884" t="s">
        <v>7449</v>
      </c>
      <c r="H13" s="886">
        <v>42401</v>
      </c>
      <c r="I13" s="887">
        <v>42480</v>
      </c>
      <c r="J13" s="958">
        <v>13.52</v>
      </c>
    </row>
    <row r="14" spans="1:10" s="84" customFormat="1" outlineLevel="2">
      <c r="A14" s="884" t="s">
        <v>2373</v>
      </c>
      <c r="B14" s="1050" t="s">
        <v>7732</v>
      </c>
      <c r="C14" s="885" t="s">
        <v>267</v>
      </c>
      <c r="D14" s="884"/>
      <c r="E14" s="884" t="s">
        <v>1909</v>
      </c>
      <c r="F14" s="884" t="s">
        <v>7512</v>
      </c>
      <c r="G14" s="884" t="s">
        <v>7513</v>
      </c>
      <c r="H14" s="886">
        <v>42401</v>
      </c>
      <c r="I14" s="887">
        <v>42480</v>
      </c>
      <c r="J14" s="958">
        <v>20</v>
      </c>
    </row>
    <row r="15" spans="1:10" s="84" customFormat="1" outlineLevel="2">
      <c r="A15" s="884" t="s">
        <v>2373</v>
      </c>
      <c r="B15" s="1050" t="s">
        <v>7732</v>
      </c>
      <c r="C15" s="885" t="s">
        <v>267</v>
      </c>
      <c r="D15" s="884"/>
      <c r="E15" s="884" t="s">
        <v>1909</v>
      </c>
      <c r="F15" s="884" t="s">
        <v>7604</v>
      </c>
      <c r="G15" s="884" t="s">
        <v>7605</v>
      </c>
      <c r="H15" s="886">
        <v>42370</v>
      </c>
      <c r="I15" s="887">
        <v>42480</v>
      </c>
      <c r="J15" s="958">
        <v>63.17</v>
      </c>
    </row>
    <row r="16" spans="1:10" s="84" customFormat="1" outlineLevel="2">
      <c r="A16" s="884" t="s">
        <v>2373</v>
      </c>
      <c r="B16" s="1050" t="s">
        <v>7732</v>
      </c>
      <c r="C16" s="885" t="s">
        <v>267</v>
      </c>
      <c r="D16" s="884"/>
      <c r="E16" s="884" t="s">
        <v>1909</v>
      </c>
      <c r="F16" s="884" t="s">
        <v>7668</v>
      </c>
      <c r="G16" s="884" t="s">
        <v>7669</v>
      </c>
      <c r="H16" s="886">
        <v>42370</v>
      </c>
      <c r="I16" s="887">
        <v>42480</v>
      </c>
      <c r="J16" s="958">
        <v>93.49</v>
      </c>
    </row>
    <row r="17" spans="1:10" s="84" customFormat="1" outlineLevel="2">
      <c r="A17" s="884" t="s">
        <v>2433</v>
      </c>
      <c r="B17" s="1050">
        <v>112120702010</v>
      </c>
      <c r="C17" s="885" t="s">
        <v>267</v>
      </c>
      <c r="D17" s="884"/>
      <c r="E17" s="884" t="s">
        <v>2357</v>
      </c>
      <c r="F17" s="884" t="s">
        <v>2434</v>
      </c>
      <c r="G17" s="884" t="s">
        <v>6711</v>
      </c>
      <c r="H17" s="886">
        <v>42461</v>
      </c>
      <c r="I17" s="887">
        <v>42482</v>
      </c>
      <c r="J17" s="958">
        <v>1030.4000000000001</v>
      </c>
    </row>
    <row r="18" spans="1:10" s="84" customFormat="1" outlineLevel="2">
      <c r="A18" s="884" t="s">
        <v>2387</v>
      </c>
      <c r="B18" s="1050" t="s">
        <v>7732</v>
      </c>
      <c r="C18" s="885" t="s">
        <v>267</v>
      </c>
      <c r="D18" s="884"/>
      <c r="E18" s="884" t="s">
        <v>2357</v>
      </c>
      <c r="F18" s="884" t="s">
        <v>7306</v>
      </c>
      <c r="G18" s="884" t="s">
        <v>7307</v>
      </c>
      <c r="H18" s="886">
        <v>42401</v>
      </c>
      <c r="I18" s="887">
        <v>42485</v>
      </c>
      <c r="J18" s="958">
        <v>102.72</v>
      </c>
    </row>
    <row r="19" spans="1:10" s="84" customFormat="1" outlineLevel="2">
      <c r="A19" s="884" t="s">
        <v>2387</v>
      </c>
      <c r="B19" s="1050" t="s">
        <v>7732</v>
      </c>
      <c r="C19" s="885" t="s">
        <v>267</v>
      </c>
      <c r="D19" s="884"/>
      <c r="E19" s="884" t="s">
        <v>2357</v>
      </c>
      <c r="F19" s="884" t="s">
        <v>7308</v>
      </c>
      <c r="G19" s="884" t="s">
        <v>7309</v>
      </c>
      <c r="H19" s="886">
        <v>42401</v>
      </c>
      <c r="I19" s="887">
        <v>42485</v>
      </c>
      <c r="J19" s="958">
        <v>67.58</v>
      </c>
    </row>
    <row r="20" spans="1:10" s="84" customFormat="1" outlineLevel="2">
      <c r="A20" s="884" t="s">
        <v>2387</v>
      </c>
      <c r="B20" s="1050" t="s">
        <v>7732</v>
      </c>
      <c r="C20" s="885" t="s">
        <v>267</v>
      </c>
      <c r="D20" s="884"/>
      <c r="E20" s="884" t="s">
        <v>2357</v>
      </c>
      <c r="F20" s="884" t="s">
        <v>7310</v>
      </c>
      <c r="G20" s="884" t="s">
        <v>7311</v>
      </c>
      <c r="H20" s="886">
        <v>42401</v>
      </c>
      <c r="I20" s="887">
        <v>42485</v>
      </c>
      <c r="J20" s="958">
        <v>100.02</v>
      </c>
    </row>
    <row r="21" spans="1:10" s="84" customFormat="1" outlineLevel="1">
      <c r="A21" s="884"/>
      <c r="B21" s="1050"/>
      <c r="C21" s="908" t="s">
        <v>267</v>
      </c>
      <c r="D21" s="928" t="str">
        <f>VLOOKUP(C21,$C$1102:$E$1189,3,FALSE)</f>
        <v>TOTAL POUPATEMPO PRESIDENTE PRUDENTE</v>
      </c>
      <c r="E21" s="928"/>
      <c r="F21" s="928"/>
      <c r="G21" s="928"/>
      <c r="H21" s="911"/>
      <c r="I21" s="912"/>
      <c r="J21" s="966">
        <f>SUBTOTAL(9,J6:J20)</f>
        <v>6350.12</v>
      </c>
    </row>
    <row r="22" spans="1:10" s="84" customFormat="1" outlineLevel="2">
      <c r="A22" s="884" t="s">
        <v>2374</v>
      </c>
      <c r="B22" s="1050">
        <v>112120611040</v>
      </c>
      <c r="C22" s="885" t="s">
        <v>268</v>
      </c>
      <c r="D22" s="884"/>
      <c r="E22" s="884" t="s">
        <v>407</v>
      </c>
      <c r="F22" s="884" t="s">
        <v>2418</v>
      </c>
      <c r="G22" s="884" t="s">
        <v>6805</v>
      </c>
      <c r="H22" s="886">
        <v>42401</v>
      </c>
      <c r="I22" s="887">
        <v>42467</v>
      </c>
      <c r="J22" s="958">
        <v>1166.49</v>
      </c>
    </row>
    <row r="23" spans="1:10" s="84" customFormat="1" outlineLevel="2">
      <c r="A23" s="884" t="s">
        <v>2374</v>
      </c>
      <c r="B23" s="1050" t="s">
        <v>7732</v>
      </c>
      <c r="C23" s="885" t="s">
        <v>268</v>
      </c>
      <c r="D23" s="884"/>
      <c r="E23" s="884" t="s">
        <v>2358</v>
      </c>
      <c r="F23" s="884" t="s">
        <v>7282</v>
      </c>
      <c r="G23" s="884" t="s">
        <v>7283</v>
      </c>
      <c r="H23" s="886">
        <v>42401</v>
      </c>
      <c r="I23" s="887">
        <v>42471</v>
      </c>
      <c r="J23" s="958">
        <v>43.55</v>
      </c>
    </row>
    <row r="24" spans="1:10" s="84" customFormat="1" outlineLevel="2">
      <c r="A24" s="884" t="s">
        <v>2374</v>
      </c>
      <c r="B24" s="1050" t="s">
        <v>7732</v>
      </c>
      <c r="C24" s="885" t="s">
        <v>268</v>
      </c>
      <c r="D24" s="884"/>
      <c r="E24" s="884" t="s">
        <v>2358</v>
      </c>
      <c r="F24" s="884" t="s">
        <v>7284</v>
      </c>
      <c r="G24" s="884" t="s">
        <v>7285</v>
      </c>
      <c r="H24" s="886">
        <v>42401</v>
      </c>
      <c r="I24" s="887">
        <v>42471</v>
      </c>
      <c r="J24" s="958">
        <v>64.459999999999994</v>
      </c>
    </row>
    <row r="25" spans="1:10" s="84" customFormat="1" outlineLevel="2">
      <c r="A25" s="884" t="s">
        <v>2374</v>
      </c>
      <c r="B25" s="1050" t="s">
        <v>7732</v>
      </c>
      <c r="C25" s="885" t="s">
        <v>268</v>
      </c>
      <c r="D25" s="884"/>
      <c r="E25" s="884" t="s">
        <v>2358</v>
      </c>
      <c r="F25" s="884" t="s">
        <v>7286</v>
      </c>
      <c r="G25" s="884" t="s">
        <v>7287</v>
      </c>
      <c r="H25" s="886">
        <v>42401</v>
      </c>
      <c r="I25" s="887">
        <v>42471</v>
      </c>
      <c r="J25" s="958">
        <v>66.19</v>
      </c>
    </row>
    <row r="26" spans="1:10" s="84" customFormat="1" outlineLevel="2">
      <c r="A26" s="884" t="s">
        <v>2374</v>
      </c>
      <c r="B26" s="1050">
        <v>112120611040</v>
      </c>
      <c r="C26" s="885" t="s">
        <v>268</v>
      </c>
      <c r="D26" s="884"/>
      <c r="E26" s="884" t="s">
        <v>409</v>
      </c>
      <c r="F26" s="884" t="s">
        <v>2418</v>
      </c>
      <c r="G26" s="884" t="s">
        <v>6758</v>
      </c>
      <c r="H26" s="886">
        <v>42401</v>
      </c>
      <c r="I26" s="887">
        <v>42475</v>
      </c>
      <c r="J26" s="958">
        <v>1726.4</v>
      </c>
    </row>
    <row r="27" spans="1:10" s="84" customFormat="1" outlineLevel="2">
      <c r="A27" s="884" t="s">
        <v>2374</v>
      </c>
      <c r="B27" s="1050">
        <v>112120611040</v>
      </c>
      <c r="C27" s="885" t="s">
        <v>268</v>
      </c>
      <c r="D27" s="884"/>
      <c r="E27" s="884" t="s">
        <v>408</v>
      </c>
      <c r="F27" s="884" t="s">
        <v>2418</v>
      </c>
      <c r="G27" s="884" t="s">
        <v>6870</v>
      </c>
      <c r="H27" s="886">
        <v>42370</v>
      </c>
      <c r="I27" s="887">
        <v>42478</v>
      </c>
      <c r="J27" s="958">
        <v>1823.36</v>
      </c>
    </row>
    <row r="28" spans="1:10" s="84" customFormat="1" outlineLevel="2">
      <c r="A28" s="884" t="s">
        <v>2374</v>
      </c>
      <c r="B28" s="1050" t="s">
        <v>7732</v>
      </c>
      <c r="C28" s="885" t="s">
        <v>268</v>
      </c>
      <c r="D28" s="884"/>
      <c r="E28" s="884" t="s">
        <v>2336</v>
      </c>
      <c r="F28" s="884" t="s">
        <v>7002</v>
      </c>
      <c r="G28" s="884" t="s">
        <v>7003</v>
      </c>
      <c r="H28" s="886">
        <v>42401</v>
      </c>
      <c r="I28" s="887">
        <v>42480</v>
      </c>
      <c r="J28" s="958">
        <v>242.73</v>
      </c>
    </row>
    <row r="29" spans="1:10" s="84" customFormat="1" outlineLevel="2">
      <c r="A29" s="884" t="s">
        <v>2374</v>
      </c>
      <c r="B29" s="1050" t="s">
        <v>7732</v>
      </c>
      <c r="C29" s="885" t="s">
        <v>268</v>
      </c>
      <c r="D29" s="884"/>
      <c r="E29" s="884" t="s">
        <v>2336</v>
      </c>
      <c r="F29" s="884" t="s">
        <v>7000</v>
      </c>
      <c r="G29" s="884" t="s">
        <v>7001</v>
      </c>
      <c r="H29" s="886">
        <v>42401</v>
      </c>
      <c r="I29" s="887">
        <v>42480</v>
      </c>
      <c r="J29" s="958">
        <v>159.69</v>
      </c>
    </row>
    <row r="30" spans="1:10" s="84" customFormat="1" outlineLevel="2">
      <c r="A30" s="884" t="s">
        <v>2374</v>
      </c>
      <c r="B30" s="1050" t="s">
        <v>7732</v>
      </c>
      <c r="C30" s="885" t="s">
        <v>268</v>
      </c>
      <c r="D30" s="884"/>
      <c r="E30" s="884" t="s">
        <v>2336</v>
      </c>
      <c r="F30" s="884" t="s">
        <v>7004</v>
      </c>
      <c r="G30" s="884" t="s">
        <v>7005</v>
      </c>
      <c r="H30" s="886">
        <v>42401</v>
      </c>
      <c r="I30" s="887">
        <v>42480</v>
      </c>
      <c r="J30" s="958">
        <v>236.35</v>
      </c>
    </row>
    <row r="31" spans="1:10" s="84" customFormat="1" outlineLevel="2">
      <c r="A31" s="884" t="s">
        <v>2374</v>
      </c>
      <c r="B31" s="1050" t="s">
        <v>7732</v>
      </c>
      <c r="C31" s="885" t="s">
        <v>268</v>
      </c>
      <c r="D31" s="884"/>
      <c r="E31" s="884" t="s">
        <v>1909</v>
      </c>
      <c r="F31" s="884" t="s">
        <v>7380</v>
      </c>
      <c r="G31" s="884" t="s">
        <v>7381</v>
      </c>
      <c r="H31" s="886">
        <v>42401</v>
      </c>
      <c r="I31" s="887">
        <v>42480</v>
      </c>
      <c r="J31" s="958">
        <v>22.07</v>
      </c>
    </row>
    <row r="32" spans="1:10" s="84" customFormat="1" outlineLevel="2">
      <c r="A32" s="884" t="s">
        <v>2374</v>
      </c>
      <c r="B32" s="1050" t="s">
        <v>7732</v>
      </c>
      <c r="C32" s="885" t="s">
        <v>268</v>
      </c>
      <c r="D32" s="884"/>
      <c r="E32" s="884" t="s">
        <v>1909</v>
      </c>
      <c r="F32" s="884" t="s">
        <v>7446</v>
      </c>
      <c r="G32" s="884" t="s">
        <v>7447</v>
      </c>
      <c r="H32" s="886">
        <v>42401</v>
      </c>
      <c r="I32" s="887">
        <v>42480</v>
      </c>
      <c r="J32" s="958">
        <v>14.52</v>
      </c>
    </row>
    <row r="33" spans="1:10" s="84" customFormat="1" outlineLevel="2">
      <c r="A33" s="884" t="s">
        <v>2374</v>
      </c>
      <c r="B33" s="1050" t="s">
        <v>7732</v>
      </c>
      <c r="C33" s="885" t="s">
        <v>268</v>
      </c>
      <c r="D33" s="884"/>
      <c r="E33" s="884" t="s">
        <v>1909</v>
      </c>
      <c r="F33" s="884" t="s">
        <v>7510</v>
      </c>
      <c r="G33" s="884" t="s">
        <v>7511</v>
      </c>
      <c r="H33" s="886">
        <v>42401</v>
      </c>
      <c r="I33" s="887">
        <v>42480</v>
      </c>
      <c r="J33" s="958">
        <v>21.49</v>
      </c>
    </row>
    <row r="34" spans="1:10" s="84" customFormat="1" outlineLevel="2">
      <c r="A34" s="884" t="s">
        <v>2374</v>
      </c>
      <c r="B34" s="1050" t="s">
        <v>7732</v>
      </c>
      <c r="C34" s="885" t="s">
        <v>268</v>
      </c>
      <c r="D34" s="884"/>
      <c r="E34" s="884" t="s">
        <v>1909</v>
      </c>
      <c r="F34" s="884" t="s">
        <v>7602</v>
      </c>
      <c r="G34" s="884" t="s">
        <v>7603</v>
      </c>
      <c r="H34" s="886">
        <v>42370</v>
      </c>
      <c r="I34" s="887">
        <v>42480</v>
      </c>
      <c r="J34" s="958">
        <v>69.430000000000007</v>
      </c>
    </row>
    <row r="35" spans="1:10" s="84" customFormat="1" outlineLevel="2">
      <c r="A35" s="884" t="s">
        <v>2374</v>
      </c>
      <c r="B35" s="1050" t="s">
        <v>7732</v>
      </c>
      <c r="C35" s="885" t="s">
        <v>268</v>
      </c>
      <c r="D35" s="884"/>
      <c r="E35" s="884" t="s">
        <v>1909</v>
      </c>
      <c r="F35" s="884" t="s">
        <v>7666</v>
      </c>
      <c r="G35" s="884" t="s">
        <v>7667</v>
      </c>
      <c r="H35" s="886">
        <v>42370</v>
      </c>
      <c r="I35" s="887">
        <v>42480</v>
      </c>
      <c r="J35" s="958">
        <v>102.74</v>
      </c>
    </row>
    <row r="36" spans="1:10" s="84" customFormat="1" outlineLevel="1">
      <c r="A36" s="884"/>
      <c r="B36" s="1050"/>
      <c r="C36" s="908" t="s">
        <v>268</v>
      </c>
      <c r="D36" s="928" t="str">
        <f>VLOOKUP(C36,$C$1102:$E$1189,3,FALSE)</f>
        <v>TOTAL POUPATEMPO MARÍLIA</v>
      </c>
      <c r="E36" s="928"/>
      <c r="F36" s="928"/>
      <c r="G36" s="928"/>
      <c r="H36" s="911"/>
      <c r="I36" s="912"/>
      <c r="J36" s="966">
        <f>SUBTOTAL(9,J22:J35)</f>
        <v>5759.4699999999993</v>
      </c>
    </row>
    <row r="37" spans="1:10" s="84" customFormat="1" outlineLevel="2">
      <c r="A37" s="884" t="s">
        <v>2375</v>
      </c>
      <c r="B37" s="1050">
        <v>112120611040</v>
      </c>
      <c r="C37" s="885" t="s">
        <v>305</v>
      </c>
      <c r="D37" s="884"/>
      <c r="E37" s="884" t="s">
        <v>407</v>
      </c>
      <c r="F37" s="884" t="s">
        <v>2418</v>
      </c>
      <c r="G37" s="884" t="s">
        <v>6816</v>
      </c>
      <c r="H37" s="886">
        <v>42401</v>
      </c>
      <c r="I37" s="887">
        <v>42467</v>
      </c>
      <c r="J37" s="958">
        <v>2643.26</v>
      </c>
    </row>
    <row r="38" spans="1:10" s="84" customFormat="1" outlineLevel="2">
      <c r="A38" s="884" t="s">
        <v>2375</v>
      </c>
      <c r="B38" s="1050">
        <v>112120611040</v>
      </c>
      <c r="C38" s="885" t="s">
        <v>305</v>
      </c>
      <c r="D38" s="884"/>
      <c r="E38" s="884" t="s">
        <v>407</v>
      </c>
      <c r="F38" s="884" t="s">
        <v>2418</v>
      </c>
      <c r="G38" s="884" t="s">
        <v>6817</v>
      </c>
      <c r="H38" s="886">
        <v>42401</v>
      </c>
      <c r="I38" s="887">
        <v>42467</v>
      </c>
      <c r="J38" s="958">
        <v>919.46</v>
      </c>
    </row>
    <row r="39" spans="1:10" s="84" customFormat="1" outlineLevel="2">
      <c r="A39" s="884" t="s">
        <v>2375</v>
      </c>
      <c r="B39" s="1050" t="s">
        <v>7732</v>
      </c>
      <c r="C39" s="885" t="s">
        <v>305</v>
      </c>
      <c r="D39" s="884"/>
      <c r="E39" s="884" t="s">
        <v>2359</v>
      </c>
      <c r="F39" s="884" t="s">
        <v>7222</v>
      </c>
      <c r="G39" s="884" t="s">
        <v>7223</v>
      </c>
      <c r="H39" s="886">
        <v>42401</v>
      </c>
      <c r="I39" s="887">
        <v>42468</v>
      </c>
      <c r="J39" s="958">
        <v>70.45</v>
      </c>
    </row>
    <row r="40" spans="1:10" s="84" customFormat="1" outlineLevel="2">
      <c r="A40" s="884" t="s">
        <v>2375</v>
      </c>
      <c r="B40" s="1050" t="s">
        <v>7732</v>
      </c>
      <c r="C40" s="885" t="s">
        <v>305</v>
      </c>
      <c r="D40" s="884"/>
      <c r="E40" s="884" t="s">
        <v>2359</v>
      </c>
      <c r="F40" s="884" t="s">
        <v>7224</v>
      </c>
      <c r="G40" s="884" t="s">
        <v>7225</v>
      </c>
      <c r="H40" s="886">
        <v>42401</v>
      </c>
      <c r="I40" s="887">
        <v>42468</v>
      </c>
      <c r="J40" s="958">
        <v>68.599999999999994</v>
      </c>
    </row>
    <row r="41" spans="1:10" s="84" customFormat="1" outlineLevel="2">
      <c r="A41" s="884" t="s">
        <v>2375</v>
      </c>
      <c r="B41" s="1050" t="s">
        <v>7732</v>
      </c>
      <c r="C41" s="885" t="s">
        <v>305</v>
      </c>
      <c r="D41" s="884"/>
      <c r="E41" s="884" t="s">
        <v>2359</v>
      </c>
      <c r="F41" s="884" t="s">
        <v>7226</v>
      </c>
      <c r="G41" s="884" t="s">
        <v>7227</v>
      </c>
      <c r="H41" s="886">
        <v>42401</v>
      </c>
      <c r="I41" s="887">
        <v>42468</v>
      </c>
      <c r="J41" s="958">
        <v>46.35</v>
      </c>
    </row>
    <row r="42" spans="1:10" s="84" customFormat="1" outlineLevel="2">
      <c r="A42" s="884" t="s">
        <v>2375</v>
      </c>
      <c r="B42" s="1050" t="s">
        <v>7732</v>
      </c>
      <c r="C42" s="885" t="s">
        <v>305</v>
      </c>
      <c r="D42" s="884"/>
      <c r="E42" s="884" t="s">
        <v>2359</v>
      </c>
      <c r="F42" s="884" t="s">
        <v>7228</v>
      </c>
      <c r="G42" s="884" t="s">
        <v>7229</v>
      </c>
      <c r="H42" s="886">
        <v>42401</v>
      </c>
      <c r="I42" s="887">
        <v>42468</v>
      </c>
      <c r="J42" s="958">
        <v>133.24</v>
      </c>
    </row>
    <row r="43" spans="1:10" s="84" customFormat="1" outlineLevel="2">
      <c r="A43" s="884" t="s">
        <v>2375</v>
      </c>
      <c r="B43" s="1050">
        <v>112120611040</v>
      </c>
      <c r="C43" s="885" t="s">
        <v>305</v>
      </c>
      <c r="D43" s="884"/>
      <c r="E43" s="884" t="s">
        <v>409</v>
      </c>
      <c r="F43" s="884" t="s">
        <v>2418</v>
      </c>
      <c r="G43" s="884" t="s">
        <v>6769</v>
      </c>
      <c r="H43" s="886">
        <v>42401</v>
      </c>
      <c r="I43" s="887">
        <v>42475</v>
      </c>
      <c r="J43" s="958">
        <v>1360.8</v>
      </c>
    </row>
    <row r="44" spans="1:10" s="84" customFormat="1" outlineLevel="2">
      <c r="A44" s="884" t="s">
        <v>2375</v>
      </c>
      <c r="B44" s="1050">
        <v>112120611040</v>
      </c>
      <c r="C44" s="885" t="s">
        <v>305</v>
      </c>
      <c r="D44" s="884"/>
      <c r="E44" s="884" t="s">
        <v>408</v>
      </c>
      <c r="F44" s="884" t="s">
        <v>2418</v>
      </c>
      <c r="G44" s="884" t="s">
        <v>6876</v>
      </c>
      <c r="H44" s="886">
        <v>42370</v>
      </c>
      <c r="I44" s="887">
        <v>42478</v>
      </c>
      <c r="J44" s="958">
        <v>1424.88</v>
      </c>
    </row>
    <row r="45" spans="1:10" s="84" customFormat="1" outlineLevel="2">
      <c r="A45" s="884" t="s">
        <v>2375</v>
      </c>
      <c r="B45" s="1050" t="s">
        <v>7732</v>
      </c>
      <c r="C45" s="885" t="s">
        <v>305</v>
      </c>
      <c r="D45" s="884"/>
      <c r="E45" s="884" t="s">
        <v>2336</v>
      </c>
      <c r="F45" s="884" t="s">
        <v>7006</v>
      </c>
      <c r="G45" s="884" t="s">
        <v>7007</v>
      </c>
      <c r="H45" s="886">
        <v>42401</v>
      </c>
      <c r="I45" s="887">
        <v>42480</v>
      </c>
      <c r="J45" s="958">
        <v>193.74</v>
      </c>
    </row>
    <row r="46" spans="1:10" s="84" customFormat="1" outlineLevel="2">
      <c r="A46" s="884" t="s">
        <v>2375</v>
      </c>
      <c r="B46" s="1050" t="s">
        <v>7732</v>
      </c>
      <c r="C46" s="885" t="s">
        <v>305</v>
      </c>
      <c r="D46" s="884"/>
      <c r="E46" s="884" t="s">
        <v>2336</v>
      </c>
      <c r="F46" s="884" t="s">
        <v>7012</v>
      </c>
      <c r="G46" s="884" t="s">
        <v>7013</v>
      </c>
      <c r="H46" s="886">
        <v>42401</v>
      </c>
      <c r="I46" s="887">
        <v>42480</v>
      </c>
      <c r="J46" s="958">
        <v>366.42</v>
      </c>
    </row>
    <row r="47" spans="1:10" s="84" customFormat="1" outlineLevel="2">
      <c r="A47" s="884" t="s">
        <v>2375</v>
      </c>
      <c r="B47" s="1050" t="s">
        <v>7732</v>
      </c>
      <c r="C47" s="885" t="s">
        <v>305</v>
      </c>
      <c r="D47" s="884"/>
      <c r="E47" s="884" t="s">
        <v>2336</v>
      </c>
      <c r="F47" s="884" t="s">
        <v>7010</v>
      </c>
      <c r="G47" s="884" t="s">
        <v>7011</v>
      </c>
      <c r="H47" s="886">
        <v>42401</v>
      </c>
      <c r="I47" s="887">
        <v>42480</v>
      </c>
      <c r="J47" s="958">
        <v>127.46</v>
      </c>
    </row>
    <row r="48" spans="1:10" s="84" customFormat="1" outlineLevel="2">
      <c r="A48" s="884" t="s">
        <v>2375</v>
      </c>
      <c r="B48" s="1050" t="s">
        <v>7732</v>
      </c>
      <c r="C48" s="885" t="s">
        <v>305</v>
      </c>
      <c r="D48" s="884"/>
      <c r="E48" s="884" t="s">
        <v>2336</v>
      </c>
      <c r="F48" s="884" t="s">
        <v>7008</v>
      </c>
      <c r="G48" s="884" t="s">
        <v>7009</v>
      </c>
      <c r="H48" s="886">
        <v>42401</v>
      </c>
      <c r="I48" s="887">
        <v>42480</v>
      </c>
      <c r="J48" s="958">
        <v>188.64</v>
      </c>
    </row>
    <row r="49" spans="1:10" s="84" customFormat="1" outlineLevel="2">
      <c r="A49" s="884" t="s">
        <v>2375</v>
      </c>
      <c r="B49" s="1050" t="s">
        <v>7732</v>
      </c>
      <c r="C49" s="885" t="s">
        <v>305</v>
      </c>
      <c r="D49" s="884"/>
      <c r="E49" s="884" t="s">
        <v>1909</v>
      </c>
      <c r="F49" s="884" t="s">
        <v>7402</v>
      </c>
      <c r="G49" s="884" t="s">
        <v>7403</v>
      </c>
      <c r="H49" s="886">
        <v>42401</v>
      </c>
      <c r="I49" s="887">
        <v>42480</v>
      </c>
      <c r="J49" s="958">
        <v>17.61</v>
      </c>
    </row>
    <row r="50" spans="1:10" s="84" customFormat="1" outlineLevel="2">
      <c r="A50" s="884" t="s">
        <v>2375</v>
      </c>
      <c r="B50" s="1050" t="s">
        <v>7732</v>
      </c>
      <c r="C50" s="885" t="s">
        <v>305</v>
      </c>
      <c r="D50" s="884"/>
      <c r="E50" s="884" t="s">
        <v>1909</v>
      </c>
      <c r="F50" s="884" t="s">
        <v>7468</v>
      </c>
      <c r="G50" s="884" t="s">
        <v>7469</v>
      </c>
      <c r="H50" s="886">
        <v>42401</v>
      </c>
      <c r="I50" s="887">
        <v>42480</v>
      </c>
      <c r="J50" s="958">
        <v>33.31</v>
      </c>
    </row>
    <row r="51" spans="1:10" s="84" customFormat="1" outlineLevel="2">
      <c r="A51" s="884" t="s">
        <v>2375</v>
      </c>
      <c r="B51" s="1050" t="s">
        <v>7732</v>
      </c>
      <c r="C51" s="885" t="s">
        <v>305</v>
      </c>
      <c r="D51" s="884"/>
      <c r="E51" s="884" t="s">
        <v>1909</v>
      </c>
      <c r="F51" s="884" t="s">
        <v>7470</v>
      </c>
      <c r="G51" s="884" t="s">
        <v>7471</v>
      </c>
      <c r="H51" s="886">
        <v>42401</v>
      </c>
      <c r="I51" s="887">
        <v>42480</v>
      </c>
      <c r="J51" s="958">
        <v>11.59</v>
      </c>
    </row>
    <row r="52" spans="1:10" s="84" customFormat="1" outlineLevel="2">
      <c r="A52" s="884" t="s">
        <v>2375</v>
      </c>
      <c r="B52" s="1050" t="s">
        <v>7732</v>
      </c>
      <c r="C52" s="885" t="s">
        <v>305</v>
      </c>
      <c r="D52" s="884"/>
      <c r="E52" s="884" t="s">
        <v>1909</v>
      </c>
      <c r="F52" s="884" t="s">
        <v>7532</v>
      </c>
      <c r="G52" s="884" t="s">
        <v>7533</v>
      </c>
      <c r="H52" s="886">
        <v>42401</v>
      </c>
      <c r="I52" s="887">
        <v>42480</v>
      </c>
      <c r="J52" s="958">
        <v>17.149999999999999</v>
      </c>
    </row>
    <row r="53" spans="1:10" s="84" customFormat="1" outlineLevel="2">
      <c r="A53" s="884" t="s">
        <v>2375</v>
      </c>
      <c r="B53" s="1050" t="s">
        <v>7732</v>
      </c>
      <c r="C53" s="885" t="s">
        <v>305</v>
      </c>
      <c r="D53" s="884"/>
      <c r="E53" s="884" t="s">
        <v>1909</v>
      </c>
      <c r="F53" s="884" t="s">
        <v>7614</v>
      </c>
      <c r="G53" s="884" t="s">
        <v>7615</v>
      </c>
      <c r="H53" s="886">
        <v>42370</v>
      </c>
      <c r="I53" s="887">
        <v>42480</v>
      </c>
      <c r="J53" s="958">
        <v>54.93</v>
      </c>
    </row>
    <row r="54" spans="1:10" s="84" customFormat="1" outlineLevel="2">
      <c r="A54" s="884" t="s">
        <v>2375</v>
      </c>
      <c r="B54" s="1050" t="s">
        <v>7732</v>
      </c>
      <c r="C54" s="885" t="s">
        <v>305</v>
      </c>
      <c r="D54" s="884"/>
      <c r="E54" s="884" t="s">
        <v>1909</v>
      </c>
      <c r="F54" s="884" t="s">
        <v>7678</v>
      </c>
      <c r="G54" s="884" t="s">
        <v>7679</v>
      </c>
      <c r="H54" s="886">
        <v>42370</v>
      </c>
      <c r="I54" s="887">
        <v>42480</v>
      </c>
      <c r="J54" s="958">
        <v>81.3</v>
      </c>
    </row>
    <row r="55" spans="1:10" s="84" customFormat="1" outlineLevel="1">
      <c r="A55" s="884"/>
      <c r="B55" s="1050"/>
      <c r="C55" s="908" t="s">
        <v>305</v>
      </c>
      <c r="D55" s="928" t="str">
        <f>VLOOKUP(C55,$C$1102:$E$1189,3,FALSE)</f>
        <v>TOTAL POUPATEMPO ARAÇATUBA</v>
      </c>
      <c r="E55" s="928"/>
      <c r="F55" s="928"/>
      <c r="G55" s="928"/>
      <c r="H55" s="911"/>
      <c r="I55" s="912"/>
      <c r="J55" s="966">
        <f>SUBTOTAL(9,J37:J54)</f>
        <v>7759.1900000000005</v>
      </c>
    </row>
    <row r="56" spans="1:10" s="84" customFormat="1" outlineLevel="2">
      <c r="A56" s="884" t="s">
        <v>2376</v>
      </c>
      <c r="B56" s="1050">
        <v>112120611040</v>
      </c>
      <c r="C56" s="885" t="s">
        <v>306</v>
      </c>
      <c r="D56" s="884"/>
      <c r="E56" s="884" t="s">
        <v>407</v>
      </c>
      <c r="F56" s="884" t="s">
        <v>2418</v>
      </c>
      <c r="G56" s="884" t="s">
        <v>6808</v>
      </c>
      <c r="H56" s="886">
        <v>42401</v>
      </c>
      <c r="I56" s="887">
        <v>42467</v>
      </c>
      <c r="J56" s="958">
        <v>1047.03</v>
      </c>
    </row>
    <row r="57" spans="1:10" s="84" customFormat="1" outlineLevel="2">
      <c r="A57" s="884" t="s">
        <v>2376</v>
      </c>
      <c r="B57" s="1050">
        <v>112120611040</v>
      </c>
      <c r="C57" s="885" t="s">
        <v>306</v>
      </c>
      <c r="D57" s="884"/>
      <c r="E57" s="884" t="s">
        <v>409</v>
      </c>
      <c r="F57" s="884" t="s">
        <v>2418</v>
      </c>
      <c r="G57" s="884" t="s">
        <v>6761</v>
      </c>
      <c r="H57" s="886">
        <v>42401</v>
      </c>
      <c r="I57" s="887">
        <v>42475</v>
      </c>
      <c r="J57" s="958">
        <v>1549.6</v>
      </c>
    </row>
    <row r="58" spans="1:10" s="84" customFormat="1" outlineLevel="2">
      <c r="A58" s="884" t="s">
        <v>2376</v>
      </c>
      <c r="B58" s="1050">
        <v>112120611040</v>
      </c>
      <c r="C58" s="885" t="s">
        <v>306</v>
      </c>
      <c r="D58" s="884"/>
      <c r="E58" s="884" t="s">
        <v>408</v>
      </c>
      <c r="F58" s="884" t="s">
        <v>2418</v>
      </c>
      <c r="G58" s="884" t="s">
        <v>6873</v>
      </c>
      <c r="H58" s="886">
        <v>42370</v>
      </c>
      <c r="I58" s="887">
        <v>42478</v>
      </c>
      <c r="J58" s="958">
        <v>1622.02</v>
      </c>
    </row>
    <row r="59" spans="1:10" s="84" customFormat="1" outlineLevel="2">
      <c r="A59" s="884" t="s">
        <v>2376</v>
      </c>
      <c r="B59" s="1050" t="s">
        <v>7732</v>
      </c>
      <c r="C59" s="885" t="s">
        <v>306</v>
      </c>
      <c r="D59" s="884"/>
      <c r="E59" s="884" t="s">
        <v>2336</v>
      </c>
      <c r="F59" s="884" t="s">
        <v>7016</v>
      </c>
      <c r="G59" s="884" t="s">
        <v>7017</v>
      </c>
      <c r="H59" s="886">
        <v>42401</v>
      </c>
      <c r="I59" s="887">
        <v>42480</v>
      </c>
      <c r="J59" s="958">
        <v>215.2</v>
      </c>
    </row>
    <row r="60" spans="1:10" s="84" customFormat="1" outlineLevel="2">
      <c r="A60" s="884" t="s">
        <v>2376</v>
      </c>
      <c r="B60" s="1050" t="s">
        <v>7732</v>
      </c>
      <c r="C60" s="885" t="s">
        <v>306</v>
      </c>
      <c r="D60" s="884"/>
      <c r="E60" s="884" t="s">
        <v>2336</v>
      </c>
      <c r="F60" s="884" t="s">
        <v>7014</v>
      </c>
      <c r="G60" s="884" t="s">
        <v>7015</v>
      </c>
      <c r="H60" s="886">
        <v>42401</v>
      </c>
      <c r="I60" s="887">
        <v>42480</v>
      </c>
      <c r="J60" s="958">
        <v>141.58000000000001</v>
      </c>
    </row>
    <row r="61" spans="1:10" s="84" customFormat="1" outlineLevel="2">
      <c r="A61" s="884" t="s">
        <v>2376</v>
      </c>
      <c r="B61" s="1050" t="s">
        <v>7732</v>
      </c>
      <c r="C61" s="885" t="s">
        <v>306</v>
      </c>
      <c r="D61" s="884"/>
      <c r="E61" s="884" t="s">
        <v>2336</v>
      </c>
      <c r="F61" s="884" t="s">
        <v>7018</v>
      </c>
      <c r="G61" s="884" t="s">
        <v>7019</v>
      </c>
      <c r="H61" s="886">
        <v>42401</v>
      </c>
      <c r="I61" s="887">
        <v>42480</v>
      </c>
      <c r="J61" s="958">
        <v>209.53</v>
      </c>
    </row>
    <row r="62" spans="1:10" s="84" customFormat="1" outlineLevel="2">
      <c r="A62" s="884" t="s">
        <v>2376</v>
      </c>
      <c r="B62" s="1050" t="s">
        <v>7732</v>
      </c>
      <c r="C62" s="885" t="s">
        <v>306</v>
      </c>
      <c r="D62" s="884"/>
      <c r="E62" s="884" t="s">
        <v>2360</v>
      </c>
      <c r="F62" s="884" t="s">
        <v>7318</v>
      </c>
      <c r="G62" s="884" t="s">
        <v>7319</v>
      </c>
      <c r="H62" s="886">
        <v>42401</v>
      </c>
      <c r="I62" s="887">
        <v>42480</v>
      </c>
      <c r="J62" s="958">
        <v>25.74</v>
      </c>
    </row>
    <row r="63" spans="1:10" s="84" customFormat="1" outlineLevel="2">
      <c r="A63" s="884" t="s">
        <v>2376</v>
      </c>
      <c r="B63" s="1050" t="s">
        <v>7732</v>
      </c>
      <c r="C63" s="885" t="s">
        <v>306</v>
      </c>
      <c r="D63" s="884"/>
      <c r="E63" s="884" t="s">
        <v>2360</v>
      </c>
      <c r="F63" s="884" t="s">
        <v>7320</v>
      </c>
      <c r="G63" s="884" t="s">
        <v>7321</v>
      </c>
      <c r="H63" s="886">
        <v>42401</v>
      </c>
      <c r="I63" s="887">
        <v>42480</v>
      </c>
      <c r="J63" s="958">
        <v>39.130000000000003</v>
      </c>
    </row>
    <row r="64" spans="1:10" s="84" customFormat="1" outlineLevel="2">
      <c r="A64" s="884" t="s">
        <v>2376</v>
      </c>
      <c r="B64" s="1050" t="s">
        <v>7732</v>
      </c>
      <c r="C64" s="885" t="s">
        <v>306</v>
      </c>
      <c r="D64" s="884"/>
      <c r="E64" s="884" t="s">
        <v>2360</v>
      </c>
      <c r="F64" s="884" t="s">
        <v>7322</v>
      </c>
      <c r="G64" s="884" t="s">
        <v>7323</v>
      </c>
      <c r="H64" s="886">
        <v>42401</v>
      </c>
      <c r="I64" s="887">
        <v>42480</v>
      </c>
      <c r="J64" s="958">
        <v>38.1</v>
      </c>
    </row>
    <row r="65" spans="1:10" s="84" customFormat="1" outlineLevel="2">
      <c r="A65" s="884" t="s">
        <v>2376</v>
      </c>
      <c r="B65" s="1050" t="s">
        <v>7732</v>
      </c>
      <c r="C65" s="885" t="s">
        <v>306</v>
      </c>
      <c r="D65" s="884"/>
      <c r="E65" s="884" t="s">
        <v>1909</v>
      </c>
      <c r="F65" s="884" t="s">
        <v>7386</v>
      </c>
      <c r="G65" s="884" t="s">
        <v>7387</v>
      </c>
      <c r="H65" s="886">
        <v>42401</v>
      </c>
      <c r="I65" s="887">
        <v>42480</v>
      </c>
      <c r="J65" s="958">
        <v>19.559999999999999</v>
      </c>
    </row>
    <row r="66" spans="1:10" s="84" customFormat="1" outlineLevel="2">
      <c r="A66" s="884" t="s">
        <v>2376</v>
      </c>
      <c r="B66" s="1050" t="s">
        <v>7732</v>
      </c>
      <c r="C66" s="885" t="s">
        <v>306</v>
      </c>
      <c r="D66" s="884"/>
      <c r="E66" s="884" t="s">
        <v>1909</v>
      </c>
      <c r="F66" s="884" t="s">
        <v>7452</v>
      </c>
      <c r="G66" s="884" t="s">
        <v>7453</v>
      </c>
      <c r="H66" s="886">
        <v>42401</v>
      </c>
      <c r="I66" s="887">
        <v>42480</v>
      </c>
      <c r="J66" s="958">
        <v>12.87</v>
      </c>
    </row>
    <row r="67" spans="1:10" s="84" customFormat="1" outlineLevel="2">
      <c r="A67" s="884" t="s">
        <v>2376</v>
      </c>
      <c r="B67" s="1050" t="s">
        <v>7732</v>
      </c>
      <c r="C67" s="885" t="s">
        <v>306</v>
      </c>
      <c r="D67" s="884"/>
      <c r="E67" s="884" t="s">
        <v>1909</v>
      </c>
      <c r="F67" s="884" t="s">
        <v>7516</v>
      </c>
      <c r="G67" s="884" t="s">
        <v>7517</v>
      </c>
      <c r="H67" s="886">
        <v>42401</v>
      </c>
      <c r="I67" s="887">
        <v>42480</v>
      </c>
      <c r="J67" s="958">
        <v>19.05</v>
      </c>
    </row>
    <row r="68" spans="1:10" s="84" customFormat="1" outlineLevel="2">
      <c r="A68" s="884" t="s">
        <v>2376</v>
      </c>
      <c r="B68" s="1050" t="s">
        <v>7732</v>
      </c>
      <c r="C68" s="885" t="s">
        <v>306</v>
      </c>
      <c r="D68" s="884"/>
      <c r="E68" s="884" t="s">
        <v>1909</v>
      </c>
      <c r="F68" s="884" t="s">
        <v>7608</v>
      </c>
      <c r="G68" s="884" t="s">
        <v>7609</v>
      </c>
      <c r="H68" s="886">
        <v>42370</v>
      </c>
      <c r="I68" s="887">
        <v>42480</v>
      </c>
      <c r="J68" s="958">
        <v>61</v>
      </c>
    </row>
    <row r="69" spans="1:10" s="84" customFormat="1" outlineLevel="2">
      <c r="A69" s="884" t="s">
        <v>2376</v>
      </c>
      <c r="B69" s="1050" t="s">
        <v>7732</v>
      </c>
      <c r="C69" s="885" t="s">
        <v>306</v>
      </c>
      <c r="D69" s="884"/>
      <c r="E69" s="884" t="s">
        <v>1909</v>
      </c>
      <c r="F69" s="884" t="s">
        <v>7672</v>
      </c>
      <c r="G69" s="884" t="s">
        <v>7673</v>
      </c>
      <c r="H69" s="886">
        <v>42370</v>
      </c>
      <c r="I69" s="887">
        <v>42480</v>
      </c>
      <c r="J69" s="958">
        <v>90.27</v>
      </c>
    </row>
    <row r="70" spans="1:10" s="84" customFormat="1" outlineLevel="1">
      <c r="A70" s="884"/>
      <c r="B70" s="1050"/>
      <c r="C70" s="908" t="s">
        <v>306</v>
      </c>
      <c r="D70" s="928" t="str">
        <f>VLOOKUP(C70,$C$1102:$E$1189,3,FALSE)</f>
        <v>TOTAL POUPATEMPO RIO CLARO</v>
      </c>
      <c r="E70" s="928"/>
      <c r="F70" s="928"/>
      <c r="G70" s="928"/>
      <c r="H70" s="911"/>
      <c r="I70" s="912"/>
      <c r="J70" s="966">
        <f>SUBTOTAL(9,J56:J69)</f>
        <v>5090.68</v>
      </c>
    </row>
    <row r="71" spans="1:10" s="84" customFormat="1" outlineLevel="2">
      <c r="A71" s="884" t="s">
        <v>2377</v>
      </c>
      <c r="B71" s="1050">
        <v>112120611040</v>
      </c>
      <c r="C71" s="885" t="s">
        <v>269</v>
      </c>
      <c r="D71" s="884"/>
      <c r="E71" s="884" t="s">
        <v>407</v>
      </c>
      <c r="F71" s="884" t="s">
        <v>2418</v>
      </c>
      <c r="G71" s="884" t="s">
        <v>6823</v>
      </c>
      <c r="H71" s="886">
        <v>42401</v>
      </c>
      <c r="I71" s="887">
        <v>42467</v>
      </c>
      <c r="J71" s="958">
        <v>1446.62</v>
      </c>
    </row>
    <row r="72" spans="1:10" s="84" customFormat="1" outlineLevel="2">
      <c r="A72" s="884" t="s">
        <v>2377</v>
      </c>
      <c r="B72" s="1050" t="s">
        <v>7732</v>
      </c>
      <c r="C72" s="885" t="s">
        <v>269</v>
      </c>
      <c r="D72" s="884"/>
      <c r="E72" s="884" t="s">
        <v>2282</v>
      </c>
      <c r="F72" s="884" t="s">
        <v>7186</v>
      </c>
      <c r="G72" s="884" t="s">
        <v>7187</v>
      </c>
      <c r="H72" s="886">
        <v>42401</v>
      </c>
      <c r="I72" s="887">
        <v>42471</v>
      </c>
      <c r="J72" s="958">
        <v>35.57</v>
      </c>
    </row>
    <row r="73" spans="1:10" s="84" customFormat="1" outlineLevel="2">
      <c r="A73" s="884" t="s">
        <v>2377</v>
      </c>
      <c r="B73" s="1050" t="s">
        <v>7732</v>
      </c>
      <c r="C73" s="885" t="s">
        <v>269</v>
      </c>
      <c r="D73" s="884"/>
      <c r="E73" s="884" t="s">
        <v>2282</v>
      </c>
      <c r="F73" s="884" t="s">
        <v>7188</v>
      </c>
      <c r="G73" s="884" t="s">
        <v>7189</v>
      </c>
      <c r="H73" s="886">
        <v>42401</v>
      </c>
      <c r="I73" s="887">
        <v>42471</v>
      </c>
      <c r="J73" s="958">
        <v>52.64</v>
      </c>
    </row>
    <row r="74" spans="1:10" s="84" customFormat="1" outlineLevel="2">
      <c r="A74" s="884" t="s">
        <v>2377</v>
      </c>
      <c r="B74" s="1050" t="s">
        <v>7732</v>
      </c>
      <c r="C74" s="885" t="s">
        <v>269</v>
      </c>
      <c r="D74" s="884"/>
      <c r="E74" s="884" t="s">
        <v>2282</v>
      </c>
      <c r="F74" s="884" t="s">
        <v>7190</v>
      </c>
      <c r="G74" s="884" t="s">
        <v>7191</v>
      </c>
      <c r="H74" s="886">
        <v>42401</v>
      </c>
      <c r="I74" s="887">
        <v>42471</v>
      </c>
      <c r="J74" s="958">
        <v>54.06</v>
      </c>
    </row>
    <row r="75" spans="1:10" s="84" customFormat="1" outlineLevel="2">
      <c r="A75" s="884" t="s">
        <v>2377</v>
      </c>
      <c r="B75" s="1050">
        <v>112120611040</v>
      </c>
      <c r="C75" s="885" t="s">
        <v>269</v>
      </c>
      <c r="D75" s="884"/>
      <c r="E75" s="884" t="s">
        <v>409</v>
      </c>
      <c r="F75" s="884" t="s">
        <v>2418</v>
      </c>
      <c r="G75" s="884" t="s">
        <v>6774</v>
      </c>
      <c r="H75" s="886">
        <v>42401</v>
      </c>
      <c r="I75" s="887">
        <v>42475</v>
      </c>
      <c r="J75" s="958">
        <v>2141</v>
      </c>
    </row>
    <row r="76" spans="1:10" s="84" customFormat="1" outlineLevel="2">
      <c r="A76" s="884" t="s">
        <v>2377</v>
      </c>
      <c r="B76" s="1050">
        <v>112120611040</v>
      </c>
      <c r="C76" s="885" t="s">
        <v>269</v>
      </c>
      <c r="D76" s="884"/>
      <c r="E76" s="884" t="s">
        <v>408</v>
      </c>
      <c r="F76" s="884" t="s">
        <v>2418</v>
      </c>
      <c r="G76" s="884" t="s">
        <v>6883</v>
      </c>
      <c r="H76" s="886">
        <v>42370</v>
      </c>
      <c r="I76" s="887">
        <v>42478</v>
      </c>
      <c r="J76" s="958">
        <v>1796.65</v>
      </c>
    </row>
    <row r="77" spans="1:10" s="84" customFormat="1" outlineLevel="2">
      <c r="A77" s="884" t="s">
        <v>2377</v>
      </c>
      <c r="B77" s="1050" t="s">
        <v>7732</v>
      </c>
      <c r="C77" s="885" t="s">
        <v>269</v>
      </c>
      <c r="D77" s="884"/>
      <c r="E77" s="884" t="s">
        <v>2336</v>
      </c>
      <c r="F77" s="884" t="s">
        <v>7024</v>
      </c>
      <c r="G77" s="884" t="s">
        <v>7025</v>
      </c>
      <c r="H77" s="886">
        <v>42401</v>
      </c>
      <c r="I77" s="887">
        <v>42480</v>
      </c>
      <c r="J77" s="958">
        <v>297.33</v>
      </c>
    </row>
    <row r="78" spans="1:10" s="84" customFormat="1" outlineLevel="2">
      <c r="A78" s="884" t="s">
        <v>2377</v>
      </c>
      <c r="B78" s="1050" t="s">
        <v>7732</v>
      </c>
      <c r="C78" s="885" t="s">
        <v>269</v>
      </c>
      <c r="D78" s="884"/>
      <c r="E78" s="884" t="s">
        <v>2336</v>
      </c>
      <c r="F78" s="884" t="s">
        <v>7020</v>
      </c>
      <c r="G78" s="884" t="s">
        <v>7021</v>
      </c>
      <c r="H78" s="886">
        <v>42401</v>
      </c>
      <c r="I78" s="887">
        <v>42480</v>
      </c>
      <c r="J78" s="958">
        <v>195.61</v>
      </c>
    </row>
    <row r="79" spans="1:10" s="84" customFormat="1" outlineLevel="2">
      <c r="A79" s="884" t="s">
        <v>2377</v>
      </c>
      <c r="B79" s="1050" t="s">
        <v>7732</v>
      </c>
      <c r="C79" s="885" t="s">
        <v>269</v>
      </c>
      <c r="D79" s="884"/>
      <c r="E79" s="884" t="s">
        <v>2336</v>
      </c>
      <c r="F79" s="884" t="s">
        <v>7022</v>
      </c>
      <c r="G79" s="884" t="s">
        <v>7023</v>
      </c>
      <c r="H79" s="886">
        <v>42401</v>
      </c>
      <c r="I79" s="887">
        <v>42480</v>
      </c>
      <c r="J79" s="958">
        <v>289.5</v>
      </c>
    </row>
    <row r="80" spans="1:10" s="84" customFormat="1" outlineLevel="2">
      <c r="A80" s="884" t="s">
        <v>2377</v>
      </c>
      <c r="B80" s="1050" t="s">
        <v>7732</v>
      </c>
      <c r="C80" s="885" t="s">
        <v>269</v>
      </c>
      <c r="D80" s="884"/>
      <c r="E80" s="884" t="s">
        <v>1909</v>
      </c>
      <c r="F80" s="884" t="s">
        <v>7414</v>
      </c>
      <c r="G80" s="884" t="s">
        <v>7415</v>
      </c>
      <c r="H80" s="886">
        <v>42401</v>
      </c>
      <c r="I80" s="887">
        <v>42480</v>
      </c>
      <c r="J80" s="958">
        <v>27.03</v>
      </c>
    </row>
    <row r="81" spans="1:10" s="84" customFormat="1" outlineLevel="2">
      <c r="A81" s="884" t="s">
        <v>2377</v>
      </c>
      <c r="B81" s="1050" t="s">
        <v>7732</v>
      </c>
      <c r="C81" s="885" t="s">
        <v>269</v>
      </c>
      <c r="D81" s="884"/>
      <c r="E81" s="884" t="s">
        <v>1909</v>
      </c>
      <c r="F81" s="884" t="s">
        <v>7482</v>
      </c>
      <c r="G81" s="884" t="s">
        <v>7483</v>
      </c>
      <c r="H81" s="886">
        <v>42401</v>
      </c>
      <c r="I81" s="887">
        <v>42480</v>
      </c>
      <c r="J81" s="958">
        <v>17.78</v>
      </c>
    </row>
    <row r="82" spans="1:10" s="84" customFormat="1" outlineLevel="2">
      <c r="A82" s="884" t="s">
        <v>2377</v>
      </c>
      <c r="B82" s="1050" t="s">
        <v>7732</v>
      </c>
      <c r="C82" s="885" t="s">
        <v>269</v>
      </c>
      <c r="D82" s="884"/>
      <c r="E82" s="884" t="s">
        <v>1909</v>
      </c>
      <c r="F82" s="884" t="s">
        <v>7542</v>
      </c>
      <c r="G82" s="884" t="s">
        <v>7543</v>
      </c>
      <c r="H82" s="886">
        <v>42401</v>
      </c>
      <c r="I82" s="887">
        <v>42480</v>
      </c>
      <c r="J82" s="958">
        <v>26.32</v>
      </c>
    </row>
    <row r="83" spans="1:10" s="84" customFormat="1" outlineLevel="2">
      <c r="A83" s="884" t="s">
        <v>2377</v>
      </c>
      <c r="B83" s="1050" t="s">
        <v>7732</v>
      </c>
      <c r="C83" s="885" t="s">
        <v>269</v>
      </c>
      <c r="D83" s="884"/>
      <c r="E83" s="884" t="s">
        <v>1909</v>
      </c>
      <c r="F83" s="884" t="s">
        <v>7630</v>
      </c>
      <c r="G83" s="884" t="s">
        <v>7631</v>
      </c>
      <c r="H83" s="886">
        <v>42370</v>
      </c>
      <c r="I83" s="887">
        <v>42480</v>
      </c>
      <c r="J83" s="958">
        <v>67.569999999999993</v>
      </c>
    </row>
    <row r="84" spans="1:10" s="84" customFormat="1" outlineLevel="2">
      <c r="A84" s="884" t="s">
        <v>2377</v>
      </c>
      <c r="B84" s="1050" t="s">
        <v>7732</v>
      </c>
      <c r="C84" s="885" t="s">
        <v>269</v>
      </c>
      <c r="D84" s="884"/>
      <c r="E84" s="884" t="s">
        <v>1909</v>
      </c>
      <c r="F84" s="884" t="s">
        <v>7684</v>
      </c>
      <c r="G84" s="884" t="s">
        <v>7685</v>
      </c>
      <c r="H84" s="886">
        <v>42370</v>
      </c>
      <c r="I84" s="887">
        <v>42480</v>
      </c>
      <c r="J84" s="958">
        <v>100</v>
      </c>
    </row>
    <row r="85" spans="1:10" s="84" customFormat="1" outlineLevel="1">
      <c r="A85" s="884"/>
      <c r="B85" s="1050"/>
      <c r="C85" s="908" t="s">
        <v>269</v>
      </c>
      <c r="D85" s="928" t="str">
        <f>VLOOKUP(C85,$C$1102:$E$1189,3,FALSE)</f>
        <v>TOTAL POUPATEMPO CIDADE ADEMAR</v>
      </c>
      <c r="E85" s="928"/>
      <c r="F85" s="928"/>
      <c r="G85" s="928"/>
      <c r="H85" s="911"/>
      <c r="I85" s="912"/>
      <c r="J85" s="966">
        <f>SUBTOTAL(9,J71:J84)</f>
        <v>6547.6799999999985</v>
      </c>
    </row>
    <row r="86" spans="1:10" s="84" customFormat="1" outlineLevel="2">
      <c r="A86" s="884" t="s">
        <v>2378</v>
      </c>
      <c r="B86" s="1050">
        <v>112120611040</v>
      </c>
      <c r="C86" s="885" t="s">
        <v>270</v>
      </c>
      <c r="D86" s="884"/>
      <c r="E86" s="884" t="s">
        <v>407</v>
      </c>
      <c r="F86" s="884" t="s">
        <v>2418</v>
      </c>
      <c r="G86" s="884" t="s">
        <v>6822</v>
      </c>
      <c r="H86" s="886">
        <v>42401</v>
      </c>
      <c r="I86" s="887">
        <v>42467</v>
      </c>
      <c r="J86" s="958">
        <v>1032.18</v>
      </c>
    </row>
    <row r="87" spans="1:10" s="84" customFormat="1" outlineLevel="2">
      <c r="A87" s="884" t="s">
        <v>2378</v>
      </c>
      <c r="B87" s="1050">
        <v>112120611040</v>
      </c>
      <c r="C87" s="885" t="s">
        <v>270</v>
      </c>
      <c r="D87" s="884"/>
      <c r="E87" s="884" t="s">
        <v>409</v>
      </c>
      <c r="F87" s="884" t="s">
        <v>2418</v>
      </c>
      <c r="G87" s="884" t="s">
        <v>6785</v>
      </c>
      <c r="H87" s="886">
        <v>42401</v>
      </c>
      <c r="I87" s="887">
        <v>42475</v>
      </c>
      <c r="J87" s="958">
        <v>1527.61</v>
      </c>
    </row>
    <row r="88" spans="1:10" s="84" customFormat="1" outlineLevel="2">
      <c r="A88" s="884" t="s">
        <v>2378</v>
      </c>
      <c r="B88" s="1050">
        <v>112120611040</v>
      </c>
      <c r="C88" s="885" t="s">
        <v>270</v>
      </c>
      <c r="D88" s="884"/>
      <c r="E88" s="884" t="s">
        <v>408</v>
      </c>
      <c r="F88" s="884" t="s">
        <v>2418</v>
      </c>
      <c r="G88" s="884" t="s">
        <v>6877</v>
      </c>
      <c r="H88" s="886">
        <v>42370</v>
      </c>
      <c r="I88" s="887">
        <v>42478</v>
      </c>
      <c r="J88" s="958">
        <v>1601.27</v>
      </c>
    </row>
    <row r="89" spans="1:10" s="84" customFormat="1" outlineLevel="2">
      <c r="A89" s="884" t="s">
        <v>2378</v>
      </c>
      <c r="B89" s="1050" t="s">
        <v>7732</v>
      </c>
      <c r="C89" s="885" t="s">
        <v>270</v>
      </c>
      <c r="D89" s="884"/>
      <c r="E89" s="884" t="s">
        <v>2336</v>
      </c>
      <c r="F89" s="884" t="s">
        <v>7028</v>
      </c>
      <c r="G89" s="884" t="s">
        <v>7029</v>
      </c>
      <c r="H89" s="886">
        <v>42401</v>
      </c>
      <c r="I89" s="887">
        <v>42480</v>
      </c>
      <c r="J89" s="958">
        <v>220.27</v>
      </c>
    </row>
    <row r="90" spans="1:10" s="84" customFormat="1" outlineLevel="2">
      <c r="A90" s="884" t="s">
        <v>2378</v>
      </c>
      <c r="B90" s="1050" t="s">
        <v>7732</v>
      </c>
      <c r="C90" s="885" t="s">
        <v>270</v>
      </c>
      <c r="D90" s="884"/>
      <c r="E90" s="884" t="s">
        <v>2336</v>
      </c>
      <c r="F90" s="884" t="s">
        <v>7026</v>
      </c>
      <c r="G90" s="884" t="s">
        <v>7027</v>
      </c>
      <c r="H90" s="886">
        <v>42401</v>
      </c>
      <c r="I90" s="887">
        <v>42480</v>
      </c>
      <c r="J90" s="958">
        <v>144.91</v>
      </c>
    </row>
    <row r="91" spans="1:10" s="84" customFormat="1" outlineLevel="2">
      <c r="A91" s="884" t="s">
        <v>2378</v>
      </c>
      <c r="B91" s="1050" t="s">
        <v>7732</v>
      </c>
      <c r="C91" s="885" t="s">
        <v>270</v>
      </c>
      <c r="D91" s="884"/>
      <c r="E91" s="884" t="s">
        <v>2336</v>
      </c>
      <c r="F91" s="884" t="s">
        <v>7030</v>
      </c>
      <c r="G91" s="884" t="s">
        <v>7031</v>
      </c>
      <c r="H91" s="886">
        <v>42401</v>
      </c>
      <c r="I91" s="887">
        <v>42480</v>
      </c>
      <c r="J91" s="958">
        <v>214.47</v>
      </c>
    </row>
    <row r="92" spans="1:10" s="84" customFormat="1" outlineLevel="2">
      <c r="A92" s="884" t="s">
        <v>2378</v>
      </c>
      <c r="B92" s="1050" t="s">
        <v>7732</v>
      </c>
      <c r="C92" s="885" t="s">
        <v>270</v>
      </c>
      <c r="D92" s="884"/>
      <c r="E92" s="884" t="s">
        <v>2361</v>
      </c>
      <c r="F92" s="884" t="s">
        <v>7366</v>
      </c>
      <c r="G92" s="884" t="s">
        <v>7367</v>
      </c>
      <c r="H92" s="886">
        <v>42401</v>
      </c>
      <c r="I92" s="887">
        <v>42480</v>
      </c>
      <c r="J92" s="958">
        <v>65.87</v>
      </c>
    </row>
    <row r="93" spans="1:10" s="84" customFormat="1" outlineLevel="2">
      <c r="A93" s="884" t="s">
        <v>2378</v>
      </c>
      <c r="B93" s="1050" t="s">
        <v>7732</v>
      </c>
      <c r="C93" s="885" t="s">
        <v>270</v>
      </c>
      <c r="D93" s="884"/>
      <c r="E93" s="884" t="s">
        <v>2361</v>
      </c>
      <c r="F93" s="884" t="s">
        <v>7368</v>
      </c>
      <c r="G93" s="884" t="s">
        <v>7369</v>
      </c>
      <c r="H93" s="886">
        <v>42401</v>
      </c>
      <c r="I93" s="887">
        <v>42480</v>
      </c>
      <c r="J93" s="958">
        <v>100.12</v>
      </c>
    </row>
    <row r="94" spans="1:10" s="84" customFormat="1" outlineLevel="2">
      <c r="A94" s="884" t="s">
        <v>2378</v>
      </c>
      <c r="B94" s="1050" t="s">
        <v>7732</v>
      </c>
      <c r="C94" s="885" t="s">
        <v>270</v>
      </c>
      <c r="D94" s="884"/>
      <c r="E94" s="884" t="s">
        <v>2361</v>
      </c>
      <c r="F94" s="884" t="s">
        <v>7370</v>
      </c>
      <c r="G94" s="884" t="s">
        <v>7371</v>
      </c>
      <c r="H94" s="886">
        <v>42401</v>
      </c>
      <c r="I94" s="887">
        <v>42480</v>
      </c>
      <c r="J94" s="958">
        <v>97.49</v>
      </c>
    </row>
    <row r="95" spans="1:10" s="84" customFormat="1" outlineLevel="2">
      <c r="A95" s="884" t="s">
        <v>2378</v>
      </c>
      <c r="B95" s="1050" t="s">
        <v>7732</v>
      </c>
      <c r="C95" s="885" t="s">
        <v>270</v>
      </c>
      <c r="D95" s="884"/>
      <c r="E95" s="884" t="s">
        <v>1909</v>
      </c>
      <c r="F95" s="884" t="s">
        <v>7412</v>
      </c>
      <c r="G95" s="884" t="s">
        <v>7413</v>
      </c>
      <c r="H95" s="886">
        <v>42401</v>
      </c>
      <c r="I95" s="887">
        <v>42480</v>
      </c>
      <c r="J95" s="958">
        <v>20.02</v>
      </c>
    </row>
    <row r="96" spans="1:10" s="84" customFormat="1" outlineLevel="2">
      <c r="A96" s="884" t="s">
        <v>2378</v>
      </c>
      <c r="B96" s="1050" t="s">
        <v>7732</v>
      </c>
      <c r="C96" s="885" t="s">
        <v>270</v>
      </c>
      <c r="D96" s="884"/>
      <c r="E96" s="884" t="s">
        <v>1909</v>
      </c>
      <c r="F96" s="884" t="s">
        <v>7480</v>
      </c>
      <c r="G96" s="884" t="s">
        <v>7481</v>
      </c>
      <c r="H96" s="886">
        <v>42401</v>
      </c>
      <c r="I96" s="887">
        <v>42480</v>
      </c>
      <c r="J96" s="958">
        <v>13.17</v>
      </c>
    </row>
    <row r="97" spans="1:10" s="84" customFormat="1" outlineLevel="2">
      <c r="A97" s="884" t="s">
        <v>2378</v>
      </c>
      <c r="B97" s="1050" t="s">
        <v>7732</v>
      </c>
      <c r="C97" s="885" t="s">
        <v>270</v>
      </c>
      <c r="D97" s="884"/>
      <c r="E97" s="884" t="s">
        <v>1909</v>
      </c>
      <c r="F97" s="884" t="s">
        <v>7564</v>
      </c>
      <c r="G97" s="884" t="s">
        <v>7565</v>
      </c>
      <c r="H97" s="886">
        <v>42401</v>
      </c>
      <c r="I97" s="887">
        <v>42480</v>
      </c>
      <c r="J97" s="958">
        <v>19.5</v>
      </c>
    </row>
    <row r="98" spans="1:10" s="84" customFormat="1" outlineLevel="2">
      <c r="A98" s="884" t="s">
        <v>2378</v>
      </c>
      <c r="B98" s="1050" t="s">
        <v>7732</v>
      </c>
      <c r="C98" s="885" t="s">
        <v>270</v>
      </c>
      <c r="D98" s="884"/>
      <c r="E98" s="884" t="s">
        <v>1909</v>
      </c>
      <c r="F98" s="884" t="s">
        <v>7616</v>
      </c>
      <c r="G98" s="884" t="s">
        <v>7617</v>
      </c>
      <c r="H98" s="886">
        <v>42370</v>
      </c>
      <c r="I98" s="887">
        <v>42480</v>
      </c>
      <c r="J98" s="958">
        <v>62.52</v>
      </c>
    </row>
    <row r="99" spans="1:10" s="84" customFormat="1" outlineLevel="2">
      <c r="A99" s="884" t="s">
        <v>2378</v>
      </c>
      <c r="B99" s="1050" t="s">
        <v>7732</v>
      </c>
      <c r="C99" s="885" t="s">
        <v>270</v>
      </c>
      <c r="D99" s="884"/>
      <c r="E99" s="884" t="s">
        <v>1909</v>
      </c>
      <c r="F99" s="884" t="s">
        <v>7680</v>
      </c>
      <c r="G99" s="884" t="s">
        <v>7681</v>
      </c>
      <c r="H99" s="886">
        <v>42370</v>
      </c>
      <c r="I99" s="887">
        <v>42480</v>
      </c>
      <c r="J99" s="958">
        <v>92.53</v>
      </c>
    </row>
    <row r="100" spans="1:10" s="84" customFormat="1" outlineLevel="1">
      <c r="A100" s="884"/>
      <c r="B100" s="1050"/>
      <c r="C100" s="908" t="s">
        <v>270</v>
      </c>
      <c r="D100" s="928" t="str">
        <f>VLOOKUP(C100,$C$1102:$E$1189,3,FALSE)</f>
        <v>TOTAL POUPATEMPO TATUÍ</v>
      </c>
      <c r="E100" s="928"/>
      <c r="F100" s="928"/>
      <c r="G100" s="928"/>
      <c r="H100" s="911"/>
      <c r="I100" s="912"/>
      <c r="J100" s="966">
        <f>SUBTOTAL(9,J86:J99)</f>
        <v>5211.93</v>
      </c>
    </row>
    <row r="101" spans="1:10" s="84" customFormat="1" outlineLevel="2">
      <c r="A101" s="884" t="s">
        <v>2379</v>
      </c>
      <c r="B101" s="1050">
        <v>112120611040</v>
      </c>
      <c r="C101" s="885" t="s">
        <v>271</v>
      </c>
      <c r="D101" s="884"/>
      <c r="E101" s="884" t="s">
        <v>407</v>
      </c>
      <c r="F101" s="884" t="s">
        <v>2418</v>
      </c>
      <c r="G101" s="884" t="s">
        <v>6812</v>
      </c>
      <c r="H101" s="886">
        <v>42401</v>
      </c>
      <c r="I101" s="887">
        <v>42467</v>
      </c>
      <c r="J101" s="958">
        <v>1042.55</v>
      </c>
    </row>
    <row r="102" spans="1:10" s="84" customFormat="1" outlineLevel="2">
      <c r="A102" s="884" t="s">
        <v>2379</v>
      </c>
      <c r="B102" s="1050" t="s">
        <v>7732</v>
      </c>
      <c r="C102" s="885" t="s">
        <v>271</v>
      </c>
      <c r="D102" s="884"/>
      <c r="E102" s="884" t="s">
        <v>2362</v>
      </c>
      <c r="F102" s="884" t="s">
        <v>7242</v>
      </c>
      <c r="G102" s="884" t="s">
        <v>7243</v>
      </c>
      <c r="H102" s="886">
        <v>42401</v>
      </c>
      <c r="I102" s="887">
        <v>42471</v>
      </c>
      <c r="J102" s="958">
        <v>37.93</v>
      </c>
    </row>
    <row r="103" spans="1:10" s="84" customFormat="1" outlineLevel="2">
      <c r="A103" s="884" t="s">
        <v>2379</v>
      </c>
      <c r="B103" s="1050" t="s">
        <v>7732</v>
      </c>
      <c r="C103" s="885" t="s">
        <v>271</v>
      </c>
      <c r="D103" s="884"/>
      <c r="E103" s="884" t="s">
        <v>2362</v>
      </c>
      <c r="F103" s="884" t="s">
        <v>7244</v>
      </c>
      <c r="G103" s="884" t="s">
        <v>7245</v>
      </c>
      <c r="H103" s="886">
        <v>42401</v>
      </c>
      <c r="I103" s="887">
        <v>42471</v>
      </c>
      <c r="J103" s="958">
        <v>25.63</v>
      </c>
    </row>
    <row r="104" spans="1:10" s="84" customFormat="1" outlineLevel="2">
      <c r="A104" s="884" t="s">
        <v>2379</v>
      </c>
      <c r="B104" s="1050" t="s">
        <v>7732</v>
      </c>
      <c r="C104" s="885" t="s">
        <v>271</v>
      </c>
      <c r="D104" s="884"/>
      <c r="E104" s="884" t="s">
        <v>2362</v>
      </c>
      <c r="F104" s="884" t="s">
        <v>7246</v>
      </c>
      <c r="G104" s="884" t="s">
        <v>7247</v>
      </c>
      <c r="H104" s="886">
        <v>42401</v>
      </c>
      <c r="I104" s="887">
        <v>42471</v>
      </c>
      <c r="J104" s="958">
        <v>38.950000000000003</v>
      </c>
    </row>
    <row r="105" spans="1:10" s="84" customFormat="1" outlineLevel="2">
      <c r="A105" s="884" t="s">
        <v>2379</v>
      </c>
      <c r="B105" s="1050">
        <v>112120611040</v>
      </c>
      <c r="C105" s="885" t="s">
        <v>271</v>
      </c>
      <c r="D105" s="884"/>
      <c r="E105" s="884" t="s">
        <v>409</v>
      </c>
      <c r="F105" s="884" t="s">
        <v>2418</v>
      </c>
      <c r="G105" s="884" t="s">
        <v>6765</v>
      </c>
      <c r="H105" s="886">
        <v>42401</v>
      </c>
      <c r="I105" s="887">
        <v>42475</v>
      </c>
      <c r="J105" s="958">
        <v>1542.99</v>
      </c>
    </row>
    <row r="106" spans="1:10" s="84" customFormat="1" outlineLevel="2">
      <c r="A106" s="884" t="s">
        <v>2379</v>
      </c>
      <c r="B106" s="1050">
        <v>112120611040</v>
      </c>
      <c r="C106" s="885" t="s">
        <v>271</v>
      </c>
      <c r="D106" s="884"/>
      <c r="E106" s="884" t="s">
        <v>408</v>
      </c>
      <c r="F106" s="884" t="s">
        <v>2418</v>
      </c>
      <c r="G106" s="884" t="s">
        <v>6878</v>
      </c>
      <c r="H106" s="886">
        <v>42370</v>
      </c>
      <c r="I106" s="887">
        <v>42478</v>
      </c>
      <c r="J106" s="958">
        <v>1595.88</v>
      </c>
    </row>
    <row r="107" spans="1:10" s="84" customFormat="1" outlineLevel="2">
      <c r="A107" s="884" t="s">
        <v>2379</v>
      </c>
      <c r="B107" s="1050" t="s">
        <v>7732</v>
      </c>
      <c r="C107" s="885" t="s">
        <v>271</v>
      </c>
      <c r="D107" s="884"/>
      <c r="E107" s="884" t="s">
        <v>2336</v>
      </c>
      <c r="F107" s="884" t="s">
        <v>7032</v>
      </c>
      <c r="G107" s="884" t="s">
        <v>7033</v>
      </c>
      <c r="H107" s="886">
        <v>42401</v>
      </c>
      <c r="I107" s="887">
        <v>42480</v>
      </c>
      <c r="J107" s="958">
        <v>214.28</v>
      </c>
    </row>
    <row r="108" spans="1:10" s="84" customFormat="1" outlineLevel="2">
      <c r="A108" s="884" t="s">
        <v>2379</v>
      </c>
      <c r="B108" s="1050" t="s">
        <v>7732</v>
      </c>
      <c r="C108" s="885" t="s">
        <v>271</v>
      </c>
      <c r="D108" s="884"/>
      <c r="E108" s="884" t="s">
        <v>2336</v>
      </c>
      <c r="F108" s="884" t="s">
        <v>7036</v>
      </c>
      <c r="G108" s="884" t="s">
        <v>7037</v>
      </c>
      <c r="H108" s="886">
        <v>42401</v>
      </c>
      <c r="I108" s="887">
        <v>42480</v>
      </c>
      <c r="J108" s="958">
        <v>140.97</v>
      </c>
    </row>
    <row r="109" spans="1:10" s="84" customFormat="1" outlineLevel="2">
      <c r="A109" s="884" t="s">
        <v>2379</v>
      </c>
      <c r="B109" s="1050" t="s">
        <v>7732</v>
      </c>
      <c r="C109" s="885" t="s">
        <v>271</v>
      </c>
      <c r="D109" s="884"/>
      <c r="E109" s="884" t="s">
        <v>2336</v>
      </c>
      <c r="F109" s="884" t="s">
        <v>7034</v>
      </c>
      <c r="G109" s="884" t="s">
        <v>7035</v>
      </c>
      <c r="H109" s="886">
        <v>42401</v>
      </c>
      <c r="I109" s="887">
        <v>42480</v>
      </c>
      <c r="J109" s="958">
        <v>208.64</v>
      </c>
    </row>
    <row r="110" spans="1:10" s="84" customFormat="1" outlineLevel="2">
      <c r="A110" s="884" t="s">
        <v>2379</v>
      </c>
      <c r="B110" s="1050" t="s">
        <v>7732</v>
      </c>
      <c r="C110" s="885" t="s">
        <v>271</v>
      </c>
      <c r="D110" s="884"/>
      <c r="E110" s="884" t="s">
        <v>1909</v>
      </c>
      <c r="F110" s="884" t="s">
        <v>7394</v>
      </c>
      <c r="G110" s="884" t="s">
        <v>7395</v>
      </c>
      <c r="H110" s="886">
        <v>42401</v>
      </c>
      <c r="I110" s="887">
        <v>42480</v>
      </c>
      <c r="J110" s="958">
        <v>19.48</v>
      </c>
    </row>
    <row r="111" spans="1:10" s="84" customFormat="1" outlineLevel="2">
      <c r="A111" s="884" t="s">
        <v>2379</v>
      </c>
      <c r="B111" s="1050" t="s">
        <v>7732</v>
      </c>
      <c r="C111" s="885" t="s">
        <v>271</v>
      </c>
      <c r="D111" s="884"/>
      <c r="E111" s="884" t="s">
        <v>1909</v>
      </c>
      <c r="F111" s="884" t="s">
        <v>7460</v>
      </c>
      <c r="G111" s="884" t="s">
        <v>7461</v>
      </c>
      <c r="H111" s="886">
        <v>42401</v>
      </c>
      <c r="I111" s="887">
        <v>42480</v>
      </c>
      <c r="J111" s="958">
        <v>12.82</v>
      </c>
    </row>
    <row r="112" spans="1:10" s="84" customFormat="1" outlineLevel="2">
      <c r="A112" s="884" t="s">
        <v>2379</v>
      </c>
      <c r="B112" s="1050" t="s">
        <v>7732</v>
      </c>
      <c r="C112" s="885" t="s">
        <v>271</v>
      </c>
      <c r="D112" s="884"/>
      <c r="E112" s="884" t="s">
        <v>1909</v>
      </c>
      <c r="F112" s="884" t="s">
        <v>7524</v>
      </c>
      <c r="G112" s="884" t="s">
        <v>7525</v>
      </c>
      <c r="H112" s="886">
        <v>42401</v>
      </c>
      <c r="I112" s="887">
        <v>42480</v>
      </c>
      <c r="J112" s="958">
        <v>18.97</v>
      </c>
    </row>
    <row r="113" spans="1:10" s="84" customFormat="1" outlineLevel="2">
      <c r="A113" s="884" t="s">
        <v>2379</v>
      </c>
      <c r="B113" s="1050" t="s">
        <v>7732</v>
      </c>
      <c r="C113" s="885" t="s">
        <v>271</v>
      </c>
      <c r="D113" s="884"/>
      <c r="E113" s="884" t="s">
        <v>1909</v>
      </c>
      <c r="F113" s="884" t="s">
        <v>7618</v>
      </c>
      <c r="G113" s="884" t="s">
        <v>7619</v>
      </c>
      <c r="H113" s="886">
        <v>42370</v>
      </c>
      <c r="I113" s="887">
        <v>42480</v>
      </c>
      <c r="J113" s="958">
        <v>60.01</v>
      </c>
    </row>
    <row r="114" spans="1:10" s="84" customFormat="1" outlineLevel="2">
      <c r="A114" s="884" t="s">
        <v>2379</v>
      </c>
      <c r="B114" s="1050" t="s">
        <v>7732</v>
      </c>
      <c r="C114" s="885" t="s">
        <v>271</v>
      </c>
      <c r="D114" s="884"/>
      <c r="E114" s="884" t="s">
        <v>1909</v>
      </c>
      <c r="F114" s="884" t="s">
        <v>7682</v>
      </c>
      <c r="G114" s="884" t="s">
        <v>7683</v>
      </c>
      <c r="H114" s="886">
        <v>42370</v>
      </c>
      <c r="I114" s="887">
        <v>42480</v>
      </c>
      <c r="J114" s="958">
        <v>88.82</v>
      </c>
    </row>
    <row r="115" spans="1:10" s="84" customFormat="1" outlineLevel="1">
      <c r="A115" s="884"/>
      <c r="B115" s="1050"/>
      <c r="C115" s="908" t="s">
        <v>271</v>
      </c>
      <c r="D115" s="928" t="str">
        <f>VLOOKUP(C115,$C$1102:$E$1189,3,FALSE)</f>
        <v>TOTAL POUPATEMPO BOTUCATU</v>
      </c>
      <c r="E115" s="928"/>
      <c r="F115" s="928"/>
      <c r="G115" s="928"/>
      <c r="H115" s="911"/>
      <c r="I115" s="912"/>
      <c r="J115" s="966">
        <f>SUBTOTAL(9,J101:J114)</f>
        <v>5047.92</v>
      </c>
    </row>
    <row r="116" spans="1:10" s="84" customFormat="1" outlineLevel="2">
      <c r="A116" s="884" t="s">
        <v>2380</v>
      </c>
      <c r="B116" s="1050">
        <v>112120611040</v>
      </c>
      <c r="C116" s="885" t="s">
        <v>272</v>
      </c>
      <c r="D116" s="884"/>
      <c r="E116" s="884" t="s">
        <v>407</v>
      </c>
      <c r="F116" s="884" t="s">
        <v>2418</v>
      </c>
      <c r="G116" s="884" t="s">
        <v>6834</v>
      </c>
      <c r="H116" s="886">
        <v>42401</v>
      </c>
      <c r="I116" s="887">
        <v>42467</v>
      </c>
      <c r="J116" s="958">
        <v>1147.31</v>
      </c>
    </row>
    <row r="117" spans="1:10" s="84" customFormat="1" outlineLevel="2">
      <c r="A117" s="884" t="s">
        <v>2380</v>
      </c>
      <c r="B117" s="1050">
        <v>112120611040</v>
      </c>
      <c r="C117" s="885" t="s">
        <v>272</v>
      </c>
      <c r="D117" s="884"/>
      <c r="E117" s="884" t="s">
        <v>407</v>
      </c>
      <c r="F117" s="884" t="s">
        <v>2418</v>
      </c>
      <c r="G117" s="884" t="s">
        <v>7733</v>
      </c>
      <c r="H117" s="886">
        <v>42401</v>
      </c>
      <c r="I117" s="887">
        <v>42467</v>
      </c>
      <c r="J117" s="958">
        <v>-5</v>
      </c>
    </row>
    <row r="118" spans="1:10" s="84" customFormat="1" outlineLevel="2">
      <c r="A118" s="884" t="s">
        <v>2380</v>
      </c>
      <c r="B118" s="1050">
        <v>112120611040</v>
      </c>
      <c r="C118" s="885" t="s">
        <v>272</v>
      </c>
      <c r="D118" s="884"/>
      <c r="E118" s="884" t="s">
        <v>409</v>
      </c>
      <c r="F118" s="884" t="s">
        <v>2418</v>
      </c>
      <c r="G118" s="884" t="s">
        <v>6787</v>
      </c>
      <c r="H118" s="886">
        <v>42401</v>
      </c>
      <c r="I118" s="887">
        <v>42475</v>
      </c>
      <c r="J118" s="958">
        <v>1698.03</v>
      </c>
    </row>
    <row r="119" spans="1:10" s="84" customFormat="1" outlineLevel="2">
      <c r="A119" s="884" t="s">
        <v>2380</v>
      </c>
      <c r="B119" s="1050">
        <v>112120611040</v>
      </c>
      <c r="C119" s="885" t="s">
        <v>272</v>
      </c>
      <c r="D119" s="884"/>
      <c r="E119" s="884" t="s">
        <v>409</v>
      </c>
      <c r="F119" s="884" t="s">
        <v>2418</v>
      </c>
      <c r="G119" s="884" t="s">
        <v>7736</v>
      </c>
      <c r="H119" s="886">
        <v>42401</v>
      </c>
      <c r="I119" s="887">
        <v>42475</v>
      </c>
      <c r="J119" s="958">
        <v>-3.7</v>
      </c>
    </row>
    <row r="120" spans="1:10" s="84" customFormat="1" outlineLevel="2">
      <c r="A120" s="884" t="s">
        <v>2380</v>
      </c>
      <c r="B120" s="1050" t="s">
        <v>7732</v>
      </c>
      <c r="C120" s="885" t="s">
        <v>272</v>
      </c>
      <c r="D120" s="884"/>
      <c r="E120" s="884" t="s">
        <v>2335</v>
      </c>
      <c r="F120" s="884" t="s">
        <v>7260</v>
      </c>
      <c r="G120" s="884" t="s">
        <v>7261</v>
      </c>
      <c r="H120" s="886">
        <v>42401</v>
      </c>
      <c r="I120" s="887">
        <v>42475</v>
      </c>
      <c r="J120" s="958">
        <v>28.21</v>
      </c>
    </row>
    <row r="121" spans="1:10" s="84" customFormat="1" outlineLevel="2">
      <c r="A121" s="884" t="s">
        <v>2380</v>
      </c>
      <c r="B121" s="1050" t="s">
        <v>7732</v>
      </c>
      <c r="C121" s="885" t="s">
        <v>272</v>
      </c>
      <c r="D121" s="884"/>
      <c r="E121" s="884" t="s">
        <v>2335</v>
      </c>
      <c r="F121" s="884" t="s">
        <v>7262</v>
      </c>
      <c r="G121" s="884" t="s">
        <v>7263</v>
      </c>
      <c r="H121" s="886">
        <v>42401</v>
      </c>
      <c r="I121" s="887">
        <v>42475</v>
      </c>
      <c r="J121" s="958">
        <v>41.75</v>
      </c>
    </row>
    <row r="122" spans="1:10" s="84" customFormat="1" outlineLevel="2">
      <c r="A122" s="884" t="s">
        <v>2380</v>
      </c>
      <c r="B122" s="1050" t="s">
        <v>7732</v>
      </c>
      <c r="C122" s="885" t="s">
        <v>272</v>
      </c>
      <c r="D122" s="884"/>
      <c r="E122" s="884" t="s">
        <v>2335</v>
      </c>
      <c r="F122" s="884" t="s">
        <v>7264</v>
      </c>
      <c r="G122" s="884" t="s">
        <v>7265</v>
      </c>
      <c r="H122" s="886">
        <v>42401</v>
      </c>
      <c r="I122" s="887">
        <v>42475</v>
      </c>
      <c r="J122" s="958">
        <v>42.87</v>
      </c>
    </row>
    <row r="123" spans="1:10" s="84" customFormat="1" outlineLevel="2">
      <c r="A123" s="884" t="s">
        <v>2380</v>
      </c>
      <c r="B123" s="1050">
        <v>112120611040</v>
      </c>
      <c r="C123" s="885" t="s">
        <v>272</v>
      </c>
      <c r="D123" s="884"/>
      <c r="E123" s="884" t="s">
        <v>408</v>
      </c>
      <c r="F123" s="884" t="s">
        <v>2418</v>
      </c>
      <c r="G123" s="884" t="s">
        <v>6882</v>
      </c>
      <c r="H123" s="886">
        <v>42370</v>
      </c>
      <c r="I123" s="887">
        <v>42478</v>
      </c>
      <c r="J123" s="958">
        <v>1665.85</v>
      </c>
    </row>
    <row r="124" spans="1:10" s="84" customFormat="1" outlineLevel="2">
      <c r="A124" s="884" t="s">
        <v>2380</v>
      </c>
      <c r="B124" s="1050">
        <v>112120611040</v>
      </c>
      <c r="C124" s="885" t="s">
        <v>272</v>
      </c>
      <c r="D124" s="884"/>
      <c r="E124" s="884" t="s">
        <v>408</v>
      </c>
      <c r="F124" s="884" t="s">
        <v>2418</v>
      </c>
      <c r="G124" s="884" t="s">
        <v>6882</v>
      </c>
      <c r="H124" s="886">
        <v>42370</v>
      </c>
      <c r="I124" s="887">
        <v>42478</v>
      </c>
      <c r="J124" s="958">
        <v>-3.8</v>
      </c>
    </row>
    <row r="125" spans="1:10" s="84" customFormat="1" outlineLevel="2">
      <c r="A125" s="884" t="s">
        <v>2380</v>
      </c>
      <c r="B125" s="1050" t="s">
        <v>7732</v>
      </c>
      <c r="C125" s="885" t="s">
        <v>272</v>
      </c>
      <c r="D125" s="884"/>
      <c r="E125" s="884" t="s">
        <v>2336</v>
      </c>
      <c r="F125" s="884" t="s">
        <v>7042</v>
      </c>
      <c r="G125" s="884" t="s">
        <v>7043</v>
      </c>
      <c r="H125" s="886">
        <v>42401</v>
      </c>
      <c r="I125" s="887">
        <v>42480</v>
      </c>
      <c r="J125" s="958">
        <v>235.81</v>
      </c>
    </row>
    <row r="126" spans="1:10" s="84" customFormat="1" outlineLevel="2">
      <c r="A126" s="884" t="s">
        <v>2380</v>
      </c>
      <c r="B126" s="1050" t="s">
        <v>7732</v>
      </c>
      <c r="C126" s="885" t="s">
        <v>272</v>
      </c>
      <c r="D126" s="884"/>
      <c r="E126" s="884" t="s">
        <v>2336</v>
      </c>
      <c r="F126" s="884" t="s">
        <v>7038</v>
      </c>
      <c r="G126" s="884" t="s">
        <v>7039</v>
      </c>
      <c r="H126" s="886">
        <v>42401</v>
      </c>
      <c r="I126" s="887">
        <v>42480</v>
      </c>
      <c r="J126" s="958">
        <v>155.13999999999999</v>
      </c>
    </row>
    <row r="127" spans="1:10" s="84" customFormat="1" outlineLevel="2">
      <c r="A127" s="884" t="s">
        <v>2380</v>
      </c>
      <c r="B127" s="1050" t="s">
        <v>7732</v>
      </c>
      <c r="C127" s="885" t="s">
        <v>272</v>
      </c>
      <c r="D127" s="884"/>
      <c r="E127" s="884" t="s">
        <v>2336</v>
      </c>
      <c r="F127" s="884" t="s">
        <v>7040</v>
      </c>
      <c r="G127" s="884" t="s">
        <v>7041</v>
      </c>
      <c r="H127" s="886">
        <v>42401</v>
      </c>
      <c r="I127" s="887">
        <v>42480</v>
      </c>
      <c r="J127" s="958">
        <v>229.6</v>
      </c>
    </row>
    <row r="128" spans="1:10" s="84" customFormat="1" outlineLevel="2">
      <c r="A128" s="884" t="s">
        <v>2380</v>
      </c>
      <c r="B128" s="1050" t="s">
        <v>7732</v>
      </c>
      <c r="C128" s="885" t="s">
        <v>272</v>
      </c>
      <c r="D128" s="884"/>
      <c r="E128" s="884" t="s">
        <v>1909</v>
      </c>
      <c r="F128" s="884" t="s">
        <v>7438</v>
      </c>
      <c r="G128" s="884" t="s">
        <v>7439</v>
      </c>
      <c r="H128" s="886">
        <v>42401</v>
      </c>
      <c r="I128" s="887">
        <v>42480</v>
      </c>
      <c r="J128" s="958">
        <v>21.44</v>
      </c>
    </row>
    <row r="129" spans="1:10" s="84" customFormat="1" outlineLevel="2">
      <c r="A129" s="884" t="s">
        <v>2380</v>
      </c>
      <c r="B129" s="1050" t="s">
        <v>7732</v>
      </c>
      <c r="C129" s="885" t="s">
        <v>272</v>
      </c>
      <c r="D129" s="884"/>
      <c r="E129" s="884" t="s">
        <v>1909</v>
      </c>
      <c r="F129" s="884" t="s">
        <v>7504</v>
      </c>
      <c r="G129" s="884" t="s">
        <v>7505</v>
      </c>
      <c r="H129" s="886">
        <v>42401</v>
      </c>
      <c r="I129" s="887">
        <v>42480</v>
      </c>
      <c r="J129" s="958">
        <v>14.1</v>
      </c>
    </row>
    <row r="130" spans="1:10" s="84" customFormat="1" outlineLevel="2">
      <c r="A130" s="884" t="s">
        <v>2380</v>
      </c>
      <c r="B130" s="1050" t="s">
        <v>7732</v>
      </c>
      <c r="C130" s="885" t="s">
        <v>272</v>
      </c>
      <c r="D130" s="884"/>
      <c r="E130" s="884" t="s">
        <v>1909</v>
      </c>
      <c r="F130" s="884" t="s">
        <v>7568</v>
      </c>
      <c r="G130" s="884" t="s">
        <v>7569</v>
      </c>
      <c r="H130" s="886">
        <v>42401</v>
      </c>
      <c r="I130" s="887">
        <v>42480</v>
      </c>
      <c r="J130" s="958">
        <v>20.87</v>
      </c>
    </row>
    <row r="131" spans="1:10" s="84" customFormat="1" outlineLevel="2">
      <c r="A131" s="884" t="s">
        <v>2380</v>
      </c>
      <c r="B131" s="1050" t="s">
        <v>7732</v>
      </c>
      <c r="C131" s="885" t="s">
        <v>272</v>
      </c>
      <c r="D131" s="884"/>
      <c r="E131" s="884" t="s">
        <v>1909</v>
      </c>
      <c r="F131" s="884" t="s">
        <v>7594</v>
      </c>
      <c r="G131" s="884" t="s">
        <v>7595</v>
      </c>
      <c r="H131" s="886">
        <v>42370</v>
      </c>
      <c r="I131" s="887">
        <v>42480</v>
      </c>
      <c r="J131" s="958">
        <v>12.06</v>
      </c>
    </row>
    <row r="132" spans="1:10" s="84" customFormat="1" outlineLevel="2">
      <c r="A132" s="884" t="s">
        <v>2380</v>
      </c>
      <c r="B132" s="1050" t="s">
        <v>7732</v>
      </c>
      <c r="C132" s="885" t="s">
        <v>272</v>
      </c>
      <c r="D132" s="884"/>
      <c r="E132" s="884" t="s">
        <v>1909</v>
      </c>
      <c r="F132" s="884" t="s">
        <v>7628</v>
      </c>
      <c r="G132" s="884" t="s">
        <v>7629</v>
      </c>
      <c r="H132" s="886">
        <v>42370</v>
      </c>
      <c r="I132" s="887">
        <v>42480</v>
      </c>
      <c r="J132" s="958">
        <v>62.64</v>
      </c>
    </row>
    <row r="133" spans="1:10" s="84" customFormat="1" outlineLevel="2">
      <c r="A133" s="884" t="s">
        <v>2380</v>
      </c>
      <c r="B133" s="1050" t="s">
        <v>7732</v>
      </c>
      <c r="C133" s="885" t="s">
        <v>272</v>
      </c>
      <c r="D133" s="884"/>
      <c r="E133" s="884" t="s">
        <v>1909</v>
      </c>
      <c r="F133" s="884" t="s">
        <v>7698</v>
      </c>
      <c r="G133" s="884" t="s">
        <v>7699</v>
      </c>
      <c r="H133" s="886">
        <v>42370</v>
      </c>
      <c r="I133" s="887">
        <v>42480</v>
      </c>
      <c r="J133" s="958">
        <v>92.72</v>
      </c>
    </row>
    <row r="134" spans="1:10" s="84" customFormat="1" outlineLevel="2">
      <c r="A134" s="884" t="s">
        <v>6655</v>
      </c>
      <c r="B134" s="1050">
        <v>112120702010</v>
      </c>
      <c r="C134" s="885" t="s">
        <v>272</v>
      </c>
      <c r="D134" s="884"/>
      <c r="E134" s="884" t="s">
        <v>438</v>
      </c>
      <c r="F134" s="884" t="s">
        <v>2406</v>
      </c>
      <c r="G134" s="884" t="s">
        <v>5725</v>
      </c>
      <c r="H134" s="886">
        <v>42461</v>
      </c>
      <c r="I134" s="887">
        <v>42486</v>
      </c>
      <c r="J134" s="958">
        <v>42.42</v>
      </c>
    </row>
    <row r="135" spans="1:10" s="84" customFormat="1" outlineLevel="1">
      <c r="A135" s="884"/>
      <c r="B135" s="1050"/>
      <c r="C135" s="908" t="s">
        <v>272</v>
      </c>
      <c r="D135" s="928" t="str">
        <f>VLOOKUP(C135,$C$1102:$E$1189,3,FALSE)</f>
        <v>TOTAL POUPATEMPO CARAGUATATUBA</v>
      </c>
      <c r="E135" s="928"/>
      <c r="F135" s="928"/>
      <c r="G135" s="928"/>
      <c r="H135" s="911"/>
      <c r="I135" s="912"/>
      <c r="J135" s="966">
        <f>SUBTOTAL(9,J116:J134)</f>
        <v>5498.3200000000015</v>
      </c>
    </row>
    <row r="136" spans="1:10" s="84" customFormat="1" outlineLevel="2">
      <c r="A136" s="884" t="s">
        <v>2381</v>
      </c>
      <c r="B136" s="1050">
        <v>112120611040</v>
      </c>
      <c r="C136" s="885" t="s">
        <v>273</v>
      </c>
      <c r="D136" s="884"/>
      <c r="E136" s="884" t="s">
        <v>407</v>
      </c>
      <c r="F136" s="884" t="s">
        <v>2418</v>
      </c>
      <c r="G136" s="884" t="s">
        <v>6810</v>
      </c>
      <c r="H136" s="886">
        <v>42401</v>
      </c>
      <c r="I136" s="887">
        <v>42467</v>
      </c>
      <c r="J136" s="958">
        <v>1160.9100000000001</v>
      </c>
    </row>
    <row r="137" spans="1:10" s="84" customFormat="1" outlineLevel="2">
      <c r="A137" s="884" t="s">
        <v>2381</v>
      </c>
      <c r="B137" s="1050">
        <v>112120611040</v>
      </c>
      <c r="C137" s="885" t="s">
        <v>273</v>
      </c>
      <c r="D137" s="884"/>
      <c r="E137" s="884" t="s">
        <v>409</v>
      </c>
      <c r="F137" s="884" t="s">
        <v>2418</v>
      </c>
      <c r="G137" s="884" t="s">
        <v>6763</v>
      </c>
      <c r="H137" s="886">
        <v>42401</v>
      </c>
      <c r="I137" s="887">
        <v>42475</v>
      </c>
      <c r="J137" s="958">
        <v>1718.15</v>
      </c>
    </row>
    <row r="138" spans="1:10" s="84" customFormat="1" outlineLevel="2">
      <c r="A138" s="884" t="s">
        <v>2381</v>
      </c>
      <c r="B138" s="1050">
        <v>112120611040</v>
      </c>
      <c r="C138" s="885" t="s">
        <v>273</v>
      </c>
      <c r="D138" s="884"/>
      <c r="E138" s="884" t="s">
        <v>408</v>
      </c>
      <c r="F138" s="884" t="s">
        <v>2418</v>
      </c>
      <c r="G138" s="884" t="s">
        <v>6875</v>
      </c>
      <c r="H138" s="886">
        <v>42370</v>
      </c>
      <c r="I138" s="887">
        <v>42478</v>
      </c>
      <c r="J138" s="958">
        <v>1829.08</v>
      </c>
    </row>
    <row r="139" spans="1:10" s="84" customFormat="1" outlineLevel="2">
      <c r="A139" s="884" t="s">
        <v>2381</v>
      </c>
      <c r="B139" s="1050" t="s">
        <v>7732</v>
      </c>
      <c r="C139" s="885" t="s">
        <v>273</v>
      </c>
      <c r="D139" s="884"/>
      <c r="E139" s="884" t="s">
        <v>2336</v>
      </c>
      <c r="F139" s="884" t="s">
        <v>7046</v>
      </c>
      <c r="G139" s="884" t="s">
        <v>7047</v>
      </c>
      <c r="H139" s="886">
        <v>42401</v>
      </c>
      <c r="I139" s="887">
        <v>42480</v>
      </c>
      <c r="J139" s="958">
        <v>238.6</v>
      </c>
    </row>
    <row r="140" spans="1:10" s="84" customFormat="1" outlineLevel="2">
      <c r="A140" s="884" t="s">
        <v>2381</v>
      </c>
      <c r="B140" s="1050" t="s">
        <v>7732</v>
      </c>
      <c r="C140" s="885" t="s">
        <v>273</v>
      </c>
      <c r="D140" s="884"/>
      <c r="E140" s="884" t="s">
        <v>2336</v>
      </c>
      <c r="F140" s="884" t="s">
        <v>7044</v>
      </c>
      <c r="G140" s="884" t="s">
        <v>7045</v>
      </c>
      <c r="H140" s="886">
        <v>42401</v>
      </c>
      <c r="I140" s="887">
        <v>42480</v>
      </c>
      <c r="J140" s="958">
        <v>156.97999999999999</v>
      </c>
    </row>
    <row r="141" spans="1:10" s="84" customFormat="1" outlineLevel="2">
      <c r="A141" s="884" t="s">
        <v>2381</v>
      </c>
      <c r="B141" s="1050" t="s">
        <v>7732</v>
      </c>
      <c r="C141" s="885" t="s">
        <v>273</v>
      </c>
      <c r="D141" s="884"/>
      <c r="E141" s="884" t="s">
        <v>2336</v>
      </c>
      <c r="F141" s="884" t="s">
        <v>7048</v>
      </c>
      <c r="G141" s="884" t="s">
        <v>7049</v>
      </c>
      <c r="H141" s="886">
        <v>42401</v>
      </c>
      <c r="I141" s="887">
        <v>42480</v>
      </c>
      <c r="J141" s="958">
        <v>232.33</v>
      </c>
    </row>
    <row r="142" spans="1:10" s="84" customFormat="1" outlineLevel="2">
      <c r="A142" s="884" t="s">
        <v>2381</v>
      </c>
      <c r="B142" s="1050" t="s">
        <v>7732</v>
      </c>
      <c r="C142" s="885" t="s">
        <v>273</v>
      </c>
      <c r="D142" s="884"/>
      <c r="E142" s="884" t="s">
        <v>1909</v>
      </c>
      <c r="F142" s="884" t="s">
        <v>7390</v>
      </c>
      <c r="G142" s="884" t="s">
        <v>7391</v>
      </c>
      <c r="H142" s="886">
        <v>42401</v>
      </c>
      <c r="I142" s="887">
        <v>42480</v>
      </c>
      <c r="J142" s="958">
        <v>21.69</v>
      </c>
    </row>
    <row r="143" spans="1:10" s="84" customFormat="1" outlineLevel="2">
      <c r="A143" s="884" t="s">
        <v>2381</v>
      </c>
      <c r="B143" s="1050" t="s">
        <v>7732</v>
      </c>
      <c r="C143" s="885" t="s">
        <v>273</v>
      </c>
      <c r="D143" s="884"/>
      <c r="E143" s="884" t="s">
        <v>1909</v>
      </c>
      <c r="F143" s="884" t="s">
        <v>7456</v>
      </c>
      <c r="G143" s="884" t="s">
        <v>7457</v>
      </c>
      <c r="H143" s="886">
        <v>42401</v>
      </c>
      <c r="I143" s="887">
        <v>42480</v>
      </c>
      <c r="J143" s="958">
        <v>14.27</v>
      </c>
    </row>
    <row r="144" spans="1:10" s="84" customFormat="1" outlineLevel="2">
      <c r="A144" s="884" t="s">
        <v>2381</v>
      </c>
      <c r="B144" s="1050" t="s">
        <v>7732</v>
      </c>
      <c r="C144" s="885" t="s">
        <v>273</v>
      </c>
      <c r="D144" s="884"/>
      <c r="E144" s="884" t="s">
        <v>1909</v>
      </c>
      <c r="F144" s="884" t="s">
        <v>7520</v>
      </c>
      <c r="G144" s="884" t="s">
        <v>7521</v>
      </c>
      <c r="H144" s="886">
        <v>42401</v>
      </c>
      <c r="I144" s="887">
        <v>42480</v>
      </c>
      <c r="J144" s="958">
        <v>21.12</v>
      </c>
    </row>
    <row r="145" spans="1:10" s="84" customFormat="1" outlineLevel="2">
      <c r="A145" s="884" t="s">
        <v>2381</v>
      </c>
      <c r="B145" s="1050" t="s">
        <v>7732</v>
      </c>
      <c r="C145" s="885" t="s">
        <v>273</v>
      </c>
      <c r="D145" s="884"/>
      <c r="E145" s="884" t="s">
        <v>1909</v>
      </c>
      <c r="F145" s="884" t="s">
        <v>7612</v>
      </c>
      <c r="G145" s="884" t="s">
        <v>7613</v>
      </c>
      <c r="H145" s="886">
        <v>42370</v>
      </c>
      <c r="I145" s="887">
        <v>42480</v>
      </c>
      <c r="J145" s="958">
        <v>68.78</v>
      </c>
    </row>
    <row r="146" spans="1:10" s="84" customFormat="1" outlineLevel="2">
      <c r="A146" s="884" t="s">
        <v>2381</v>
      </c>
      <c r="B146" s="1050" t="s">
        <v>7732</v>
      </c>
      <c r="C146" s="885" t="s">
        <v>273</v>
      </c>
      <c r="D146" s="884"/>
      <c r="E146" s="884" t="s">
        <v>1909</v>
      </c>
      <c r="F146" s="884" t="s">
        <v>7676</v>
      </c>
      <c r="G146" s="884" t="s">
        <v>7677</v>
      </c>
      <c r="H146" s="886">
        <v>42370</v>
      </c>
      <c r="I146" s="887">
        <v>42480</v>
      </c>
      <c r="J146" s="958">
        <v>101.8</v>
      </c>
    </row>
    <row r="147" spans="1:10" s="84" customFormat="1" outlineLevel="2">
      <c r="A147" s="884" t="s">
        <v>2627</v>
      </c>
      <c r="B147" s="1050" t="s">
        <v>7732</v>
      </c>
      <c r="C147" s="885" t="s">
        <v>273</v>
      </c>
      <c r="D147" s="884"/>
      <c r="E147" s="884" t="s">
        <v>2337</v>
      </c>
      <c r="F147" s="884" t="s">
        <v>7336</v>
      </c>
      <c r="G147" s="884" t="s">
        <v>7337</v>
      </c>
      <c r="H147" s="886">
        <v>42401</v>
      </c>
      <c r="I147" s="887">
        <v>42485</v>
      </c>
      <c r="J147" s="958">
        <v>28.54</v>
      </c>
    </row>
    <row r="148" spans="1:10" s="84" customFormat="1" outlineLevel="2">
      <c r="A148" s="884" t="s">
        <v>2627</v>
      </c>
      <c r="B148" s="1050" t="s">
        <v>7732</v>
      </c>
      <c r="C148" s="885" t="s">
        <v>273</v>
      </c>
      <c r="D148" s="884"/>
      <c r="E148" s="884" t="s">
        <v>2337</v>
      </c>
      <c r="F148" s="884" t="s">
        <v>7338</v>
      </c>
      <c r="G148" s="884" t="s">
        <v>7339</v>
      </c>
      <c r="H148" s="886">
        <v>42401</v>
      </c>
      <c r="I148" s="887">
        <v>42485</v>
      </c>
      <c r="J148" s="958">
        <v>43.38</v>
      </c>
    </row>
    <row r="149" spans="1:10" s="84" customFormat="1" outlineLevel="2">
      <c r="A149" s="884" t="s">
        <v>2381</v>
      </c>
      <c r="B149" s="1050" t="s">
        <v>7732</v>
      </c>
      <c r="C149" s="885" t="s">
        <v>273</v>
      </c>
      <c r="D149" s="884"/>
      <c r="E149" s="884" t="s">
        <v>2337</v>
      </c>
      <c r="F149" s="884" t="s">
        <v>7340</v>
      </c>
      <c r="G149" s="884" t="s">
        <v>7341</v>
      </c>
      <c r="H149" s="886">
        <v>42401</v>
      </c>
      <c r="I149" s="887">
        <v>42485</v>
      </c>
      <c r="J149" s="958">
        <v>42.24</v>
      </c>
    </row>
    <row r="150" spans="1:10" s="84" customFormat="1" outlineLevel="1">
      <c r="A150" s="884"/>
      <c r="B150" s="1050"/>
      <c r="C150" s="908" t="s">
        <v>273</v>
      </c>
      <c r="D150" s="928" t="str">
        <f>VLOOKUP(C150,$C$1102:$E$1189,3,FALSE)</f>
        <v>TOTAL POUPATEMPO SÃO CARLOS</v>
      </c>
      <c r="E150" s="928"/>
      <c r="F150" s="928"/>
      <c r="G150" s="928"/>
      <c r="H150" s="911"/>
      <c r="I150" s="912"/>
      <c r="J150" s="966">
        <f>SUBTOTAL(9,J136:J149)</f>
        <v>5677.87</v>
      </c>
    </row>
    <row r="151" spans="1:10" s="84" customFormat="1" outlineLevel="2">
      <c r="A151" s="884" t="s">
        <v>2382</v>
      </c>
      <c r="B151" s="1050">
        <v>112120611040</v>
      </c>
      <c r="C151" s="885" t="s">
        <v>274</v>
      </c>
      <c r="D151" s="884"/>
      <c r="E151" s="884" t="s">
        <v>407</v>
      </c>
      <c r="F151" s="884" t="s">
        <v>2418</v>
      </c>
      <c r="G151" s="884" t="s">
        <v>6811</v>
      </c>
      <c r="H151" s="886">
        <v>42401</v>
      </c>
      <c r="I151" s="887">
        <v>42467</v>
      </c>
      <c r="J151" s="958">
        <v>987.99</v>
      </c>
    </row>
    <row r="152" spans="1:10" s="84" customFormat="1" outlineLevel="2">
      <c r="A152" s="884" t="s">
        <v>2382</v>
      </c>
      <c r="B152" s="1050">
        <v>112120611040</v>
      </c>
      <c r="C152" s="885" t="s">
        <v>274</v>
      </c>
      <c r="D152" s="884"/>
      <c r="E152" s="884" t="s">
        <v>409</v>
      </c>
      <c r="F152" s="884" t="s">
        <v>2418</v>
      </c>
      <c r="G152" s="884" t="s">
        <v>6764</v>
      </c>
      <c r="H152" s="886">
        <v>42401</v>
      </c>
      <c r="I152" s="887">
        <v>42475</v>
      </c>
      <c r="J152" s="958">
        <v>1462.21</v>
      </c>
    </row>
    <row r="153" spans="1:10" s="84" customFormat="1" outlineLevel="2">
      <c r="A153" s="884" t="s">
        <v>2382</v>
      </c>
      <c r="B153" s="1050" t="s">
        <v>7732</v>
      </c>
      <c r="C153" s="885" t="s">
        <v>274</v>
      </c>
      <c r="D153" s="884"/>
      <c r="E153" s="884" t="s">
        <v>2283</v>
      </c>
      <c r="F153" s="884" t="s">
        <v>7230</v>
      </c>
      <c r="G153" s="884" t="s">
        <v>7231</v>
      </c>
      <c r="H153" s="886">
        <v>42401</v>
      </c>
      <c r="I153" s="887">
        <v>42475</v>
      </c>
      <c r="J153" s="958">
        <v>95.84</v>
      </c>
    </row>
    <row r="154" spans="1:10" s="84" customFormat="1" outlineLevel="2">
      <c r="A154" s="884" t="s">
        <v>2382</v>
      </c>
      <c r="B154" s="1050" t="s">
        <v>7732</v>
      </c>
      <c r="C154" s="885" t="s">
        <v>274</v>
      </c>
      <c r="D154" s="884"/>
      <c r="E154" s="884" t="s">
        <v>2283</v>
      </c>
      <c r="F154" s="884" t="s">
        <v>7232</v>
      </c>
      <c r="G154" s="884" t="s">
        <v>7233</v>
      </c>
      <c r="H154" s="886">
        <v>42401</v>
      </c>
      <c r="I154" s="887">
        <v>42475</v>
      </c>
      <c r="J154" s="958">
        <v>93.31</v>
      </c>
    </row>
    <row r="155" spans="1:10" s="84" customFormat="1" outlineLevel="2">
      <c r="A155" s="884" t="s">
        <v>2382</v>
      </c>
      <c r="B155" s="1050" t="s">
        <v>7732</v>
      </c>
      <c r="C155" s="885" t="s">
        <v>274</v>
      </c>
      <c r="D155" s="884"/>
      <c r="E155" s="884" t="s">
        <v>2283</v>
      </c>
      <c r="F155" s="884" t="s">
        <v>7234</v>
      </c>
      <c r="G155" s="884" t="s">
        <v>7235</v>
      </c>
      <c r="H155" s="886">
        <v>42401</v>
      </c>
      <c r="I155" s="887">
        <v>42475</v>
      </c>
      <c r="J155" s="958">
        <v>63.05</v>
      </c>
    </row>
    <row r="156" spans="1:10" s="84" customFormat="1" outlineLevel="2">
      <c r="A156" s="884" t="s">
        <v>2382</v>
      </c>
      <c r="B156" s="1050">
        <v>112120611040</v>
      </c>
      <c r="C156" s="885" t="s">
        <v>274</v>
      </c>
      <c r="D156" s="884"/>
      <c r="E156" s="884" t="s">
        <v>408</v>
      </c>
      <c r="F156" s="884" t="s">
        <v>2418</v>
      </c>
      <c r="G156" s="884" t="s">
        <v>6895</v>
      </c>
      <c r="H156" s="886">
        <v>42370</v>
      </c>
      <c r="I156" s="887">
        <v>42478</v>
      </c>
      <c r="J156" s="958">
        <v>1473.13</v>
      </c>
    </row>
    <row r="157" spans="1:10" s="84" customFormat="1" outlineLevel="2">
      <c r="A157" s="884" t="s">
        <v>2382</v>
      </c>
      <c r="B157" s="1050" t="s">
        <v>7732</v>
      </c>
      <c r="C157" s="885" t="s">
        <v>274</v>
      </c>
      <c r="D157" s="884"/>
      <c r="E157" s="884" t="s">
        <v>2336</v>
      </c>
      <c r="F157" s="884" t="s">
        <v>7050</v>
      </c>
      <c r="G157" s="884" t="s">
        <v>7051</v>
      </c>
      <c r="H157" s="886">
        <v>42401</v>
      </c>
      <c r="I157" s="887">
        <v>42480</v>
      </c>
      <c r="J157" s="958">
        <v>210.84</v>
      </c>
    </row>
    <row r="158" spans="1:10" s="84" customFormat="1" outlineLevel="2">
      <c r="A158" s="884" t="s">
        <v>2382</v>
      </c>
      <c r="B158" s="1050" t="s">
        <v>7732</v>
      </c>
      <c r="C158" s="885" t="s">
        <v>274</v>
      </c>
      <c r="D158" s="884"/>
      <c r="E158" s="884" t="s">
        <v>2336</v>
      </c>
      <c r="F158" s="884" t="s">
        <v>7054</v>
      </c>
      <c r="G158" s="884" t="s">
        <v>7055</v>
      </c>
      <c r="H158" s="886">
        <v>42401</v>
      </c>
      <c r="I158" s="887">
        <v>42480</v>
      </c>
      <c r="J158" s="958">
        <v>138.71</v>
      </c>
    </row>
    <row r="159" spans="1:10" s="84" customFormat="1" outlineLevel="2">
      <c r="A159" s="884" t="s">
        <v>2382</v>
      </c>
      <c r="B159" s="1050" t="s">
        <v>7732</v>
      </c>
      <c r="C159" s="885" t="s">
        <v>274</v>
      </c>
      <c r="D159" s="884"/>
      <c r="E159" s="884" t="s">
        <v>2336</v>
      </c>
      <c r="F159" s="884" t="s">
        <v>7052</v>
      </c>
      <c r="G159" s="884" t="s">
        <v>7053</v>
      </c>
      <c r="H159" s="886">
        <v>42401</v>
      </c>
      <c r="I159" s="887">
        <v>42480</v>
      </c>
      <c r="J159" s="958">
        <v>205.29</v>
      </c>
    </row>
    <row r="160" spans="1:10" s="84" customFormat="1" outlineLevel="2">
      <c r="A160" s="884" t="s">
        <v>2382</v>
      </c>
      <c r="B160" s="1050" t="s">
        <v>7732</v>
      </c>
      <c r="C160" s="885" t="s">
        <v>274</v>
      </c>
      <c r="D160" s="884"/>
      <c r="E160" s="884" t="s">
        <v>1909</v>
      </c>
      <c r="F160" s="884" t="s">
        <v>7392</v>
      </c>
      <c r="G160" s="884" t="s">
        <v>7393</v>
      </c>
      <c r="H160" s="886">
        <v>42401</v>
      </c>
      <c r="I160" s="887">
        <v>42480</v>
      </c>
      <c r="J160" s="958">
        <v>19.170000000000002</v>
      </c>
    </row>
    <row r="161" spans="1:10" s="84" customFormat="1" outlineLevel="2">
      <c r="A161" s="884" t="s">
        <v>2382</v>
      </c>
      <c r="B161" s="1050" t="s">
        <v>7732</v>
      </c>
      <c r="C161" s="885" t="s">
        <v>274</v>
      </c>
      <c r="D161" s="884"/>
      <c r="E161" s="884" t="s">
        <v>1909</v>
      </c>
      <c r="F161" s="884" t="s">
        <v>7458</v>
      </c>
      <c r="G161" s="884" t="s">
        <v>7459</v>
      </c>
      <c r="H161" s="886">
        <v>42401</v>
      </c>
      <c r="I161" s="887">
        <v>42480</v>
      </c>
      <c r="J161" s="958">
        <v>12.61</v>
      </c>
    </row>
    <row r="162" spans="1:10" s="84" customFormat="1" outlineLevel="2">
      <c r="A162" s="884" t="s">
        <v>2382</v>
      </c>
      <c r="B162" s="1050" t="s">
        <v>7732</v>
      </c>
      <c r="C162" s="885" t="s">
        <v>274</v>
      </c>
      <c r="D162" s="884"/>
      <c r="E162" s="884" t="s">
        <v>1909</v>
      </c>
      <c r="F162" s="884" t="s">
        <v>7522</v>
      </c>
      <c r="G162" s="884" t="s">
        <v>7523</v>
      </c>
      <c r="H162" s="886">
        <v>42401</v>
      </c>
      <c r="I162" s="887">
        <v>42480</v>
      </c>
      <c r="J162" s="958">
        <v>18.66</v>
      </c>
    </row>
    <row r="163" spans="1:10" s="84" customFormat="1" outlineLevel="2">
      <c r="A163" s="884" t="s">
        <v>2382</v>
      </c>
      <c r="B163" s="1050" t="s">
        <v>7732</v>
      </c>
      <c r="C163" s="885" t="s">
        <v>274</v>
      </c>
      <c r="D163" s="884"/>
      <c r="E163" s="884" t="s">
        <v>1909</v>
      </c>
      <c r="F163" s="884" t="s">
        <v>7644</v>
      </c>
      <c r="G163" s="884" t="s">
        <v>7645</v>
      </c>
      <c r="H163" s="886">
        <v>42370</v>
      </c>
      <c r="I163" s="887">
        <v>42480</v>
      </c>
      <c r="J163" s="958">
        <v>57.51</v>
      </c>
    </row>
    <row r="164" spans="1:10" s="84" customFormat="1" outlineLevel="2">
      <c r="A164" s="884" t="s">
        <v>2382</v>
      </c>
      <c r="B164" s="1050" t="s">
        <v>7732</v>
      </c>
      <c r="C164" s="885" t="s">
        <v>274</v>
      </c>
      <c r="D164" s="884"/>
      <c r="E164" s="884" t="s">
        <v>1909</v>
      </c>
      <c r="F164" s="884" t="s">
        <v>7716</v>
      </c>
      <c r="G164" s="884" t="s">
        <v>7717</v>
      </c>
      <c r="H164" s="886">
        <v>42370</v>
      </c>
      <c r="I164" s="887">
        <v>42480</v>
      </c>
      <c r="J164" s="958">
        <v>85.13</v>
      </c>
    </row>
    <row r="165" spans="1:10" s="84" customFormat="1" outlineLevel="1">
      <c r="A165" s="884"/>
      <c r="B165" s="1050"/>
      <c r="C165" s="908" t="s">
        <v>274</v>
      </c>
      <c r="D165" s="928" t="str">
        <f>VLOOKUP(C165,$C$1102:$E$1189,3,FALSE)</f>
        <v>TOTAL POUPATEMPO ARARAQUARA</v>
      </c>
      <c r="E165" s="928"/>
      <c r="F165" s="928"/>
      <c r="G165" s="928"/>
      <c r="H165" s="911"/>
      <c r="I165" s="912"/>
      <c r="J165" s="966">
        <f>SUBTOTAL(9,J151:J164)</f>
        <v>4923.4500000000007</v>
      </c>
    </row>
    <row r="166" spans="1:10" s="84" customFormat="1" outlineLevel="2">
      <c r="A166" s="884" t="s">
        <v>2383</v>
      </c>
      <c r="B166" s="1050">
        <v>112120611040</v>
      </c>
      <c r="C166" s="885" t="s">
        <v>275</v>
      </c>
      <c r="D166" s="884"/>
      <c r="E166" s="884" t="s">
        <v>407</v>
      </c>
      <c r="F166" s="884" t="s">
        <v>2418</v>
      </c>
      <c r="G166" s="884" t="s">
        <v>6809</v>
      </c>
      <c r="H166" s="886">
        <v>42401</v>
      </c>
      <c r="I166" s="887">
        <v>42467</v>
      </c>
      <c r="J166" s="958">
        <v>1024.79</v>
      </c>
    </row>
    <row r="167" spans="1:10" s="84" customFormat="1" outlineLevel="2">
      <c r="A167" s="884" t="s">
        <v>2383</v>
      </c>
      <c r="B167" s="1050">
        <v>112120611040</v>
      </c>
      <c r="C167" s="885" t="s">
        <v>275</v>
      </c>
      <c r="D167" s="884"/>
      <c r="E167" s="884" t="s">
        <v>409</v>
      </c>
      <c r="F167" s="884" t="s">
        <v>2418</v>
      </c>
      <c r="G167" s="884" t="s">
        <v>6762</v>
      </c>
      <c r="H167" s="886">
        <v>42401</v>
      </c>
      <c r="I167" s="887">
        <v>42475</v>
      </c>
      <c r="J167" s="958">
        <v>1516.68</v>
      </c>
    </row>
    <row r="168" spans="1:10" s="84" customFormat="1" outlineLevel="2">
      <c r="A168" s="884" t="s">
        <v>2383</v>
      </c>
      <c r="B168" s="1050">
        <v>112120611040</v>
      </c>
      <c r="C168" s="885" t="s">
        <v>275</v>
      </c>
      <c r="D168" s="884"/>
      <c r="E168" s="884" t="s">
        <v>408</v>
      </c>
      <c r="F168" s="884" t="s">
        <v>2418</v>
      </c>
      <c r="G168" s="884" t="s">
        <v>6874</v>
      </c>
      <c r="H168" s="886">
        <v>42370</v>
      </c>
      <c r="I168" s="887">
        <v>42478</v>
      </c>
      <c r="J168" s="958">
        <v>1579.45</v>
      </c>
    </row>
    <row r="169" spans="1:10" s="84" customFormat="1" outlineLevel="2">
      <c r="A169" s="884" t="s">
        <v>2383</v>
      </c>
      <c r="B169" s="1050" t="s">
        <v>7732</v>
      </c>
      <c r="C169" s="885" t="s">
        <v>275</v>
      </c>
      <c r="D169" s="884"/>
      <c r="E169" s="884" t="s">
        <v>2336</v>
      </c>
      <c r="F169" s="884" t="s">
        <v>7058</v>
      </c>
      <c r="G169" s="884" t="s">
        <v>7059</v>
      </c>
      <c r="H169" s="886">
        <v>42401</v>
      </c>
      <c r="I169" s="887">
        <v>42480</v>
      </c>
      <c r="J169" s="958">
        <v>213.25</v>
      </c>
    </row>
    <row r="170" spans="1:10" s="84" customFormat="1" outlineLevel="2">
      <c r="A170" s="884" t="s">
        <v>2383</v>
      </c>
      <c r="B170" s="1050" t="s">
        <v>7732</v>
      </c>
      <c r="C170" s="885" t="s">
        <v>275</v>
      </c>
      <c r="D170" s="884"/>
      <c r="E170" s="884" t="s">
        <v>2336</v>
      </c>
      <c r="F170" s="884" t="s">
        <v>7056</v>
      </c>
      <c r="G170" s="884" t="s">
        <v>7057</v>
      </c>
      <c r="H170" s="886">
        <v>42401</v>
      </c>
      <c r="I170" s="887">
        <v>42480</v>
      </c>
      <c r="J170" s="958">
        <v>140.29</v>
      </c>
    </row>
    <row r="171" spans="1:10" s="84" customFormat="1" outlineLevel="2">
      <c r="A171" s="884" t="s">
        <v>2383</v>
      </c>
      <c r="B171" s="1050" t="s">
        <v>7732</v>
      </c>
      <c r="C171" s="885" t="s">
        <v>275</v>
      </c>
      <c r="D171" s="884"/>
      <c r="E171" s="884" t="s">
        <v>2336</v>
      </c>
      <c r="F171" s="884" t="s">
        <v>7060</v>
      </c>
      <c r="G171" s="884" t="s">
        <v>7061</v>
      </c>
      <c r="H171" s="886">
        <v>42401</v>
      </c>
      <c r="I171" s="887">
        <v>42480</v>
      </c>
      <c r="J171" s="958">
        <v>207.63</v>
      </c>
    </row>
    <row r="172" spans="1:10" s="84" customFormat="1" outlineLevel="2">
      <c r="A172" s="884" t="s">
        <v>2383</v>
      </c>
      <c r="B172" s="1050" t="s">
        <v>7732</v>
      </c>
      <c r="C172" s="885" t="s">
        <v>275</v>
      </c>
      <c r="D172" s="884"/>
      <c r="E172" s="884" t="s">
        <v>2339</v>
      </c>
      <c r="F172" s="884" t="s">
        <v>7266</v>
      </c>
      <c r="G172" s="884" t="s">
        <v>7267</v>
      </c>
      <c r="H172" s="886">
        <v>42401</v>
      </c>
      <c r="I172" s="887">
        <v>42480</v>
      </c>
      <c r="J172" s="958">
        <v>38.26</v>
      </c>
    </row>
    <row r="173" spans="1:10" s="84" customFormat="1" outlineLevel="2">
      <c r="A173" s="884" t="s">
        <v>2383</v>
      </c>
      <c r="B173" s="1050" t="s">
        <v>7732</v>
      </c>
      <c r="C173" s="885" t="s">
        <v>275</v>
      </c>
      <c r="D173" s="884"/>
      <c r="E173" s="884" t="s">
        <v>2339</v>
      </c>
      <c r="F173" s="884" t="s">
        <v>7268</v>
      </c>
      <c r="G173" s="884" t="s">
        <v>7269</v>
      </c>
      <c r="H173" s="886">
        <v>42401</v>
      </c>
      <c r="I173" s="887">
        <v>42480</v>
      </c>
      <c r="J173" s="958">
        <v>58.16</v>
      </c>
    </row>
    <row r="174" spans="1:10" s="84" customFormat="1" outlineLevel="2">
      <c r="A174" s="884" t="s">
        <v>2383</v>
      </c>
      <c r="B174" s="1050" t="s">
        <v>7732</v>
      </c>
      <c r="C174" s="885" t="s">
        <v>275</v>
      </c>
      <c r="D174" s="884"/>
      <c r="E174" s="884" t="s">
        <v>2339</v>
      </c>
      <c r="F174" s="884" t="s">
        <v>7270</v>
      </c>
      <c r="G174" s="884" t="s">
        <v>7271</v>
      </c>
      <c r="H174" s="886">
        <v>42401</v>
      </c>
      <c r="I174" s="887">
        <v>42480</v>
      </c>
      <c r="J174" s="958">
        <v>56.63</v>
      </c>
    </row>
    <row r="175" spans="1:10" s="84" customFormat="1" outlineLevel="2">
      <c r="A175" s="884" t="s">
        <v>2383</v>
      </c>
      <c r="B175" s="1050" t="s">
        <v>7732</v>
      </c>
      <c r="C175" s="885" t="s">
        <v>275</v>
      </c>
      <c r="D175" s="884"/>
      <c r="E175" s="884" t="s">
        <v>1909</v>
      </c>
      <c r="F175" s="884" t="s">
        <v>7388</v>
      </c>
      <c r="G175" s="884" t="s">
        <v>7389</v>
      </c>
      <c r="H175" s="886">
        <v>42401</v>
      </c>
      <c r="I175" s="887">
        <v>42480</v>
      </c>
      <c r="J175" s="958">
        <v>19.39</v>
      </c>
    </row>
    <row r="176" spans="1:10" s="84" customFormat="1" outlineLevel="2">
      <c r="A176" s="884" t="s">
        <v>2383</v>
      </c>
      <c r="B176" s="1050" t="s">
        <v>7732</v>
      </c>
      <c r="C176" s="885" t="s">
        <v>275</v>
      </c>
      <c r="D176" s="884"/>
      <c r="E176" s="884" t="s">
        <v>1909</v>
      </c>
      <c r="F176" s="884" t="s">
        <v>7454</v>
      </c>
      <c r="G176" s="884" t="s">
        <v>7455</v>
      </c>
      <c r="H176" s="886">
        <v>42401</v>
      </c>
      <c r="I176" s="887">
        <v>42480</v>
      </c>
      <c r="J176" s="958">
        <v>12.75</v>
      </c>
    </row>
    <row r="177" spans="1:10" s="84" customFormat="1" outlineLevel="2">
      <c r="A177" s="884" t="s">
        <v>2383</v>
      </c>
      <c r="B177" s="1050" t="s">
        <v>7732</v>
      </c>
      <c r="C177" s="885" t="s">
        <v>275</v>
      </c>
      <c r="D177" s="884"/>
      <c r="E177" s="884" t="s">
        <v>1909</v>
      </c>
      <c r="F177" s="884" t="s">
        <v>7518</v>
      </c>
      <c r="G177" s="884" t="s">
        <v>7519</v>
      </c>
      <c r="H177" s="886">
        <v>42401</v>
      </c>
      <c r="I177" s="887">
        <v>42480</v>
      </c>
      <c r="J177" s="958">
        <v>18.88</v>
      </c>
    </row>
    <row r="178" spans="1:10" s="84" customFormat="1" outlineLevel="2">
      <c r="A178" s="884" t="s">
        <v>2383</v>
      </c>
      <c r="B178" s="1050" t="s">
        <v>7732</v>
      </c>
      <c r="C178" s="885" t="s">
        <v>275</v>
      </c>
      <c r="D178" s="884"/>
      <c r="E178" s="884" t="s">
        <v>1909</v>
      </c>
      <c r="F178" s="884" t="s">
        <v>7610</v>
      </c>
      <c r="G178" s="884" t="s">
        <v>7611</v>
      </c>
      <c r="H178" s="886">
        <v>42370</v>
      </c>
      <c r="I178" s="887">
        <v>42480</v>
      </c>
      <c r="J178" s="958">
        <v>60.14</v>
      </c>
    </row>
    <row r="179" spans="1:10" s="84" customFormat="1" outlineLevel="2">
      <c r="A179" s="884" t="s">
        <v>2383</v>
      </c>
      <c r="B179" s="1050" t="s">
        <v>7732</v>
      </c>
      <c r="C179" s="885" t="s">
        <v>275</v>
      </c>
      <c r="D179" s="884"/>
      <c r="E179" s="884" t="s">
        <v>1909</v>
      </c>
      <c r="F179" s="884" t="s">
        <v>7674</v>
      </c>
      <c r="G179" s="884" t="s">
        <v>7675</v>
      </c>
      <c r="H179" s="886">
        <v>42370</v>
      </c>
      <c r="I179" s="887">
        <v>42480</v>
      </c>
      <c r="J179" s="958">
        <v>89</v>
      </c>
    </row>
    <row r="180" spans="1:10" s="84" customFormat="1" outlineLevel="1">
      <c r="A180" s="884"/>
      <c r="B180" s="1050"/>
      <c r="C180" s="908" t="s">
        <v>275</v>
      </c>
      <c r="D180" s="928" t="str">
        <f>VLOOKUP(C180,$C$1102:$E$1189,3,FALSE)</f>
        <v>TOTAL POUPATEMPO FRANCA</v>
      </c>
      <c r="E180" s="928"/>
      <c r="F180" s="928"/>
      <c r="G180" s="928"/>
      <c r="H180" s="911"/>
      <c r="I180" s="912"/>
      <c r="J180" s="966">
        <f>SUBTOTAL(9,J166:J179)</f>
        <v>5035.3000000000011</v>
      </c>
    </row>
    <row r="181" spans="1:10" s="84" customFormat="1" outlineLevel="2">
      <c r="A181" s="884" t="s">
        <v>2384</v>
      </c>
      <c r="B181" s="1050">
        <v>112120611040</v>
      </c>
      <c r="C181" s="885" t="s">
        <v>276</v>
      </c>
      <c r="D181" s="884"/>
      <c r="E181" s="884" t="s">
        <v>407</v>
      </c>
      <c r="F181" s="884" t="s">
        <v>2418</v>
      </c>
      <c r="G181" s="884" t="s">
        <v>6826</v>
      </c>
      <c r="H181" s="886">
        <v>42401</v>
      </c>
      <c r="I181" s="887">
        <v>42467</v>
      </c>
      <c r="J181" s="958">
        <v>1832.71</v>
      </c>
    </row>
    <row r="182" spans="1:10" s="84" customFormat="1" outlineLevel="2">
      <c r="A182" s="884" t="s">
        <v>2384</v>
      </c>
      <c r="B182" s="1050" t="s">
        <v>7732</v>
      </c>
      <c r="C182" s="885" t="s">
        <v>276</v>
      </c>
      <c r="D182" s="884"/>
      <c r="E182" s="884" t="s">
        <v>2282</v>
      </c>
      <c r="F182" s="884" t="s">
        <v>7192</v>
      </c>
      <c r="G182" s="884" t="s">
        <v>7193</v>
      </c>
      <c r="H182" s="886">
        <v>42401</v>
      </c>
      <c r="I182" s="887">
        <v>42471</v>
      </c>
      <c r="J182" s="958">
        <v>68.489999999999995</v>
      </c>
    </row>
    <row r="183" spans="1:10" s="84" customFormat="1" outlineLevel="2">
      <c r="A183" s="884" t="s">
        <v>2384</v>
      </c>
      <c r="B183" s="1050" t="s">
        <v>7732</v>
      </c>
      <c r="C183" s="885" t="s">
        <v>276</v>
      </c>
      <c r="D183" s="884"/>
      <c r="E183" s="884" t="s">
        <v>2282</v>
      </c>
      <c r="F183" s="884" t="s">
        <v>7194</v>
      </c>
      <c r="G183" s="884" t="s">
        <v>7195</v>
      </c>
      <c r="H183" s="886">
        <v>42401</v>
      </c>
      <c r="I183" s="887">
        <v>42471</v>
      </c>
      <c r="J183" s="958">
        <v>66.69</v>
      </c>
    </row>
    <row r="184" spans="1:10" s="84" customFormat="1" outlineLevel="2">
      <c r="A184" s="884" t="s">
        <v>2384</v>
      </c>
      <c r="B184" s="1050" t="s">
        <v>7732</v>
      </c>
      <c r="C184" s="885" t="s">
        <v>276</v>
      </c>
      <c r="D184" s="884"/>
      <c r="E184" s="884" t="s">
        <v>2282</v>
      </c>
      <c r="F184" s="884" t="s">
        <v>7196</v>
      </c>
      <c r="G184" s="884" t="s">
        <v>7197</v>
      </c>
      <c r="H184" s="886">
        <v>42401</v>
      </c>
      <c r="I184" s="887">
        <v>42471</v>
      </c>
      <c r="J184" s="958">
        <v>45.06</v>
      </c>
    </row>
    <row r="185" spans="1:10" s="84" customFormat="1" outlineLevel="2">
      <c r="A185" s="884" t="s">
        <v>2384</v>
      </c>
      <c r="B185" s="1050">
        <v>112120611040</v>
      </c>
      <c r="C185" s="885" t="s">
        <v>276</v>
      </c>
      <c r="D185" s="884"/>
      <c r="E185" s="884" t="s">
        <v>409</v>
      </c>
      <c r="F185" s="884" t="s">
        <v>2418</v>
      </c>
      <c r="G185" s="884" t="s">
        <v>6777</v>
      </c>
      <c r="H185" s="886">
        <v>42401</v>
      </c>
      <c r="I185" s="887">
        <v>42475</v>
      </c>
      <c r="J185" s="958">
        <v>2712.42</v>
      </c>
    </row>
    <row r="186" spans="1:10" s="84" customFormat="1" outlineLevel="2">
      <c r="A186" s="884" t="s">
        <v>2384</v>
      </c>
      <c r="B186" s="1050">
        <v>112120611040</v>
      </c>
      <c r="C186" s="885" t="s">
        <v>276</v>
      </c>
      <c r="D186" s="884"/>
      <c r="E186" s="884" t="s">
        <v>408</v>
      </c>
      <c r="F186" s="884" t="s">
        <v>2418</v>
      </c>
      <c r="G186" s="884" t="s">
        <v>6886</v>
      </c>
      <c r="H186" s="886">
        <v>42370</v>
      </c>
      <c r="I186" s="887">
        <v>42478</v>
      </c>
      <c r="J186" s="958">
        <v>2569.34</v>
      </c>
    </row>
    <row r="187" spans="1:10" s="84" customFormat="1" outlineLevel="2">
      <c r="A187" s="884" t="s">
        <v>2384</v>
      </c>
      <c r="B187" s="1050" t="s">
        <v>7732</v>
      </c>
      <c r="C187" s="885" t="s">
        <v>276</v>
      </c>
      <c r="D187" s="884"/>
      <c r="E187" s="884" t="s">
        <v>2336</v>
      </c>
      <c r="F187" s="884" t="s">
        <v>7062</v>
      </c>
      <c r="G187" s="884" t="s">
        <v>7063</v>
      </c>
      <c r="H187" s="886">
        <v>42401</v>
      </c>
      <c r="I187" s="887">
        <v>42480</v>
      </c>
      <c r="J187" s="958">
        <v>376.68</v>
      </c>
    </row>
    <row r="188" spans="1:10" s="84" customFormat="1" outlineLevel="2">
      <c r="A188" s="884" t="s">
        <v>2384</v>
      </c>
      <c r="B188" s="1050" t="s">
        <v>7732</v>
      </c>
      <c r="C188" s="885" t="s">
        <v>276</v>
      </c>
      <c r="D188" s="884"/>
      <c r="E188" s="884" t="s">
        <v>2336</v>
      </c>
      <c r="F188" s="884" t="s">
        <v>7066</v>
      </c>
      <c r="G188" s="884" t="s">
        <v>7067</v>
      </c>
      <c r="H188" s="886">
        <v>42401</v>
      </c>
      <c r="I188" s="887">
        <v>42480</v>
      </c>
      <c r="J188" s="958">
        <v>247.82</v>
      </c>
    </row>
    <row r="189" spans="1:10" s="84" customFormat="1" outlineLevel="2">
      <c r="A189" s="884" t="s">
        <v>2384</v>
      </c>
      <c r="B189" s="1050" t="s">
        <v>7732</v>
      </c>
      <c r="C189" s="885" t="s">
        <v>276</v>
      </c>
      <c r="D189" s="884"/>
      <c r="E189" s="884" t="s">
        <v>2336</v>
      </c>
      <c r="F189" s="884" t="s">
        <v>7064</v>
      </c>
      <c r="G189" s="884" t="s">
        <v>7065</v>
      </c>
      <c r="H189" s="886">
        <v>42401</v>
      </c>
      <c r="I189" s="887">
        <v>42480</v>
      </c>
      <c r="J189" s="958">
        <v>366.77</v>
      </c>
    </row>
    <row r="190" spans="1:10" s="84" customFormat="1" outlineLevel="2">
      <c r="A190" s="884" t="s">
        <v>2384</v>
      </c>
      <c r="B190" s="1050" t="s">
        <v>7732</v>
      </c>
      <c r="C190" s="885" t="s">
        <v>276</v>
      </c>
      <c r="D190" s="884"/>
      <c r="E190" s="884" t="s">
        <v>1909</v>
      </c>
      <c r="F190" s="884" t="s">
        <v>7422</v>
      </c>
      <c r="G190" s="884" t="s">
        <v>7423</v>
      </c>
      <c r="H190" s="886">
        <v>42401</v>
      </c>
      <c r="I190" s="887">
        <v>42480</v>
      </c>
      <c r="J190" s="958">
        <v>34.24</v>
      </c>
    </row>
    <row r="191" spans="1:10" s="84" customFormat="1" outlineLevel="2">
      <c r="A191" s="884" t="s">
        <v>2384</v>
      </c>
      <c r="B191" s="1050" t="s">
        <v>7732</v>
      </c>
      <c r="C191" s="885" t="s">
        <v>276</v>
      </c>
      <c r="D191" s="884"/>
      <c r="E191" s="884" t="s">
        <v>1909</v>
      </c>
      <c r="F191" s="884" t="s">
        <v>7488</v>
      </c>
      <c r="G191" s="884" t="s">
        <v>7489</v>
      </c>
      <c r="H191" s="886">
        <v>42401</v>
      </c>
      <c r="I191" s="887">
        <v>42480</v>
      </c>
      <c r="J191" s="958">
        <v>22.53</v>
      </c>
    </row>
    <row r="192" spans="1:10" s="84" customFormat="1" outlineLevel="2">
      <c r="A192" s="884" t="s">
        <v>2384</v>
      </c>
      <c r="B192" s="1050" t="s">
        <v>7732</v>
      </c>
      <c r="C192" s="885" t="s">
        <v>276</v>
      </c>
      <c r="D192" s="884"/>
      <c r="E192" s="884" t="s">
        <v>1909</v>
      </c>
      <c r="F192" s="884" t="s">
        <v>7548</v>
      </c>
      <c r="G192" s="884" t="s">
        <v>7549</v>
      </c>
      <c r="H192" s="886">
        <v>42401</v>
      </c>
      <c r="I192" s="887">
        <v>42480</v>
      </c>
      <c r="J192" s="958">
        <v>33.340000000000003</v>
      </c>
    </row>
    <row r="193" spans="1:10" s="84" customFormat="1" outlineLevel="2">
      <c r="A193" s="884" t="s">
        <v>2384</v>
      </c>
      <c r="B193" s="1050" t="s">
        <v>7732</v>
      </c>
      <c r="C193" s="885" t="s">
        <v>276</v>
      </c>
      <c r="D193" s="884"/>
      <c r="E193" s="884" t="s">
        <v>1909</v>
      </c>
      <c r="F193" s="884" t="s">
        <v>7636</v>
      </c>
      <c r="G193" s="884" t="s">
        <v>7637</v>
      </c>
      <c r="H193" s="886">
        <v>42370</v>
      </c>
      <c r="I193" s="887">
        <v>42480</v>
      </c>
      <c r="J193" s="958">
        <v>96.62</v>
      </c>
    </row>
    <row r="194" spans="1:10" s="84" customFormat="1" outlineLevel="2">
      <c r="A194" s="884" t="s">
        <v>2384</v>
      </c>
      <c r="B194" s="1050" t="s">
        <v>7732</v>
      </c>
      <c r="C194" s="885" t="s">
        <v>276</v>
      </c>
      <c r="D194" s="884"/>
      <c r="E194" s="884" t="s">
        <v>1909</v>
      </c>
      <c r="F194" s="884" t="s">
        <v>7690</v>
      </c>
      <c r="G194" s="884" t="s">
        <v>7691</v>
      </c>
      <c r="H194" s="886">
        <v>42370</v>
      </c>
      <c r="I194" s="887">
        <v>42480</v>
      </c>
      <c r="J194" s="958">
        <v>143</v>
      </c>
    </row>
    <row r="195" spans="1:10" s="84" customFormat="1" outlineLevel="1">
      <c r="A195" s="884"/>
      <c r="B195" s="1050"/>
      <c r="C195" s="908" t="s">
        <v>276</v>
      </c>
      <c r="D195" s="928" t="str">
        <f>VLOOKUP(C195,$C$1102:$E$1189,3,FALSE)</f>
        <v>TOTAL POUPATEMPO LAPA</v>
      </c>
      <c r="E195" s="928"/>
      <c r="F195" s="928"/>
      <c r="G195" s="928"/>
      <c r="H195" s="911"/>
      <c r="I195" s="912"/>
      <c r="J195" s="966">
        <f>SUBTOTAL(9,J181:J194)</f>
        <v>8615.7100000000009</v>
      </c>
    </row>
    <row r="196" spans="1:10" s="84" customFormat="1" outlineLevel="2">
      <c r="A196" s="884" t="s">
        <v>2385</v>
      </c>
      <c r="B196" s="1050">
        <v>112120611040</v>
      </c>
      <c r="C196" s="885" t="s">
        <v>277</v>
      </c>
      <c r="D196" s="884"/>
      <c r="E196" s="884" t="s">
        <v>407</v>
      </c>
      <c r="F196" s="884" t="s">
        <v>2418</v>
      </c>
      <c r="G196" s="884" t="s">
        <v>6813</v>
      </c>
      <c r="H196" s="886">
        <v>42401</v>
      </c>
      <c r="I196" s="887">
        <v>42467</v>
      </c>
      <c r="J196" s="958">
        <v>1144.67</v>
      </c>
    </row>
    <row r="197" spans="1:10" s="84" customFormat="1" outlineLevel="2">
      <c r="A197" s="884" t="s">
        <v>2385</v>
      </c>
      <c r="B197" s="1050" t="s">
        <v>7732</v>
      </c>
      <c r="C197" s="885" t="s">
        <v>277</v>
      </c>
      <c r="D197" s="884"/>
      <c r="E197" s="884" t="s">
        <v>2340</v>
      </c>
      <c r="F197" s="884" t="s">
        <v>7354</v>
      </c>
      <c r="G197" s="884" t="s">
        <v>7355</v>
      </c>
      <c r="H197" s="886">
        <v>42401</v>
      </c>
      <c r="I197" s="887">
        <v>42471</v>
      </c>
      <c r="J197" s="958">
        <v>108.11</v>
      </c>
    </row>
    <row r="198" spans="1:10" s="84" customFormat="1" outlineLevel="2">
      <c r="A198" s="884" t="s">
        <v>2385</v>
      </c>
      <c r="B198" s="1050" t="s">
        <v>7732</v>
      </c>
      <c r="C198" s="885" t="s">
        <v>277</v>
      </c>
      <c r="D198" s="884"/>
      <c r="E198" s="884" t="s">
        <v>2340</v>
      </c>
      <c r="F198" s="884" t="s">
        <v>7356</v>
      </c>
      <c r="G198" s="884" t="s">
        <v>7357</v>
      </c>
      <c r="H198" s="886">
        <v>42401</v>
      </c>
      <c r="I198" s="887">
        <v>42471</v>
      </c>
      <c r="J198" s="958">
        <v>73.05</v>
      </c>
    </row>
    <row r="199" spans="1:10" s="84" customFormat="1" outlineLevel="2">
      <c r="A199" s="884" t="s">
        <v>2385</v>
      </c>
      <c r="B199" s="1050" t="s">
        <v>7732</v>
      </c>
      <c r="C199" s="885" t="s">
        <v>277</v>
      </c>
      <c r="D199" s="884"/>
      <c r="E199" s="884" t="s">
        <v>2340</v>
      </c>
      <c r="F199" s="884" t="s">
        <v>7358</v>
      </c>
      <c r="G199" s="884" t="s">
        <v>7359</v>
      </c>
      <c r="H199" s="886">
        <v>42401</v>
      </c>
      <c r="I199" s="887">
        <v>42471</v>
      </c>
      <c r="J199" s="958">
        <v>111.02</v>
      </c>
    </row>
    <row r="200" spans="1:10" s="84" customFormat="1" outlineLevel="2">
      <c r="A200" s="884" t="s">
        <v>2385</v>
      </c>
      <c r="B200" s="1050">
        <v>112120611040</v>
      </c>
      <c r="C200" s="885" t="s">
        <v>277</v>
      </c>
      <c r="D200" s="884"/>
      <c r="E200" s="884" t="s">
        <v>409</v>
      </c>
      <c r="F200" s="884" t="s">
        <v>2418</v>
      </c>
      <c r="G200" s="884" t="s">
        <v>6766</v>
      </c>
      <c r="H200" s="886">
        <v>42401</v>
      </c>
      <c r="I200" s="887">
        <v>42475</v>
      </c>
      <c r="J200" s="958">
        <v>1694.11</v>
      </c>
    </row>
    <row r="201" spans="1:10" s="84" customFormat="1" outlineLevel="2">
      <c r="A201" s="884" t="s">
        <v>2385</v>
      </c>
      <c r="B201" s="1050">
        <v>112120611040</v>
      </c>
      <c r="C201" s="885" t="s">
        <v>277</v>
      </c>
      <c r="D201" s="884"/>
      <c r="E201" s="884" t="s">
        <v>408</v>
      </c>
      <c r="F201" s="884" t="s">
        <v>2418</v>
      </c>
      <c r="G201" s="884" t="s">
        <v>6892</v>
      </c>
      <c r="H201" s="886">
        <v>42370</v>
      </c>
      <c r="I201" s="887">
        <v>42478</v>
      </c>
      <c r="J201" s="958">
        <v>1810.49</v>
      </c>
    </row>
    <row r="202" spans="1:10" s="84" customFormat="1" outlineLevel="2">
      <c r="A202" s="884" t="s">
        <v>2385</v>
      </c>
      <c r="B202" s="1050" t="s">
        <v>7732</v>
      </c>
      <c r="C202" s="885" t="s">
        <v>277</v>
      </c>
      <c r="D202" s="884"/>
      <c r="E202" s="884" t="s">
        <v>2336</v>
      </c>
      <c r="F202" s="884" t="s">
        <v>7068</v>
      </c>
      <c r="G202" s="884" t="s">
        <v>7069</v>
      </c>
      <c r="H202" s="886">
        <v>42401</v>
      </c>
      <c r="I202" s="887">
        <v>42480</v>
      </c>
      <c r="J202" s="958">
        <v>244.27</v>
      </c>
    </row>
    <row r="203" spans="1:10" s="84" customFormat="1" outlineLevel="2">
      <c r="A203" s="884" t="s">
        <v>2385</v>
      </c>
      <c r="B203" s="1050" t="s">
        <v>7732</v>
      </c>
      <c r="C203" s="885" t="s">
        <v>277</v>
      </c>
      <c r="D203" s="884"/>
      <c r="E203" s="884" t="s">
        <v>2336</v>
      </c>
      <c r="F203" s="884" t="s">
        <v>7072</v>
      </c>
      <c r="G203" s="884" t="s">
        <v>7073</v>
      </c>
      <c r="H203" s="886">
        <v>42401</v>
      </c>
      <c r="I203" s="887">
        <v>42480</v>
      </c>
      <c r="J203" s="958">
        <v>160.71</v>
      </c>
    </row>
    <row r="204" spans="1:10" s="84" customFormat="1" outlineLevel="2">
      <c r="A204" s="884" t="s">
        <v>2385</v>
      </c>
      <c r="B204" s="1050" t="s">
        <v>7732</v>
      </c>
      <c r="C204" s="885" t="s">
        <v>277</v>
      </c>
      <c r="D204" s="884"/>
      <c r="E204" s="884" t="s">
        <v>2336</v>
      </c>
      <c r="F204" s="884" t="s">
        <v>7070</v>
      </c>
      <c r="G204" s="884" t="s">
        <v>7071</v>
      </c>
      <c r="H204" s="886">
        <v>42401</v>
      </c>
      <c r="I204" s="887">
        <v>42480</v>
      </c>
      <c r="J204" s="958">
        <v>237.85</v>
      </c>
    </row>
    <row r="205" spans="1:10" s="84" customFormat="1" outlineLevel="2">
      <c r="A205" s="884" t="s">
        <v>2385</v>
      </c>
      <c r="B205" s="1050" t="s">
        <v>7732</v>
      </c>
      <c r="C205" s="885" t="s">
        <v>277</v>
      </c>
      <c r="D205" s="884"/>
      <c r="E205" s="884" t="s">
        <v>1909</v>
      </c>
      <c r="F205" s="884" t="s">
        <v>7396</v>
      </c>
      <c r="G205" s="884" t="s">
        <v>7397</v>
      </c>
      <c r="H205" s="886">
        <v>42401</v>
      </c>
      <c r="I205" s="887">
        <v>42480</v>
      </c>
      <c r="J205" s="958">
        <v>22.21</v>
      </c>
    </row>
    <row r="206" spans="1:10" s="84" customFormat="1" outlineLevel="2">
      <c r="A206" s="884" t="s">
        <v>2385</v>
      </c>
      <c r="B206" s="1050" t="s">
        <v>7732</v>
      </c>
      <c r="C206" s="885" t="s">
        <v>277</v>
      </c>
      <c r="D206" s="884"/>
      <c r="E206" s="884" t="s">
        <v>1909</v>
      </c>
      <c r="F206" s="884" t="s">
        <v>7462</v>
      </c>
      <c r="G206" s="884" t="s">
        <v>7463</v>
      </c>
      <c r="H206" s="886">
        <v>42401</v>
      </c>
      <c r="I206" s="887">
        <v>42480</v>
      </c>
      <c r="J206" s="958">
        <v>14.61</v>
      </c>
    </row>
    <row r="207" spans="1:10" s="84" customFormat="1" outlineLevel="2">
      <c r="A207" s="884" t="s">
        <v>2385</v>
      </c>
      <c r="B207" s="1050" t="s">
        <v>7732</v>
      </c>
      <c r="C207" s="885" t="s">
        <v>277</v>
      </c>
      <c r="D207" s="884"/>
      <c r="E207" s="884" t="s">
        <v>1909</v>
      </c>
      <c r="F207" s="884" t="s">
        <v>7526</v>
      </c>
      <c r="G207" s="884" t="s">
        <v>7527</v>
      </c>
      <c r="H207" s="886">
        <v>42401</v>
      </c>
      <c r="I207" s="887">
        <v>42480</v>
      </c>
      <c r="J207" s="958">
        <v>21.62</v>
      </c>
    </row>
    <row r="208" spans="1:10" s="84" customFormat="1" outlineLevel="2">
      <c r="A208" s="884" t="s">
        <v>2385</v>
      </c>
      <c r="B208" s="1050" t="s">
        <v>7732</v>
      </c>
      <c r="C208" s="885" t="s">
        <v>277</v>
      </c>
      <c r="D208" s="884"/>
      <c r="E208" s="884" t="s">
        <v>1909</v>
      </c>
      <c r="F208" s="884" t="s">
        <v>7622</v>
      </c>
      <c r="G208" s="884" t="s">
        <v>7623</v>
      </c>
      <c r="H208" s="886">
        <v>42370</v>
      </c>
      <c r="I208" s="887">
        <v>42480</v>
      </c>
      <c r="J208" s="958">
        <v>70.69</v>
      </c>
    </row>
    <row r="209" spans="1:10" s="84" customFormat="1" outlineLevel="2">
      <c r="A209" s="884" t="s">
        <v>2385</v>
      </c>
      <c r="B209" s="1050" t="s">
        <v>7732</v>
      </c>
      <c r="C209" s="885" t="s">
        <v>277</v>
      </c>
      <c r="D209" s="884"/>
      <c r="E209" s="884" t="s">
        <v>1909</v>
      </c>
      <c r="F209" s="884" t="s">
        <v>7702</v>
      </c>
      <c r="G209" s="884" t="s">
        <v>7703</v>
      </c>
      <c r="H209" s="886">
        <v>42370</v>
      </c>
      <c r="I209" s="887">
        <v>42480</v>
      </c>
      <c r="J209" s="958">
        <v>104.63</v>
      </c>
    </row>
    <row r="210" spans="1:10" s="84" customFormat="1" outlineLevel="1">
      <c r="A210" s="884"/>
      <c r="B210" s="1050"/>
      <c r="C210" s="908" t="s">
        <v>277</v>
      </c>
      <c r="D210" s="928" t="str">
        <f>VLOOKUP(C210,$C$1102:$E$1189,3,FALSE)</f>
        <v>TOTAL POUPATEMPO SOROCABA</v>
      </c>
      <c r="E210" s="928"/>
      <c r="F210" s="928"/>
      <c r="G210" s="928"/>
      <c r="H210" s="911"/>
      <c r="I210" s="912"/>
      <c r="J210" s="966">
        <f>SUBTOTAL(9,J196:J209)</f>
        <v>5818.04</v>
      </c>
    </row>
    <row r="211" spans="1:10" s="84" customFormat="1" outlineLevel="2">
      <c r="A211" s="884" t="s">
        <v>6844</v>
      </c>
      <c r="B211" s="1050">
        <v>112120612060</v>
      </c>
      <c r="C211" s="885" t="s">
        <v>278</v>
      </c>
      <c r="D211" s="884"/>
      <c r="E211" s="884" t="s">
        <v>2457</v>
      </c>
      <c r="F211" s="884" t="s">
        <v>2458</v>
      </c>
      <c r="G211" s="884" t="s">
        <v>6843</v>
      </c>
      <c r="H211" s="886">
        <v>42430</v>
      </c>
      <c r="I211" s="887">
        <v>42471</v>
      </c>
      <c r="J211" s="958">
        <v>387.25</v>
      </c>
    </row>
    <row r="212" spans="1:10" s="84" customFormat="1" outlineLevel="2">
      <c r="A212" s="884" t="s">
        <v>2386</v>
      </c>
      <c r="B212" s="1050" t="s">
        <v>7732</v>
      </c>
      <c r="C212" s="885" t="s">
        <v>278</v>
      </c>
      <c r="D212" s="884"/>
      <c r="E212" s="884" t="s">
        <v>2341</v>
      </c>
      <c r="F212" s="884" t="s">
        <v>7288</v>
      </c>
      <c r="G212" s="884" t="s">
        <v>7289</v>
      </c>
      <c r="H212" s="886">
        <v>42401</v>
      </c>
      <c r="I212" s="887">
        <v>42471</v>
      </c>
      <c r="J212" s="958">
        <v>27.66</v>
      </c>
    </row>
    <row r="213" spans="1:10" s="84" customFormat="1" outlineLevel="2">
      <c r="A213" s="884" t="s">
        <v>2386</v>
      </c>
      <c r="B213" s="1050" t="s">
        <v>7732</v>
      </c>
      <c r="C213" s="885" t="s">
        <v>278</v>
      </c>
      <c r="D213" s="884"/>
      <c r="E213" s="884" t="s">
        <v>2341</v>
      </c>
      <c r="F213" s="884" t="s">
        <v>7290</v>
      </c>
      <c r="G213" s="884" t="s">
        <v>7291</v>
      </c>
      <c r="H213" s="886">
        <v>42401</v>
      </c>
      <c r="I213" s="887">
        <v>42471</v>
      </c>
      <c r="J213" s="958">
        <v>42.05</v>
      </c>
    </row>
    <row r="214" spans="1:10" s="84" customFormat="1" outlineLevel="2">
      <c r="A214" s="884" t="s">
        <v>2386</v>
      </c>
      <c r="B214" s="1050" t="s">
        <v>7732</v>
      </c>
      <c r="C214" s="885" t="s">
        <v>278</v>
      </c>
      <c r="D214" s="884"/>
      <c r="E214" s="884" t="s">
        <v>2341</v>
      </c>
      <c r="F214" s="884" t="s">
        <v>7292</v>
      </c>
      <c r="G214" s="884" t="s">
        <v>7293</v>
      </c>
      <c r="H214" s="886">
        <v>42401</v>
      </c>
      <c r="I214" s="887">
        <v>42471</v>
      </c>
      <c r="J214" s="958">
        <v>40.94</v>
      </c>
    </row>
    <row r="215" spans="1:10" s="84" customFormat="1" outlineLevel="2">
      <c r="A215" s="884" t="s">
        <v>6844</v>
      </c>
      <c r="B215" s="1050">
        <v>112120612060</v>
      </c>
      <c r="C215" s="885" t="s">
        <v>278</v>
      </c>
      <c r="D215" s="884"/>
      <c r="E215" s="884" t="s">
        <v>2457</v>
      </c>
      <c r="F215" s="884" t="s">
        <v>2458</v>
      </c>
      <c r="G215" s="884" t="s">
        <v>6853</v>
      </c>
      <c r="H215" s="886">
        <v>42430</v>
      </c>
      <c r="I215" s="887">
        <v>42474</v>
      </c>
      <c r="J215" s="958">
        <v>30.64</v>
      </c>
    </row>
    <row r="216" spans="1:10" s="84" customFormat="1" outlineLevel="2">
      <c r="A216" s="884" t="s">
        <v>2386</v>
      </c>
      <c r="B216" s="1050">
        <v>112120611040</v>
      </c>
      <c r="C216" s="885" t="s">
        <v>278</v>
      </c>
      <c r="D216" s="884"/>
      <c r="E216" s="884" t="s">
        <v>408</v>
      </c>
      <c r="F216" s="884" t="s">
        <v>2418</v>
      </c>
      <c r="G216" s="884" t="s">
        <v>6900</v>
      </c>
      <c r="H216" s="886">
        <v>42370</v>
      </c>
      <c r="I216" s="887">
        <v>42478</v>
      </c>
      <c r="J216" s="958">
        <v>1693.3</v>
      </c>
    </row>
    <row r="217" spans="1:10" s="84" customFormat="1" outlineLevel="2">
      <c r="A217" s="884" t="s">
        <v>2386</v>
      </c>
      <c r="B217" s="1050" t="s">
        <v>7732</v>
      </c>
      <c r="C217" s="885" t="s">
        <v>278</v>
      </c>
      <c r="D217" s="884"/>
      <c r="E217" s="884" t="s">
        <v>2336</v>
      </c>
      <c r="F217" s="884" t="s">
        <v>7076</v>
      </c>
      <c r="G217" s="884" t="s">
        <v>7077</v>
      </c>
      <c r="H217" s="886">
        <v>42401</v>
      </c>
      <c r="I217" s="887">
        <v>42480</v>
      </c>
      <c r="J217" s="958">
        <v>231.26</v>
      </c>
    </row>
    <row r="218" spans="1:10" s="84" customFormat="1" outlineLevel="2">
      <c r="A218" s="884" t="s">
        <v>2386</v>
      </c>
      <c r="B218" s="1050" t="s">
        <v>7732</v>
      </c>
      <c r="C218" s="885" t="s">
        <v>278</v>
      </c>
      <c r="D218" s="884"/>
      <c r="E218" s="884" t="s">
        <v>2336</v>
      </c>
      <c r="F218" s="884" t="s">
        <v>7074</v>
      </c>
      <c r="G218" s="884" t="s">
        <v>7075</v>
      </c>
      <c r="H218" s="886">
        <v>42401</v>
      </c>
      <c r="I218" s="887">
        <v>42480</v>
      </c>
      <c r="J218" s="958">
        <v>152.15</v>
      </c>
    </row>
    <row r="219" spans="1:10" s="84" customFormat="1" outlineLevel="2">
      <c r="A219" s="884" t="s">
        <v>2386</v>
      </c>
      <c r="B219" s="1050" t="s">
        <v>7732</v>
      </c>
      <c r="C219" s="885" t="s">
        <v>278</v>
      </c>
      <c r="D219" s="884"/>
      <c r="E219" s="884" t="s">
        <v>2336</v>
      </c>
      <c r="F219" s="884" t="s">
        <v>7078</v>
      </c>
      <c r="G219" s="884" t="s">
        <v>7079</v>
      </c>
      <c r="H219" s="886">
        <v>42401</v>
      </c>
      <c r="I219" s="887">
        <v>42480</v>
      </c>
      <c r="J219" s="958">
        <v>225.17</v>
      </c>
    </row>
    <row r="220" spans="1:10" s="84" customFormat="1" outlineLevel="2">
      <c r="A220" s="884" t="s">
        <v>2386</v>
      </c>
      <c r="B220" s="1050">
        <v>112120611040</v>
      </c>
      <c r="C220" s="885" t="s">
        <v>278</v>
      </c>
      <c r="D220" s="884"/>
      <c r="E220" s="884" t="s">
        <v>409</v>
      </c>
      <c r="F220" s="884" t="s">
        <v>2418</v>
      </c>
      <c r="G220" s="884" t="s">
        <v>6788</v>
      </c>
      <c r="H220" s="886">
        <v>42401</v>
      </c>
      <c r="I220" s="887">
        <v>42480</v>
      </c>
      <c r="J220" s="958">
        <v>1665.27</v>
      </c>
    </row>
    <row r="221" spans="1:10" s="84" customFormat="1" outlineLevel="2">
      <c r="A221" s="884" t="s">
        <v>2386</v>
      </c>
      <c r="B221" s="1050" t="s">
        <v>7732</v>
      </c>
      <c r="C221" s="885" t="s">
        <v>278</v>
      </c>
      <c r="D221" s="884"/>
      <c r="E221" s="884" t="s">
        <v>1909</v>
      </c>
      <c r="F221" s="884" t="s">
        <v>7440</v>
      </c>
      <c r="G221" s="884" t="s">
        <v>7441</v>
      </c>
      <c r="H221" s="886">
        <v>42401</v>
      </c>
      <c r="I221" s="887">
        <v>42480</v>
      </c>
      <c r="J221" s="958">
        <v>21.02</v>
      </c>
    </row>
    <row r="222" spans="1:10" s="84" customFormat="1" outlineLevel="2">
      <c r="A222" s="884" t="s">
        <v>2386</v>
      </c>
      <c r="B222" s="1050" t="s">
        <v>7732</v>
      </c>
      <c r="C222" s="885" t="s">
        <v>278</v>
      </c>
      <c r="D222" s="884"/>
      <c r="E222" s="884" t="s">
        <v>1909</v>
      </c>
      <c r="F222" s="884" t="s">
        <v>7506</v>
      </c>
      <c r="G222" s="884" t="s">
        <v>7507</v>
      </c>
      <c r="H222" s="886">
        <v>42401</v>
      </c>
      <c r="I222" s="887">
        <v>42480</v>
      </c>
      <c r="J222" s="958">
        <v>13.83</v>
      </c>
    </row>
    <row r="223" spans="1:10" s="84" customFormat="1" outlineLevel="2">
      <c r="A223" s="884" t="s">
        <v>2386</v>
      </c>
      <c r="B223" s="1050" t="s">
        <v>7732</v>
      </c>
      <c r="C223" s="885" t="s">
        <v>278</v>
      </c>
      <c r="D223" s="884"/>
      <c r="E223" s="884" t="s">
        <v>1909</v>
      </c>
      <c r="F223" s="884" t="s">
        <v>7570</v>
      </c>
      <c r="G223" s="884" t="s">
        <v>7571</v>
      </c>
      <c r="H223" s="886">
        <v>42401</v>
      </c>
      <c r="I223" s="887">
        <v>42480</v>
      </c>
      <c r="J223" s="958">
        <v>20.47</v>
      </c>
    </row>
    <row r="224" spans="1:10" s="84" customFormat="1" outlineLevel="2">
      <c r="A224" s="884" t="s">
        <v>2386</v>
      </c>
      <c r="B224" s="1050" t="s">
        <v>7732</v>
      </c>
      <c r="C224" s="885" t="s">
        <v>278</v>
      </c>
      <c r="D224" s="884"/>
      <c r="E224" s="884" t="s">
        <v>1909</v>
      </c>
      <c r="F224" s="884" t="s">
        <v>7658</v>
      </c>
      <c r="G224" s="884" t="s">
        <v>7659</v>
      </c>
      <c r="H224" s="886">
        <v>42370</v>
      </c>
      <c r="I224" s="887">
        <v>42480</v>
      </c>
      <c r="J224" s="958">
        <v>63.68</v>
      </c>
    </row>
    <row r="225" spans="1:10" s="84" customFormat="1" outlineLevel="2">
      <c r="A225" s="884" t="s">
        <v>2386</v>
      </c>
      <c r="B225" s="1050" t="s">
        <v>7732</v>
      </c>
      <c r="C225" s="885" t="s">
        <v>278</v>
      </c>
      <c r="D225" s="884"/>
      <c r="E225" s="884" t="s">
        <v>1909</v>
      </c>
      <c r="F225" s="884" t="s">
        <v>7722</v>
      </c>
      <c r="G225" s="884" t="s">
        <v>7723</v>
      </c>
      <c r="H225" s="886">
        <v>42370</v>
      </c>
      <c r="I225" s="887">
        <v>42480</v>
      </c>
      <c r="J225" s="958">
        <v>94.24</v>
      </c>
    </row>
    <row r="226" spans="1:10" s="84" customFormat="1" outlineLevel="1">
      <c r="A226" s="884"/>
      <c r="B226" s="1050"/>
      <c r="C226" s="908" t="s">
        <v>278</v>
      </c>
      <c r="D226" s="928" t="str">
        <f>VLOOKUP(C226,$C$1102:$E$1189,3,FALSE)</f>
        <v>TOTAL POUPATEMPO MOGI DAS CRUZES</v>
      </c>
      <c r="E226" s="928"/>
      <c r="F226" s="928"/>
      <c r="G226" s="928"/>
      <c r="H226" s="911"/>
      <c r="I226" s="912"/>
      <c r="J226" s="966">
        <f>SUBTOTAL(9,J211:J225)</f>
        <v>4708.9300000000012</v>
      </c>
    </row>
    <row r="227" spans="1:10" s="84" customFormat="1" outlineLevel="2">
      <c r="A227" s="884" t="s">
        <v>2387</v>
      </c>
      <c r="B227" s="1050">
        <v>112120611040</v>
      </c>
      <c r="C227" s="885" t="s">
        <v>279</v>
      </c>
      <c r="D227" s="884"/>
      <c r="E227" s="884" t="s">
        <v>407</v>
      </c>
      <c r="F227" s="884" t="s">
        <v>2418</v>
      </c>
      <c r="G227" s="884" t="s">
        <v>6825</v>
      </c>
      <c r="H227" s="886">
        <v>42401</v>
      </c>
      <c r="I227" s="887">
        <v>42467</v>
      </c>
      <c r="J227" s="958">
        <v>1125.19</v>
      </c>
    </row>
    <row r="228" spans="1:10" s="84" customFormat="1" outlineLevel="2">
      <c r="A228" s="884" t="s">
        <v>2387</v>
      </c>
      <c r="B228" s="1050">
        <v>112120611040</v>
      </c>
      <c r="C228" s="885" t="s">
        <v>279</v>
      </c>
      <c r="D228" s="884"/>
      <c r="E228" s="884" t="s">
        <v>409</v>
      </c>
      <c r="F228" s="884" t="s">
        <v>2418</v>
      </c>
      <c r="G228" s="884" t="s">
        <v>6784</v>
      </c>
      <c r="H228" s="886">
        <v>42401</v>
      </c>
      <c r="I228" s="887">
        <v>42475</v>
      </c>
      <c r="J228" s="958">
        <v>1665.28</v>
      </c>
    </row>
    <row r="229" spans="1:10" s="84" customFormat="1" outlineLevel="2">
      <c r="A229" s="884" t="s">
        <v>2387</v>
      </c>
      <c r="B229" s="1050">
        <v>112120611040</v>
      </c>
      <c r="C229" s="885" t="s">
        <v>279</v>
      </c>
      <c r="D229" s="884"/>
      <c r="E229" s="884" t="s">
        <v>408</v>
      </c>
      <c r="F229" s="884" t="s">
        <v>2418</v>
      </c>
      <c r="G229" s="884" t="s">
        <v>6881</v>
      </c>
      <c r="H229" s="886">
        <v>42370</v>
      </c>
      <c r="I229" s="887">
        <v>42478</v>
      </c>
      <c r="J229" s="958">
        <v>1710.28</v>
      </c>
    </row>
    <row r="230" spans="1:10" s="84" customFormat="1" outlineLevel="2">
      <c r="A230" s="884" t="s">
        <v>2387</v>
      </c>
      <c r="B230" s="1050">
        <v>112120611040</v>
      </c>
      <c r="C230" s="885" t="s">
        <v>279</v>
      </c>
      <c r="D230" s="884"/>
      <c r="E230" s="884" t="s">
        <v>408</v>
      </c>
      <c r="F230" s="884" t="s">
        <v>2418</v>
      </c>
      <c r="G230" s="884" t="s">
        <v>6901</v>
      </c>
      <c r="H230" s="886">
        <v>42370</v>
      </c>
      <c r="I230" s="887">
        <v>42478</v>
      </c>
      <c r="J230" s="958">
        <v>1710.28</v>
      </c>
    </row>
    <row r="231" spans="1:10" s="84" customFormat="1" outlineLevel="2">
      <c r="A231" s="884" t="s">
        <v>2387</v>
      </c>
      <c r="B231" s="1050" t="s">
        <v>7732</v>
      </c>
      <c r="C231" s="885" t="s">
        <v>279</v>
      </c>
      <c r="D231" s="884"/>
      <c r="E231" s="884" t="s">
        <v>2336</v>
      </c>
      <c r="F231" s="884" t="s">
        <v>7080</v>
      </c>
      <c r="G231" s="884" t="s">
        <v>7081</v>
      </c>
      <c r="H231" s="886">
        <v>42401</v>
      </c>
      <c r="I231" s="887">
        <v>42480</v>
      </c>
      <c r="J231" s="958">
        <v>231.26</v>
      </c>
    </row>
    <row r="232" spans="1:10" s="84" customFormat="1" outlineLevel="2">
      <c r="A232" s="884" t="s">
        <v>2387</v>
      </c>
      <c r="B232" s="1050" t="s">
        <v>7732</v>
      </c>
      <c r="C232" s="885" t="s">
        <v>279</v>
      </c>
      <c r="D232" s="884"/>
      <c r="E232" s="884" t="s">
        <v>2336</v>
      </c>
      <c r="F232" s="884" t="s">
        <v>7082</v>
      </c>
      <c r="G232" s="884" t="s">
        <v>7083</v>
      </c>
      <c r="H232" s="886">
        <v>42401</v>
      </c>
      <c r="I232" s="887">
        <v>42480</v>
      </c>
      <c r="J232" s="958">
        <v>152.15</v>
      </c>
    </row>
    <row r="233" spans="1:10" s="84" customFormat="1" outlineLevel="2">
      <c r="A233" s="884" t="s">
        <v>2387</v>
      </c>
      <c r="B233" s="1050" t="s">
        <v>7732</v>
      </c>
      <c r="C233" s="885" t="s">
        <v>279</v>
      </c>
      <c r="D233" s="884"/>
      <c r="E233" s="884" t="s">
        <v>2336</v>
      </c>
      <c r="F233" s="884" t="s">
        <v>7084</v>
      </c>
      <c r="G233" s="884" t="s">
        <v>7085</v>
      </c>
      <c r="H233" s="886">
        <v>42401</v>
      </c>
      <c r="I233" s="887">
        <v>42480</v>
      </c>
      <c r="J233" s="958">
        <v>225.17</v>
      </c>
    </row>
    <row r="234" spans="1:10" s="84" customFormat="1" outlineLevel="2">
      <c r="A234" s="884" t="s">
        <v>2387</v>
      </c>
      <c r="B234" s="1050" t="s">
        <v>7732</v>
      </c>
      <c r="C234" s="885" t="s">
        <v>279</v>
      </c>
      <c r="D234" s="884"/>
      <c r="E234" s="884" t="s">
        <v>1909</v>
      </c>
      <c r="F234" s="884" t="s">
        <v>7420</v>
      </c>
      <c r="G234" s="884" t="s">
        <v>7421</v>
      </c>
      <c r="H234" s="886">
        <v>42401</v>
      </c>
      <c r="I234" s="887">
        <v>42480</v>
      </c>
      <c r="J234" s="958">
        <v>21.02</v>
      </c>
    </row>
    <row r="235" spans="1:10" s="84" customFormat="1" outlineLevel="2">
      <c r="A235" s="884" t="s">
        <v>2387</v>
      </c>
      <c r="B235" s="1050" t="s">
        <v>7732</v>
      </c>
      <c r="C235" s="885" t="s">
        <v>279</v>
      </c>
      <c r="D235" s="884"/>
      <c r="E235" s="884" t="s">
        <v>1909</v>
      </c>
      <c r="F235" s="884" t="s">
        <v>7486</v>
      </c>
      <c r="G235" s="884" t="s">
        <v>7487</v>
      </c>
      <c r="H235" s="886">
        <v>42401</v>
      </c>
      <c r="I235" s="887">
        <v>42480</v>
      </c>
      <c r="J235" s="958">
        <v>13.83</v>
      </c>
    </row>
    <row r="236" spans="1:10" s="84" customFormat="1" outlineLevel="2">
      <c r="A236" s="884" t="s">
        <v>2387</v>
      </c>
      <c r="B236" s="1050" t="s">
        <v>7732</v>
      </c>
      <c r="C236" s="885" t="s">
        <v>279</v>
      </c>
      <c r="D236" s="884"/>
      <c r="E236" s="884" t="s">
        <v>1909</v>
      </c>
      <c r="F236" s="884" t="s">
        <v>7562</v>
      </c>
      <c r="G236" s="884" t="s">
        <v>7563</v>
      </c>
      <c r="H236" s="886">
        <v>42401</v>
      </c>
      <c r="I236" s="887">
        <v>42480</v>
      </c>
      <c r="J236" s="958">
        <v>20.47</v>
      </c>
    </row>
    <row r="237" spans="1:10" s="84" customFormat="1" outlineLevel="2">
      <c r="A237" s="884" t="s">
        <v>2387</v>
      </c>
      <c r="B237" s="1050" t="s">
        <v>7732</v>
      </c>
      <c r="C237" s="885" t="s">
        <v>279</v>
      </c>
      <c r="D237" s="884"/>
      <c r="E237" s="884" t="s">
        <v>1909</v>
      </c>
      <c r="F237" s="884" t="s">
        <v>7656</v>
      </c>
      <c r="G237" s="884" t="s">
        <v>7657</v>
      </c>
      <c r="H237" s="886">
        <v>42370</v>
      </c>
      <c r="I237" s="887">
        <v>42480</v>
      </c>
      <c r="J237" s="958">
        <v>64.319999999999993</v>
      </c>
    </row>
    <row r="238" spans="1:10" s="84" customFormat="1" outlineLevel="2">
      <c r="A238" s="884" t="s">
        <v>2387</v>
      </c>
      <c r="B238" s="1050" t="s">
        <v>7732</v>
      </c>
      <c r="C238" s="885" t="s">
        <v>279</v>
      </c>
      <c r="D238" s="884"/>
      <c r="E238" s="884" t="s">
        <v>1909</v>
      </c>
      <c r="F238" s="884" t="s">
        <v>7720</v>
      </c>
      <c r="G238" s="884" t="s">
        <v>7721</v>
      </c>
      <c r="H238" s="886">
        <v>42370</v>
      </c>
      <c r="I238" s="887">
        <v>42480</v>
      </c>
      <c r="J238" s="958">
        <v>95.19</v>
      </c>
    </row>
    <row r="239" spans="1:10" s="84" customFormat="1" outlineLevel="2">
      <c r="A239" s="884" t="s">
        <v>2381</v>
      </c>
      <c r="B239" s="1050" t="s">
        <v>7732</v>
      </c>
      <c r="C239" s="885" t="s">
        <v>279</v>
      </c>
      <c r="D239" s="884"/>
      <c r="E239" s="884" t="s">
        <v>2354</v>
      </c>
      <c r="F239" s="884" t="s">
        <v>7276</v>
      </c>
      <c r="G239" s="884" t="s">
        <v>7277</v>
      </c>
      <c r="H239" s="886">
        <v>42401</v>
      </c>
      <c r="I239" s="887">
        <v>42485</v>
      </c>
      <c r="J239" s="958">
        <v>42.05</v>
      </c>
    </row>
    <row r="240" spans="1:10" s="84" customFormat="1" outlineLevel="2">
      <c r="A240" s="884" t="s">
        <v>2381</v>
      </c>
      <c r="B240" s="1050" t="s">
        <v>7732</v>
      </c>
      <c r="C240" s="885" t="s">
        <v>279</v>
      </c>
      <c r="D240" s="884"/>
      <c r="E240" s="884" t="s">
        <v>2354</v>
      </c>
      <c r="F240" s="884" t="s">
        <v>7278</v>
      </c>
      <c r="G240" s="884" t="s">
        <v>7279</v>
      </c>
      <c r="H240" s="886">
        <v>42401</v>
      </c>
      <c r="I240" s="887">
        <v>42485</v>
      </c>
      <c r="J240" s="958">
        <v>27.66</v>
      </c>
    </row>
    <row r="241" spans="1:10" s="84" customFormat="1" outlineLevel="2">
      <c r="A241" s="884" t="s">
        <v>2381</v>
      </c>
      <c r="B241" s="1050" t="s">
        <v>7732</v>
      </c>
      <c r="C241" s="885" t="s">
        <v>279</v>
      </c>
      <c r="D241" s="884"/>
      <c r="E241" s="884" t="s">
        <v>2354</v>
      </c>
      <c r="F241" s="884" t="s">
        <v>7280</v>
      </c>
      <c r="G241" s="884" t="s">
        <v>7281</v>
      </c>
      <c r="H241" s="886">
        <v>42401</v>
      </c>
      <c r="I241" s="887">
        <v>42485</v>
      </c>
      <c r="J241" s="958">
        <v>40.94</v>
      </c>
    </row>
    <row r="242" spans="1:10" s="84" customFormat="1" outlineLevel="1">
      <c r="A242" s="884"/>
      <c r="B242" s="1050"/>
      <c r="C242" s="908" t="s">
        <v>279</v>
      </c>
      <c r="D242" s="928" t="str">
        <f>VLOOKUP(C242,$C$1102:$E$1189,3,FALSE)</f>
        <v>TOTAL POUPATEMPO JUNDIAÍ</v>
      </c>
      <c r="E242" s="928"/>
      <c r="F242" s="928"/>
      <c r="G242" s="928"/>
      <c r="H242" s="911"/>
      <c r="I242" s="912"/>
      <c r="J242" s="966">
        <f>SUBTOTAL(9,J227:J241)</f>
        <v>7145.0899999999992</v>
      </c>
    </row>
    <row r="243" spans="1:10" s="84" customFormat="1" outlineLevel="2">
      <c r="A243" s="884" t="s">
        <v>2644</v>
      </c>
      <c r="B243" s="1050">
        <v>112120612060</v>
      </c>
      <c r="C243" s="885" t="s">
        <v>280</v>
      </c>
      <c r="D243" s="884"/>
      <c r="E243" s="884" t="s">
        <v>2457</v>
      </c>
      <c r="F243" s="884" t="s">
        <v>2458</v>
      </c>
      <c r="G243" s="884" t="s">
        <v>6837</v>
      </c>
      <c r="H243" s="886">
        <v>42430</v>
      </c>
      <c r="I243" s="887">
        <v>42461</v>
      </c>
      <c r="J243" s="958">
        <v>37.21</v>
      </c>
    </row>
    <row r="244" spans="1:10" s="84" customFormat="1" outlineLevel="2">
      <c r="A244" s="884" t="s">
        <v>2388</v>
      </c>
      <c r="B244" s="1050">
        <v>112120611040</v>
      </c>
      <c r="C244" s="885" t="s">
        <v>280</v>
      </c>
      <c r="D244" s="884"/>
      <c r="E244" s="884" t="s">
        <v>407</v>
      </c>
      <c r="F244" s="884" t="s">
        <v>2418</v>
      </c>
      <c r="G244" s="884" t="s">
        <v>6814</v>
      </c>
      <c r="H244" s="886">
        <v>42401</v>
      </c>
      <c r="I244" s="887">
        <v>42467</v>
      </c>
      <c r="J244" s="958">
        <v>1137.45</v>
      </c>
    </row>
    <row r="245" spans="1:10" s="84" customFormat="1" outlineLevel="2">
      <c r="A245" s="884" t="s">
        <v>2644</v>
      </c>
      <c r="B245" s="1050">
        <v>112120612060</v>
      </c>
      <c r="C245" s="885" t="s">
        <v>280</v>
      </c>
      <c r="D245" s="884"/>
      <c r="E245" s="884" t="s">
        <v>2457</v>
      </c>
      <c r="F245" s="884" t="s">
        <v>2458</v>
      </c>
      <c r="G245" s="884" t="s">
        <v>6843</v>
      </c>
      <c r="H245" s="886">
        <v>42430</v>
      </c>
      <c r="I245" s="887">
        <v>42471</v>
      </c>
      <c r="J245" s="958">
        <v>136.88999999999999</v>
      </c>
    </row>
    <row r="246" spans="1:10" s="84" customFormat="1" outlineLevel="2">
      <c r="A246" s="884" t="s">
        <v>2644</v>
      </c>
      <c r="B246" s="1050">
        <v>112120612060</v>
      </c>
      <c r="C246" s="885" t="s">
        <v>280</v>
      </c>
      <c r="D246" s="884"/>
      <c r="E246" s="884" t="s">
        <v>2457</v>
      </c>
      <c r="F246" s="884" t="s">
        <v>2458</v>
      </c>
      <c r="G246" s="884" t="s">
        <v>6853</v>
      </c>
      <c r="H246" s="886">
        <v>42430</v>
      </c>
      <c r="I246" s="887">
        <v>42474</v>
      </c>
      <c r="J246" s="958">
        <v>30.64</v>
      </c>
    </row>
    <row r="247" spans="1:10" s="84" customFormat="1" outlineLevel="2">
      <c r="A247" s="884" t="s">
        <v>2388</v>
      </c>
      <c r="B247" s="1050">
        <v>112120611040</v>
      </c>
      <c r="C247" s="885" t="s">
        <v>280</v>
      </c>
      <c r="D247" s="884"/>
      <c r="E247" s="884" t="s">
        <v>409</v>
      </c>
      <c r="F247" s="884" t="s">
        <v>2418</v>
      </c>
      <c r="G247" s="884" t="s">
        <v>6767</v>
      </c>
      <c r="H247" s="886">
        <v>42401</v>
      </c>
      <c r="I247" s="887">
        <v>42475</v>
      </c>
      <c r="J247" s="958">
        <v>1683.43</v>
      </c>
    </row>
    <row r="248" spans="1:10" s="84" customFormat="1" outlineLevel="2">
      <c r="A248" s="884" t="s">
        <v>2388</v>
      </c>
      <c r="B248" s="1050">
        <v>112120611040</v>
      </c>
      <c r="C248" s="885" t="s">
        <v>280</v>
      </c>
      <c r="D248" s="884"/>
      <c r="E248" s="884" t="s">
        <v>408</v>
      </c>
      <c r="F248" s="884" t="s">
        <v>2418</v>
      </c>
      <c r="G248" s="884" t="s">
        <v>6893</v>
      </c>
      <c r="H248" s="886">
        <v>42370</v>
      </c>
      <c r="I248" s="887">
        <v>42478</v>
      </c>
      <c r="J248" s="958">
        <v>1777.98</v>
      </c>
    </row>
    <row r="249" spans="1:10" s="84" customFormat="1" outlineLevel="2">
      <c r="A249" s="884" t="s">
        <v>2388</v>
      </c>
      <c r="B249" s="1050" t="s">
        <v>7732</v>
      </c>
      <c r="C249" s="885" t="s">
        <v>280</v>
      </c>
      <c r="D249" s="884"/>
      <c r="E249" s="884" t="s">
        <v>2336</v>
      </c>
      <c r="F249" s="884" t="s">
        <v>7086</v>
      </c>
      <c r="G249" s="884" t="s">
        <v>7087</v>
      </c>
      <c r="H249" s="886">
        <v>42401</v>
      </c>
      <c r="I249" s="887">
        <v>42480</v>
      </c>
      <c r="J249" s="958">
        <v>242.73</v>
      </c>
    </row>
    <row r="250" spans="1:10" s="84" customFormat="1" outlineLevel="2">
      <c r="A250" s="884" t="s">
        <v>2388</v>
      </c>
      <c r="B250" s="1050" t="s">
        <v>7732</v>
      </c>
      <c r="C250" s="885" t="s">
        <v>280</v>
      </c>
      <c r="D250" s="884"/>
      <c r="E250" s="884" t="s">
        <v>2336</v>
      </c>
      <c r="F250" s="884" t="s">
        <v>7090</v>
      </c>
      <c r="G250" s="884" t="s">
        <v>7091</v>
      </c>
      <c r="H250" s="886">
        <v>42401</v>
      </c>
      <c r="I250" s="887">
        <v>42480</v>
      </c>
      <c r="J250" s="958">
        <v>159.69</v>
      </c>
    </row>
    <row r="251" spans="1:10" s="84" customFormat="1" outlineLevel="2">
      <c r="A251" s="884" t="s">
        <v>2388</v>
      </c>
      <c r="B251" s="1050" t="s">
        <v>7732</v>
      </c>
      <c r="C251" s="885" t="s">
        <v>280</v>
      </c>
      <c r="D251" s="884"/>
      <c r="E251" s="884" t="s">
        <v>2336</v>
      </c>
      <c r="F251" s="884" t="s">
        <v>7088</v>
      </c>
      <c r="G251" s="884" t="s">
        <v>7089</v>
      </c>
      <c r="H251" s="886">
        <v>42401</v>
      </c>
      <c r="I251" s="887">
        <v>42480</v>
      </c>
      <c r="J251" s="958">
        <v>236.35</v>
      </c>
    </row>
    <row r="252" spans="1:10" s="84" customFormat="1" outlineLevel="2">
      <c r="A252" s="884" t="s">
        <v>2388</v>
      </c>
      <c r="B252" s="1050" t="s">
        <v>7732</v>
      </c>
      <c r="C252" s="885" t="s">
        <v>280</v>
      </c>
      <c r="D252" s="884"/>
      <c r="E252" s="884" t="s">
        <v>1909</v>
      </c>
      <c r="F252" s="884" t="s">
        <v>7398</v>
      </c>
      <c r="G252" s="884" t="s">
        <v>7399</v>
      </c>
      <c r="H252" s="886">
        <v>42401</v>
      </c>
      <c r="I252" s="887">
        <v>42480</v>
      </c>
      <c r="J252" s="958">
        <v>22.07</v>
      </c>
    </row>
    <row r="253" spans="1:10" s="84" customFormat="1" outlineLevel="2">
      <c r="A253" s="884" t="s">
        <v>2388</v>
      </c>
      <c r="B253" s="1050" t="s">
        <v>7732</v>
      </c>
      <c r="C253" s="885" t="s">
        <v>280</v>
      </c>
      <c r="D253" s="884"/>
      <c r="E253" s="884" t="s">
        <v>1909</v>
      </c>
      <c r="F253" s="884" t="s">
        <v>7464</v>
      </c>
      <c r="G253" s="884" t="s">
        <v>7465</v>
      </c>
      <c r="H253" s="886">
        <v>42401</v>
      </c>
      <c r="I253" s="887">
        <v>42480</v>
      </c>
      <c r="J253" s="958">
        <v>14.52</v>
      </c>
    </row>
    <row r="254" spans="1:10" s="84" customFormat="1" outlineLevel="2">
      <c r="A254" s="884" t="s">
        <v>2388</v>
      </c>
      <c r="B254" s="1050" t="s">
        <v>7732</v>
      </c>
      <c r="C254" s="885" t="s">
        <v>280</v>
      </c>
      <c r="D254" s="884"/>
      <c r="E254" s="884" t="s">
        <v>1909</v>
      </c>
      <c r="F254" s="884" t="s">
        <v>7528</v>
      </c>
      <c r="G254" s="884" t="s">
        <v>7529</v>
      </c>
      <c r="H254" s="886">
        <v>42401</v>
      </c>
      <c r="I254" s="887">
        <v>42480</v>
      </c>
      <c r="J254" s="958">
        <v>21.49</v>
      </c>
    </row>
    <row r="255" spans="1:10" s="84" customFormat="1" outlineLevel="2">
      <c r="A255" s="884" t="s">
        <v>2388</v>
      </c>
      <c r="B255" s="1050" t="s">
        <v>7732</v>
      </c>
      <c r="C255" s="885" t="s">
        <v>280</v>
      </c>
      <c r="D255" s="884"/>
      <c r="E255" s="884" t="s">
        <v>1909</v>
      </c>
      <c r="F255" s="884" t="s">
        <v>7626</v>
      </c>
      <c r="G255" s="884" t="s">
        <v>7627</v>
      </c>
      <c r="H255" s="886">
        <v>42370</v>
      </c>
      <c r="I255" s="887">
        <v>42480</v>
      </c>
      <c r="J255" s="958">
        <v>69.42</v>
      </c>
    </row>
    <row r="256" spans="1:10" s="84" customFormat="1" outlineLevel="2">
      <c r="A256" s="884" t="s">
        <v>2388</v>
      </c>
      <c r="B256" s="1050" t="s">
        <v>7732</v>
      </c>
      <c r="C256" s="885" t="s">
        <v>280</v>
      </c>
      <c r="D256" s="884"/>
      <c r="E256" s="884" t="s">
        <v>1909</v>
      </c>
      <c r="F256" s="884" t="s">
        <v>7706</v>
      </c>
      <c r="G256" s="884" t="s">
        <v>7707</v>
      </c>
      <c r="H256" s="886">
        <v>42370</v>
      </c>
      <c r="I256" s="887">
        <v>42480</v>
      </c>
      <c r="J256" s="958">
        <v>102.75</v>
      </c>
    </row>
    <row r="257" spans="1:10" s="84" customFormat="1" outlineLevel="2">
      <c r="A257" s="884" t="s">
        <v>2644</v>
      </c>
      <c r="B257" s="1050">
        <v>112120612060</v>
      </c>
      <c r="C257" s="885" t="s">
        <v>280</v>
      </c>
      <c r="D257" s="884"/>
      <c r="E257" s="884" t="s">
        <v>2457</v>
      </c>
      <c r="F257" s="884" t="s">
        <v>2458</v>
      </c>
      <c r="G257" s="884" t="s">
        <v>6867</v>
      </c>
      <c r="H257" s="886">
        <v>42430</v>
      </c>
      <c r="I257" s="887">
        <v>42489</v>
      </c>
      <c r="J257" s="958">
        <v>43.77</v>
      </c>
    </row>
    <row r="258" spans="1:10" s="84" customFormat="1" outlineLevel="2">
      <c r="A258" s="884" t="s">
        <v>2388</v>
      </c>
      <c r="B258" s="1050" t="s">
        <v>7732</v>
      </c>
      <c r="C258" s="885" t="s">
        <v>280</v>
      </c>
      <c r="D258" s="884"/>
      <c r="E258" s="884" t="s">
        <v>2355</v>
      </c>
      <c r="F258" s="884" t="s">
        <v>7300</v>
      </c>
      <c r="G258" s="884" t="s">
        <v>7301</v>
      </c>
      <c r="H258" s="886">
        <v>42401</v>
      </c>
      <c r="I258" s="887">
        <v>42489</v>
      </c>
      <c r="J258" s="958">
        <v>110.33</v>
      </c>
    </row>
    <row r="259" spans="1:10" s="84" customFormat="1" outlineLevel="2">
      <c r="A259" s="884" t="s">
        <v>2388</v>
      </c>
      <c r="B259" s="1050" t="s">
        <v>7732</v>
      </c>
      <c r="C259" s="885" t="s">
        <v>280</v>
      </c>
      <c r="D259" s="884"/>
      <c r="E259" s="884" t="s">
        <v>2355</v>
      </c>
      <c r="F259" s="884" t="s">
        <v>7302</v>
      </c>
      <c r="G259" s="884" t="s">
        <v>7303</v>
      </c>
      <c r="H259" s="886">
        <v>42401</v>
      </c>
      <c r="I259" s="887">
        <v>42489</v>
      </c>
      <c r="J259" s="958">
        <v>107.43</v>
      </c>
    </row>
    <row r="260" spans="1:10" s="84" customFormat="1" outlineLevel="2">
      <c r="A260" s="884" t="s">
        <v>2388</v>
      </c>
      <c r="B260" s="1050" t="s">
        <v>7732</v>
      </c>
      <c r="C260" s="885" t="s">
        <v>280</v>
      </c>
      <c r="D260" s="884"/>
      <c r="E260" s="884" t="s">
        <v>2355</v>
      </c>
      <c r="F260" s="884" t="s">
        <v>7304</v>
      </c>
      <c r="G260" s="884" t="s">
        <v>7305</v>
      </c>
      <c r="H260" s="886">
        <v>42401</v>
      </c>
      <c r="I260" s="887">
        <v>42489</v>
      </c>
      <c r="J260" s="958">
        <v>72.59</v>
      </c>
    </row>
    <row r="261" spans="1:10" s="84" customFormat="1" outlineLevel="1">
      <c r="A261" s="884"/>
      <c r="B261" s="1050"/>
      <c r="C261" s="908" t="s">
        <v>280</v>
      </c>
      <c r="D261" s="928" t="str">
        <f>VLOOKUP(C261,$C$1102:$E$1189,3,FALSE)</f>
        <v>TOTAL POUPATEMPO PIRACICABA</v>
      </c>
      <c r="E261" s="928"/>
      <c r="F261" s="928"/>
      <c r="G261" s="928"/>
      <c r="H261" s="911"/>
      <c r="I261" s="912"/>
      <c r="J261" s="966">
        <f>SUBTOTAL(9,J243:J260)</f>
        <v>6006.7400000000007</v>
      </c>
    </row>
    <row r="262" spans="1:10" s="84" customFormat="1" outlineLevel="2">
      <c r="A262" s="884" t="s">
        <v>2389</v>
      </c>
      <c r="B262" s="1050">
        <v>112120611040</v>
      </c>
      <c r="C262" s="885" t="s">
        <v>307</v>
      </c>
      <c r="D262" s="884"/>
      <c r="E262" s="884" t="s">
        <v>407</v>
      </c>
      <c r="F262" s="884" t="s">
        <v>2418</v>
      </c>
      <c r="G262" s="884" t="s">
        <v>6821</v>
      </c>
      <c r="H262" s="886">
        <v>42401</v>
      </c>
      <c r="I262" s="887">
        <v>42467</v>
      </c>
      <c r="J262" s="958">
        <v>1018.62</v>
      </c>
    </row>
    <row r="263" spans="1:10" s="84" customFormat="1" outlineLevel="2">
      <c r="A263" s="884" t="s">
        <v>2389</v>
      </c>
      <c r="B263" s="1050">
        <v>112120611040</v>
      </c>
      <c r="C263" s="885" t="s">
        <v>307</v>
      </c>
      <c r="D263" s="884"/>
      <c r="E263" s="884" t="s">
        <v>409</v>
      </c>
      <c r="F263" s="884" t="s">
        <v>2418</v>
      </c>
      <c r="G263" s="884" t="s">
        <v>6773</v>
      </c>
      <c r="H263" s="886">
        <v>42401</v>
      </c>
      <c r="I263" s="887">
        <v>42475</v>
      </c>
      <c r="J263" s="958">
        <v>1507.56</v>
      </c>
    </row>
    <row r="264" spans="1:10" s="84" customFormat="1" outlineLevel="2">
      <c r="A264" s="884" t="s">
        <v>2389</v>
      </c>
      <c r="B264" s="1050">
        <v>112120611040</v>
      </c>
      <c r="C264" s="885" t="s">
        <v>307</v>
      </c>
      <c r="D264" s="884"/>
      <c r="E264" s="884" t="s">
        <v>408</v>
      </c>
      <c r="F264" s="884" t="s">
        <v>2418</v>
      </c>
      <c r="G264" s="884" t="s">
        <v>6880</v>
      </c>
      <c r="H264" s="886">
        <v>42370</v>
      </c>
      <c r="I264" s="887">
        <v>42478</v>
      </c>
      <c r="J264" s="958">
        <v>1572.03</v>
      </c>
    </row>
    <row r="265" spans="1:10" s="84" customFormat="1" outlineLevel="2">
      <c r="A265" s="884" t="s">
        <v>2389</v>
      </c>
      <c r="B265" s="1050" t="s">
        <v>7732</v>
      </c>
      <c r="C265" s="885" t="s">
        <v>307</v>
      </c>
      <c r="D265" s="884"/>
      <c r="E265" s="884" t="s">
        <v>2336</v>
      </c>
      <c r="F265" s="884" t="s">
        <v>7092</v>
      </c>
      <c r="G265" s="884" t="s">
        <v>7093</v>
      </c>
      <c r="H265" s="886">
        <v>42401</v>
      </c>
      <c r="I265" s="887">
        <v>42480</v>
      </c>
      <c r="J265" s="958">
        <v>217.38</v>
      </c>
    </row>
    <row r="266" spans="1:10" s="84" customFormat="1" outlineLevel="2">
      <c r="A266" s="884" t="s">
        <v>2389</v>
      </c>
      <c r="B266" s="1050" t="s">
        <v>7732</v>
      </c>
      <c r="C266" s="885" t="s">
        <v>307</v>
      </c>
      <c r="D266" s="884"/>
      <c r="E266" s="884" t="s">
        <v>2336</v>
      </c>
      <c r="F266" s="884" t="s">
        <v>7094</v>
      </c>
      <c r="G266" s="884" t="s">
        <v>7095</v>
      </c>
      <c r="H266" s="886">
        <v>42401</v>
      </c>
      <c r="I266" s="887">
        <v>42480</v>
      </c>
      <c r="J266" s="958">
        <v>143.01</v>
      </c>
    </row>
    <row r="267" spans="1:10" s="84" customFormat="1" outlineLevel="2">
      <c r="A267" s="884" t="s">
        <v>2389</v>
      </c>
      <c r="B267" s="1050" t="s">
        <v>7732</v>
      </c>
      <c r="C267" s="885" t="s">
        <v>307</v>
      </c>
      <c r="D267" s="884"/>
      <c r="E267" s="884" t="s">
        <v>2336</v>
      </c>
      <c r="F267" s="884" t="s">
        <v>7096</v>
      </c>
      <c r="G267" s="884" t="s">
        <v>7097</v>
      </c>
      <c r="H267" s="886">
        <v>42401</v>
      </c>
      <c r="I267" s="887">
        <v>42480</v>
      </c>
      <c r="J267" s="958">
        <v>211.66</v>
      </c>
    </row>
    <row r="268" spans="1:10" s="84" customFormat="1" outlineLevel="2">
      <c r="A268" s="884" t="s">
        <v>2389</v>
      </c>
      <c r="B268" s="1050" t="s">
        <v>7732</v>
      </c>
      <c r="C268" s="885" t="s">
        <v>307</v>
      </c>
      <c r="D268" s="884"/>
      <c r="E268" s="884" t="s">
        <v>2353</v>
      </c>
      <c r="F268" s="884" t="s">
        <v>7372</v>
      </c>
      <c r="G268" s="884" t="s">
        <v>7373</v>
      </c>
      <c r="H268" s="886">
        <v>42401</v>
      </c>
      <c r="I268" s="887">
        <v>42480</v>
      </c>
      <c r="J268" s="958">
        <v>98.78</v>
      </c>
    </row>
    <row r="269" spans="1:10" s="84" customFormat="1" outlineLevel="2">
      <c r="A269" s="884" t="s">
        <v>2389</v>
      </c>
      <c r="B269" s="1050" t="s">
        <v>7732</v>
      </c>
      <c r="C269" s="885" t="s">
        <v>307</v>
      </c>
      <c r="D269" s="884"/>
      <c r="E269" s="884" t="s">
        <v>2353</v>
      </c>
      <c r="F269" s="884" t="s">
        <v>7374</v>
      </c>
      <c r="G269" s="884" t="s">
        <v>7375</v>
      </c>
      <c r="H269" s="886">
        <v>42401</v>
      </c>
      <c r="I269" s="887">
        <v>42480</v>
      </c>
      <c r="J269" s="958">
        <v>65.010000000000005</v>
      </c>
    </row>
    <row r="270" spans="1:10" s="84" customFormat="1" outlineLevel="2">
      <c r="A270" s="884" t="s">
        <v>2389</v>
      </c>
      <c r="B270" s="1050" t="s">
        <v>7732</v>
      </c>
      <c r="C270" s="885" t="s">
        <v>307</v>
      </c>
      <c r="D270" s="884"/>
      <c r="E270" s="884" t="s">
        <v>2353</v>
      </c>
      <c r="F270" s="884" t="s">
        <v>7376</v>
      </c>
      <c r="G270" s="884" t="s">
        <v>7377</v>
      </c>
      <c r="H270" s="886">
        <v>42401</v>
      </c>
      <c r="I270" s="887">
        <v>42480</v>
      </c>
      <c r="J270" s="958">
        <v>96.21</v>
      </c>
    </row>
    <row r="271" spans="1:10" s="84" customFormat="1" outlineLevel="2">
      <c r="A271" s="884" t="s">
        <v>2389</v>
      </c>
      <c r="B271" s="1050" t="s">
        <v>7732</v>
      </c>
      <c r="C271" s="885" t="s">
        <v>307</v>
      </c>
      <c r="D271" s="884"/>
      <c r="E271" s="884" t="s">
        <v>1909</v>
      </c>
      <c r="F271" s="884" t="s">
        <v>7410</v>
      </c>
      <c r="G271" s="884" t="s">
        <v>7411</v>
      </c>
      <c r="H271" s="886">
        <v>42401</v>
      </c>
      <c r="I271" s="887">
        <v>42480</v>
      </c>
      <c r="J271" s="958">
        <v>19.760000000000002</v>
      </c>
    </row>
    <row r="272" spans="1:10" s="84" customFormat="1" outlineLevel="2">
      <c r="A272" s="884" t="s">
        <v>2389</v>
      </c>
      <c r="B272" s="1050" t="s">
        <v>7732</v>
      </c>
      <c r="C272" s="885" t="s">
        <v>307</v>
      </c>
      <c r="D272" s="884"/>
      <c r="E272" s="884" t="s">
        <v>1909</v>
      </c>
      <c r="F272" s="884" t="s">
        <v>7478</v>
      </c>
      <c r="G272" s="884" t="s">
        <v>7479</v>
      </c>
      <c r="H272" s="886">
        <v>42401</v>
      </c>
      <c r="I272" s="887">
        <v>42480</v>
      </c>
      <c r="J272" s="958">
        <v>13</v>
      </c>
    </row>
    <row r="273" spans="1:10" s="84" customFormat="1" outlineLevel="2">
      <c r="A273" s="884" t="s">
        <v>2389</v>
      </c>
      <c r="B273" s="1050" t="s">
        <v>7732</v>
      </c>
      <c r="C273" s="885" t="s">
        <v>307</v>
      </c>
      <c r="D273" s="884"/>
      <c r="E273" s="884" t="s">
        <v>1909</v>
      </c>
      <c r="F273" s="884" t="s">
        <v>7540</v>
      </c>
      <c r="G273" s="884" t="s">
        <v>7541</v>
      </c>
      <c r="H273" s="886">
        <v>42401</v>
      </c>
      <c r="I273" s="887">
        <v>42480</v>
      </c>
      <c r="J273" s="958">
        <v>19.239999999999998</v>
      </c>
    </row>
    <row r="274" spans="1:10" s="84" customFormat="1" outlineLevel="2">
      <c r="A274" s="884" t="s">
        <v>2389</v>
      </c>
      <c r="B274" s="1050" t="s">
        <v>7732</v>
      </c>
      <c r="C274" s="885" t="s">
        <v>307</v>
      </c>
      <c r="D274" s="884"/>
      <c r="E274" s="884" t="s">
        <v>1909</v>
      </c>
      <c r="F274" s="884" t="s">
        <v>7598</v>
      </c>
      <c r="G274" s="884" t="s">
        <v>7599</v>
      </c>
      <c r="H274" s="886">
        <v>42370</v>
      </c>
      <c r="I274" s="887">
        <v>42480</v>
      </c>
      <c r="J274" s="958">
        <v>61.38</v>
      </c>
    </row>
    <row r="275" spans="1:10" s="84" customFormat="1" outlineLevel="2">
      <c r="A275" s="884" t="s">
        <v>2389</v>
      </c>
      <c r="B275" s="1050" t="s">
        <v>7732</v>
      </c>
      <c r="C275" s="885" t="s">
        <v>307</v>
      </c>
      <c r="D275" s="884"/>
      <c r="E275" s="884" t="s">
        <v>1909</v>
      </c>
      <c r="F275" s="884" t="s">
        <v>7662</v>
      </c>
      <c r="G275" s="884" t="s">
        <v>7663</v>
      </c>
      <c r="H275" s="886">
        <v>42370</v>
      </c>
      <c r="I275" s="887">
        <v>42480</v>
      </c>
      <c r="J275" s="958">
        <v>90.84</v>
      </c>
    </row>
    <row r="276" spans="1:10" s="84" customFormat="1" outlineLevel="1">
      <c r="A276" s="884"/>
      <c r="B276" s="1050"/>
      <c r="C276" s="908" t="s">
        <v>307</v>
      </c>
      <c r="D276" s="928" t="str">
        <f>VLOOKUP(C276,$C$1102:$E$1189,3,FALSE)</f>
        <v>TOTAL POUPATEMPO TAUBATÉ</v>
      </c>
      <c r="E276" s="928"/>
      <c r="F276" s="928"/>
      <c r="G276" s="928"/>
      <c r="H276" s="911"/>
      <c r="I276" s="912"/>
      <c r="J276" s="966">
        <f>SUBTOTAL(9,J262:J275)</f>
        <v>5134.4800000000005</v>
      </c>
    </row>
    <row r="277" spans="1:10" s="84" customFormat="1" outlineLevel="2">
      <c r="A277" s="884" t="s">
        <v>2642</v>
      </c>
      <c r="B277" s="1050">
        <v>112120612060</v>
      </c>
      <c r="C277" s="885" t="s">
        <v>281</v>
      </c>
      <c r="D277" s="884"/>
      <c r="E277" s="884" t="s">
        <v>2457</v>
      </c>
      <c r="F277" s="884" t="s">
        <v>2458</v>
      </c>
      <c r="G277" s="884" t="s">
        <v>6837</v>
      </c>
      <c r="H277" s="886">
        <v>42430</v>
      </c>
      <c r="I277" s="887">
        <v>42461</v>
      </c>
      <c r="J277" s="958">
        <v>37.21</v>
      </c>
    </row>
    <row r="278" spans="1:10" s="84" customFormat="1" outlineLevel="2">
      <c r="A278" s="884" t="s">
        <v>2390</v>
      </c>
      <c r="B278" s="1050">
        <v>112120611040</v>
      </c>
      <c r="C278" s="885" t="s">
        <v>281</v>
      </c>
      <c r="D278" s="884"/>
      <c r="E278" s="884" t="s">
        <v>407</v>
      </c>
      <c r="F278" s="884" t="s">
        <v>2418</v>
      </c>
      <c r="G278" s="884" t="s">
        <v>6830</v>
      </c>
      <c r="H278" s="886">
        <v>42401</v>
      </c>
      <c r="I278" s="887">
        <v>42467</v>
      </c>
      <c r="J278" s="958">
        <v>1835.23</v>
      </c>
    </row>
    <row r="279" spans="1:10" s="84" customFormat="1" outlineLevel="2">
      <c r="A279" s="884" t="s">
        <v>2390</v>
      </c>
      <c r="B279" s="1050" t="s">
        <v>7732</v>
      </c>
      <c r="C279" s="885" t="s">
        <v>281</v>
      </c>
      <c r="D279" s="884"/>
      <c r="E279" s="884" t="s">
        <v>2350</v>
      </c>
      <c r="F279" s="884" t="s">
        <v>7324</v>
      </c>
      <c r="G279" s="884" t="s">
        <v>7325</v>
      </c>
      <c r="H279" s="886">
        <v>42401</v>
      </c>
      <c r="I279" s="887">
        <v>42473</v>
      </c>
      <c r="J279" s="958">
        <v>104.15</v>
      </c>
    </row>
    <row r="280" spans="1:10" s="84" customFormat="1" outlineLevel="2">
      <c r="A280" s="884" t="s">
        <v>2390</v>
      </c>
      <c r="B280" s="1050" t="s">
        <v>7732</v>
      </c>
      <c r="C280" s="885" t="s">
        <v>281</v>
      </c>
      <c r="D280" s="884"/>
      <c r="E280" s="884" t="s">
        <v>2350</v>
      </c>
      <c r="F280" s="884" t="s">
        <v>7326</v>
      </c>
      <c r="G280" s="884" t="s">
        <v>7327</v>
      </c>
      <c r="H280" s="886">
        <v>42401</v>
      </c>
      <c r="I280" s="887">
        <v>42473</v>
      </c>
      <c r="J280" s="958">
        <v>68.52</v>
      </c>
    </row>
    <row r="281" spans="1:10" s="84" customFormat="1" outlineLevel="2">
      <c r="A281" s="884" t="s">
        <v>2390</v>
      </c>
      <c r="B281" s="1050" t="s">
        <v>7732</v>
      </c>
      <c r="C281" s="885" t="s">
        <v>281</v>
      </c>
      <c r="D281" s="884"/>
      <c r="E281" s="884" t="s">
        <v>2350</v>
      </c>
      <c r="F281" s="884" t="s">
        <v>7328</v>
      </c>
      <c r="G281" s="884" t="s">
        <v>7329</v>
      </c>
      <c r="H281" s="886">
        <v>42401</v>
      </c>
      <c r="I281" s="887">
        <v>42473</v>
      </c>
      <c r="J281" s="958">
        <v>101.41</v>
      </c>
    </row>
    <row r="282" spans="1:10" s="84" customFormat="1" outlineLevel="2">
      <c r="A282" s="884" t="s">
        <v>2642</v>
      </c>
      <c r="B282" s="1050">
        <v>112120612060</v>
      </c>
      <c r="C282" s="885" t="s">
        <v>281</v>
      </c>
      <c r="D282" s="884"/>
      <c r="E282" s="884" t="s">
        <v>2457</v>
      </c>
      <c r="F282" s="884" t="s">
        <v>2458</v>
      </c>
      <c r="G282" s="884" t="s">
        <v>6853</v>
      </c>
      <c r="H282" s="886">
        <v>42430</v>
      </c>
      <c r="I282" s="887">
        <v>42474</v>
      </c>
      <c r="J282" s="958">
        <v>30.64</v>
      </c>
    </row>
    <row r="283" spans="1:10" s="84" customFormat="1" outlineLevel="2">
      <c r="A283" s="884" t="s">
        <v>2390</v>
      </c>
      <c r="B283" s="1050">
        <v>112120611040</v>
      </c>
      <c r="C283" s="885" t="s">
        <v>281</v>
      </c>
      <c r="D283" s="884"/>
      <c r="E283" s="884" t="s">
        <v>409</v>
      </c>
      <c r="F283" s="884" t="s">
        <v>2418</v>
      </c>
      <c r="G283" s="884" t="s">
        <v>6781</v>
      </c>
      <c r="H283" s="886">
        <v>42401</v>
      </c>
      <c r="I283" s="887">
        <v>42475</v>
      </c>
      <c r="J283" s="958">
        <v>2716.14</v>
      </c>
    </row>
    <row r="284" spans="1:10" s="84" customFormat="1" outlineLevel="2">
      <c r="A284" s="884" t="s">
        <v>2390</v>
      </c>
      <c r="B284" s="1050">
        <v>112120611040</v>
      </c>
      <c r="C284" s="885" t="s">
        <v>281</v>
      </c>
      <c r="D284" s="884"/>
      <c r="E284" s="884" t="s">
        <v>408</v>
      </c>
      <c r="F284" s="884" t="s">
        <v>2418</v>
      </c>
      <c r="G284" s="884" t="s">
        <v>6897</v>
      </c>
      <c r="H284" s="886">
        <v>42370</v>
      </c>
      <c r="I284" s="887">
        <v>42478</v>
      </c>
      <c r="J284" s="958">
        <v>2784.52</v>
      </c>
    </row>
    <row r="285" spans="1:10" s="84" customFormat="1" outlineLevel="2">
      <c r="A285" s="884" t="s">
        <v>2390</v>
      </c>
      <c r="B285" s="1050" t="s">
        <v>7732</v>
      </c>
      <c r="C285" s="885" t="s">
        <v>281</v>
      </c>
      <c r="D285" s="884"/>
      <c r="E285" s="884" t="s">
        <v>2336</v>
      </c>
      <c r="F285" s="884" t="s">
        <v>7098</v>
      </c>
      <c r="G285" s="884" t="s">
        <v>7099</v>
      </c>
      <c r="H285" s="886">
        <v>42401</v>
      </c>
      <c r="I285" s="887">
        <v>42480</v>
      </c>
      <c r="J285" s="958">
        <v>381.89</v>
      </c>
    </row>
    <row r="286" spans="1:10" s="84" customFormat="1" outlineLevel="2">
      <c r="A286" s="884" t="s">
        <v>2390</v>
      </c>
      <c r="B286" s="1050" t="s">
        <v>7732</v>
      </c>
      <c r="C286" s="885" t="s">
        <v>281</v>
      </c>
      <c r="D286" s="884"/>
      <c r="E286" s="884" t="s">
        <v>2336</v>
      </c>
      <c r="F286" s="884" t="s">
        <v>7100</v>
      </c>
      <c r="G286" s="884" t="s">
        <v>7101</v>
      </c>
      <c r="H286" s="886">
        <v>42401</v>
      </c>
      <c r="I286" s="887">
        <v>42480</v>
      </c>
      <c r="J286" s="958">
        <v>251.24</v>
      </c>
    </row>
    <row r="287" spans="1:10" s="84" customFormat="1" outlineLevel="2">
      <c r="A287" s="884" t="s">
        <v>2390</v>
      </c>
      <c r="B287" s="1050" t="s">
        <v>7732</v>
      </c>
      <c r="C287" s="885" t="s">
        <v>281</v>
      </c>
      <c r="D287" s="884"/>
      <c r="E287" s="884" t="s">
        <v>2336</v>
      </c>
      <c r="F287" s="884" t="s">
        <v>7102</v>
      </c>
      <c r="G287" s="884" t="s">
        <v>7103</v>
      </c>
      <c r="H287" s="886">
        <v>42401</v>
      </c>
      <c r="I287" s="887">
        <v>42480</v>
      </c>
      <c r="J287" s="958">
        <v>371.84</v>
      </c>
    </row>
    <row r="288" spans="1:10" s="84" customFormat="1" outlineLevel="2">
      <c r="A288" s="884" t="s">
        <v>2390</v>
      </c>
      <c r="B288" s="1050" t="s">
        <v>7732</v>
      </c>
      <c r="C288" s="885" t="s">
        <v>281</v>
      </c>
      <c r="D288" s="884"/>
      <c r="E288" s="884" t="s">
        <v>1909</v>
      </c>
      <c r="F288" s="884" t="s">
        <v>7430</v>
      </c>
      <c r="G288" s="884" t="s">
        <v>7431</v>
      </c>
      <c r="H288" s="886">
        <v>42401</v>
      </c>
      <c r="I288" s="887">
        <v>42480</v>
      </c>
      <c r="J288" s="958">
        <v>34.72</v>
      </c>
    </row>
    <row r="289" spans="1:10" s="84" customFormat="1" outlineLevel="2">
      <c r="A289" s="884" t="s">
        <v>2390</v>
      </c>
      <c r="B289" s="1050" t="s">
        <v>7732</v>
      </c>
      <c r="C289" s="885" t="s">
        <v>281</v>
      </c>
      <c r="D289" s="884"/>
      <c r="E289" s="884" t="s">
        <v>1909</v>
      </c>
      <c r="F289" s="884" t="s">
        <v>7496</v>
      </c>
      <c r="G289" s="884" t="s">
        <v>7497</v>
      </c>
      <c r="H289" s="886">
        <v>42401</v>
      </c>
      <c r="I289" s="887">
        <v>42480</v>
      </c>
      <c r="J289" s="958">
        <v>22.84</v>
      </c>
    </row>
    <row r="290" spans="1:10" s="84" customFormat="1" outlineLevel="2">
      <c r="A290" s="884" t="s">
        <v>2390</v>
      </c>
      <c r="B290" s="1050" t="s">
        <v>7732</v>
      </c>
      <c r="C290" s="885" t="s">
        <v>281</v>
      </c>
      <c r="D290" s="884"/>
      <c r="E290" s="884" t="s">
        <v>1909</v>
      </c>
      <c r="F290" s="884" t="s">
        <v>7556</v>
      </c>
      <c r="G290" s="884" t="s">
        <v>7557</v>
      </c>
      <c r="H290" s="886">
        <v>42401</v>
      </c>
      <c r="I290" s="887">
        <v>42480</v>
      </c>
      <c r="J290" s="958">
        <v>33.799999999999997</v>
      </c>
    </row>
    <row r="291" spans="1:10" s="84" customFormat="1" outlineLevel="2">
      <c r="A291" s="884" t="s">
        <v>2390</v>
      </c>
      <c r="B291" s="1050" t="s">
        <v>7732</v>
      </c>
      <c r="C291" s="885" t="s">
        <v>281</v>
      </c>
      <c r="D291" s="884"/>
      <c r="E291" s="884" t="s">
        <v>1909</v>
      </c>
      <c r="F291" s="884" t="s">
        <v>7648</v>
      </c>
      <c r="G291" s="884" t="s">
        <v>7649</v>
      </c>
      <c r="H291" s="886">
        <v>42370</v>
      </c>
      <c r="I291" s="887">
        <v>42480</v>
      </c>
      <c r="J291" s="958">
        <v>106.02</v>
      </c>
    </row>
    <row r="292" spans="1:10" s="84" customFormat="1" outlineLevel="2">
      <c r="A292" s="884" t="s">
        <v>2390</v>
      </c>
      <c r="B292" s="1050" t="s">
        <v>7732</v>
      </c>
      <c r="C292" s="885" t="s">
        <v>281</v>
      </c>
      <c r="D292" s="884"/>
      <c r="E292" s="884" t="s">
        <v>1909</v>
      </c>
      <c r="F292" s="884" t="s">
        <v>7710</v>
      </c>
      <c r="G292" s="884" t="s">
        <v>7711</v>
      </c>
      <c r="H292" s="886">
        <v>42370</v>
      </c>
      <c r="I292" s="887">
        <v>42480</v>
      </c>
      <c r="J292" s="958">
        <v>156.9</v>
      </c>
    </row>
    <row r="293" spans="1:10" s="84" customFormat="1" outlineLevel="2">
      <c r="A293" s="884" t="s">
        <v>2642</v>
      </c>
      <c r="B293" s="1050">
        <v>112120612060</v>
      </c>
      <c r="C293" s="885" t="s">
        <v>281</v>
      </c>
      <c r="D293" s="884"/>
      <c r="E293" s="884" t="s">
        <v>2457</v>
      </c>
      <c r="F293" s="884" t="s">
        <v>2458</v>
      </c>
      <c r="G293" s="884" t="s">
        <v>6866</v>
      </c>
      <c r="H293" s="886">
        <v>42430</v>
      </c>
      <c r="I293" s="887">
        <v>42487</v>
      </c>
      <c r="J293" s="958">
        <v>42.89</v>
      </c>
    </row>
    <row r="294" spans="1:10" s="84" customFormat="1" outlineLevel="2">
      <c r="A294" s="884" t="s">
        <v>2642</v>
      </c>
      <c r="B294" s="1050">
        <v>112120612060</v>
      </c>
      <c r="C294" s="885" t="s">
        <v>281</v>
      </c>
      <c r="D294" s="884"/>
      <c r="E294" s="884" t="s">
        <v>2457</v>
      </c>
      <c r="F294" s="884" t="s">
        <v>2458</v>
      </c>
      <c r="G294" s="884" t="s">
        <v>6867</v>
      </c>
      <c r="H294" s="886">
        <v>42430</v>
      </c>
      <c r="I294" s="887">
        <v>42489</v>
      </c>
      <c r="J294" s="958">
        <v>43.77</v>
      </c>
    </row>
    <row r="295" spans="1:10" s="84" customFormat="1" outlineLevel="2">
      <c r="A295" s="884" t="s">
        <v>6989</v>
      </c>
      <c r="B295" s="1050" t="s">
        <v>6991</v>
      </c>
      <c r="C295" s="885" t="s">
        <v>281</v>
      </c>
      <c r="D295" s="884"/>
      <c r="E295" s="884" t="s">
        <v>2306</v>
      </c>
      <c r="F295" s="884" t="s">
        <v>2307</v>
      </c>
      <c r="G295" s="884">
        <v>1284671</v>
      </c>
      <c r="H295" s="886">
        <v>42461</v>
      </c>
      <c r="I295" s="887">
        <v>42489</v>
      </c>
      <c r="J295" s="958">
        <v>51.36</v>
      </c>
    </row>
    <row r="296" spans="1:10" s="84" customFormat="1" outlineLevel="1">
      <c r="A296" s="884"/>
      <c r="B296" s="1050"/>
      <c r="C296" s="908" t="s">
        <v>281</v>
      </c>
      <c r="D296" s="928" t="str">
        <f>VLOOKUP(C296,$C$1102:$E$1189,3,FALSE)</f>
        <v>TOTAL POUPATEMPO SANTOS</v>
      </c>
      <c r="E296" s="928"/>
      <c r="F296" s="928"/>
      <c r="G296" s="928"/>
      <c r="H296" s="911"/>
      <c r="I296" s="912"/>
      <c r="J296" s="966">
        <f>SUBTOTAL(9,J277:J295)</f>
        <v>9175.09</v>
      </c>
    </row>
    <row r="297" spans="1:10" s="84" customFormat="1" outlineLevel="2">
      <c r="A297" s="884" t="s">
        <v>2641</v>
      </c>
      <c r="B297" s="1050">
        <v>112120612060</v>
      </c>
      <c r="C297" s="885" t="s">
        <v>282</v>
      </c>
      <c r="D297" s="884"/>
      <c r="E297" s="884" t="s">
        <v>2457</v>
      </c>
      <c r="F297" s="884" t="s">
        <v>2458</v>
      </c>
      <c r="G297" s="884" t="s">
        <v>6837</v>
      </c>
      <c r="H297" s="886">
        <v>42430</v>
      </c>
      <c r="I297" s="887">
        <v>42461</v>
      </c>
      <c r="J297" s="958">
        <v>37.21</v>
      </c>
    </row>
    <row r="298" spans="1:10" s="84" customFormat="1" outlineLevel="2">
      <c r="A298" s="884" t="s">
        <v>2391</v>
      </c>
      <c r="B298" s="1050">
        <v>112120611040</v>
      </c>
      <c r="C298" s="885" t="s">
        <v>282</v>
      </c>
      <c r="D298" s="884"/>
      <c r="E298" s="884" t="s">
        <v>407</v>
      </c>
      <c r="F298" s="884" t="s">
        <v>2418</v>
      </c>
      <c r="G298" s="884" t="s">
        <v>6828</v>
      </c>
      <c r="H298" s="886">
        <v>42401</v>
      </c>
      <c r="I298" s="887">
        <v>42467</v>
      </c>
      <c r="J298" s="958">
        <v>2289.56</v>
      </c>
    </row>
    <row r="299" spans="1:10" s="84" customFormat="1" outlineLevel="2">
      <c r="A299" s="884" t="s">
        <v>2391</v>
      </c>
      <c r="B299" s="1050" t="s">
        <v>7732</v>
      </c>
      <c r="C299" s="885" t="s">
        <v>282</v>
      </c>
      <c r="D299" s="884"/>
      <c r="E299" s="884" t="s">
        <v>2351</v>
      </c>
      <c r="F299" s="884" t="s">
        <v>7294</v>
      </c>
      <c r="G299" s="884" t="s">
        <v>7295</v>
      </c>
      <c r="H299" s="886">
        <v>42401</v>
      </c>
      <c r="I299" s="887">
        <v>42471</v>
      </c>
      <c r="J299" s="958">
        <v>85.56</v>
      </c>
    </row>
    <row r="300" spans="1:10" s="84" customFormat="1" outlineLevel="2">
      <c r="A300" s="884" t="s">
        <v>2391</v>
      </c>
      <c r="B300" s="1050" t="s">
        <v>7732</v>
      </c>
      <c r="C300" s="885" t="s">
        <v>282</v>
      </c>
      <c r="D300" s="884"/>
      <c r="E300" s="884" t="s">
        <v>2351</v>
      </c>
      <c r="F300" s="884" t="s">
        <v>7296</v>
      </c>
      <c r="G300" s="884" t="s">
        <v>7297</v>
      </c>
      <c r="H300" s="886">
        <v>42401</v>
      </c>
      <c r="I300" s="887">
        <v>42471</v>
      </c>
      <c r="J300" s="958">
        <v>56.29</v>
      </c>
    </row>
    <row r="301" spans="1:10" s="84" customFormat="1" outlineLevel="2">
      <c r="A301" s="884" t="s">
        <v>2391</v>
      </c>
      <c r="B301" s="1050" t="s">
        <v>7732</v>
      </c>
      <c r="C301" s="885" t="s">
        <v>282</v>
      </c>
      <c r="D301" s="884"/>
      <c r="E301" s="884" t="s">
        <v>2351</v>
      </c>
      <c r="F301" s="884" t="s">
        <v>7298</v>
      </c>
      <c r="G301" s="884" t="s">
        <v>7299</v>
      </c>
      <c r="H301" s="886">
        <v>42401</v>
      </c>
      <c r="I301" s="887">
        <v>42471</v>
      </c>
      <c r="J301" s="958">
        <v>83.31</v>
      </c>
    </row>
    <row r="302" spans="1:10" s="84" customFormat="1" outlineLevel="2">
      <c r="A302" s="884" t="s">
        <v>2641</v>
      </c>
      <c r="B302" s="1050">
        <v>112120612060</v>
      </c>
      <c r="C302" s="885" t="s">
        <v>282</v>
      </c>
      <c r="D302" s="884"/>
      <c r="E302" s="884" t="s">
        <v>2457</v>
      </c>
      <c r="F302" s="884" t="s">
        <v>2458</v>
      </c>
      <c r="G302" s="884" t="s">
        <v>6853</v>
      </c>
      <c r="H302" s="886">
        <v>42430</v>
      </c>
      <c r="I302" s="887">
        <v>42474</v>
      </c>
      <c r="J302" s="958">
        <v>30.64</v>
      </c>
    </row>
    <row r="303" spans="1:10" s="84" customFormat="1" outlineLevel="2">
      <c r="A303" s="884" t="s">
        <v>2391</v>
      </c>
      <c r="B303" s="1050">
        <v>112120611040</v>
      </c>
      <c r="C303" s="885" t="s">
        <v>282</v>
      </c>
      <c r="D303" s="884"/>
      <c r="E303" s="884" t="s">
        <v>409</v>
      </c>
      <c r="F303" s="884" t="s">
        <v>2418</v>
      </c>
      <c r="G303" s="884" t="s">
        <v>6779</v>
      </c>
      <c r="H303" s="886">
        <v>42401</v>
      </c>
      <c r="I303" s="887">
        <v>42475</v>
      </c>
      <c r="J303" s="958">
        <v>3388.55</v>
      </c>
    </row>
    <row r="304" spans="1:10" s="84" customFormat="1" outlineLevel="2">
      <c r="A304" s="884" t="s">
        <v>2391</v>
      </c>
      <c r="B304" s="1050">
        <v>112120611040</v>
      </c>
      <c r="C304" s="885" t="s">
        <v>282</v>
      </c>
      <c r="D304" s="884"/>
      <c r="E304" s="884" t="s">
        <v>408</v>
      </c>
      <c r="F304" s="884" t="s">
        <v>2418</v>
      </c>
      <c r="G304" s="884" t="s">
        <v>6896</v>
      </c>
      <c r="H304" s="886">
        <v>42370</v>
      </c>
      <c r="I304" s="887">
        <v>42478</v>
      </c>
      <c r="J304" s="958">
        <v>3480.12</v>
      </c>
    </row>
    <row r="305" spans="1:10" s="84" customFormat="1" outlineLevel="2">
      <c r="A305" s="884" t="s">
        <v>2391</v>
      </c>
      <c r="B305" s="1050" t="s">
        <v>7732</v>
      </c>
      <c r="C305" s="885" t="s">
        <v>282</v>
      </c>
      <c r="D305" s="884"/>
      <c r="E305" s="884" t="s">
        <v>2336</v>
      </c>
      <c r="F305" s="884" t="s">
        <v>7104</v>
      </c>
      <c r="G305" s="884" t="s">
        <v>7105</v>
      </c>
      <c r="H305" s="886">
        <v>42401</v>
      </c>
      <c r="I305" s="887">
        <v>42480</v>
      </c>
      <c r="J305" s="958">
        <v>470.58</v>
      </c>
    </row>
    <row r="306" spans="1:10" s="84" customFormat="1" outlineLevel="2">
      <c r="A306" s="884" t="s">
        <v>2391</v>
      </c>
      <c r="B306" s="1050" t="s">
        <v>7732</v>
      </c>
      <c r="C306" s="885" t="s">
        <v>282</v>
      </c>
      <c r="D306" s="884"/>
      <c r="E306" s="884" t="s">
        <v>2336</v>
      </c>
      <c r="F306" s="884" t="s">
        <v>7106</v>
      </c>
      <c r="G306" s="884" t="s">
        <v>7107</v>
      </c>
      <c r="H306" s="886">
        <v>42401</v>
      </c>
      <c r="I306" s="887">
        <v>42480</v>
      </c>
      <c r="J306" s="958">
        <v>309.58999999999997</v>
      </c>
    </row>
    <row r="307" spans="1:10" s="84" customFormat="1" outlineLevel="2">
      <c r="A307" s="884" t="s">
        <v>2391</v>
      </c>
      <c r="B307" s="1050" t="s">
        <v>7732</v>
      </c>
      <c r="C307" s="885" t="s">
        <v>282</v>
      </c>
      <c r="D307" s="884"/>
      <c r="E307" s="884" t="s">
        <v>2336</v>
      </c>
      <c r="F307" s="884" t="s">
        <v>7108</v>
      </c>
      <c r="G307" s="884" t="s">
        <v>7109</v>
      </c>
      <c r="H307" s="886">
        <v>42401</v>
      </c>
      <c r="I307" s="887">
        <v>42480</v>
      </c>
      <c r="J307" s="958">
        <v>458.19</v>
      </c>
    </row>
    <row r="308" spans="1:10" s="84" customFormat="1" outlineLevel="2">
      <c r="A308" s="884" t="s">
        <v>2391</v>
      </c>
      <c r="B308" s="1050" t="s">
        <v>7732</v>
      </c>
      <c r="C308" s="885" t="s">
        <v>282</v>
      </c>
      <c r="D308" s="884"/>
      <c r="E308" s="884" t="s">
        <v>1909</v>
      </c>
      <c r="F308" s="884" t="s">
        <v>7426</v>
      </c>
      <c r="G308" s="884" t="s">
        <v>7427</v>
      </c>
      <c r="H308" s="886">
        <v>42401</v>
      </c>
      <c r="I308" s="887">
        <v>42480</v>
      </c>
      <c r="J308" s="958">
        <v>42.78</v>
      </c>
    </row>
    <row r="309" spans="1:10" s="84" customFormat="1" outlineLevel="2">
      <c r="A309" s="884" t="s">
        <v>2391</v>
      </c>
      <c r="B309" s="1050" t="s">
        <v>7732</v>
      </c>
      <c r="C309" s="885" t="s">
        <v>282</v>
      </c>
      <c r="D309" s="884"/>
      <c r="E309" s="884" t="s">
        <v>1909</v>
      </c>
      <c r="F309" s="884" t="s">
        <v>7492</v>
      </c>
      <c r="G309" s="884" t="s">
        <v>7493</v>
      </c>
      <c r="H309" s="886">
        <v>42401</v>
      </c>
      <c r="I309" s="887">
        <v>42480</v>
      </c>
      <c r="J309" s="958">
        <v>28.14</v>
      </c>
    </row>
    <row r="310" spans="1:10" s="84" customFormat="1" outlineLevel="2">
      <c r="A310" s="884" t="s">
        <v>2391</v>
      </c>
      <c r="B310" s="1050" t="s">
        <v>7732</v>
      </c>
      <c r="C310" s="885" t="s">
        <v>282</v>
      </c>
      <c r="D310" s="884"/>
      <c r="E310" s="884" t="s">
        <v>1909</v>
      </c>
      <c r="F310" s="884" t="s">
        <v>7552</v>
      </c>
      <c r="G310" s="884" t="s">
        <v>7553</v>
      </c>
      <c r="H310" s="886">
        <v>42401</v>
      </c>
      <c r="I310" s="887">
        <v>42480</v>
      </c>
      <c r="J310" s="958">
        <v>41.65</v>
      </c>
    </row>
    <row r="311" spans="1:10" s="84" customFormat="1" outlineLevel="2">
      <c r="A311" s="884" t="s">
        <v>2391</v>
      </c>
      <c r="B311" s="1050" t="s">
        <v>7732</v>
      </c>
      <c r="C311" s="885" t="s">
        <v>282</v>
      </c>
      <c r="D311" s="884"/>
      <c r="E311" s="884" t="s">
        <v>1909</v>
      </c>
      <c r="F311" s="884" t="s">
        <v>7654</v>
      </c>
      <c r="G311" s="884" t="s">
        <v>7655</v>
      </c>
      <c r="H311" s="886">
        <v>42370</v>
      </c>
      <c r="I311" s="887">
        <v>42480</v>
      </c>
      <c r="J311" s="958">
        <v>130.87</v>
      </c>
    </row>
    <row r="312" spans="1:10" s="84" customFormat="1" outlineLevel="2">
      <c r="A312" s="884" t="s">
        <v>2391</v>
      </c>
      <c r="B312" s="1050" t="s">
        <v>7732</v>
      </c>
      <c r="C312" s="885" t="s">
        <v>282</v>
      </c>
      <c r="D312" s="884"/>
      <c r="E312" s="884" t="s">
        <v>1909</v>
      </c>
      <c r="F312" s="884" t="s">
        <v>7708</v>
      </c>
      <c r="G312" s="884" t="s">
        <v>7709</v>
      </c>
      <c r="H312" s="886">
        <v>42370</v>
      </c>
      <c r="I312" s="887">
        <v>42480</v>
      </c>
      <c r="J312" s="958">
        <v>193.69</v>
      </c>
    </row>
    <row r="313" spans="1:10" s="84" customFormat="1" outlineLevel="2">
      <c r="A313" s="884" t="s">
        <v>2641</v>
      </c>
      <c r="B313" s="1050">
        <v>112120612060</v>
      </c>
      <c r="C313" s="885" t="s">
        <v>282</v>
      </c>
      <c r="D313" s="884"/>
      <c r="E313" s="884" t="s">
        <v>2457</v>
      </c>
      <c r="F313" s="884" t="s">
        <v>2458</v>
      </c>
      <c r="G313" s="884" t="s">
        <v>6866</v>
      </c>
      <c r="H313" s="886">
        <v>42430</v>
      </c>
      <c r="I313" s="887">
        <v>42487</v>
      </c>
      <c r="J313" s="958">
        <v>42.89</v>
      </c>
    </row>
    <row r="314" spans="1:10" s="84" customFormat="1" outlineLevel="2">
      <c r="A314" s="884" t="s">
        <v>2641</v>
      </c>
      <c r="B314" s="1050">
        <v>112120612060</v>
      </c>
      <c r="C314" s="885" t="s">
        <v>282</v>
      </c>
      <c r="D314" s="884"/>
      <c r="E314" s="884" t="s">
        <v>2457</v>
      </c>
      <c r="F314" s="884" t="s">
        <v>2458</v>
      </c>
      <c r="G314" s="884" t="s">
        <v>6867</v>
      </c>
      <c r="H314" s="886">
        <v>42430</v>
      </c>
      <c r="I314" s="887">
        <v>42489</v>
      </c>
      <c r="J314" s="958">
        <v>43.77</v>
      </c>
    </row>
    <row r="315" spans="1:10" s="84" customFormat="1" outlineLevel="1">
      <c r="A315" s="884"/>
      <c r="B315" s="1050"/>
      <c r="C315" s="908" t="s">
        <v>282</v>
      </c>
      <c r="D315" s="928" t="str">
        <f>VLOOKUP(C315,$C$1102:$E$1189,3,FALSE)</f>
        <v>TOTAL POUPATEMPO OSASCO</v>
      </c>
      <c r="E315" s="928"/>
      <c r="F315" s="928"/>
      <c r="G315" s="928"/>
      <c r="H315" s="911"/>
      <c r="I315" s="912"/>
      <c r="J315" s="966">
        <f>SUBTOTAL(9,J297:J314)</f>
        <v>11213.390000000001</v>
      </c>
    </row>
    <row r="316" spans="1:10" s="84" customFormat="1" outlineLevel="2">
      <c r="A316" s="884" t="s">
        <v>2635</v>
      </c>
      <c r="B316" s="1050">
        <v>112120104000</v>
      </c>
      <c r="C316" s="885" t="s">
        <v>283</v>
      </c>
      <c r="D316" s="884"/>
      <c r="E316" s="884" t="s">
        <v>2652</v>
      </c>
      <c r="F316" s="884" t="s">
        <v>2432</v>
      </c>
      <c r="G316" s="884" t="s">
        <v>6658</v>
      </c>
      <c r="H316" s="886">
        <v>42401</v>
      </c>
      <c r="I316" s="887">
        <v>42461</v>
      </c>
      <c r="J316" s="958">
        <v>144.30000000000001</v>
      </c>
    </row>
    <row r="317" spans="1:10" s="84" customFormat="1" outlineLevel="2">
      <c r="A317" s="884" t="s">
        <v>2637</v>
      </c>
      <c r="B317" s="1050">
        <v>112120104000</v>
      </c>
      <c r="C317" s="885" t="s">
        <v>283</v>
      </c>
      <c r="D317" s="884"/>
      <c r="E317" s="884" t="s">
        <v>2652</v>
      </c>
      <c r="F317" s="884" t="s">
        <v>2432</v>
      </c>
      <c r="G317" s="884" t="s">
        <v>6658</v>
      </c>
      <c r="H317" s="886">
        <v>42401</v>
      </c>
      <c r="I317" s="887">
        <v>42461</v>
      </c>
      <c r="J317" s="958">
        <v>39.6</v>
      </c>
    </row>
    <row r="318" spans="1:10" s="84" customFormat="1" outlineLevel="2">
      <c r="A318" s="884" t="s">
        <v>2635</v>
      </c>
      <c r="B318" s="1050">
        <v>112120104000</v>
      </c>
      <c r="C318" s="885" t="s">
        <v>283</v>
      </c>
      <c r="D318" s="884"/>
      <c r="E318" s="884" t="s">
        <v>2652</v>
      </c>
      <c r="F318" s="884" t="s">
        <v>2432</v>
      </c>
      <c r="G318" s="884" t="s">
        <v>6659</v>
      </c>
      <c r="H318" s="886">
        <v>42430</v>
      </c>
      <c r="I318" s="887">
        <v>42461</v>
      </c>
      <c r="J318" s="958">
        <v>144.30000000000001</v>
      </c>
    </row>
    <row r="319" spans="1:10" s="84" customFormat="1" outlineLevel="2">
      <c r="A319" s="884" t="s">
        <v>2637</v>
      </c>
      <c r="B319" s="1050">
        <v>112120104000</v>
      </c>
      <c r="C319" s="885" t="s">
        <v>283</v>
      </c>
      <c r="D319" s="884"/>
      <c r="E319" s="884" t="s">
        <v>2652</v>
      </c>
      <c r="F319" s="884" t="s">
        <v>2432</v>
      </c>
      <c r="G319" s="884" t="s">
        <v>6659</v>
      </c>
      <c r="H319" s="886">
        <v>42430</v>
      </c>
      <c r="I319" s="887">
        <v>42461</v>
      </c>
      <c r="J319" s="958">
        <v>39.6</v>
      </c>
    </row>
    <row r="320" spans="1:10" s="84" customFormat="1" outlineLevel="2">
      <c r="A320" s="884" t="s">
        <v>2635</v>
      </c>
      <c r="B320" s="1050">
        <v>112120104000</v>
      </c>
      <c r="C320" s="885" t="s">
        <v>283</v>
      </c>
      <c r="D320" s="884"/>
      <c r="E320" s="884" t="s">
        <v>2652</v>
      </c>
      <c r="F320" s="884" t="s">
        <v>2432</v>
      </c>
      <c r="G320" s="884" t="s">
        <v>6660</v>
      </c>
      <c r="H320" s="886">
        <v>42430</v>
      </c>
      <c r="I320" s="887">
        <v>42461</v>
      </c>
      <c r="J320" s="958">
        <v>144.30000000000001</v>
      </c>
    </row>
    <row r="321" spans="1:10" s="84" customFormat="1" outlineLevel="2">
      <c r="A321" s="884" t="s">
        <v>2637</v>
      </c>
      <c r="B321" s="1050">
        <v>112120104000</v>
      </c>
      <c r="C321" s="885" t="s">
        <v>283</v>
      </c>
      <c r="D321" s="884"/>
      <c r="E321" s="884" t="s">
        <v>2652</v>
      </c>
      <c r="F321" s="884" t="s">
        <v>2432</v>
      </c>
      <c r="G321" s="884" t="s">
        <v>6660</v>
      </c>
      <c r="H321" s="886">
        <v>42430</v>
      </c>
      <c r="I321" s="887">
        <v>42461</v>
      </c>
      <c r="J321" s="958">
        <v>36.700000000000003</v>
      </c>
    </row>
    <row r="322" spans="1:10" s="84" customFormat="1" outlineLevel="2">
      <c r="A322" s="884" t="s">
        <v>2635</v>
      </c>
      <c r="B322" s="1050">
        <v>112120104000</v>
      </c>
      <c r="C322" s="885" t="s">
        <v>283</v>
      </c>
      <c r="D322" s="884"/>
      <c r="E322" s="884" t="s">
        <v>2652</v>
      </c>
      <c r="F322" s="884" t="s">
        <v>2432</v>
      </c>
      <c r="G322" s="884" t="s">
        <v>6661</v>
      </c>
      <c r="H322" s="886">
        <v>42430</v>
      </c>
      <c r="I322" s="887">
        <v>42461</v>
      </c>
      <c r="J322" s="958">
        <v>144.30000000000001</v>
      </c>
    </row>
    <row r="323" spans="1:10" s="84" customFormat="1" outlineLevel="2">
      <c r="A323" s="884" t="s">
        <v>2637</v>
      </c>
      <c r="B323" s="1050">
        <v>112120104000</v>
      </c>
      <c r="C323" s="885" t="s">
        <v>283</v>
      </c>
      <c r="D323" s="884"/>
      <c r="E323" s="884" t="s">
        <v>2652</v>
      </c>
      <c r="F323" s="884" t="s">
        <v>2432</v>
      </c>
      <c r="G323" s="884" t="s">
        <v>6661</v>
      </c>
      <c r="H323" s="886">
        <v>42430</v>
      </c>
      <c r="I323" s="887">
        <v>42461</v>
      </c>
      <c r="J323" s="958">
        <v>39.6</v>
      </c>
    </row>
    <row r="324" spans="1:10" s="84" customFormat="1" outlineLevel="2">
      <c r="A324" s="884" t="s">
        <v>2445</v>
      </c>
      <c r="B324" s="1050">
        <v>112120104000</v>
      </c>
      <c r="C324" s="885" t="s">
        <v>283</v>
      </c>
      <c r="D324" s="884"/>
      <c r="E324" s="884" t="s">
        <v>2472</v>
      </c>
      <c r="F324" s="884" t="s">
        <v>2432</v>
      </c>
      <c r="G324" s="884" t="s">
        <v>6905</v>
      </c>
      <c r="H324" s="886">
        <v>42430</v>
      </c>
      <c r="I324" s="887">
        <v>42464</v>
      </c>
      <c r="J324" s="958">
        <v>131.30000000000001</v>
      </c>
    </row>
    <row r="325" spans="1:10" s="84" customFormat="1" outlineLevel="2">
      <c r="A325" s="884" t="s">
        <v>2446</v>
      </c>
      <c r="B325" s="1050">
        <v>112120104000</v>
      </c>
      <c r="C325" s="885" t="s">
        <v>283</v>
      </c>
      <c r="D325" s="884"/>
      <c r="E325" s="884" t="s">
        <v>2472</v>
      </c>
      <c r="F325" s="884" t="s">
        <v>2432</v>
      </c>
      <c r="G325" s="884" t="s">
        <v>6905</v>
      </c>
      <c r="H325" s="886">
        <v>42430</v>
      </c>
      <c r="I325" s="887">
        <v>42464</v>
      </c>
      <c r="J325" s="958">
        <v>30.4</v>
      </c>
    </row>
    <row r="326" spans="1:10" s="84" customFormat="1" outlineLevel="2">
      <c r="A326" s="884" t="s">
        <v>2447</v>
      </c>
      <c r="B326" s="1050">
        <v>112120105010</v>
      </c>
      <c r="C326" s="885" t="s">
        <v>283</v>
      </c>
      <c r="D326" s="884"/>
      <c r="E326" s="884" t="s">
        <v>2417</v>
      </c>
      <c r="F326" s="884" t="s">
        <v>2408</v>
      </c>
      <c r="G326" s="884" t="s">
        <v>6692</v>
      </c>
      <c r="H326" s="886">
        <v>42430</v>
      </c>
      <c r="I326" s="887">
        <v>42464</v>
      </c>
      <c r="J326" s="958">
        <v>150</v>
      </c>
    </row>
    <row r="327" spans="1:10" s="84" customFormat="1" outlineLevel="2">
      <c r="A327" s="884" t="s">
        <v>2407</v>
      </c>
      <c r="B327" s="1050">
        <v>112120105010</v>
      </c>
      <c r="C327" s="885" t="s">
        <v>283</v>
      </c>
      <c r="D327" s="884"/>
      <c r="E327" s="884" t="s">
        <v>2636</v>
      </c>
      <c r="F327" s="884" t="s">
        <v>2408</v>
      </c>
      <c r="G327" s="884" t="s">
        <v>6965</v>
      </c>
      <c r="H327" s="886">
        <v>42430</v>
      </c>
      <c r="I327" s="887">
        <v>42465</v>
      </c>
      <c r="J327" s="958">
        <v>40</v>
      </c>
    </row>
    <row r="328" spans="1:10" s="84" customFormat="1" outlineLevel="2">
      <c r="A328" s="884" t="s">
        <v>2409</v>
      </c>
      <c r="B328" s="1050">
        <v>112120105010</v>
      </c>
      <c r="C328" s="885" t="s">
        <v>283</v>
      </c>
      <c r="D328" s="884"/>
      <c r="E328" s="884" t="s">
        <v>2636</v>
      </c>
      <c r="F328" s="884" t="s">
        <v>2408</v>
      </c>
      <c r="G328" s="884" t="s">
        <v>6965</v>
      </c>
      <c r="H328" s="886">
        <v>42430</v>
      </c>
      <c r="I328" s="887">
        <v>42465</v>
      </c>
      <c r="J328" s="958">
        <v>211.88</v>
      </c>
    </row>
    <row r="329" spans="1:10" s="84" customFormat="1" outlineLevel="2">
      <c r="A329" s="884" t="s">
        <v>2410</v>
      </c>
      <c r="B329" s="1050">
        <v>112120105010</v>
      </c>
      <c r="C329" s="885" t="s">
        <v>283</v>
      </c>
      <c r="D329" s="884"/>
      <c r="E329" s="884" t="s">
        <v>2636</v>
      </c>
      <c r="F329" s="884" t="s">
        <v>2408</v>
      </c>
      <c r="G329" s="884" t="s">
        <v>6965</v>
      </c>
      <c r="H329" s="886">
        <v>42430</v>
      </c>
      <c r="I329" s="887">
        <v>42465</v>
      </c>
      <c r="J329" s="958">
        <v>180</v>
      </c>
    </row>
    <row r="330" spans="1:10" s="84" customFormat="1" outlineLevel="2">
      <c r="A330" s="884" t="s">
        <v>2407</v>
      </c>
      <c r="B330" s="1050">
        <v>112120105010</v>
      </c>
      <c r="C330" s="885" t="s">
        <v>283</v>
      </c>
      <c r="D330" s="884"/>
      <c r="E330" s="884" t="s">
        <v>2636</v>
      </c>
      <c r="F330" s="884" t="s">
        <v>2408</v>
      </c>
      <c r="G330" s="884" t="s">
        <v>6966</v>
      </c>
      <c r="H330" s="886">
        <v>42430</v>
      </c>
      <c r="I330" s="887">
        <v>42465</v>
      </c>
      <c r="J330" s="958">
        <v>40</v>
      </c>
    </row>
    <row r="331" spans="1:10" s="84" customFormat="1" outlineLevel="2">
      <c r="A331" s="884" t="s">
        <v>2409</v>
      </c>
      <c r="B331" s="1050">
        <v>112120105010</v>
      </c>
      <c r="C331" s="885" t="s">
        <v>283</v>
      </c>
      <c r="D331" s="884"/>
      <c r="E331" s="884" t="s">
        <v>2636</v>
      </c>
      <c r="F331" s="884" t="s">
        <v>2408</v>
      </c>
      <c r="G331" s="884" t="s">
        <v>6966</v>
      </c>
      <c r="H331" s="886">
        <v>42430</v>
      </c>
      <c r="I331" s="887">
        <v>42465</v>
      </c>
      <c r="J331" s="958">
        <v>210.86</v>
      </c>
    </row>
    <row r="332" spans="1:10" s="84" customFormat="1" outlineLevel="2">
      <c r="A332" s="884" t="s">
        <v>2410</v>
      </c>
      <c r="B332" s="1050">
        <v>112120105010</v>
      </c>
      <c r="C332" s="885" t="s">
        <v>283</v>
      </c>
      <c r="D332" s="884"/>
      <c r="E332" s="884" t="s">
        <v>2636</v>
      </c>
      <c r="F332" s="884" t="s">
        <v>2408</v>
      </c>
      <c r="G332" s="884" t="s">
        <v>6966</v>
      </c>
      <c r="H332" s="886">
        <v>42430</v>
      </c>
      <c r="I332" s="887">
        <v>42465</v>
      </c>
      <c r="J332" s="958">
        <v>180</v>
      </c>
    </row>
    <row r="333" spans="1:10" s="84" customFormat="1" outlineLevel="2">
      <c r="A333" s="884" t="s">
        <v>2409</v>
      </c>
      <c r="B333" s="1050">
        <v>112120105010</v>
      </c>
      <c r="C333" s="885" t="s">
        <v>283</v>
      </c>
      <c r="D333" s="884"/>
      <c r="E333" s="884" t="s">
        <v>2615</v>
      </c>
      <c r="F333" s="884" t="s">
        <v>2408</v>
      </c>
      <c r="G333" s="884" t="s">
        <v>6917</v>
      </c>
      <c r="H333" s="886">
        <v>42430</v>
      </c>
      <c r="I333" s="887">
        <v>42465</v>
      </c>
      <c r="J333" s="958">
        <v>14.57</v>
      </c>
    </row>
    <row r="334" spans="1:10" s="84" customFormat="1" outlineLevel="2">
      <c r="A334" s="884" t="s">
        <v>2410</v>
      </c>
      <c r="B334" s="1050">
        <v>112120105010</v>
      </c>
      <c r="C334" s="885" t="s">
        <v>283</v>
      </c>
      <c r="D334" s="884"/>
      <c r="E334" s="884" t="s">
        <v>2615</v>
      </c>
      <c r="F334" s="884" t="s">
        <v>2408</v>
      </c>
      <c r="G334" s="884" t="s">
        <v>6917</v>
      </c>
      <c r="H334" s="886">
        <v>42430</v>
      </c>
      <c r="I334" s="887">
        <v>42465</v>
      </c>
      <c r="J334" s="958">
        <v>25</v>
      </c>
    </row>
    <row r="335" spans="1:10" s="84" customFormat="1" outlineLevel="2">
      <c r="A335" s="884" t="s">
        <v>2409</v>
      </c>
      <c r="B335" s="1050">
        <v>112120105010</v>
      </c>
      <c r="C335" s="885" t="s">
        <v>283</v>
      </c>
      <c r="D335" s="884"/>
      <c r="E335" s="884" t="s">
        <v>2615</v>
      </c>
      <c r="F335" s="884" t="s">
        <v>2408</v>
      </c>
      <c r="G335" s="884" t="s">
        <v>6918</v>
      </c>
      <c r="H335" s="886">
        <v>42430</v>
      </c>
      <c r="I335" s="887">
        <v>42465</v>
      </c>
      <c r="J335" s="958">
        <v>29.69</v>
      </c>
    </row>
    <row r="336" spans="1:10" s="84" customFormat="1" outlineLevel="2">
      <c r="A336" s="884" t="s">
        <v>2410</v>
      </c>
      <c r="B336" s="1050">
        <v>112120105010</v>
      </c>
      <c r="C336" s="885" t="s">
        <v>283</v>
      </c>
      <c r="D336" s="884"/>
      <c r="E336" s="884" t="s">
        <v>2615</v>
      </c>
      <c r="F336" s="884" t="s">
        <v>2408</v>
      </c>
      <c r="G336" s="884" t="s">
        <v>6918</v>
      </c>
      <c r="H336" s="886">
        <v>42430</v>
      </c>
      <c r="I336" s="887">
        <v>42465</v>
      </c>
      <c r="J336" s="958">
        <v>25</v>
      </c>
    </row>
    <row r="337" spans="1:10" s="84" customFormat="1" outlineLevel="2">
      <c r="A337" s="884" t="s">
        <v>2409</v>
      </c>
      <c r="B337" s="1050">
        <v>112120105010</v>
      </c>
      <c r="C337" s="885" t="s">
        <v>283</v>
      </c>
      <c r="D337" s="884"/>
      <c r="E337" s="884" t="s">
        <v>2615</v>
      </c>
      <c r="F337" s="884" t="s">
        <v>2408</v>
      </c>
      <c r="G337" s="884" t="s">
        <v>6919</v>
      </c>
      <c r="H337" s="886">
        <v>42430</v>
      </c>
      <c r="I337" s="887">
        <v>42465</v>
      </c>
      <c r="J337" s="958">
        <v>29.69</v>
      </c>
    </row>
    <row r="338" spans="1:10" s="84" customFormat="1" outlineLevel="2">
      <c r="A338" s="884" t="s">
        <v>2410</v>
      </c>
      <c r="B338" s="1050">
        <v>112120105010</v>
      </c>
      <c r="C338" s="885" t="s">
        <v>283</v>
      </c>
      <c r="D338" s="884"/>
      <c r="E338" s="884" t="s">
        <v>2615</v>
      </c>
      <c r="F338" s="884" t="s">
        <v>2408</v>
      </c>
      <c r="G338" s="884" t="s">
        <v>6919</v>
      </c>
      <c r="H338" s="886">
        <v>42430</v>
      </c>
      <c r="I338" s="887">
        <v>42465</v>
      </c>
      <c r="J338" s="958">
        <v>50</v>
      </c>
    </row>
    <row r="339" spans="1:10" s="84" customFormat="1" outlineLevel="2">
      <c r="A339" s="884" t="s">
        <v>2410</v>
      </c>
      <c r="B339" s="1050">
        <v>112120105010</v>
      </c>
      <c r="C339" s="885" t="s">
        <v>283</v>
      </c>
      <c r="D339" s="884"/>
      <c r="E339" s="884" t="s">
        <v>6729</v>
      </c>
      <c r="F339" s="884" t="s">
        <v>2408</v>
      </c>
      <c r="G339" s="884" t="s">
        <v>6730</v>
      </c>
      <c r="H339" s="886">
        <v>42430</v>
      </c>
      <c r="I339" s="887">
        <v>42465</v>
      </c>
      <c r="J339" s="958">
        <v>30</v>
      </c>
    </row>
    <row r="340" spans="1:10" s="84" customFormat="1" outlineLevel="2">
      <c r="A340" s="884" t="s">
        <v>2635</v>
      </c>
      <c r="B340" s="1050">
        <v>112120105010</v>
      </c>
      <c r="C340" s="885" t="s">
        <v>283</v>
      </c>
      <c r="D340" s="884"/>
      <c r="E340" s="884" t="s">
        <v>6908</v>
      </c>
      <c r="F340" s="884" t="s">
        <v>2408</v>
      </c>
      <c r="G340" s="884" t="s">
        <v>6909</v>
      </c>
      <c r="H340" s="886">
        <v>42430</v>
      </c>
      <c r="I340" s="887">
        <v>42466</v>
      </c>
      <c r="J340" s="958">
        <v>243.22</v>
      </c>
    </row>
    <row r="341" spans="1:10" s="84" customFormat="1" outlineLevel="2">
      <c r="A341" s="884" t="s">
        <v>2407</v>
      </c>
      <c r="B341" s="1050">
        <v>112120105010</v>
      </c>
      <c r="C341" s="885" t="s">
        <v>283</v>
      </c>
      <c r="D341" s="884"/>
      <c r="E341" s="884" t="s">
        <v>6908</v>
      </c>
      <c r="F341" s="884" t="s">
        <v>2408</v>
      </c>
      <c r="G341" s="884" t="s">
        <v>6909</v>
      </c>
      <c r="H341" s="886">
        <v>42430</v>
      </c>
      <c r="I341" s="887">
        <v>42466</v>
      </c>
      <c r="J341" s="958">
        <v>25</v>
      </c>
    </row>
    <row r="342" spans="1:10" s="84" customFormat="1" outlineLevel="2">
      <c r="A342" s="884" t="s">
        <v>2409</v>
      </c>
      <c r="B342" s="1050">
        <v>112120105010</v>
      </c>
      <c r="C342" s="885" t="s">
        <v>283</v>
      </c>
      <c r="D342" s="884"/>
      <c r="E342" s="884" t="s">
        <v>6908</v>
      </c>
      <c r="F342" s="884" t="s">
        <v>2408</v>
      </c>
      <c r="G342" s="884" t="s">
        <v>6909</v>
      </c>
      <c r="H342" s="886">
        <v>42430</v>
      </c>
      <c r="I342" s="887">
        <v>42466</v>
      </c>
      <c r="J342" s="958">
        <v>132.57</v>
      </c>
    </row>
    <row r="343" spans="1:10" s="84" customFormat="1" outlineLevel="2">
      <c r="A343" s="884" t="s">
        <v>2410</v>
      </c>
      <c r="B343" s="1050">
        <v>112120105010</v>
      </c>
      <c r="C343" s="885" t="s">
        <v>283</v>
      </c>
      <c r="D343" s="884"/>
      <c r="E343" s="884" t="s">
        <v>6908</v>
      </c>
      <c r="F343" s="884" t="s">
        <v>2408</v>
      </c>
      <c r="G343" s="884" t="s">
        <v>6909</v>
      </c>
      <c r="H343" s="886">
        <v>42430</v>
      </c>
      <c r="I343" s="887">
        <v>42466</v>
      </c>
      <c r="J343" s="958">
        <v>660</v>
      </c>
    </row>
    <row r="344" spans="1:10" s="84" customFormat="1" outlineLevel="2">
      <c r="A344" s="884" t="s">
        <v>2635</v>
      </c>
      <c r="B344" s="1050">
        <v>112120105010</v>
      </c>
      <c r="C344" s="885" t="s">
        <v>283</v>
      </c>
      <c r="D344" s="884"/>
      <c r="E344" s="884" t="s">
        <v>6908</v>
      </c>
      <c r="F344" s="884" t="s">
        <v>2408</v>
      </c>
      <c r="G344" s="884" t="s">
        <v>6910</v>
      </c>
      <c r="H344" s="886">
        <v>42430</v>
      </c>
      <c r="I344" s="887">
        <v>42466</v>
      </c>
      <c r="J344" s="958">
        <v>243.22</v>
      </c>
    </row>
    <row r="345" spans="1:10" s="84" customFormat="1" outlineLevel="2">
      <c r="A345" s="884" t="s">
        <v>2409</v>
      </c>
      <c r="B345" s="1050">
        <v>112120105010</v>
      </c>
      <c r="C345" s="885" t="s">
        <v>283</v>
      </c>
      <c r="D345" s="884"/>
      <c r="E345" s="884" t="s">
        <v>6908</v>
      </c>
      <c r="F345" s="884" t="s">
        <v>2408</v>
      </c>
      <c r="G345" s="884" t="s">
        <v>6910</v>
      </c>
      <c r="H345" s="886">
        <v>42430</v>
      </c>
      <c r="I345" s="887">
        <v>42466</v>
      </c>
      <c r="J345" s="958">
        <v>185.13</v>
      </c>
    </row>
    <row r="346" spans="1:10" s="84" customFormat="1" outlineLevel="2">
      <c r="A346" s="884" t="s">
        <v>2410</v>
      </c>
      <c r="B346" s="1050">
        <v>112120105010</v>
      </c>
      <c r="C346" s="885" t="s">
        <v>283</v>
      </c>
      <c r="D346" s="884"/>
      <c r="E346" s="884" t="s">
        <v>6908</v>
      </c>
      <c r="F346" s="884" t="s">
        <v>2408</v>
      </c>
      <c r="G346" s="884" t="s">
        <v>6910</v>
      </c>
      <c r="H346" s="886">
        <v>42430</v>
      </c>
      <c r="I346" s="887">
        <v>42466</v>
      </c>
      <c r="J346" s="958">
        <v>245</v>
      </c>
    </row>
    <row r="347" spans="1:10" s="84" customFormat="1" outlineLevel="2">
      <c r="A347" s="884" t="s">
        <v>2410</v>
      </c>
      <c r="B347" s="1050">
        <v>112120105010</v>
      </c>
      <c r="C347" s="885" t="s">
        <v>283</v>
      </c>
      <c r="D347" s="884"/>
      <c r="E347" s="884" t="s">
        <v>2621</v>
      </c>
      <c r="F347" s="884" t="s">
        <v>2408</v>
      </c>
      <c r="G347" s="884" t="s">
        <v>6904</v>
      </c>
      <c r="H347" s="886">
        <v>42430</v>
      </c>
      <c r="I347" s="887">
        <v>42467</v>
      </c>
      <c r="J347" s="958">
        <v>50</v>
      </c>
    </row>
    <row r="348" spans="1:10" s="84" customFormat="1" outlineLevel="2">
      <c r="A348" s="884" t="s">
        <v>6717</v>
      </c>
      <c r="B348" s="1050">
        <v>112120610030</v>
      </c>
      <c r="C348" s="885" t="s">
        <v>283</v>
      </c>
      <c r="D348" s="884"/>
      <c r="E348" s="884" t="s">
        <v>6718</v>
      </c>
      <c r="F348" s="884" t="s">
        <v>2667</v>
      </c>
      <c r="G348" s="884" t="s">
        <v>6719</v>
      </c>
      <c r="H348" s="886">
        <v>42401</v>
      </c>
      <c r="I348" s="887">
        <v>42467</v>
      </c>
      <c r="J348" s="958">
        <v>200839</v>
      </c>
    </row>
    <row r="349" spans="1:10" s="84" customFormat="1" outlineLevel="2">
      <c r="A349" s="884" t="s">
        <v>2635</v>
      </c>
      <c r="B349" s="1050">
        <v>112120105010</v>
      </c>
      <c r="C349" s="885" t="s">
        <v>283</v>
      </c>
      <c r="D349" s="884"/>
      <c r="E349" s="884" t="s">
        <v>2673</v>
      </c>
      <c r="F349" s="884" t="s">
        <v>2408</v>
      </c>
      <c r="G349" s="884" t="s">
        <v>6684</v>
      </c>
      <c r="H349" s="886">
        <v>42430</v>
      </c>
      <c r="I349" s="887">
        <v>42467</v>
      </c>
      <c r="J349" s="958">
        <v>304.2</v>
      </c>
    </row>
    <row r="350" spans="1:10" s="84" customFormat="1" outlineLevel="2">
      <c r="A350" s="884" t="s">
        <v>2637</v>
      </c>
      <c r="B350" s="1050">
        <v>112120105010</v>
      </c>
      <c r="C350" s="885" t="s">
        <v>283</v>
      </c>
      <c r="D350" s="884"/>
      <c r="E350" s="884" t="s">
        <v>2673</v>
      </c>
      <c r="F350" s="884" t="s">
        <v>2408</v>
      </c>
      <c r="G350" s="884" t="s">
        <v>6684</v>
      </c>
      <c r="H350" s="886">
        <v>42430</v>
      </c>
      <c r="I350" s="887">
        <v>42467</v>
      </c>
      <c r="J350" s="958">
        <v>81</v>
      </c>
    </row>
    <row r="351" spans="1:10" s="84" customFormat="1" outlineLevel="2">
      <c r="A351" s="884" t="s">
        <v>2410</v>
      </c>
      <c r="B351" s="1050">
        <v>112120105010</v>
      </c>
      <c r="C351" s="885" t="s">
        <v>283</v>
      </c>
      <c r="D351" s="884"/>
      <c r="E351" s="884" t="s">
        <v>2673</v>
      </c>
      <c r="F351" s="884" t="s">
        <v>2408</v>
      </c>
      <c r="G351" s="884" t="s">
        <v>6684</v>
      </c>
      <c r="H351" s="886">
        <v>42430</v>
      </c>
      <c r="I351" s="887">
        <v>42467</v>
      </c>
      <c r="J351" s="958">
        <v>60</v>
      </c>
    </row>
    <row r="352" spans="1:10" s="84" customFormat="1" outlineLevel="2">
      <c r="A352" s="884" t="s">
        <v>2656</v>
      </c>
      <c r="B352" s="1050">
        <v>112120105010</v>
      </c>
      <c r="C352" s="885" t="s">
        <v>283</v>
      </c>
      <c r="D352" s="884"/>
      <c r="E352" s="884" t="s">
        <v>2657</v>
      </c>
      <c r="F352" s="884" t="s">
        <v>2408</v>
      </c>
      <c r="G352" s="884" t="s">
        <v>6907</v>
      </c>
      <c r="H352" s="886">
        <v>42430</v>
      </c>
      <c r="I352" s="887">
        <v>42468</v>
      </c>
      <c r="J352" s="958">
        <v>-1080</v>
      </c>
    </row>
    <row r="353" spans="1:10" s="84" customFormat="1" outlineLevel="2">
      <c r="A353" s="884" t="s">
        <v>2471</v>
      </c>
      <c r="B353" s="1050">
        <v>112120105010</v>
      </c>
      <c r="C353" s="885" t="s">
        <v>283</v>
      </c>
      <c r="D353" s="884"/>
      <c r="E353" s="884" t="s">
        <v>2657</v>
      </c>
      <c r="F353" s="884" t="s">
        <v>2408</v>
      </c>
      <c r="G353" s="884" t="s">
        <v>6907</v>
      </c>
      <c r="H353" s="886">
        <v>42430</v>
      </c>
      <c r="I353" s="887">
        <v>42468</v>
      </c>
      <c r="J353" s="958">
        <v>343</v>
      </c>
    </row>
    <row r="354" spans="1:10" s="84" customFormat="1" outlineLevel="2">
      <c r="A354" s="884" t="s">
        <v>2620</v>
      </c>
      <c r="B354" s="1050">
        <v>112120105010</v>
      </c>
      <c r="C354" s="885" t="s">
        <v>283</v>
      </c>
      <c r="D354" s="884"/>
      <c r="E354" s="884" t="s">
        <v>2657</v>
      </c>
      <c r="F354" s="884" t="s">
        <v>2408</v>
      </c>
      <c r="G354" s="884" t="s">
        <v>6907</v>
      </c>
      <c r="H354" s="886">
        <v>42430</v>
      </c>
      <c r="I354" s="887">
        <v>42468</v>
      </c>
      <c r="J354" s="958">
        <v>70.2</v>
      </c>
    </row>
    <row r="355" spans="1:10" s="84" customFormat="1" outlineLevel="2">
      <c r="A355" s="884" t="s">
        <v>2447</v>
      </c>
      <c r="B355" s="1050">
        <v>112120105010</v>
      </c>
      <c r="C355" s="885" t="s">
        <v>283</v>
      </c>
      <c r="D355" s="884"/>
      <c r="E355" s="884" t="s">
        <v>2657</v>
      </c>
      <c r="F355" s="884" t="s">
        <v>2408</v>
      </c>
      <c r="G355" s="884" t="s">
        <v>6907</v>
      </c>
      <c r="H355" s="886">
        <v>42430</v>
      </c>
      <c r="I355" s="887">
        <v>42468</v>
      </c>
      <c r="J355" s="958">
        <v>880</v>
      </c>
    </row>
    <row r="356" spans="1:10" s="84" customFormat="1" outlineLevel="2">
      <c r="A356" s="884" t="s">
        <v>2656</v>
      </c>
      <c r="B356" s="1050">
        <v>112070800000</v>
      </c>
      <c r="C356" s="885" t="s">
        <v>283</v>
      </c>
      <c r="D356" s="884"/>
      <c r="E356" s="884" t="s">
        <v>413</v>
      </c>
      <c r="F356" s="884" t="s">
        <v>2575</v>
      </c>
      <c r="G356" s="884" t="s">
        <v>6868</v>
      </c>
      <c r="H356" s="886">
        <v>42461</v>
      </c>
      <c r="I356" s="887">
        <v>42471</v>
      </c>
      <c r="J356" s="958">
        <v>25</v>
      </c>
    </row>
    <row r="357" spans="1:10" s="84" customFormat="1" outlineLevel="2">
      <c r="A357" s="884" t="s">
        <v>2468</v>
      </c>
      <c r="B357" s="1050">
        <v>112120612060</v>
      </c>
      <c r="C357" s="885" t="s">
        <v>283</v>
      </c>
      <c r="D357" s="884"/>
      <c r="E357" s="884" t="s">
        <v>2457</v>
      </c>
      <c r="F357" s="884" t="s">
        <v>2458</v>
      </c>
      <c r="G357" s="884" t="s">
        <v>6843</v>
      </c>
      <c r="H357" s="886">
        <v>42430</v>
      </c>
      <c r="I357" s="887">
        <v>42471</v>
      </c>
      <c r="J357" s="958">
        <v>388.48</v>
      </c>
    </row>
    <row r="358" spans="1:10" s="84" customFormat="1" outlineLevel="2">
      <c r="A358" s="884" t="s">
        <v>2447</v>
      </c>
      <c r="B358" s="1050">
        <v>112120105010</v>
      </c>
      <c r="C358" s="885" t="s">
        <v>283</v>
      </c>
      <c r="D358" s="884"/>
      <c r="E358" s="884" t="s">
        <v>6802</v>
      </c>
      <c r="F358" s="884" t="s">
        <v>2408</v>
      </c>
      <c r="G358" s="884" t="s">
        <v>6803</v>
      </c>
      <c r="H358" s="886">
        <v>42430</v>
      </c>
      <c r="I358" s="887">
        <v>42471</v>
      </c>
      <c r="J358" s="958">
        <v>50</v>
      </c>
    </row>
    <row r="359" spans="1:10" s="84" customFormat="1" outlineLevel="2">
      <c r="A359" s="884" t="s">
        <v>2635</v>
      </c>
      <c r="B359" s="1050">
        <v>112120104000</v>
      </c>
      <c r="C359" s="885" t="s">
        <v>283</v>
      </c>
      <c r="D359" s="884"/>
      <c r="E359" s="884" t="s">
        <v>2652</v>
      </c>
      <c r="F359" s="884" t="s">
        <v>2432</v>
      </c>
      <c r="G359" s="884" t="s">
        <v>6662</v>
      </c>
      <c r="H359" s="886">
        <v>42430</v>
      </c>
      <c r="I359" s="887">
        <v>42471</v>
      </c>
      <c r="J359" s="958">
        <v>144.30000000000001</v>
      </c>
    </row>
    <row r="360" spans="1:10" s="84" customFormat="1" outlineLevel="2">
      <c r="A360" s="884" t="s">
        <v>2637</v>
      </c>
      <c r="B360" s="1050">
        <v>112120104000</v>
      </c>
      <c r="C360" s="885" t="s">
        <v>283</v>
      </c>
      <c r="D360" s="884"/>
      <c r="E360" s="884" t="s">
        <v>2652</v>
      </c>
      <c r="F360" s="884" t="s">
        <v>2432</v>
      </c>
      <c r="G360" s="884" t="s">
        <v>6662</v>
      </c>
      <c r="H360" s="886">
        <v>42430</v>
      </c>
      <c r="I360" s="887">
        <v>42471</v>
      </c>
      <c r="J360" s="958">
        <v>13.7</v>
      </c>
    </row>
    <row r="361" spans="1:10" s="84" customFormat="1" outlineLevel="2">
      <c r="A361" s="884" t="s">
        <v>2635</v>
      </c>
      <c r="B361" s="1050">
        <v>112120104000</v>
      </c>
      <c r="C361" s="885" t="s">
        <v>283</v>
      </c>
      <c r="D361" s="884"/>
      <c r="E361" s="884" t="s">
        <v>2652</v>
      </c>
      <c r="F361" s="884" t="s">
        <v>2432</v>
      </c>
      <c r="G361" s="884" t="s">
        <v>6663</v>
      </c>
      <c r="H361" s="886">
        <v>42430</v>
      </c>
      <c r="I361" s="887">
        <v>42471</v>
      </c>
      <c r="J361" s="958">
        <v>144.30000000000001</v>
      </c>
    </row>
    <row r="362" spans="1:10" s="84" customFormat="1" outlineLevel="2">
      <c r="A362" s="884" t="s">
        <v>2637</v>
      </c>
      <c r="B362" s="1050">
        <v>112120104000</v>
      </c>
      <c r="C362" s="885" t="s">
        <v>283</v>
      </c>
      <c r="D362" s="884"/>
      <c r="E362" s="884" t="s">
        <v>2652</v>
      </c>
      <c r="F362" s="884" t="s">
        <v>2432</v>
      </c>
      <c r="G362" s="884" t="s">
        <v>6663</v>
      </c>
      <c r="H362" s="886">
        <v>42430</v>
      </c>
      <c r="I362" s="887">
        <v>42471</v>
      </c>
      <c r="J362" s="958">
        <v>25.9</v>
      </c>
    </row>
    <row r="363" spans="1:10" s="84" customFormat="1" outlineLevel="2">
      <c r="A363" s="884" t="s">
        <v>2635</v>
      </c>
      <c r="B363" s="1050">
        <v>112120104000</v>
      </c>
      <c r="C363" s="885" t="s">
        <v>283</v>
      </c>
      <c r="D363" s="884"/>
      <c r="E363" s="884" t="s">
        <v>2652</v>
      </c>
      <c r="F363" s="884" t="s">
        <v>2432</v>
      </c>
      <c r="G363" s="884" t="s">
        <v>6664</v>
      </c>
      <c r="H363" s="886">
        <v>42430</v>
      </c>
      <c r="I363" s="887">
        <v>42471</v>
      </c>
      <c r="J363" s="958">
        <v>144.30000000000001</v>
      </c>
    </row>
    <row r="364" spans="1:10" s="84" customFormat="1" outlineLevel="2">
      <c r="A364" s="884" t="s">
        <v>2637</v>
      </c>
      <c r="B364" s="1050">
        <v>112120104000</v>
      </c>
      <c r="C364" s="885" t="s">
        <v>283</v>
      </c>
      <c r="D364" s="884"/>
      <c r="E364" s="884" t="s">
        <v>2652</v>
      </c>
      <c r="F364" s="884" t="s">
        <v>2432</v>
      </c>
      <c r="G364" s="884" t="s">
        <v>6664</v>
      </c>
      <c r="H364" s="886">
        <v>42430</v>
      </c>
      <c r="I364" s="887">
        <v>42471</v>
      </c>
      <c r="J364" s="958">
        <v>13.7</v>
      </c>
    </row>
    <row r="365" spans="1:10" s="84" customFormat="1" outlineLevel="2">
      <c r="A365" s="884" t="s">
        <v>2635</v>
      </c>
      <c r="B365" s="1050">
        <v>112120104000</v>
      </c>
      <c r="C365" s="885" t="s">
        <v>283</v>
      </c>
      <c r="D365" s="884"/>
      <c r="E365" s="884" t="s">
        <v>2652</v>
      </c>
      <c r="F365" s="884" t="s">
        <v>2432</v>
      </c>
      <c r="G365" s="884" t="s">
        <v>6665</v>
      </c>
      <c r="H365" s="886">
        <v>42430</v>
      </c>
      <c r="I365" s="887">
        <v>42471</v>
      </c>
      <c r="J365" s="958">
        <v>144.30000000000001</v>
      </c>
    </row>
    <row r="366" spans="1:10" s="84" customFormat="1" outlineLevel="2">
      <c r="A366" s="884" t="s">
        <v>2637</v>
      </c>
      <c r="B366" s="1050">
        <v>112120104000</v>
      </c>
      <c r="C366" s="885" t="s">
        <v>283</v>
      </c>
      <c r="D366" s="884"/>
      <c r="E366" s="884" t="s">
        <v>2652</v>
      </c>
      <c r="F366" s="884" t="s">
        <v>2432</v>
      </c>
      <c r="G366" s="884" t="s">
        <v>6665</v>
      </c>
      <c r="H366" s="886">
        <v>42430</v>
      </c>
      <c r="I366" s="887">
        <v>42471</v>
      </c>
      <c r="J366" s="958">
        <v>36.700000000000003</v>
      </c>
    </row>
    <row r="367" spans="1:10" s="84" customFormat="1" outlineLevel="2">
      <c r="A367" s="884" t="s">
        <v>2635</v>
      </c>
      <c r="B367" s="1050">
        <v>112120104000</v>
      </c>
      <c r="C367" s="885" t="s">
        <v>283</v>
      </c>
      <c r="D367" s="884"/>
      <c r="E367" s="884" t="s">
        <v>2652</v>
      </c>
      <c r="F367" s="884" t="s">
        <v>2432</v>
      </c>
      <c r="G367" s="884" t="s">
        <v>6666</v>
      </c>
      <c r="H367" s="886">
        <v>42430</v>
      </c>
      <c r="I367" s="887">
        <v>42471</v>
      </c>
      <c r="J367" s="958">
        <v>144.30000000000001</v>
      </c>
    </row>
    <row r="368" spans="1:10" s="84" customFormat="1" outlineLevel="2">
      <c r="A368" s="884" t="s">
        <v>2637</v>
      </c>
      <c r="B368" s="1050">
        <v>112120104000</v>
      </c>
      <c r="C368" s="885" t="s">
        <v>283</v>
      </c>
      <c r="D368" s="884"/>
      <c r="E368" s="884" t="s">
        <v>2652</v>
      </c>
      <c r="F368" s="884" t="s">
        <v>2432</v>
      </c>
      <c r="G368" s="884" t="s">
        <v>6666</v>
      </c>
      <c r="H368" s="886">
        <v>42430</v>
      </c>
      <c r="I368" s="887">
        <v>42471</v>
      </c>
      <c r="J368" s="958">
        <v>36.700000000000003</v>
      </c>
    </row>
    <row r="369" spans="1:10" s="84" customFormat="1" outlineLevel="2">
      <c r="A369" s="884" t="s">
        <v>2646</v>
      </c>
      <c r="B369" s="1050">
        <v>112120502010</v>
      </c>
      <c r="C369" s="885" t="s">
        <v>283</v>
      </c>
      <c r="D369" s="884"/>
      <c r="E369" s="884" t="s">
        <v>2647</v>
      </c>
      <c r="F369" s="884" t="s">
        <v>2648</v>
      </c>
      <c r="G369" s="884" t="s">
        <v>6631</v>
      </c>
      <c r="H369" s="886">
        <v>42401</v>
      </c>
      <c r="I369" s="887">
        <v>42471</v>
      </c>
      <c r="J369" s="958">
        <v>298.62</v>
      </c>
    </row>
    <row r="370" spans="1:10" s="84" customFormat="1" outlineLevel="2">
      <c r="A370" s="884" t="s">
        <v>2646</v>
      </c>
      <c r="B370" s="1050">
        <v>112120502010</v>
      </c>
      <c r="C370" s="885" t="s">
        <v>283</v>
      </c>
      <c r="D370" s="884"/>
      <c r="E370" s="884" t="s">
        <v>2647</v>
      </c>
      <c r="F370" s="884" t="s">
        <v>2648</v>
      </c>
      <c r="G370" s="884" t="s">
        <v>6632</v>
      </c>
      <c r="H370" s="886">
        <v>42401</v>
      </c>
      <c r="I370" s="887">
        <v>42471</v>
      </c>
      <c r="J370" s="958">
        <v>62.88</v>
      </c>
    </row>
    <row r="371" spans="1:10" s="84" customFormat="1" outlineLevel="2">
      <c r="A371" s="884" t="s">
        <v>2646</v>
      </c>
      <c r="B371" s="1050">
        <v>112120502010</v>
      </c>
      <c r="C371" s="885" t="s">
        <v>283</v>
      </c>
      <c r="D371" s="884"/>
      <c r="E371" s="884" t="s">
        <v>2647</v>
      </c>
      <c r="F371" s="884" t="s">
        <v>429</v>
      </c>
      <c r="G371" s="884" t="s">
        <v>6633</v>
      </c>
      <c r="H371" s="886">
        <v>42401</v>
      </c>
      <c r="I371" s="887">
        <v>42471</v>
      </c>
      <c r="J371" s="958">
        <v>1248.43</v>
      </c>
    </row>
    <row r="372" spans="1:10" s="84" customFormat="1" outlineLevel="2">
      <c r="A372" s="884" t="s">
        <v>2646</v>
      </c>
      <c r="B372" s="1050">
        <v>112120502010</v>
      </c>
      <c r="C372" s="885" t="s">
        <v>283</v>
      </c>
      <c r="D372" s="884"/>
      <c r="E372" s="884" t="s">
        <v>2647</v>
      </c>
      <c r="F372" s="884" t="s">
        <v>2648</v>
      </c>
      <c r="G372" s="884" t="s">
        <v>6634</v>
      </c>
      <c r="H372" s="886">
        <v>42401</v>
      </c>
      <c r="I372" s="887">
        <v>42471</v>
      </c>
      <c r="J372" s="958">
        <v>38.43</v>
      </c>
    </row>
    <row r="373" spans="1:10" s="84" customFormat="1" outlineLevel="2">
      <c r="A373" s="884" t="s">
        <v>2646</v>
      </c>
      <c r="B373" s="1050">
        <v>112120502010</v>
      </c>
      <c r="C373" s="885" t="s">
        <v>283</v>
      </c>
      <c r="D373" s="884"/>
      <c r="E373" s="884" t="s">
        <v>2647</v>
      </c>
      <c r="F373" s="884" t="s">
        <v>2648</v>
      </c>
      <c r="G373" s="884" t="s">
        <v>6635</v>
      </c>
      <c r="H373" s="886">
        <v>42401</v>
      </c>
      <c r="I373" s="887">
        <v>42471</v>
      </c>
      <c r="J373" s="958">
        <v>42.92</v>
      </c>
    </row>
    <row r="374" spans="1:10" s="84" customFormat="1" outlineLevel="2">
      <c r="A374" s="884" t="s">
        <v>2646</v>
      </c>
      <c r="B374" s="1050">
        <v>112120502010</v>
      </c>
      <c r="C374" s="885" t="s">
        <v>283</v>
      </c>
      <c r="D374" s="884"/>
      <c r="E374" s="884" t="s">
        <v>2647</v>
      </c>
      <c r="F374" s="884" t="s">
        <v>429</v>
      </c>
      <c r="G374" s="884" t="s">
        <v>6636</v>
      </c>
      <c r="H374" s="886">
        <v>42401</v>
      </c>
      <c r="I374" s="887">
        <v>42471</v>
      </c>
      <c r="J374" s="958">
        <v>28774.45</v>
      </c>
    </row>
    <row r="375" spans="1:10" s="84" customFormat="1" outlineLevel="2">
      <c r="A375" s="884" t="s">
        <v>2646</v>
      </c>
      <c r="B375" s="1050">
        <v>112120502010</v>
      </c>
      <c r="C375" s="885" t="s">
        <v>283</v>
      </c>
      <c r="D375" s="884"/>
      <c r="E375" s="884" t="s">
        <v>2647</v>
      </c>
      <c r="F375" s="884" t="s">
        <v>2648</v>
      </c>
      <c r="G375" s="884" t="s">
        <v>6637</v>
      </c>
      <c r="H375" s="886">
        <v>42401</v>
      </c>
      <c r="I375" s="887">
        <v>42471</v>
      </c>
      <c r="J375" s="958">
        <v>2857.5</v>
      </c>
    </row>
    <row r="376" spans="1:10" s="84" customFormat="1" outlineLevel="2">
      <c r="A376" s="884" t="s">
        <v>2646</v>
      </c>
      <c r="B376" s="1050">
        <v>112120502010</v>
      </c>
      <c r="C376" s="885" t="s">
        <v>283</v>
      </c>
      <c r="D376" s="884"/>
      <c r="E376" s="884" t="s">
        <v>2647</v>
      </c>
      <c r="F376" s="884" t="s">
        <v>2648</v>
      </c>
      <c r="G376" s="884" t="s">
        <v>6638</v>
      </c>
      <c r="H376" s="886">
        <v>42401</v>
      </c>
      <c r="I376" s="887">
        <v>42471</v>
      </c>
      <c r="J376" s="958">
        <v>0.22</v>
      </c>
    </row>
    <row r="377" spans="1:10" s="84" customFormat="1" outlineLevel="2">
      <c r="A377" s="884" t="s">
        <v>2409</v>
      </c>
      <c r="B377" s="1050">
        <v>112120105010</v>
      </c>
      <c r="C377" s="885" t="s">
        <v>283</v>
      </c>
      <c r="D377" s="884"/>
      <c r="E377" s="884" t="s">
        <v>2615</v>
      </c>
      <c r="F377" s="884" t="s">
        <v>2408</v>
      </c>
      <c r="G377" s="884" t="s">
        <v>6920</v>
      </c>
      <c r="H377" s="886">
        <v>42461</v>
      </c>
      <c r="I377" s="887">
        <v>42472</v>
      </c>
      <c r="J377" s="958">
        <v>15.3</v>
      </c>
    </row>
    <row r="378" spans="1:10" s="84" customFormat="1" outlineLevel="2">
      <c r="A378" s="884" t="s">
        <v>2410</v>
      </c>
      <c r="B378" s="1050">
        <v>112120105010</v>
      </c>
      <c r="C378" s="885" t="s">
        <v>283</v>
      </c>
      <c r="D378" s="884"/>
      <c r="E378" s="884" t="s">
        <v>2615</v>
      </c>
      <c r="F378" s="884" t="s">
        <v>2408</v>
      </c>
      <c r="G378" s="884" t="s">
        <v>6920</v>
      </c>
      <c r="H378" s="886">
        <v>42461</v>
      </c>
      <c r="I378" s="887">
        <v>42472</v>
      </c>
      <c r="J378" s="958">
        <v>50</v>
      </c>
    </row>
    <row r="379" spans="1:10" s="84" customFormat="1" outlineLevel="2">
      <c r="A379" s="884" t="s">
        <v>2656</v>
      </c>
      <c r="B379" s="1050">
        <v>112120103060</v>
      </c>
      <c r="C379" s="885" t="s">
        <v>283</v>
      </c>
      <c r="D379" s="884"/>
      <c r="E379" s="884" t="s">
        <v>2500</v>
      </c>
      <c r="F379" s="884" t="s">
        <v>2442</v>
      </c>
      <c r="G379" s="884" t="s">
        <v>6988</v>
      </c>
      <c r="H379" s="886">
        <v>42430</v>
      </c>
      <c r="I379" s="887">
        <v>42472</v>
      </c>
      <c r="J379" s="958">
        <v>-1080</v>
      </c>
    </row>
    <row r="380" spans="1:10" s="84" customFormat="1" outlineLevel="2">
      <c r="A380" s="884" t="s">
        <v>2471</v>
      </c>
      <c r="B380" s="1050">
        <v>112120103060</v>
      </c>
      <c r="C380" s="885" t="s">
        <v>283</v>
      </c>
      <c r="D380" s="884"/>
      <c r="E380" s="884" t="s">
        <v>2500</v>
      </c>
      <c r="F380" s="884" t="s">
        <v>2442</v>
      </c>
      <c r="G380" s="884" t="s">
        <v>6988</v>
      </c>
      <c r="H380" s="886">
        <v>42430</v>
      </c>
      <c r="I380" s="887">
        <v>42472</v>
      </c>
      <c r="J380" s="958">
        <v>170</v>
      </c>
    </row>
    <row r="381" spans="1:10" s="84" customFormat="1" outlineLevel="2">
      <c r="A381" s="884" t="s">
        <v>2620</v>
      </c>
      <c r="B381" s="1050">
        <v>112120103060</v>
      </c>
      <c r="C381" s="885" t="s">
        <v>283</v>
      </c>
      <c r="D381" s="884"/>
      <c r="E381" s="884" t="s">
        <v>2500</v>
      </c>
      <c r="F381" s="884" t="s">
        <v>2442</v>
      </c>
      <c r="G381" s="884" t="s">
        <v>6988</v>
      </c>
      <c r="H381" s="886">
        <v>42430</v>
      </c>
      <c r="I381" s="887">
        <v>42472</v>
      </c>
      <c r="J381" s="958">
        <v>70.2</v>
      </c>
    </row>
    <row r="382" spans="1:10" s="84" customFormat="1" outlineLevel="2">
      <c r="A382" s="884" t="s">
        <v>2447</v>
      </c>
      <c r="B382" s="1050">
        <v>112120103060</v>
      </c>
      <c r="C382" s="885" t="s">
        <v>283</v>
      </c>
      <c r="D382" s="884"/>
      <c r="E382" s="884" t="s">
        <v>2500</v>
      </c>
      <c r="F382" s="884" t="s">
        <v>2442</v>
      </c>
      <c r="G382" s="884" t="s">
        <v>6988</v>
      </c>
      <c r="H382" s="886">
        <v>42430</v>
      </c>
      <c r="I382" s="887">
        <v>42472</v>
      </c>
      <c r="J382" s="958">
        <v>880</v>
      </c>
    </row>
    <row r="383" spans="1:10" s="84" customFormat="1" outlineLevel="2">
      <c r="A383" s="884" t="s">
        <v>2409</v>
      </c>
      <c r="B383" s="1050">
        <v>112120105010</v>
      </c>
      <c r="C383" s="885" t="s">
        <v>283</v>
      </c>
      <c r="D383" s="884"/>
      <c r="E383" s="884" t="s">
        <v>2718</v>
      </c>
      <c r="F383" s="884" t="s">
        <v>2408</v>
      </c>
      <c r="G383" s="884" t="s">
        <v>6944</v>
      </c>
      <c r="H383" s="886">
        <v>42370</v>
      </c>
      <c r="I383" s="887">
        <v>42475</v>
      </c>
      <c r="J383" s="958">
        <v>63.69</v>
      </c>
    </row>
    <row r="384" spans="1:10" s="84" customFormat="1" outlineLevel="2">
      <c r="A384" s="884" t="s">
        <v>2410</v>
      </c>
      <c r="B384" s="1050">
        <v>112120105010</v>
      </c>
      <c r="C384" s="885" t="s">
        <v>283</v>
      </c>
      <c r="D384" s="884"/>
      <c r="E384" s="884" t="s">
        <v>2718</v>
      </c>
      <c r="F384" s="884" t="s">
        <v>2408</v>
      </c>
      <c r="G384" s="884" t="s">
        <v>6944</v>
      </c>
      <c r="H384" s="886">
        <v>42370</v>
      </c>
      <c r="I384" s="887">
        <v>42475</v>
      </c>
      <c r="J384" s="958">
        <v>25</v>
      </c>
    </row>
    <row r="385" spans="1:10" s="84" customFormat="1" outlineLevel="2">
      <c r="A385" s="884" t="s">
        <v>2407</v>
      </c>
      <c r="B385" s="1050">
        <v>112120105010</v>
      </c>
      <c r="C385" s="885" t="s">
        <v>283</v>
      </c>
      <c r="D385" s="884"/>
      <c r="E385" s="884" t="s">
        <v>2718</v>
      </c>
      <c r="F385" s="884" t="s">
        <v>2408</v>
      </c>
      <c r="G385" s="884" t="s">
        <v>6945</v>
      </c>
      <c r="H385" s="886">
        <v>42401</v>
      </c>
      <c r="I385" s="887">
        <v>42475</v>
      </c>
      <c r="J385" s="958">
        <v>22.5</v>
      </c>
    </row>
    <row r="386" spans="1:10" s="84" customFormat="1" outlineLevel="2">
      <c r="A386" s="884" t="s">
        <v>2409</v>
      </c>
      <c r="B386" s="1050">
        <v>112120105010</v>
      </c>
      <c r="C386" s="885" t="s">
        <v>283</v>
      </c>
      <c r="D386" s="884"/>
      <c r="E386" s="884" t="s">
        <v>2718</v>
      </c>
      <c r="F386" s="884" t="s">
        <v>2408</v>
      </c>
      <c r="G386" s="884" t="s">
        <v>6945</v>
      </c>
      <c r="H386" s="886">
        <v>42401</v>
      </c>
      <c r="I386" s="887">
        <v>42475</v>
      </c>
      <c r="J386" s="958">
        <v>75.48</v>
      </c>
    </row>
    <row r="387" spans="1:10" s="84" customFormat="1" outlineLevel="2">
      <c r="A387" s="884" t="s">
        <v>2410</v>
      </c>
      <c r="B387" s="1050">
        <v>112120105010</v>
      </c>
      <c r="C387" s="885" t="s">
        <v>283</v>
      </c>
      <c r="D387" s="884"/>
      <c r="E387" s="884" t="s">
        <v>2718</v>
      </c>
      <c r="F387" s="884" t="s">
        <v>2408</v>
      </c>
      <c r="G387" s="884" t="s">
        <v>6945</v>
      </c>
      <c r="H387" s="886">
        <v>42401</v>
      </c>
      <c r="I387" s="887">
        <v>42475</v>
      </c>
      <c r="J387" s="958">
        <v>25</v>
      </c>
    </row>
    <row r="388" spans="1:10" s="84" customFormat="1" outlineLevel="2">
      <c r="A388" s="884" t="s">
        <v>2409</v>
      </c>
      <c r="B388" s="1050">
        <v>112120105010</v>
      </c>
      <c r="C388" s="885" t="s">
        <v>283</v>
      </c>
      <c r="D388" s="884"/>
      <c r="E388" s="884" t="s">
        <v>2718</v>
      </c>
      <c r="F388" s="884" t="s">
        <v>2408</v>
      </c>
      <c r="G388" s="884" t="s">
        <v>6946</v>
      </c>
      <c r="H388" s="886">
        <v>42430</v>
      </c>
      <c r="I388" s="887">
        <v>42475</v>
      </c>
      <c r="J388" s="958">
        <v>60.22</v>
      </c>
    </row>
    <row r="389" spans="1:10" s="84" customFormat="1" outlineLevel="2">
      <c r="A389" s="884" t="s">
        <v>2410</v>
      </c>
      <c r="B389" s="1050">
        <v>112120105010</v>
      </c>
      <c r="C389" s="885" t="s">
        <v>283</v>
      </c>
      <c r="D389" s="884"/>
      <c r="E389" s="884" t="s">
        <v>2718</v>
      </c>
      <c r="F389" s="884" t="s">
        <v>2408</v>
      </c>
      <c r="G389" s="884" t="s">
        <v>6946</v>
      </c>
      <c r="H389" s="886">
        <v>42430</v>
      </c>
      <c r="I389" s="887">
        <v>42475</v>
      </c>
      <c r="J389" s="958">
        <v>180</v>
      </c>
    </row>
    <row r="390" spans="1:10" s="84" customFormat="1" outlineLevel="2">
      <c r="A390" s="884" t="s">
        <v>2407</v>
      </c>
      <c r="B390" s="1050">
        <v>112120105010</v>
      </c>
      <c r="C390" s="885" t="s">
        <v>283</v>
      </c>
      <c r="D390" s="884"/>
      <c r="E390" s="884" t="s">
        <v>2718</v>
      </c>
      <c r="F390" s="884" t="s">
        <v>2408</v>
      </c>
      <c r="G390" s="884" t="s">
        <v>6947</v>
      </c>
      <c r="H390" s="886">
        <v>42430</v>
      </c>
      <c r="I390" s="887">
        <v>42475</v>
      </c>
      <c r="J390" s="958">
        <v>80</v>
      </c>
    </row>
    <row r="391" spans="1:10" s="84" customFormat="1" outlineLevel="2">
      <c r="A391" s="884" t="s">
        <v>2409</v>
      </c>
      <c r="B391" s="1050">
        <v>112120105010</v>
      </c>
      <c r="C391" s="885" t="s">
        <v>283</v>
      </c>
      <c r="D391" s="884"/>
      <c r="E391" s="884" t="s">
        <v>2718</v>
      </c>
      <c r="F391" s="884" t="s">
        <v>2408</v>
      </c>
      <c r="G391" s="884" t="s">
        <v>6947</v>
      </c>
      <c r="H391" s="886">
        <v>42430</v>
      </c>
      <c r="I391" s="887">
        <v>42475</v>
      </c>
      <c r="J391" s="958">
        <v>23.5</v>
      </c>
    </row>
    <row r="392" spans="1:10" s="84" customFormat="1" outlineLevel="2">
      <c r="A392" s="884" t="s">
        <v>2410</v>
      </c>
      <c r="B392" s="1050">
        <v>112120105010</v>
      </c>
      <c r="C392" s="885" t="s">
        <v>283</v>
      </c>
      <c r="D392" s="884"/>
      <c r="E392" s="884" t="s">
        <v>2718</v>
      </c>
      <c r="F392" s="884" t="s">
        <v>2408</v>
      </c>
      <c r="G392" s="884" t="s">
        <v>6947</v>
      </c>
      <c r="H392" s="886">
        <v>42430</v>
      </c>
      <c r="I392" s="887">
        <v>42475</v>
      </c>
      <c r="J392" s="958">
        <v>360</v>
      </c>
    </row>
    <row r="393" spans="1:10" s="84" customFormat="1" outlineLevel="2">
      <c r="A393" s="884" t="s">
        <v>2409</v>
      </c>
      <c r="B393" s="1050">
        <v>112120105010</v>
      </c>
      <c r="C393" s="885" t="s">
        <v>283</v>
      </c>
      <c r="D393" s="884"/>
      <c r="E393" s="884" t="s">
        <v>2718</v>
      </c>
      <c r="F393" s="884" t="s">
        <v>2408</v>
      </c>
      <c r="G393" s="884" t="s">
        <v>6948</v>
      </c>
      <c r="H393" s="886">
        <v>42401</v>
      </c>
      <c r="I393" s="887">
        <v>42475</v>
      </c>
      <c r="J393" s="958">
        <v>53.16</v>
      </c>
    </row>
    <row r="394" spans="1:10" s="84" customFormat="1" outlineLevel="2">
      <c r="A394" s="884" t="s">
        <v>2410</v>
      </c>
      <c r="B394" s="1050">
        <v>112120105010</v>
      </c>
      <c r="C394" s="885" t="s">
        <v>283</v>
      </c>
      <c r="D394" s="884"/>
      <c r="E394" s="884" t="s">
        <v>2718</v>
      </c>
      <c r="F394" s="884" t="s">
        <v>2408</v>
      </c>
      <c r="G394" s="884" t="s">
        <v>6948</v>
      </c>
      <c r="H394" s="886">
        <v>42401</v>
      </c>
      <c r="I394" s="887">
        <v>42475</v>
      </c>
      <c r="J394" s="958">
        <v>25</v>
      </c>
    </row>
    <row r="395" spans="1:10" s="84" customFormat="1" outlineLevel="2">
      <c r="A395" s="884" t="s">
        <v>2407</v>
      </c>
      <c r="B395" s="1050">
        <v>112120105010</v>
      </c>
      <c r="C395" s="885" t="s">
        <v>283</v>
      </c>
      <c r="D395" s="884"/>
      <c r="E395" s="884" t="s">
        <v>2718</v>
      </c>
      <c r="F395" s="884" t="s">
        <v>2408</v>
      </c>
      <c r="G395" s="884" t="s">
        <v>6949</v>
      </c>
      <c r="H395" s="886">
        <v>42430</v>
      </c>
      <c r="I395" s="887">
        <v>42475</v>
      </c>
      <c r="J395" s="958">
        <v>40</v>
      </c>
    </row>
    <row r="396" spans="1:10" s="84" customFormat="1" outlineLevel="2">
      <c r="A396" s="884" t="s">
        <v>2409</v>
      </c>
      <c r="B396" s="1050">
        <v>112120105010</v>
      </c>
      <c r="C396" s="885" t="s">
        <v>283</v>
      </c>
      <c r="D396" s="884"/>
      <c r="E396" s="884" t="s">
        <v>2718</v>
      </c>
      <c r="F396" s="884" t="s">
        <v>2408</v>
      </c>
      <c r="G396" s="884" t="s">
        <v>6949</v>
      </c>
      <c r="H396" s="886">
        <v>42430</v>
      </c>
      <c r="I396" s="887">
        <v>42475</v>
      </c>
      <c r="J396" s="958">
        <v>119.22</v>
      </c>
    </row>
    <row r="397" spans="1:10" s="84" customFormat="1" outlineLevel="2">
      <c r="A397" s="884" t="s">
        <v>2410</v>
      </c>
      <c r="B397" s="1050">
        <v>112120105010</v>
      </c>
      <c r="C397" s="885" t="s">
        <v>283</v>
      </c>
      <c r="D397" s="884"/>
      <c r="E397" s="884" t="s">
        <v>2718</v>
      </c>
      <c r="F397" s="884" t="s">
        <v>2408</v>
      </c>
      <c r="G397" s="884" t="s">
        <v>6949</v>
      </c>
      <c r="H397" s="886">
        <v>42430</v>
      </c>
      <c r="I397" s="887">
        <v>42475</v>
      </c>
      <c r="J397" s="958">
        <v>180</v>
      </c>
    </row>
    <row r="398" spans="1:10" s="84" customFormat="1" outlineLevel="2">
      <c r="A398" s="884" t="s">
        <v>2447</v>
      </c>
      <c r="B398" s="1050">
        <v>112120105010</v>
      </c>
      <c r="C398" s="885" t="s">
        <v>283</v>
      </c>
      <c r="D398" s="884"/>
      <c r="E398" s="884" t="s">
        <v>6985</v>
      </c>
      <c r="F398" s="884" t="s">
        <v>2408</v>
      </c>
      <c r="G398" s="884" t="s">
        <v>6986</v>
      </c>
      <c r="H398" s="886">
        <v>42461</v>
      </c>
      <c r="I398" s="887">
        <v>42478</v>
      </c>
      <c r="J398" s="958">
        <v>25</v>
      </c>
    </row>
    <row r="399" spans="1:10" s="84" customFormat="1" outlineLevel="2">
      <c r="A399" s="884" t="s">
        <v>2447</v>
      </c>
      <c r="B399" s="1050">
        <v>112120105010</v>
      </c>
      <c r="C399" s="885" t="s">
        <v>283</v>
      </c>
      <c r="D399" s="884"/>
      <c r="E399" s="884" t="s">
        <v>6985</v>
      </c>
      <c r="F399" s="884" t="s">
        <v>2408</v>
      </c>
      <c r="G399" s="884" t="s">
        <v>6987</v>
      </c>
      <c r="H399" s="886">
        <v>42461</v>
      </c>
      <c r="I399" s="887">
        <v>42478</v>
      </c>
      <c r="J399" s="958">
        <v>25</v>
      </c>
    </row>
    <row r="400" spans="1:10" s="84" customFormat="1" outlineLevel="2">
      <c r="A400" s="884" t="s">
        <v>2635</v>
      </c>
      <c r="B400" s="1050">
        <v>112120104000</v>
      </c>
      <c r="C400" s="885" t="s">
        <v>283</v>
      </c>
      <c r="D400" s="884"/>
      <c r="E400" s="884" t="s">
        <v>2652</v>
      </c>
      <c r="F400" s="884" t="s">
        <v>2432</v>
      </c>
      <c r="G400" s="884" t="s">
        <v>6667</v>
      </c>
      <c r="H400" s="886">
        <v>42430</v>
      </c>
      <c r="I400" s="887">
        <v>42478</v>
      </c>
      <c r="J400" s="958">
        <v>144.30000000000001</v>
      </c>
    </row>
    <row r="401" spans="1:10" s="84" customFormat="1" outlineLevel="2">
      <c r="A401" s="884" t="s">
        <v>2637</v>
      </c>
      <c r="B401" s="1050">
        <v>112120104000</v>
      </c>
      <c r="C401" s="885" t="s">
        <v>283</v>
      </c>
      <c r="D401" s="884"/>
      <c r="E401" s="884" t="s">
        <v>2652</v>
      </c>
      <c r="F401" s="884" t="s">
        <v>2432</v>
      </c>
      <c r="G401" s="884" t="s">
        <v>6667</v>
      </c>
      <c r="H401" s="886">
        <v>42430</v>
      </c>
      <c r="I401" s="887">
        <v>42478</v>
      </c>
      <c r="J401" s="958">
        <v>39.6</v>
      </c>
    </row>
    <row r="402" spans="1:10" s="84" customFormat="1" outlineLevel="2">
      <c r="A402" s="884" t="s">
        <v>2447</v>
      </c>
      <c r="B402" s="1050">
        <v>112120105010</v>
      </c>
      <c r="C402" s="885" t="s">
        <v>283</v>
      </c>
      <c r="D402" s="884"/>
      <c r="E402" s="884" t="s">
        <v>6648</v>
      </c>
      <c r="F402" s="884" t="s">
        <v>2408</v>
      </c>
      <c r="G402" s="884" t="s">
        <v>6649</v>
      </c>
      <c r="H402" s="886">
        <v>42461</v>
      </c>
      <c r="I402" s="887">
        <v>42478</v>
      </c>
      <c r="J402" s="958">
        <v>25</v>
      </c>
    </row>
    <row r="403" spans="1:10" s="84" customFormat="1" outlineLevel="2">
      <c r="A403" s="884" t="s">
        <v>2447</v>
      </c>
      <c r="B403" s="1050">
        <v>112120105010</v>
      </c>
      <c r="C403" s="885" t="s">
        <v>283</v>
      </c>
      <c r="D403" s="884"/>
      <c r="E403" s="884" t="s">
        <v>6648</v>
      </c>
      <c r="F403" s="884" t="s">
        <v>2408</v>
      </c>
      <c r="G403" s="884" t="s">
        <v>6650</v>
      </c>
      <c r="H403" s="886">
        <v>42461</v>
      </c>
      <c r="I403" s="887">
        <v>42478</v>
      </c>
      <c r="J403" s="958">
        <v>25</v>
      </c>
    </row>
    <row r="404" spans="1:10" s="84" customFormat="1" outlineLevel="2">
      <c r="A404" s="884" t="s">
        <v>2468</v>
      </c>
      <c r="B404" s="1050">
        <v>112120612060</v>
      </c>
      <c r="C404" s="885" t="s">
        <v>283</v>
      </c>
      <c r="D404" s="884"/>
      <c r="E404" s="884" t="s">
        <v>2457</v>
      </c>
      <c r="F404" s="884" t="s">
        <v>2458</v>
      </c>
      <c r="G404" s="884" t="s">
        <v>6861</v>
      </c>
      <c r="H404" s="886">
        <v>42430</v>
      </c>
      <c r="I404" s="887">
        <v>42480</v>
      </c>
      <c r="J404" s="958">
        <v>539.21</v>
      </c>
    </row>
    <row r="405" spans="1:10" s="84" customFormat="1" outlineLevel="2">
      <c r="A405" s="884" t="s">
        <v>2470</v>
      </c>
      <c r="B405" s="1050">
        <v>112120612060</v>
      </c>
      <c r="C405" s="885" t="s">
        <v>283</v>
      </c>
      <c r="D405" s="884"/>
      <c r="E405" s="884" t="s">
        <v>2457</v>
      </c>
      <c r="F405" s="884" t="s">
        <v>2458</v>
      </c>
      <c r="G405" s="884" t="s">
        <v>6861</v>
      </c>
      <c r="H405" s="886">
        <v>42430</v>
      </c>
      <c r="I405" s="887">
        <v>42480</v>
      </c>
      <c r="J405" s="958">
        <v>208.34</v>
      </c>
    </row>
    <row r="406" spans="1:10" s="84" customFormat="1" outlineLevel="2">
      <c r="A406" s="884" t="s">
        <v>6717</v>
      </c>
      <c r="B406" s="1050" t="s">
        <v>7732</v>
      </c>
      <c r="C406" s="885" t="s">
        <v>283</v>
      </c>
      <c r="D406" s="884"/>
      <c r="E406" s="884" t="s">
        <v>1909</v>
      </c>
      <c r="F406" s="884" t="s">
        <v>7574</v>
      </c>
      <c r="G406" s="884" t="s">
        <v>7575</v>
      </c>
      <c r="H406" s="886">
        <v>42401</v>
      </c>
      <c r="I406" s="887">
        <v>42480</v>
      </c>
      <c r="J406" s="958">
        <v>3210</v>
      </c>
    </row>
    <row r="407" spans="1:10" s="84" customFormat="1" outlineLevel="2">
      <c r="A407" s="884" t="s">
        <v>2635</v>
      </c>
      <c r="B407" s="1050">
        <v>112120105010</v>
      </c>
      <c r="C407" s="885" t="s">
        <v>283</v>
      </c>
      <c r="D407" s="884"/>
      <c r="E407" s="884" t="s">
        <v>6908</v>
      </c>
      <c r="F407" s="884" t="s">
        <v>2408</v>
      </c>
      <c r="G407" s="884" t="s">
        <v>6911</v>
      </c>
      <c r="H407" s="886">
        <v>42430</v>
      </c>
      <c r="I407" s="887">
        <v>42482</v>
      </c>
      <c r="J407" s="958">
        <v>480.62</v>
      </c>
    </row>
    <row r="408" spans="1:10" s="84" customFormat="1" outlineLevel="2">
      <c r="A408" s="884" t="s">
        <v>2407</v>
      </c>
      <c r="B408" s="1050">
        <v>112120105010</v>
      </c>
      <c r="C408" s="885" t="s">
        <v>283</v>
      </c>
      <c r="D408" s="884"/>
      <c r="E408" s="884" t="s">
        <v>6908</v>
      </c>
      <c r="F408" s="884" t="s">
        <v>2408</v>
      </c>
      <c r="G408" s="884" t="s">
        <v>6911</v>
      </c>
      <c r="H408" s="886">
        <v>42430</v>
      </c>
      <c r="I408" s="887">
        <v>42482</v>
      </c>
      <c r="J408" s="958">
        <v>55</v>
      </c>
    </row>
    <row r="409" spans="1:10" s="84" customFormat="1" outlineLevel="2">
      <c r="A409" s="884" t="s">
        <v>2410</v>
      </c>
      <c r="B409" s="1050">
        <v>112120105010</v>
      </c>
      <c r="C409" s="885" t="s">
        <v>283</v>
      </c>
      <c r="D409" s="884"/>
      <c r="E409" s="884" t="s">
        <v>6908</v>
      </c>
      <c r="F409" s="884" t="s">
        <v>2408</v>
      </c>
      <c r="G409" s="884" t="s">
        <v>6911</v>
      </c>
      <c r="H409" s="886">
        <v>42430</v>
      </c>
      <c r="I409" s="887">
        <v>42482</v>
      </c>
      <c r="J409" s="958">
        <v>220</v>
      </c>
    </row>
    <row r="410" spans="1:10" s="84" customFormat="1" outlineLevel="2">
      <c r="A410" s="884" t="s">
        <v>2468</v>
      </c>
      <c r="B410" s="1050">
        <v>112120612060</v>
      </c>
      <c r="C410" s="885" t="s">
        <v>283</v>
      </c>
      <c r="D410" s="884"/>
      <c r="E410" s="884" t="s">
        <v>2457</v>
      </c>
      <c r="F410" s="884" t="s">
        <v>2458</v>
      </c>
      <c r="G410" s="884" t="s">
        <v>6865</v>
      </c>
      <c r="H410" s="886">
        <v>42430</v>
      </c>
      <c r="I410" s="887">
        <v>42482</v>
      </c>
      <c r="J410" s="958">
        <v>796.57</v>
      </c>
    </row>
    <row r="411" spans="1:10" s="84" customFormat="1" outlineLevel="2">
      <c r="A411" s="884" t="s">
        <v>2410</v>
      </c>
      <c r="B411" s="1050">
        <v>112120105010</v>
      </c>
      <c r="C411" s="885" t="s">
        <v>283</v>
      </c>
      <c r="D411" s="884"/>
      <c r="E411" s="884" t="s">
        <v>2611</v>
      </c>
      <c r="F411" s="884" t="s">
        <v>2408</v>
      </c>
      <c r="G411" s="884" t="s">
        <v>6789</v>
      </c>
      <c r="H411" s="886">
        <v>42461</v>
      </c>
      <c r="I411" s="887">
        <v>42487</v>
      </c>
      <c r="J411" s="958">
        <v>50</v>
      </c>
    </row>
    <row r="412" spans="1:10" s="84" customFormat="1" outlineLevel="2">
      <c r="A412" s="884" t="s">
        <v>2635</v>
      </c>
      <c r="B412" s="1050">
        <v>112120105010</v>
      </c>
      <c r="C412" s="885" t="s">
        <v>283</v>
      </c>
      <c r="D412" s="884"/>
      <c r="E412" s="884" t="s">
        <v>2611</v>
      </c>
      <c r="F412" s="884" t="s">
        <v>2408</v>
      </c>
      <c r="G412" s="884" t="s">
        <v>6790</v>
      </c>
      <c r="H412" s="886">
        <v>42461</v>
      </c>
      <c r="I412" s="887">
        <v>42487</v>
      </c>
      <c r="J412" s="958">
        <v>80.989999999999995</v>
      </c>
    </row>
    <row r="413" spans="1:10" s="84" customFormat="1" outlineLevel="2">
      <c r="A413" s="884" t="s">
        <v>2637</v>
      </c>
      <c r="B413" s="1050">
        <v>112120105010</v>
      </c>
      <c r="C413" s="885" t="s">
        <v>283</v>
      </c>
      <c r="D413" s="884"/>
      <c r="E413" s="884" t="s">
        <v>2611</v>
      </c>
      <c r="F413" s="884" t="s">
        <v>2408</v>
      </c>
      <c r="G413" s="884" t="s">
        <v>6790</v>
      </c>
      <c r="H413" s="886">
        <v>42461</v>
      </c>
      <c r="I413" s="887">
        <v>42487</v>
      </c>
      <c r="J413" s="958">
        <v>8</v>
      </c>
    </row>
    <row r="414" spans="1:10" s="84" customFormat="1" outlineLevel="2">
      <c r="A414" s="884" t="s">
        <v>2410</v>
      </c>
      <c r="B414" s="1050">
        <v>112120105010</v>
      </c>
      <c r="C414" s="885" t="s">
        <v>283</v>
      </c>
      <c r="D414" s="884"/>
      <c r="E414" s="884" t="s">
        <v>2611</v>
      </c>
      <c r="F414" s="884" t="s">
        <v>2408</v>
      </c>
      <c r="G414" s="884" t="s">
        <v>6790</v>
      </c>
      <c r="H414" s="886">
        <v>42461</v>
      </c>
      <c r="I414" s="887">
        <v>42487</v>
      </c>
      <c r="J414" s="958">
        <v>25</v>
      </c>
    </row>
    <row r="415" spans="1:10" s="84" customFormat="1" outlineLevel="2">
      <c r="A415" s="884" t="s">
        <v>2410</v>
      </c>
      <c r="B415" s="1050">
        <v>112120105010</v>
      </c>
      <c r="C415" s="885" t="s">
        <v>283</v>
      </c>
      <c r="D415" s="884"/>
      <c r="E415" s="884" t="s">
        <v>2611</v>
      </c>
      <c r="F415" s="884" t="s">
        <v>2408</v>
      </c>
      <c r="G415" s="884" t="s">
        <v>6791</v>
      </c>
      <c r="H415" s="886">
        <v>42461</v>
      </c>
      <c r="I415" s="887">
        <v>42487</v>
      </c>
      <c r="J415" s="958">
        <v>25</v>
      </c>
    </row>
    <row r="416" spans="1:10" s="84" customFormat="1" outlineLevel="2">
      <c r="A416" s="884" t="s">
        <v>2447</v>
      </c>
      <c r="B416" s="1050">
        <v>112120105010</v>
      </c>
      <c r="C416" s="885" t="s">
        <v>283</v>
      </c>
      <c r="D416" s="884"/>
      <c r="E416" s="884" t="s">
        <v>2628</v>
      </c>
      <c r="F416" s="884" t="s">
        <v>2408</v>
      </c>
      <c r="G416" s="884" t="s">
        <v>6647</v>
      </c>
      <c r="H416" s="886">
        <v>42461</v>
      </c>
      <c r="I416" s="887">
        <v>42487</v>
      </c>
      <c r="J416" s="958">
        <v>60</v>
      </c>
    </row>
    <row r="417" spans="1:10" s="84" customFormat="1" outlineLevel="2">
      <c r="A417" s="884" t="s">
        <v>2646</v>
      </c>
      <c r="B417" s="1050">
        <v>112120502010</v>
      </c>
      <c r="C417" s="885" t="s">
        <v>283</v>
      </c>
      <c r="D417" s="884"/>
      <c r="E417" s="884" t="s">
        <v>2647</v>
      </c>
      <c r="F417" s="884" t="s">
        <v>2648</v>
      </c>
      <c r="G417" s="884" t="s">
        <v>6639</v>
      </c>
      <c r="H417" s="886">
        <v>42430</v>
      </c>
      <c r="I417" s="887">
        <v>42489</v>
      </c>
      <c r="J417" s="958">
        <v>97.26</v>
      </c>
    </row>
    <row r="418" spans="1:10" s="84" customFormat="1" outlineLevel="2">
      <c r="A418" s="884" t="s">
        <v>2646</v>
      </c>
      <c r="B418" s="1050">
        <v>112120502010</v>
      </c>
      <c r="C418" s="885" t="s">
        <v>283</v>
      </c>
      <c r="D418" s="884"/>
      <c r="E418" s="884" t="s">
        <v>2647</v>
      </c>
      <c r="F418" s="884" t="s">
        <v>2648</v>
      </c>
      <c r="G418" s="884" t="s">
        <v>6640</v>
      </c>
      <c r="H418" s="886">
        <v>42430</v>
      </c>
      <c r="I418" s="887">
        <v>42489</v>
      </c>
      <c r="J418" s="958">
        <v>45.23</v>
      </c>
    </row>
    <row r="419" spans="1:10" s="84" customFormat="1" outlineLevel="2">
      <c r="A419" s="884" t="s">
        <v>2646</v>
      </c>
      <c r="B419" s="1050">
        <v>112120502010</v>
      </c>
      <c r="C419" s="885" t="s">
        <v>283</v>
      </c>
      <c r="D419" s="884"/>
      <c r="E419" s="884" t="s">
        <v>2647</v>
      </c>
      <c r="F419" s="884" t="s">
        <v>2648</v>
      </c>
      <c r="G419" s="884" t="s">
        <v>6641</v>
      </c>
      <c r="H419" s="886">
        <v>42430</v>
      </c>
      <c r="I419" s="887">
        <v>42489</v>
      </c>
      <c r="J419" s="958">
        <v>90.47</v>
      </c>
    </row>
    <row r="420" spans="1:10" s="84" customFormat="1" outlineLevel="2">
      <c r="A420" s="884" t="s">
        <v>2646</v>
      </c>
      <c r="B420" s="1050">
        <v>112120502010</v>
      </c>
      <c r="C420" s="885" t="s">
        <v>283</v>
      </c>
      <c r="D420" s="884"/>
      <c r="E420" s="884" t="s">
        <v>2647</v>
      </c>
      <c r="F420" s="884" t="s">
        <v>429</v>
      </c>
      <c r="G420" s="884" t="s">
        <v>6642</v>
      </c>
      <c r="H420" s="886">
        <v>42430</v>
      </c>
      <c r="I420" s="887">
        <v>42489</v>
      </c>
      <c r="J420" s="958">
        <v>26854.43</v>
      </c>
    </row>
    <row r="421" spans="1:10" s="84" customFormat="1" outlineLevel="2">
      <c r="A421" s="884" t="s">
        <v>2646</v>
      </c>
      <c r="B421" s="1050">
        <v>112120502010</v>
      </c>
      <c r="C421" s="885" t="s">
        <v>283</v>
      </c>
      <c r="D421" s="884"/>
      <c r="E421" s="884" t="s">
        <v>2647</v>
      </c>
      <c r="F421" s="884" t="s">
        <v>2648</v>
      </c>
      <c r="G421" s="884" t="s">
        <v>6643</v>
      </c>
      <c r="H421" s="886">
        <v>42430</v>
      </c>
      <c r="I421" s="887">
        <v>42489</v>
      </c>
      <c r="J421" s="958">
        <v>226.52</v>
      </c>
    </row>
    <row r="422" spans="1:10" s="84" customFormat="1" outlineLevel="2">
      <c r="A422" s="884" t="s">
        <v>2646</v>
      </c>
      <c r="B422" s="1050">
        <v>112120502010</v>
      </c>
      <c r="C422" s="885" t="s">
        <v>283</v>
      </c>
      <c r="D422" s="884"/>
      <c r="E422" s="884" t="s">
        <v>2647</v>
      </c>
      <c r="F422" s="884" t="s">
        <v>2648</v>
      </c>
      <c r="G422" s="884" t="s">
        <v>6644</v>
      </c>
      <c r="H422" s="886">
        <v>42430</v>
      </c>
      <c r="I422" s="887">
        <v>42489</v>
      </c>
      <c r="J422" s="958">
        <v>0.27</v>
      </c>
    </row>
    <row r="423" spans="1:10" s="84" customFormat="1" outlineLevel="2">
      <c r="A423" s="884" t="s">
        <v>2646</v>
      </c>
      <c r="B423" s="1050">
        <v>112120502010</v>
      </c>
      <c r="C423" s="885" t="s">
        <v>283</v>
      </c>
      <c r="D423" s="884"/>
      <c r="E423" s="884" t="s">
        <v>2647</v>
      </c>
      <c r="F423" s="884" t="s">
        <v>2648</v>
      </c>
      <c r="G423" s="884" t="s">
        <v>6645</v>
      </c>
      <c r="H423" s="886">
        <v>42430</v>
      </c>
      <c r="I423" s="887">
        <v>42489</v>
      </c>
      <c r="J423" s="958">
        <v>45.61</v>
      </c>
    </row>
    <row r="424" spans="1:10" s="84" customFormat="1" outlineLevel="2">
      <c r="A424" s="884" t="s">
        <v>2646</v>
      </c>
      <c r="B424" s="1050">
        <v>112120502010</v>
      </c>
      <c r="C424" s="885" t="s">
        <v>283</v>
      </c>
      <c r="D424" s="884"/>
      <c r="E424" s="884" t="s">
        <v>2647</v>
      </c>
      <c r="F424" s="884" t="s">
        <v>2648</v>
      </c>
      <c r="G424" s="884" t="s">
        <v>6646</v>
      </c>
      <c r="H424" s="886">
        <v>42430</v>
      </c>
      <c r="I424" s="887">
        <v>42489</v>
      </c>
      <c r="J424" s="958">
        <v>3259.61</v>
      </c>
    </row>
    <row r="425" spans="1:10" s="84" customFormat="1" outlineLevel="2">
      <c r="A425" s="884" t="s">
        <v>284</v>
      </c>
      <c r="B425" s="1050">
        <v>112120801030</v>
      </c>
      <c r="C425" s="885" t="s">
        <v>283</v>
      </c>
      <c r="D425" s="884"/>
      <c r="E425" s="884" t="s">
        <v>120</v>
      </c>
      <c r="F425" s="884" t="s">
        <v>121</v>
      </c>
      <c r="G425" s="884" t="s">
        <v>122</v>
      </c>
      <c r="H425" s="886">
        <v>42461</v>
      </c>
      <c r="I425" s="887">
        <v>42489</v>
      </c>
      <c r="J425" s="958">
        <v>709.59</v>
      </c>
    </row>
    <row r="426" spans="1:10" s="84" customFormat="1" outlineLevel="1">
      <c r="A426" s="884"/>
      <c r="B426" s="1050"/>
      <c r="C426" s="908" t="s">
        <v>283</v>
      </c>
      <c r="D426" s="928" t="str">
        <f>VLOOKUP(C426,$C$1102:$E$1189,3,FALSE)</f>
        <v>TOTAL POUPATEMPO SUPERINTENDENCIA</v>
      </c>
      <c r="E426" s="928"/>
      <c r="F426" s="928"/>
      <c r="G426" s="928"/>
      <c r="H426" s="911"/>
      <c r="I426" s="912"/>
      <c r="J426" s="966">
        <f>SUBTOTAL(9,J316:J425)</f>
        <v>278837.65000000008</v>
      </c>
    </row>
    <row r="427" spans="1:10" s="84" customFormat="1" outlineLevel="2">
      <c r="A427" s="884" t="s">
        <v>2603</v>
      </c>
      <c r="B427" s="1050">
        <v>112120612010</v>
      </c>
      <c r="C427" s="885" t="s">
        <v>285</v>
      </c>
      <c r="D427" s="884"/>
      <c r="E427" s="884" t="s">
        <v>420</v>
      </c>
      <c r="F427" s="884" t="s">
        <v>435</v>
      </c>
      <c r="G427" s="884" t="s">
        <v>6744</v>
      </c>
      <c r="H427" s="886">
        <v>42430</v>
      </c>
      <c r="I427" s="887">
        <v>42466</v>
      </c>
      <c r="J427" s="958">
        <v>26.6</v>
      </c>
    </row>
    <row r="428" spans="1:10" s="84" customFormat="1" outlineLevel="2">
      <c r="A428" s="884" t="s">
        <v>2308</v>
      </c>
      <c r="B428" s="1050">
        <v>112120612010</v>
      </c>
      <c r="C428" s="885" t="s">
        <v>285</v>
      </c>
      <c r="D428" s="884"/>
      <c r="E428" s="884" t="s">
        <v>420</v>
      </c>
      <c r="F428" s="884" t="s">
        <v>435</v>
      </c>
      <c r="G428" s="884" t="s">
        <v>6744</v>
      </c>
      <c r="H428" s="886">
        <v>42430</v>
      </c>
      <c r="I428" s="887">
        <v>42466</v>
      </c>
      <c r="J428" s="958">
        <v>50.6</v>
      </c>
    </row>
    <row r="429" spans="1:10" s="84" customFormat="1" outlineLevel="2">
      <c r="A429" s="884" t="s">
        <v>2674</v>
      </c>
      <c r="B429" s="1050">
        <v>112120612010</v>
      </c>
      <c r="C429" s="885" t="s">
        <v>285</v>
      </c>
      <c r="D429" s="884"/>
      <c r="E429" s="884" t="s">
        <v>420</v>
      </c>
      <c r="F429" s="884" t="s">
        <v>435</v>
      </c>
      <c r="G429" s="884" t="s">
        <v>6744</v>
      </c>
      <c r="H429" s="886">
        <v>42430</v>
      </c>
      <c r="I429" s="887">
        <v>42466</v>
      </c>
      <c r="J429" s="958">
        <v>60</v>
      </c>
    </row>
    <row r="430" spans="1:10" s="84" customFormat="1" outlineLevel="2">
      <c r="A430" s="884" t="s">
        <v>2465</v>
      </c>
      <c r="B430" s="1050">
        <v>112120612060</v>
      </c>
      <c r="C430" s="885" t="s">
        <v>285</v>
      </c>
      <c r="D430" s="884"/>
      <c r="E430" s="884" t="s">
        <v>2457</v>
      </c>
      <c r="F430" s="884" t="s">
        <v>2458</v>
      </c>
      <c r="G430" s="884" t="s">
        <v>6840</v>
      </c>
      <c r="H430" s="886">
        <v>42430</v>
      </c>
      <c r="I430" s="887">
        <v>42467</v>
      </c>
      <c r="J430" s="958">
        <v>222.64</v>
      </c>
    </row>
    <row r="431" spans="1:10" s="84" customFormat="1" outlineLevel="2">
      <c r="A431" s="884" t="s">
        <v>2392</v>
      </c>
      <c r="B431" s="1050">
        <v>112120611040</v>
      </c>
      <c r="C431" s="885" t="s">
        <v>285</v>
      </c>
      <c r="D431" s="884"/>
      <c r="E431" s="884" t="s">
        <v>407</v>
      </c>
      <c r="F431" s="884" t="s">
        <v>2418</v>
      </c>
      <c r="G431" s="884" t="s">
        <v>6827</v>
      </c>
      <c r="H431" s="886">
        <v>42401</v>
      </c>
      <c r="I431" s="887">
        <v>42467</v>
      </c>
      <c r="J431" s="958">
        <v>1502.95</v>
      </c>
    </row>
    <row r="432" spans="1:10" s="84" customFormat="1" outlineLevel="2">
      <c r="A432" s="884" t="s">
        <v>2392</v>
      </c>
      <c r="B432" s="1050" t="s">
        <v>7732</v>
      </c>
      <c r="C432" s="885" t="s">
        <v>285</v>
      </c>
      <c r="D432" s="884"/>
      <c r="E432" s="884" t="s">
        <v>2282</v>
      </c>
      <c r="F432" s="884" t="s">
        <v>7198</v>
      </c>
      <c r="G432" s="884" t="s">
        <v>7199</v>
      </c>
      <c r="H432" s="886">
        <v>42401</v>
      </c>
      <c r="I432" s="887">
        <v>42471</v>
      </c>
      <c r="J432" s="958">
        <v>56.16</v>
      </c>
    </row>
    <row r="433" spans="1:10" s="84" customFormat="1" outlineLevel="2">
      <c r="A433" s="884" t="s">
        <v>2392</v>
      </c>
      <c r="B433" s="1050" t="s">
        <v>7732</v>
      </c>
      <c r="C433" s="885" t="s">
        <v>285</v>
      </c>
      <c r="D433" s="884"/>
      <c r="E433" s="884" t="s">
        <v>2282</v>
      </c>
      <c r="F433" s="884" t="s">
        <v>7200</v>
      </c>
      <c r="G433" s="884" t="s">
        <v>7201</v>
      </c>
      <c r="H433" s="886">
        <v>42401</v>
      </c>
      <c r="I433" s="887">
        <v>42471</v>
      </c>
      <c r="J433" s="958">
        <v>54.69</v>
      </c>
    </row>
    <row r="434" spans="1:10" s="84" customFormat="1" outlineLevel="2">
      <c r="A434" s="884" t="s">
        <v>2392</v>
      </c>
      <c r="B434" s="1050" t="s">
        <v>7732</v>
      </c>
      <c r="C434" s="885" t="s">
        <v>285</v>
      </c>
      <c r="D434" s="884"/>
      <c r="E434" s="884" t="s">
        <v>2282</v>
      </c>
      <c r="F434" s="884" t="s">
        <v>7202</v>
      </c>
      <c r="G434" s="884" t="s">
        <v>7203</v>
      </c>
      <c r="H434" s="886">
        <v>42401</v>
      </c>
      <c r="I434" s="887">
        <v>42471</v>
      </c>
      <c r="J434" s="958">
        <v>36.950000000000003</v>
      </c>
    </row>
    <row r="435" spans="1:10" s="84" customFormat="1" outlineLevel="2">
      <c r="A435" s="884" t="s">
        <v>2465</v>
      </c>
      <c r="B435" s="1050">
        <v>112120612060</v>
      </c>
      <c r="C435" s="885" t="s">
        <v>285</v>
      </c>
      <c r="D435" s="884"/>
      <c r="E435" s="884" t="s">
        <v>2457</v>
      </c>
      <c r="F435" s="884" t="s">
        <v>2458</v>
      </c>
      <c r="G435" s="884" t="s">
        <v>6853</v>
      </c>
      <c r="H435" s="886">
        <v>42430</v>
      </c>
      <c r="I435" s="887">
        <v>42474</v>
      </c>
      <c r="J435" s="958">
        <v>61.27</v>
      </c>
    </row>
    <row r="436" spans="1:10" s="84" customFormat="1" outlineLevel="2">
      <c r="A436" s="884" t="s">
        <v>2392</v>
      </c>
      <c r="B436" s="1050">
        <v>112120611040</v>
      </c>
      <c r="C436" s="885" t="s">
        <v>285</v>
      </c>
      <c r="D436" s="884"/>
      <c r="E436" s="884" t="s">
        <v>409</v>
      </c>
      <c r="F436" s="884" t="s">
        <v>2418</v>
      </c>
      <c r="G436" s="884" t="s">
        <v>6778</v>
      </c>
      <c r="H436" s="886">
        <v>42401</v>
      </c>
      <c r="I436" s="887">
        <v>42475</v>
      </c>
      <c r="J436" s="958">
        <v>2224.36</v>
      </c>
    </row>
    <row r="437" spans="1:10" s="84" customFormat="1" outlineLevel="2">
      <c r="A437" s="884" t="s">
        <v>2392</v>
      </c>
      <c r="B437" s="1050">
        <v>112120611040</v>
      </c>
      <c r="C437" s="885" t="s">
        <v>285</v>
      </c>
      <c r="D437" s="884"/>
      <c r="E437" s="884" t="s">
        <v>408</v>
      </c>
      <c r="F437" s="884" t="s">
        <v>2418</v>
      </c>
      <c r="G437" s="884" t="s">
        <v>6887</v>
      </c>
      <c r="H437" s="886">
        <v>42370</v>
      </c>
      <c r="I437" s="887">
        <v>42478</v>
      </c>
      <c r="J437" s="958">
        <v>2284.5</v>
      </c>
    </row>
    <row r="438" spans="1:10" s="84" customFormat="1" outlineLevel="2">
      <c r="A438" s="884" t="s">
        <v>2392</v>
      </c>
      <c r="B438" s="1050" t="s">
        <v>7732</v>
      </c>
      <c r="C438" s="885" t="s">
        <v>285</v>
      </c>
      <c r="D438" s="884"/>
      <c r="E438" s="884" t="s">
        <v>2336</v>
      </c>
      <c r="F438" s="884" t="s">
        <v>7110</v>
      </c>
      <c r="G438" s="884" t="s">
        <v>7111</v>
      </c>
      <c r="H438" s="886">
        <v>42401</v>
      </c>
      <c r="I438" s="887">
        <v>42480</v>
      </c>
      <c r="J438" s="958">
        <v>308.89999999999998</v>
      </c>
    </row>
    <row r="439" spans="1:10" s="84" customFormat="1" outlineLevel="2">
      <c r="A439" s="884" t="s">
        <v>2392</v>
      </c>
      <c r="B439" s="1050" t="s">
        <v>7732</v>
      </c>
      <c r="C439" s="885" t="s">
        <v>285</v>
      </c>
      <c r="D439" s="884"/>
      <c r="E439" s="884" t="s">
        <v>2336</v>
      </c>
      <c r="F439" s="884" t="s">
        <v>7114</v>
      </c>
      <c r="G439" s="884" t="s">
        <v>7115</v>
      </c>
      <c r="H439" s="886">
        <v>42401</v>
      </c>
      <c r="I439" s="887">
        <v>42480</v>
      </c>
      <c r="J439" s="958">
        <v>203.23</v>
      </c>
    </row>
    <row r="440" spans="1:10" s="84" customFormat="1" outlineLevel="2">
      <c r="A440" s="884" t="s">
        <v>2392</v>
      </c>
      <c r="B440" s="1050" t="s">
        <v>7732</v>
      </c>
      <c r="C440" s="885" t="s">
        <v>285</v>
      </c>
      <c r="D440" s="884"/>
      <c r="E440" s="884" t="s">
        <v>2336</v>
      </c>
      <c r="F440" s="884" t="s">
        <v>7112</v>
      </c>
      <c r="G440" s="884" t="s">
        <v>7113</v>
      </c>
      <c r="H440" s="886">
        <v>42401</v>
      </c>
      <c r="I440" s="887">
        <v>42480</v>
      </c>
      <c r="J440" s="958">
        <v>300.77999999999997</v>
      </c>
    </row>
    <row r="441" spans="1:10" s="84" customFormat="1" outlineLevel="2">
      <c r="A441" s="884" t="s">
        <v>2603</v>
      </c>
      <c r="B441" s="1050">
        <v>112120612010</v>
      </c>
      <c r="C441" s="885" t="s">
        <v>285</v>
      </c>
      <c r="D441" s="884"/>
      <c r="E441" s="884" t="s">
        <v>420</v>
      </c>
      <c r="F441" s="884" t="s">
        <v>435</v>
      </c>
      <c r="G441" s="884" t="s">
        <v>6745</v>
      </c>
      <c r="H441" s="886">
        <v>42430</v>
      </c>
      <c r="I441" s="887">
        <v>42480</v>
      </c>
      <c r="J441" s="958">
        <v>7.6</v>
      </c>
    </row>
    <row r="442" spans="1:10" s="84" customFormat="1" outlineLevel="2">
      <c r="A442" s="884" t="s">
        <v>2308</v>
      </c>
      <c r="B442" s="1050">
        <v>112120612010</v>
      </c>
      <c r="C442" s="885" t="s">
        <v>285</v>
      </c>
      <c r="D442" s="884"/>
      <c r="E442" s="884" t="s">
        <v>420</v>
      </c>
      <c r="F442" s="884" t="s">
        <v>435</v>
      </c>
      <c r="G442" s="884" t="s">
        <v>6745</v>
      </c>
      <c r="H442" s="886">
        <v>42430</v>
      </c>
      <c r="I442" s="887">
        <v>42480</v>
      </c>
      <c r="J442" s="958">
        <v>23.6</v>
      </c>
    </row>
    <row r="443" spans="1:10" s="84" customFormat="1" outlineLevel="2">
      <c r="A443" s="884" t="s">
        <v>2444</v>
      </c>
      <c r="B443" s="1050">
        <v>112120612010</v>
      </c>
      <c r="C443" s="885" t="s">
        <v>285</v>
      </c>
      <c r="D443" s="884"/>
      <c r="E443" s="884" t="s">
        <v>420</v>
      </c>
      <c r="F443" s="884" t="s">
        <v>435</v>
      </c>
      <c r="G443" s="884" t="s">
        <v>6745</v>
      </c>
      <c r="H443" s="886">
        <v>42430</v>
      </c>
      <c r="I443" s="887">
        <v>42480</v>
      </c>
      <c r="J443" s="958">
        <v>81.95</v>
      </c>
    </row>
    <row r="444" spans="1:10" s="84" customFormat="1" outlineLevel="2">
      <c r="A444" s="884" t="s">
        <v>6746</v>
      </c>
      <c r="B444" s="1050">
        <v>112120612010</v>
      </c>
      <c r="C444" s="885" t="s">
        <v>285</v>
      </c>
      <c r="D444" s="884"/>
      <c r="E444" s="884" t="s">
        <v>420</v>
      </c>
      <c r="F444" s="884" t="s">
        <v>435</v>
      </c>
      <c r="G444" s="884" t="s">
        <v>6745</v>
      </c>
      <c r="H444" s="886">
        <v>42430</v>
      </c>
      <c r="I444" s="887">
        <v>42480</v>
      </c>
      <c r="J444" s="958">
        <v>67.5</v>
      </c>
    </row>
    <row r="445" spans="1:10" s="84" customFormat="1" outlineLevel="2">
      <c r="A445" s="884" t="s">
        <v>6747</v>
      </c>
      <c r="B445" s="1050">
        <v>112120801030</v>
      </c>
      <c r="C445" s="885" t="s">
        <v>285</v>
      </c>
      <c r="D445" s="884"/>
      <c r="E445" s="884" t="s">
        <v>420</v>
      </c>
      <c r="F445" s="884" t="s">
        <v>121</v>
      </c>
      <c r="G445" s="884" t="s">
        <v>6748</v>
      </c>
      <c r="H445" s="886">
        <v>42430</v>
      </c>
      <c r="I445" s="887">
        <v>42480</v>
      </c>
      <c r="J445" s="958">
        <v>10.78</v>
      </c>
    </row>
    <row r="446" spans="1:10" s="84" customFormat="1" outlineLevel="2">
      <c r="A446" s="884" t="s">
        <v>2392</v>
      </c>
      <c r="B446" s="1050" t="s">
        <v>7732</v>
      </c>
      <c r="C446" s="885" t="s">
        <v>285</v>
      </c>
      <c r="D446" s="884"/>
      <c r="E446" s="884" t="s">
        <v>1909</v>
      </c>
      <c r="F446" s="884" t="s">
        <v>7424</v>
      </c>
      <c r="G446" s="884" t="s">
        <v>7425</v>
      </c>
      <c r="H446" s="886">
        <v>42401</v>
      </c>
      <c r="I446" s="887">
        <v>42480</v>
      </c>
      <c r="J446" s="958">
        <v>28.08</v>
      </c>
    </row>
    <row r="447" spans="1:10" s="84" customFormat="1" outlineLevel="2">
      <c r="A447" s="884" t="s">
        <v>2392</v>
      </c>
      <c r="B447" s="1050" t="s">
        <v>7732</v>
      </c>
      <c r="C447" s="885" t="s">
        <v>285</v>
      </c>
      <c r="D447" s="884"/>
      <c r="E447" s="884" t="s">
        <v>1909</v>
      </c>
      <c r="F447" s="884" t="s">
        <v>7490</v>
      </c>
      <c r="G447" s="884" t="s">
        <v>7491</v>
      </c>
      <c r="H447" s="886">
        <v>42401</v>
      </c>
      <c r="I447" s="887">
        <v>42480</v>
      </c>
      <c r="J447" s="958">
        <v>18.48</v>
      </c>
    </row>
    <row r="448" spans="1:10" s="84" customFormat="1" outlineLevel="2">
      <c r="A448" s="884" t="s">
        <v>2392</v>
      </c>
      <c r="B448" s="1050" t="s">
        <v>7732</v>
      </c>
      <c r="C448" s="885" t="s">
        <v>285</v>
      </c>
      <c r="D448" s="884"/>
      <c r="E448" s="884" t="s">
        <v>1909</v>
      </c>
      <c r="F448" s="884" t="s">
        <v>7550</v>
      </c>
      <c r="G448" s="884" t="s">
        <v>7551</v>
      </c>
      <c r="H448" s="886">
        <v>42401</v>
      </c>
      <c r="I448" s="887">
        <v>42480</v>
      </c>
      <c r="J448" s="958">
        <v>27.34</v>
      </c>
    </row>
    <row r="449" spans="1:10" s="84" customFormat="1" outlineLevel="2">
      <c r="A449" s="884" t="s">
        <v>2501</v>
      </c>
      <c r="B449" s="1050" t="s">
        <v>7732</v>
      </c>
      <c r="C449" s="885" t="s">
        <v>285</v>
      </c>
      <c r="D449" s="884"/>
      <c r="E449" s="884" t="s">
        <v>1909</v>
      </c>
      <c r="F449" s="884" t="s">
        <v>7584</v>
      </c>
      <c r="G449" s="884" t="s">
        <v>7585</v>
      </c>
      <c r="H449" s="886">
        <v>42370</v>
      </c>
      <c r="I449" s="887">
        <v>42480</v>
      </c>
      <c r="J449" s="958">
        <v>14.88</v>
      </c>
    </row>
    <row r="450" spans="1:10" s="84" customFormat="1" outlineLevel="2">
      <c r="A450" s="884" t="s">
        <v>2501</v>
      </c>
      <c r="B450" s="1050" t="s">
        <v>7732</v>
      </c>
      <c r="C450" s="885" t="s">
        <v>285</v>
      </c>
      <c r="D450" s="884"/>
      <c r="E450" s="884" t="s">
        <v>1909</v>
      </c>
      <c r="F450" s="884" t="s">
        <v>7586</v>
      </c>
      <c r="G450" s="884" t="s">
        <v>7587</v>
      </c>
      <c r="H450" s="886">
        <v>42401</v>
      </c>
      <c r="I450" s="887">
        <v>42480</v>
      </c>
      <c r="J450" s="958">
        <v>14.88</v>
      </c>
    </row>
    <row r="451" spans="1:10" s="84" customFormat="1" outlineLevel="2">
      <c r="A451" s="884" t="s">
        <v>2392</v>
      </c>
      <c r="B451" s="1050" t="s">
        <v>7732</v>
      </c>
      <c r="C451" s="885" t="s">
        <v>285</v>
      </c>
      <c r="D451" s="884"/>
      <c r="E451" s="884" t="s">
        <v>1909</v>
      </c>
      <c r="F451" s="884" t="s">
        <v>7638</v>
      </c>
      <c r="G451" s="884" t="s">
        <v>7639</v>
      </c>
      <c r="H451" s="886">
        <v>42370</v>
      </c>
      <c r="I451" s="887">
        <v>42480</v>
      </c>
      <c r="J451" s="958">
        <v>85.91</v>
      </c>
    </row>
    <row r="452" spans="1:10" s="84" customFormat="1" outlineLevel="2">
      <c r="A452" s="884" t="s">
        <v>2392</v>
      </c>
      <c r="B452" s="1050" t="s">
        <v>7732</v>
      </c>
      <c r="C452" s="885" t="s">
        <v>285</v>
      </c>
      <c r="D452" s="884"/>
      <c r="E452" s="884" t="s">
        <v>1909</v>
      </c>
      <c r="F452" s="884" t="s">
        <v>7692</v>
      </c>
      <c r="G452" s="884" t="s">
        <v>7693</v>
      </c>
      <c r="H452" s="886">
        <v>42370</v>
      </c>
      <c r="I452" s="887">
        <v>42480</v>
      </c>
      <c r="J452" s="958">
        <v>127.15</v>
      </c>
    </row>
    <row r="453" spans="1:10" s="84" customFormat="1" outlineLevel="2">
      <c r="A453" s="884" t="s">
        <v>2443</v>
      </c>
      <c r="B453" s="1050">
        <v>112120612110</v>
      </c>
      <c r="C453" s="885" t="s">
        <v>285</v>
      </c>
      <c r="D453" s="884"/>
      <c r="E453" s="884" t="s">
        <v>420</v>
      </c>
      <c r="F453" s="884" t="s">
        <v>1691</v>
      </c>
      <c r="G453" s="884" t="s">
        <v>6749</v>
      </c>
      <c r="H453" s="886">
        <v>42461</v>
      </c>
      <c r="I453" s="887">
        <v>42486</v>
      </c>
      <c r="J453" s="958">
        <v>12</v>
      </c>
    </row>
    <row r="454" spans="1:10" s="84" customFormat="1" outlineLevel="2">
      <c r="A454" s="884" t="s">
        <v>2603</v>
      </c>
      <c r="B454" s="1050">
        <v>112120612110</v>
      </c>
      <c r="C454" s="885" t="s">
        <v>285</v>
      </c>
      <c r="D454" s="884"/>
      <c r="E454" s="884" t="s">
        <v>420</v>
      </c>
      <c r="F454" s="884" t="s">
        <v>1691</v>
      </c>
      <c r="G454" s="884" t="s">
        <v>6749</v>
      </c>
      <c r="H454" s="886">
        <v>42461</v>
      </c>
      <c r="I454" s="887">
        <v>42486</v>
      </c>
      <c r="J454" s="958">
        <v>30.4</v>
      </c>
    </row>
    <row r="455" spans="1:10" s="84" customFormat="1" outlineLevel="2">
      <c r="A455" s="884" t="s">
        <v>2309</v>
      </c>
      <c r="B455" s="1050">
        <v>112120612110</v>
      </c>
      <c r="C455" s="885" t="s">
        <v>285</v>
      </c>
      <c r="D455" s="884"/>
      <c r="E455" s="884" t="s">
        <v>420</v>
      </c>
      <c r="F455" s="884" t="s">
        <v>1691</v>
      </c>
      <c r="G455" s="884" t="s">
        <v>6749</v>
      </c>
      <c r="H455" s="886">
        <v>42461</v>
      </c>
      <c r="I455" s="887">
        <v>42486</v>
      </c>
      <c r="J455" s="958">
        <v>64</v>
      </c>
    </row>
    <row r="456" spans="1:10" s="84" customFormat="1" outlineLevel="2">
      <c r="A456" s="884" t="s">
        <v>2674</v>
      </c>
      <c r="B456" s="1050">
        <v>112120612030</v>
      </c>
      <c r="C456" s="885" t="s">
        <v>285</v>
      </c>
      <c r="D456" s="884"/>
      <c r="E456" s="884" t="s">
        <v>6742</v>
      </c>
      <c r="F456" s="884" t="s">
        <v>2280</v>
      </c>
      <c r="G456" s="884" t="s">
        <v>6743</v>
      </c>
      <c r="H456" s="886">
        <v>42430</v>
      </c>
      <c r="I456" s="887">
        <v>42489</v>
      </c>
      <c r="J456" s="958">
        <v>465.8</v>
      </c>
    </row>
    <row r="457" spans="1:10" s="84" customFormat="1" outlineLevel="2">
      <c r="A457" s="884" t="s">
        <v>2308</v>
      </c>
      <c r="B457" s="1050">
        <v>112120612010</v>
      </c>
      <c r="C457" s="885" t="s">
        <v>285</v>
      </c>
      <c r="D457" s="884"/>
      <c r="E457" s="884" t="s">
        <v>6740</v>
      </c>
      <c r="F457" s="884" t="s">
        <v>435</v>
      </c>
      <c r="G457" s="884" t="s">
        <v>5676</v>
      </c>
      <c r="H457" s="886">
        <v>42430</v>
      </c>
      <c r="I457" s="887">
        <v>42489</v>
      </c>
      <c r="J457" s="958">
        <v>1780</v>
      </c>
    </row>
    <row r="458" spans="1:10" s="84" customFormat="1" outlineLevel="2">
      <c r="A458" s="884" t="s">
        <v>6736</v>
      </c>
      <c r="B458" s="1050">
        <v>112120106000</v>
      </c>
      <c r="C458" s="885" t="s">
        <v>285</v>
      </c>
      <c r="D458" s="884"/>
      <c r="E458" s="884" t="s">
        <v>424</v>
      </c>
      <c r="F458" s="884" t="s">
        <v>422</v>
      </c>
      <c r="G458" s="884" t="s">
        <v>6737</v>
      </c>
      <c r="H458" s="886">
        <v>42430</v>
      </c>
      <c r="I458" s="887">
        <v>42489</v>
      </c>
      <c r="J458" s="958">
        <v>775</v>
      </c>
    </row>
    <row r="459" spans="1:10" s="84" customFormat="1" outlineLevel="2">
      <c r="A459" s="884" t="s">
        <v>6736</v>
      </c>
      <c r="B459" s="1050">
        <v>112120106000</v>
      </c>
      <c r="C459" s="885" t="s">
        <v>285</v>
      </c>
      <c r="D459" s="884"/>
      <c r="E459" s="884" t="s">
        <v>424</v>
      </c>
      <c r="F459" s="884" t="s">
        <v>422</v>
      </c>
      <c r="G459" s="884" t="s">
        <v>6738</v>
      </c>
      <c r="H459" s="886">
        <v>42430</v>
      </c>
      <c r="I459" s="887">
        <v>42489</v>
      </c>
      <c r="J459" s="958">
        <v>358.5</v>
      </c>
    </row>
    <row r="460" spans="1:10" s="84" customFormat="1" outlineLevel="2">
      <c r="A460" s="884" t="s">
        <v>6736</v>
      </c>
      <c r="B460" s="1050">
        <v>112120106000</v>
      </c>
      <c r="C460" s="885" t="s">
        <v>285</v>
      </c>
      <c r="D460" s="884"/>
      <c r="E460" s="884" t="s">
        <v>424</v>
      </c>
      <c r="F460" s="884" t="s">
        <v>422</v>
      </c>
      <c r="G460" s="884" t="s">
        <v>6739</v>
      </c>
      <c r="H460" s="886">
        <v>42430</v>
      </c>
      <c r="I460" s="887">
        <v>42489</v>
      </c>
      <c r="J460" s="958">
        <v>1494.27</v>
      </c>
    </row>
    <row r="461" spans="1:10" s="84" customFormat="1" outlineLevel="2">
      <c r="A461" s="884" t="s">
        <v>2308</v>
      </c>
      <c r="B461" s="1050" t="s">
        <v>6991</v>
      </c>
      <c r="C461" s="885" t="s">
        <v>285</v>
      </c>
      <c r="D461" s="884"/>
      <c r="E461" s="884" t="s">
        <v>2306</v>
      </c>
      <c r="F461" s="884" t="s">
        <v>2307</v>
      </c>
      <c r="G461" s="884">
        <v>1282728</v>
      </c>
      <c r="H461" s="886">
        <v>42461</v>
      </c>
      <c r="I461" s="887">
        <v>42489</v>
      </c>
      <c r="J461" s="958">
        <v>27.98</v>
      </c>
    </row>
    <row r="462" spans="1:10" s="84" customFormat="1" outlineLevel="2">
      <c r="A462" s="884" t="s">
        <v>2308</v>
      </c>
      <c r="B462" s="1050" t="s">
        <v>6991</v>
      </c>
      <c r="C462" s="885" t="s">
        <v>285</v>
      </c>
      <c r="D462" s="884"/>
      <c r="E462" s="884" t="s">
        <v>2306</v>
      </c>
      <c r="F462" s="884" t="s">
        <v>2307</v>
      </c>
      <c r="G462" s="884">
        <v>1295275</v>
      </c>
      <c r="H462" s="886">
        <v>42461</v>
      </c>
      <c r="I462" s="887">
        <v>42489</v>
      </c>
      <c r="J462" s="958">
        <v>54.19</v>
      </c>
    </row>
    <row r="463" spans="1:10" s="84" customFormat="1" outlineLevel="2">
      <c r="A463" s="884" t="s">
        <v>2309</v>
      </c>
      <c r="B463" s="1050" t="s">
        <v>6992</v>
      </c>
      <c r="C463" s="885" t="s">
        <v>285</v>
      </c>
      <c r="D463" s="884"/>
      <c r="E463" s="884" t="s">
        <v>2306</v>
      </c>
      <c r="F463" s="884" t="s">
        <v>2310</v>
      </c>
      <c r="G463" s="884">
        <v>1295251</v>
      </c>
      <c r="H463" s="886">
        <v>42461</v>
      </c>
      <c r="I463" s="887">
        <v>42489</v>
      </c>
      <c r="J463" s="958">
        <v>835.27</v>
      </c>
    </row>
    <row r="464" spans="1:10" s="84" customFormat="1" outlineLevel="2">
      <c r="A464" s="884" t="s">
        <v>2309</v>
      </c>
      <c r="B464" s="1050" t="s">
        <v>6992</v>
      </c>
      <c r="C464" s="885" t="s">
        <v>285</v>
      </c>
      <c r="D464" s="884"/>
      <c r="E464" s="884" t="s">
        <v>2306</v>
      </c>
      <c r="F464" s="884" t="s">
        <v>2310</v>
      </c>
      <c r="G464" s="884">
        <v>1295268</v>
      </c>
      <c r="H464" s="886">
        <v>42461</v>
      </c>
      <c r="I464" s="887">
        <v>42489</v>
      </c>
      <c r="J464" s="958">
        <v>1764.87</v>
      </c>
    </row>
    <row r="465" spans="1:10" s="84" customFormat="1" outlineLevel="2">
      <c r="A465" s="884" t="s">
        <v>2308</v>
      </c>
      <c r="B465" s="1050" t="s">
        <v>6991</v>
      </c>
      <c r="C465" s="885" t="s">
        <v>285</v>
      </c>
      <c r="D465" s="884"/>
      <c r="E465" s="884" t="s">
        <v>2306</v>
      </c>
      <c r="F465" s="884" t="s">
        <v>2307</v>
      </c>
      <c r="G465" s="884">
        <v>1282726</v>
      </c>
      <c r="H465" s="886">
        <v>42461</v>
      </c>
      <c r="I465" s="887">
        <v>42489</v>
      </c>
      <c r="J465" s="958">
        <v>4.84</v>
      </c>
    </row>
    <row r="466" spans="1:10" s="84" customFormat="1" outlineLevel="2">
      <c r="A466" s="884" t="s">
        <v>2308</v>
      </c>
      <c r="B466" s="1050" t="s">
        <v>6991</v>
      </c>
      <c r="C466" s="885" t="s">
        <v>285</v>
      </c>
      <c r="D466" s="884"/>
      <c r="E466" s="884" t="s">
        <v>2306</v>
      </c>
      <c r="F466" s="884" t="s">
        <v>2307</v>
      </c>
      <c r="G466" s="884">
        <v>1282722</v>
      </c>
      <c r="H466" s="886">
        <v>42461</v>
      </c>
      <c r="I466" s="887">
        <v>42489</v>
      </c>
      <c r="J466" s="958">
        <v>54.54</v>
      </c>
    </row>
    <row r="467" spans="1:10" s="84" customFormat="1" outlineLevel="2">
      <c r="A467" s="884" t="s">
        <v>2308</v>
      </c>
      <c r="B467" s="1050" t="s">
        <v>6991</v>
      </c>
      <c r="C467" s="885" t="s">
        <v>285</v>
      </c>
      <c r="D467" s="884"/>
      <c r="E467" s="884" t="s">
        <v>2306</v>
      </c>
      <c r="F467" s="884" t="s">
        <v>2307</v>
      </c>
      <c r="G467" s="884">
        <v>1282714</v>
      </c>
      <c r="H467" s="886">
        <v>42461</v>
      </c>
      <c r="I467" s="887">
        <v>42489</v>
      </c>
      <c r="J467" s="958">
        <v>92.1</v>
      </c>
    </row>
    <row r="468" spans="1:10" s="84" customFormat="1" outlineLevel="2">
      <c r="A468" s="884" t="s">
        <v>2308</v>
      </c>
      <c r="B468" s="1050" t="s">
        <v>6991</v>
      </c>
      <c r="C468" s="885" t="s">
        <v>285</v>
      </c>
      <c r="D468" s="884"/>
      <c r="E468" s="884" t="s">
        <v>2306</v>
      </c>
      <c r="F468" s="884" t="s">
        <v>2307</v>
      </c>
      <c r="G468" s="884">
        <v>1282716</v>
      </c>
      <c r="H468" s="886">
        <v>42461</v>
      </c>
      <c r="I468" s="887">
        <v>42489</v>
      </c>
      <c r="J468" s="958">
        <v>58.61</v>
      </c>
    </row>
    <row r="469" spans="1:10" s="84" customFormat="1" outlineLevel="2">
      <c r="A469" s="884" t="s">
        <v>2309</v>
      </c>
      <c r="B469" s="1050" t="s">
        <v>6992</v>
      </c>
      <c r="C469" s="885" t="s">
        <v>285</v>
      </c>
      <c r="D469" s="884"/>
      <c r="E469" s="884" t="s">
        <v>2306</v>
      </c>
      <c r="F469" s="884" t="s">
        <v>2310</v>
      </c>
      <c r="G469" s="884">
        <v>1282720</v>
      </c>
      <c r="H469" s="886">
        <v>42461</v>
      </c>
      <c r="I469" s="887">
        <v>42489</v>
      </c>
      <c r="J469" s="958">
        <v>94.67</v>
      </c>
    </row>
    <row r="470" spans="1:10" s="84" customFormat="1" outlineLevel="2">
      <c r="A470" s="884" t="s">
        <v>2308</v>
      </c>
      <c r="B470" s="1050" t="s">
        <v>6991</v>
      </c>
      <c r="C470" s="885" t="s">
        <v>285</v>
      </c>
      <c r="D470" s="884"/>
      <c r="E470" s="884" t="s">
        <v>2306</v>
      </c>
      <c r="F470" s="884" t="s">
        <v>2307</v>
      </c>
      <c r="G470" s="884">
        <v>1282712</v>
      </c>
      <c r="H470" s="886">
        <v>42461</v>
      </c>
      <c r="I470" s="887">
        <v>42489</v>
      </c>
      <c r="J470" s="958">
        <v>66.52</v>
      </c>
    </row>
    <row r="471" spans="1:10" s="84" customFormat="1" outlineLevel="1">
      <c r="A471" s="884"/>
      <c r="B471" s="1050"/>
      <c r="C471" s="908" t="s">
        <v>285</v>
      </c>
      <c r="D471" s="928" t="str">
        <f>VLOOKUP(C471,$C$1102:$E$1189,3,FALSE)</f>
        <v>TOTAL POUPATEMPO LUZ</v>
      </c>
      <c r="E471" s="928"/>
      <c r="F471" s="928"/>
      <c r="G471" s="928"/>
      <c r="H471" s="911"/>
      <c r="I471" s="912"/>
      <c r="J471" s="966">
        <f>SUBTOTAL(9,J427:J470)</f>
        <v>15935.34</v>
      </c>
    </row>
    <row r="472" spans="1:10" s="84" customFormat="1" outlineLevel="2">
      <c r="A472" s="884" t="s">
        <v>2435</v>
      </c>
      <c r="B472" s="1050">
        <v>112120105010</v>
      </c>
      <c r="C472" s="885" t="s">
        <v>286</v>
      </c>
      <c r="D472" s="884"/>
      <c r="E472" s="884" t="s">
        <v>2474</v>
      </c>
      <c r="F472" s="884" t="s">
        <v>2408</v>
      </c>
      <c r="G472" s="884" t="s">
        <v>6912</v>
      </c>
      <c r="H472" s="886">
        <v>42430</v>
      </c>
      <c r="I472" s="887">
        <v>42461</v>
      </c>
      <c r="J472" s="958">
        <v>121.49</v>
      </c>
    </row>
    <row r="473" spans="1:10" s="84" customFormat="1" outlineLevel="2">
      <c r="A473" s="884" t="s">
        <v>2437</v>
      </c>
      <c r="B473" s="1050">
        <v>112120105010</v>
      </c>
      <c r="C473" s="885" t="s">
        <v>286</v>
      </c>
      <c r="D473" s="884"/>
      <c r="E473" s="884" t="s">
        <v>2474</v>
      </c>
      <c r="F473" s="884" t="s">
        <v>2408</v>
      </c>
      <c r="G473" s="884" t="s">
        <v>6912</v>
      </c>
      <c r="H473" s="886">
        <v>42430</v>
      </c>
      <c r="I473" s="887">
        <v>42461</v>
      </c>
      <c r="J473" s="958">
        <v>30</v>
      </c>
    </row>
    <row r="474" spans="1:10" s="84" customFormat="1" outlineLevel="2">
      <c r="A474" s="884" t="s">
        <v>2438</v>
      </c>
      <c r="B474" s="1050">
        <v>112120105010</v>
      </c>
      <c r="C474" s="885" t="s">
        <v>286</v>
      </c>
      <c r="D474" s="884"/>
      <c r="E474" s="884" t="s">
        <v>2474</v>
      </c>
      <c r="F474" s="884" t="s">
        <v>2408</v>
      </c>
      <c r="G474" s="884" t="s">
        <v>6912</v>
      </c>
      <c r="H474" s="886">
        <v>42430</v>
      </c>
      <c r="I474" s="887">
        <v>42461</v>
      </c>
      <c r="J474" s="958">
        <v>15.9</v>
      </c>
    </row>
    <row r="475" spans="1:10" s="84" customFormat="1" outlineLevel="2">
      <c r="A475" s="884" t="s">
        <v>2473</v>
      </c>
      <c r="B475" s="1050">
        <v>112120105010</v>
      </c>
      <c r="C475" s="885" t="s">
        <v>286</v>
      </c>
      <c r="D475" s="884"/>
      <c r="E475" s="884" t="s">
        <v>2474</v>
      </c>
      <c r="F475" s="884" t="s">
        <v>2408</v>
      </c>
      <c r="G475" s="884" t="s">
        <v>6912</v>
      </c>
      <c r="H475" s="886">
        <v>42430</v>
      </c>
      <c r="I475" s="887">
        <v>42461</v>
      </c>
      <c r="J475" s="958">
        <v>30</v>
      </c>
    </row>
    <row r="476" spans="1:10" s="84" customFormat="1" outlineLevel="2">
      <c r="A476" s="884" t="s">
        <v>2599</v>
      </c>
      <c r="B476" s="1050">
        <v>112120612060</v>
      </c>
      <c r="C476" s="885" t="s">
        <v>286</v>
      </c>
      <c r="D476" s="884"/>
      <c r="E476" s="884" t="s">
        <v>2457</v>
      </c>
      <c r="F476" s="884" t="s">
        <v>2458</v>
      </c>
      <c r="G476" s="884" t="s">
        <v>6837</v>
      </c>
      <c r="H476" s="886">
        <v>42430</v>
      </c>
      <c r="I476" s="887">
        <v>42461</v>
      </c>
      <c r="J476" s="958">
        <v>37.21</v>
      </c>
    </row>
    <row r="477" spans="1:10" s="84" customFormat="1" outlineLevel="2">
      <c r="A477" s="884" t="s">
        <v>2419</v>
      </c>
      <c r="B477" s="1050">
        <v>112120604020</v>
      </c>
      <c r="C477" s="885" t="s">
        <v>286</v>
      </c>
      <c r="D477" s="884"/>
      <c r="E477" s="884" t="s">
        <v>2420</v>
      </c>
      <c r="F477" s="884" t="s">
        <v>432</v>
      </c>
      <c r="G477" s="884" t="s">
        <v>6698</v>
      </c>
      <c r="H477" s="886">
        <v>42401</v>
      </c>
      <c r="I477" s="887">
        <v>42461</v>
      </c>
      <c r="J477" s="958">
        <v>2038.96</v>
      </c>
    </row>
    <row r="478" spans="1:10" s="84" customFormat="1" outlineLevel="2">
      <c r="A478" s="884" t="s">
        <v>2599</v>
      </c>
      <c r="B478" s="1050">
        <v>112120612060</v>
      </c>
      <c r="C478" s="885" t="s">
        <v>286</v>
      </c>
      <c r="D478" s="884"/>
      <c r="E478" s="884" t="s">
        <v>2457</v>
      </c>
      <c r="F478" s="884" t="s">
        <v>2458</v>
      </c>
      <c r="G478" s="884" t="s">
        <v>6838</v>
      </c>
      <c r="H478" s="886">
        <v>42430</v>
      </c>
      <c r="I478" s="887">
        <v>42464</v>
      </c>
      <c r="J478" s="958">
        <v>367.65</v>
      </c>
    </row>
    <row r="479" spans="1:10" s="84" customFormat="1" outlineLevel="2">
      <c r="A479" s="884" t="s">
        <v>2479</v>
      </c>
      <c r="B479" s="1050">
        <v>112120101060</v>
      </c>
      <c r="C479" s="885" t="s">
        <v>286</v>
      </c>
      <c r="D479" s="884"/>
      <c r="E479" s="884" t="s">
        <v>2476</v>
      </c>
      <c r="F479" s="884" t="s">
        <v>2441</v>
      </c>
      <c r="G479" s="884" t="s">
        <v>6923</v>
      </c>
      <c r="H479" s="886">
        <v>42430</v>
      </c>
      <c r="I479" s="887">
        <v>42466</v>
      </c>
      <c r="J479" s="958">
        <v>504</v>
      </c>
    </row>
    <row r="480" spans="1:10" s="84" customFormat="1" outlineLevel="2">
      <c r="A480" s="884" t="s">
        <v>2393</v>
      </c>
      <c r="B480" s="1050">
        <v>112120611040</v>
      </c>
      <c r="C480" s="885" t="s">
        <v>286</v>
      </c>
      <c r="D480" s="884"/>
      <c r="E480" s="884" t="s">
        <v>407</v>
      </c>
      <c r="F480" s="884" t="s">
        <v>2418</v>
      </c>
      <c r="G480" s="884" t="s">
        <v>6815</v>
      </c>
      <c r="H480" s="886">
        <v>42401</v>
      </c>
      <c r="I480" s="887">
        <v>42467</v>
      </c>
      <c r="J480" s="958">
        <v>1393.03</v>
      </c>
    </row>
    <row r="481" spans="1:10" s="84" customFormat="1" outlineLevel="2">
      <c r="A481" s="884" t="s">
        <v>2599</v>
      </c>
      <c r="B481" s="1050">
        <v>112120612060</v>
      </c>
      <c r="C481" s="885" t="s">
        <v>286</v>
      </c>
      <c r="D481" s="884"/>
      <c r="E481" s="884" t="s">
        <v>2457</v>
      </c>
      <c r="F481" s="884" t="s">
        <v>2458</v>
      </c>
      <c r="G481" s="884" t="s">
        <v>6842</v>
      </c>
      <c r="H481" s="886">
        <v>42430</v>
      </c>
      <c r="I481" s="887">
        <v>42471</v>
      </c>
      <c r="J481" s="958">
        <v>81.739999999999995</v>
      </c>
    </row>
    <row r="482" spans="1:10" s="84" customFormat="1" outlineLevel="2">
      <c r="A482" s="884" t="s">
        <v>2393</v>
      </c>
      <c r="B482" s="1050" t="s">
        <v>7732</v>
      </c>
      <c r="C482" s="885" t="s">
        <v>286</v>
      </c>
      <c r="D482" s="884"/>
      <c r="E482" s="884" t="s">
        <v>2346</v>
      </c>
      <c r="F482" s="884" t="s">
        <v>7248</v>
      </c>
      <c r="G482" s="884" t="s">
        <v>7249</v>
      </c>
      <c r="H482" s="886">
        <v>42401</v>
      </c>
      <c r="I482" s="887">
        <v>42471</v>
      </c>
      <c r="J482" s="958">
        <v>103.93</v>
      </c>
    </row>
    <row r="483" spans="1:10" s="84" customFormat="1" outlineLevel="2">
      <c r="A483" s="884" t="s">
        <v>2393</v>
      </c>
      <c r="B483" s="1050" t="s">
        <v>7732</v>
      </c>
      <c r="C483" s="885" t="s">
        <v>286</v>
      </c>
      <c r="D483" s="884"/>
      <c r="E483" s="884" t="s">
        <v>2346</v>
      </c>
      <c r="F483" s="884" t="s">
        <v>7250</v>
      </c>
      <c r="G483" s="884" t="s">
        <v>7251</v>
      </c>
      <c r="H483" s="886">
        <v>42401</v>
      </c>
      <c r="I483" s="887">
        <v>42471</v>
      </c>
      <c r="J483" s="958">
        <v>70.22</v>
      </c>
    </row>
    <row r="484" spans="1:10" s="84" customFormat="1" outlineLevel="2">
      <c r="A484" s="884" t="s">
        <v>2393</v>
      </c>
      <c r="B484" s="1050" t="s">
        <v>7732</v>
      </c>
      <c r="C484" s="885" t="s">
        <v>286</v>
      </c>
      <c r="D484" s="884"/>
      <c r="E484" s="884" t="s">
        <v>2346</v>
      </c>
      <c r="F484" s="884" t="s">
        <v>7252</v>
      </c>
      <c r="G484" s="884" t="s">
        <v>7253</v>
      </c>
      <c r="H484" s="886">
        <v>42401</v>
      </c>
      <c r="I484" s="887">
        <v>42471</v>
      </c>
      <c r="J484" s="958">
        <v>106.72</v>
      </c>
    </row>
    <row r="485" spans="1:10" s="84" customFormat="1" outlineLevel="2">
      <c r="A485" s="884" t="s">
        <v>2599</v>
      </c>
      <c r="B485" s="1050">
        <v>112120612060</v>
      </c>
      <c r="C485" s="885" t="s">
        <v>286</v>
      </c>
      <c r="D485" s="884"/>
      <c r="E485" s="884" t="s">
        <v>2457</v>
      </c>
      <c r="F485" s="884" t="s">
        <v>2458</v>
      </c>
      <c r="G485" s="884" t="s">
        <v>6853</v>
      </c>
      <c r="H485" s="886">
        <v>42430</v>
      </c>
      <c r="I485" s="887">
        <v>42474</v>
      </c>
      <c r="J485" s="958">
        <v>91.91</v>
      </c>
    </row>
    <row r="486" spans="1:10" s="84" customFormat="1" outlineLevel="2">
      <c r="A486" s="884" t="s">
        <v>2435</v>
      </c>
      <c r="B486" s="1050">
        <v>112120105010</v>
      </c>
      <c r="C486" s="885" t="s">
        <v>286</v>
      </c>
      <c r="D486" s="884"/>
      <c r="E486" s="884" t="s">
        <v>2436</v>
      </c>
      <c r="F486" s="884" t="s">
        <v>2408</v>
      </c>
      <c r="G486" s="884" t="s">
        <v>6720</v>
      </c>
      <c r="H486" s="886">
        <v>42430</v>
      </c>
      <c r="I486" s="887">
        <v>42474</v>
      </c>
      <c r="J486" s="958">
        <v>83.34</v>
      </c>
    </row>
    <row r="487" spans="1:10" s="84" customFormat="1" outlineLevel="2">
      <c r="A487" s="884" t="s">
        <v>2437</v>
      </c>
      <c r="B487" s="1050">
        <v>112120105010</v>
      </c>
      <c r="C487" s="885" t="s">
        <v>286</v>
      </c>
      <c r="D487" s="884"/>
      <c r="E487" s="884" t="s">
        <v>2436</v>
      </c>
      <c r="F487" s="884" t="s">
        <v>2408</v>
      </c>
      <c r="G487" s="884" t="s">
        <v>6720</v>
      </c>
      <c r="H487" s="886">
        <v>42430</v>
      </c>
      <c r="I487" s="887">
        <v>42474</v>
      </c>
      <c r="J487" s="958">
        <v>60</v>
      </c>
    </row>
    <row r="488" spans="1:10" s="84" customFormat="1" outlineLevel="2">
      <c r="A488" s="884" t="s">
        <v>2438</v>
      </c>
      <c r="B488" s="1050">
        <v>112120105010</v>
      </c>
      <c r="C488" s="885" t="s">
        <v>286</v>
      </c>
      <c r="D488" s="884"/>
      <c r="E488" s="884" t="s">
        <v>2436</v>
      </c>
      <c r="F488" s="884" t="s">
        <v>2408</v>
      </c>
      <c r="G488" s="884" t="s">
        <v>6720</v>
      </c>
      <c r="H488" s="886">
        <v>42430</v>
      </c>
      <c r="I488" s="887">
        <v>42474</v>
      </c>
      <c r="J488" s="958">
        <v>16</v>
      </c>
    </row>
    <row r="489" spans="1:10" s="84" customFormat="1" outlineLevel="2">
      <c r="A489" s="884" t="s">
        <v>2473</v>
      </c>
      <c r="B489" s="1050">
        <v>112120105010</v>
      </c>
      <c r="C489" s="885" t="s">
        <v>286</v>
      </c>
      <c r="D489" s="884"/>
      <c r="E489" s="884" t="s">
        <v>2436</v>
      </c>
      <c r="F489" s="884" t="s">
        <v>2408</v>
      </c>
      <c r="G489" s="884" t="s">
        <v>6720</v>
      </c>
      <c r="H489" s="886">
        <v>42430</v>
      </c>
      <c r="I489" s="887">
        <v>42474</v>
      </c>
      <c r="J489" s="958">
        <v>30</v>
      </c>
    </row>
    <row r="490" spans="1:10" s="84" customFormat="1" outlineLevel="2">
      <c r="A490" s="884" t="s">
        <v>2435</v>
      </c>
      <c r="B490" s="1050">
        <v>112120104000</v>
      </c>
      <c r="C490" s="885" t="s">
        <v>286</v>
      </c>
      <c r="D490" s="884"/>
      <c r="E490" s="884" t="s">
        <v>2436</v>
      </c>
      <c r="F490" s="884" t="s">
        <v>2432</v>
      </c>
      <c r="G490" s="884" t="s">
        <v>6721</v>
      </c>
      <c r="H490" s="886">
        <v>42430</v>
      </c>
      <c r="I490" s="887">
        <v>42474</v>
      </c>
      <c r="J490" s="958">
        <v>94.12</v>
      </c>
    </row>
    <row r="491" spans="1:10" s="84" customFormat="1" outlineLevel="2">
      <c r="A491" s="884" t="s">
        <v>2438</v>
      </c>
      <c r="B491" s="1050">
        <v>112120104000</v>
      </c>
      <c r="C491" s="885" t="s">
        <v>286</v>
      </c>
      <c r="D491" s="884"/>
      <c r="E491" s="884" t="s">
        <v>2436</v>
      </c>
      <c r="F491" s="884" t="s">
        <v>2432</v>
      </c>
      <c r="G491" s="884" t="s">
        <v>6721</v>
      </c>
      <c r="H491" s="886">
        <v>42430</v>
      </c>
      <c r="I491" s="887">
        <v>42474</v>
      </c>
      <c r="J491" s="958">
        <v>16</v>
      </c>
    </row>
    <row r="492" spans="1:10" s="84" customFormat="1" outlineLevel="2">
      <c r="A492" s="884" t="s">
        <v>2435</v>
      </c>
      <c r="B492" s="1050">
        <v>112120104000</v>
      </c>
      <c r="C492" s="885" t="s">
        <v>286</v>
      </c>
      <c r="D492" s="884"/>
      <c r="E492" s="884" t="s">
        <v>2436</v>
      </c>
      <c r="F492" s="884" t="s">
        <v>2432</v>
      </c>
      <c r="G492" s="884" t="s">
        <v>6722</v>
      </c>
      <c r="H492" s="886">
        <v>42430</v>
      </c>
      <c r="I492" s="887">
        <v>42474</v>
      </c>
      <c r="J492" s="958">
        <v>94.12</v>
      </c>
    </row>
    <row r="493" spans="1:10" s="84" customFormat="1" outlineLevel="2">
      <c r="A493" s="884" t="s">
        <v>2438</v>
      </c>
      <c r="B493" s="1050">
        <v>112120104000</v>
      </c>
      <c r="C493" s="885" t="s">
        <v>286</v>
      </c>
      <c r="D493" s="884"/>
      <c r="E493" s="884" t="s">
        <v>2436</v>
      </c>
      <c r="F493" s="884" t="s">
        <v>2432</v>
      </c>
      <c r="G493" s="884" t="s">
        <v>6722</v>
      </c>
      <c r="H493" s="886">
        <v>42430</v>
      </c>
      <c r="I493" s="887">
        <v>42474</v>
      </c>
      <c r="J493" s="958">
        <v>16</v>
      </c>
    </row>
    <row r="494" spans="1:10" s="84" customFormat="1" outlineLevel="2">
      <c r="A494" s="884" t="s">
        <v>2435</v>
      </c>
      <c r="B494" s="1050">
        <v>112120104000</v>
      </c>
      <c r="C494" s="885" t="s">
        <v>286</v>
      </c>
      <c r="D494" s="884"/>
      <c r="E494" s="884" t="s">
        <v>2436</v>
      </c>
      <c r="F494" s="884" t="s">
        <v>2432</v>
      </c>
      <c r="G494" s="884" t="s">
        <v>6723</v>
      </c>
      <c r="H494" s="886">
        <v>42430</v>
      </c>
      <c r="I494" s="887">
        <v>42474</v>
      </c>
      <c r="J494" s="958">
        <v>94.12</v>
      </c>
    </row>
    <row r="495" spans="1:10" s="84" customFormat="1" outlineLevel="2">
      <c r="A495" s="884" t="s">
        <v>2438</v>
      </c>
      <c r="B495" s="1050">
        <v>112120104000</v>
      </c>
      <c r="C495" s="885" t="s">
        <v>286</v>
      </c>
      <c r="D495" s="884"/>
      <c r="E495" s="884" t="s">
        <v>2436</v>
      </c>
      <c r="F495" s="884" t="s">
        <v>2432</v>
      </c>
      <c r="G495" s="884" t="s">
        <v>6723</v>
      </c>
      <c r="H495" s="886">
        <v>42430</v>
      </c>
      <c r="I495" s="887">
        <v>42474</v>
      </c>
      <c r="J495" s="958">
        <v>16</v>
      </c>
    </row>
    <row r="496" spans="1:10" s="84" customFormat="1" outlineLevel="2">
      <c r="A496" s="884" t="s">
        <v>2435</v>
      </c>
      <c r="B496" s="1050">
        <v>112120104000</v>
      </c>
      <c r="C496" s="885" t="s">
        <v>286</v>
      </c>
      <c r="D496" s="884"/>
      <c r="E496" s="884" t="s">
        <v>2436</v>
      </c>
      <c r="F496" s="884" t="s">
        <v>2432</v>
      </c>
      <c r="G496" s="884" t="s">
        <v>6724</v>
      </c>
      <c r="H496" s="886">
        <v>42430</v>
      </c>
      <c r="I496" s="887">
        <v>42474</v>
      </c>
      <c r="J496" s="958">
        <v>94.12</v>
      </c>
    </row>
    <row r="497" spans="1:10" s="84" customFormat="1" outlineLevel="2">
      <c r="A497" s="884" t="s">
        <v>2438</v>
      </c>
      <c r="B497" s="1050">
        <v>112120104000</v>
      </c>
      <c r="C497" s="885" t="s">
        <v>286</v>
      </c>
      <c r="D497" s="884"/>
      <c r="E497" s="884" t="s">
        <v>2436</v>
      </c>
      <c r="F497" s="884" t="s">
        <v>2432</v>
      </c>
      <c r="G497" s="884" t="s">
        <v>6724</v>
      </c>
      <c r="H497" s="886">
        <v>42430</v>
      </c>
      <c r="I497" s="887">
        <v>42474</v>
      </c>
      <c r="J497" s="958">
        <v>16</v>
      </c>
    </row>
    <row r="498" spans="1:10" s="84" customFormat="1" outlineLevel="2">
      <c r="A498" s="884" t="s">
        <v>2393</v>
      </c>
      <c r="B498" s="1050">
        <v>112120611040</v>
      </c>
      <c r="C498" s="885" t="s">
        <v>286</v>
      </c>
      <c r="D498" s="884"/>
      <c r="E498" s="884" t="s">
        <v>409</v>
      </c>
      <c r="F498" s="884" t="s">
        <v>2418</v>
      </c>
      <c r="G498" s="884" t="s">
        <v>6768</v>
      </c>
      <c r="H498" s="886">
        <v>42401</v>
      </c>
      <c r="I498" s="887">
        <v>42475</v>
      </c>
      <c r="J498" s="958">
        <v>2061.69</v>
      </c>
    </row>
    <row r="499" spans="1:10" s="84" customFormat="1" outlineLevel="2">
      <c r="A499" s="884" t="s">
        <v>2393</v>
      </c>
      <c r="B499" s="1050">
        <v>112120611040</v>
      </c>
      <c r="C499" s="885" t="s">
        <v>286</v>
      </c>
      <c r="D499" s="884"/>
      <c r="E499" s="884" t="s">
        <v>408</v>
      </c>
      <c r="F499" s="884" t="s">
        <v>2418</v>
      </c>
      <c r="G499" s="884" t="s">
        <v>6891</v>
      </c>
      <c r="H499" s="886">
        <v>42370</v>
      </c>
      <c r="I499" s="887">
        <v>42478</v>
      </c>
      <c r="J499" s="958">
        <v>2189.4299999999998</v>
      </c>
    </row>
    <row r="500" spans="1:10" s="84" customFormat="1" outlineLevel="2">
      <c r="A500" s="884" t="s">
        <v>2599</v>
      </c>
      <c r="B500" s="1050">
        <v>112120612060</v>
      </c>
      <c r="C500" s="885" t="s">
        <v>286</v>
      </c>
      <c r="D500" s="884"/>
      <c r="E500" s="884" t="s">
        <v>2457</v>
      </c>
      <c r="F500" s="884" t="s">
        <v>2458</v>
      </c>
      <c r="G500" s="884" t="s">
        <v>6855</v>
      </c>
      <c r="H500" s="886">
        <v>42430</v>
      </c>
      <c r="I500" s="887">
        <v>42478</v>
      </c>
      <c r="J500" s="958">
        <v>73.53</v>
      </c>
    </row>
    <row r="501" spans="1:10" s="84" customFormat="1" outlineLevel="2">
      <c r="A501" s="884" t="s">
        <v>2479</v>
      </c>
      <c r="B501" s="1050">
        <v>112120101060</v>
      </c>
      <c r="C501" s="885" t="s">
        <v>286</v>
      </c>
      <c r="D501" s="884"/>
      <c r="E501" s="884" t="s">
        <v>2476</v>
      </c>
      <c r="F501" s="884" t="s">
        <v>2441</v>
      </c>
      <c r="G501" s="884" t="s">
        <v>6928</v>
      </c>
      <c r="H501" s="886">
        <v>42401</v>
      </c>
      <c r="I501" s="887">
        <v>42480</v>
      </c>
      <c r="J501" s="958">
        <v>504</v>
      </c>
    </row>
    <row r="502" spans="1:10" s="84" customFormat="1" outlineLevel="2">
      <c r="A502" s="884" t="s">
        <v>2599</v>
      </c>
      <c r="B502" s="1050">
        <v>467060000000</v>
      </c>
      <c r="C502" s="885" t="s">
        <v>286</v>
      </c>
      <c r="D502" s="884"/>
      <c r="E502" s="884" t="s">
        <v>2457</v>
      </c>
      <c r="F502" s="884" t="s">
        <v>2458</v>
      </c>
      <c r="G502" s="884" t="s">
        <v>6861</v>
      </c>
      <c r="H502" s="886">
        <v>42430</v>
      </c>
      <c r="I502" s="887">
        <v>42480</v>
      </c>
      <c r="J502" s="958">
        <v>196.08</v>
      </c>
    </row>
    <row r="503" spans="1:10" s="84" customFormat="1" outlineLevel="2">
      <c r="A503" s="884" t="s">
        <v>2393</v>
      </c>
      <c r="B503" s="1050" t="s">
        <v>7732</v>
      </c>
      <c r="C503" s="885" t="s">
        <v>286</v>
      </c>
      <c r="D503" s="884"/>
      <c r="E503" s="884" t="s">
        <v>2336</v>
      </c>
      <c r="F503" s="884" t="s">
        <v>7118</v>
      </c>
      <c r="G503" s="884" t="s">
        <v>7119</v>
      </c>
      <c r="H503" s="886">
        <v>42401</v>
      </c>
      <c r="I503" s="887">
        <v>42480</v>
      </c>
      <c r="J503" s="958">
        <v>293.52999999999997</v>
      </c>
    </row>
    <row r="504" spans="1:10" s="84" customFormat="1" outlineLevel="2">
      <c r="A504" s="884" t="s">
        <v>2393</v>
      </c>
      <c r="B504" s="1050" t="s">
        <v>7732</v>
      </c>
      <c r="C504" s="885" t="s">
        <v>286</v>
      </c>
      <c r="D504" s="884"/>
      <c r="E504" s="884" t="s">
        <v>2336</v>
      </c>
      <c r="F504" s="884" t="s">
        <v>7120</v>
      </c>
      <c r="G504" s="884" t="s">
        <v>7121</v>
      </c>
      <c r="H504" s="886">
        <v>42401</v>
      </c>
      <c r="I504" s="887">
        <v>42480</v>
      </c>
      <c r="J504" s="958">
        <v>193.11</v>
      </c>
    </row>
    <row r="505" spans="1:10" s="84" customFormat="1" outlineLevel="2">
      <c r="A505" s="884" t="s">
        <v>2393</v>
      </c>
      <c r="B505" s="1050" t="s">
        <v>7732</v>
      </c>
      <c r="C505" s="885" t="s">
        <v>286</v>
      </c>
      <c r="D505" s="884"/>
      <c r="E505" s="884" t="s">
        <v>2336</v>
      </c>
      <c r="F505" s="884" t="s">
        <v>7116</v>
      </c>
      <c r="G505" s="884" t="s">
        <v>7117</v>
      </c>
      <c r="H505" s="886">
        <v>42401</v>
      </c>
      <c r="I505" s="887">
        <v>42480</v>
      </c>
      <c r="J505" s="958">
        <v>285.81</v>
      </c>
    </row>
    <row r="506" spans="1:10" s="84" customFormat="1" outlineLevel="2">
      <c r="A506" s="884" t="s">
        <v>2393</v>
      </c>
      <c r="B506" s="1050" t="s">
        <v>7732</v>
      </c>
      <c r="C506" s="885" t="s">
        <v>286</v>
      </c>
      <c r="D506" s="884"/>
      <c r="E506" s="884" t="s">
        <v>1909</v>
      </c>
      <c r="F506" s="884" t="s">
        <v>7400</v>
      </c>
      <c r="G506" s="884" t="s">
        <v>7401</v>
      </c>
      <c r="H506" s="886">
        <v>42401</v>
      </c>
      <c r="I506" s="887">
        <v>42480</v>
      </c>
      <c r="J506" s="958">
        <v>26.68</v>
      </c>
    </row>
    <row r="507" spans="1:10" s="84" customFormat="1" outlineLevel="2">
      <c r="A507" s="884" t="s">
        <v>2393</v>
      </c>
      <c r="B507" s="1050" t="s">
        <v>7732</v>
      </c>
      <c r="C507" s="885" t="s">
        <v>286</v>
      </c>
      <c r="D507" s="884"/>
      <c r="E507" s="884" t="s">
        <v>1909</v>
      </c>
      <c r="F507" s="884" t="s">
        <v>7466</v>
      </c>
      <c r="G507" s="884" t="s">
        <v>7467</v>
      </c>
      <c r="H507" s="886">
        <v>42401</v>
      </c>
      <c r="I507" s="887">
        <v>42480</v>
      </c>
      <c r="J507" s="958">
        <v>17.559999999999999</v>
      </c>
    </row>
    <row r="508" spans="1:10" s="84" customFormat="1" outlineLevel="2">
      <c r="A508" s="884" t="s">
        <v>2393</v>
      </c>
      <c r="B508" s="1050" t="s">
        <v>7732</v>
      </c>
      <c r="C508" s="885" t="s">
        <v>286</v>
      </c>
      <c r="D508" s="884"/>
      <c r="E508" s="884" t="s">
        <v>1909</v>
      </c>
      <c r="F508" s="884" t="s">
        <v>7530</v>
      </c>
      <c r="G508" s="884" t="s">
        <v>7531</v>
      </c>
      <c r="H508" s="886">
        <v>42401</v>
      </c>
      <c r="I508" s="887">
        <v>42480</v>
      </c>
      <c r="J508" s="958">
        <v>25.98</v>
      </c>
    </row>
    <row r="509" spans="1:10" s="84" customFormat="1" outlineLevel="2">
      <c r="A509" s="884" t="s">
        <v>2393</v>
      </c>
      <c r="B509" s="1050" t="s">
        <v>7732</v>
      </c>
      <c r="C509" s="885" t="s">
        <v>286</v>
      </c>
      <c r="D509" s="884"/>
      <c r="E509" s="884" t="s">
        <v>1909</v>
      </c>
      <c r="F509" s="884" t="s">
        <v>7620</v>
      </c>
      <c r="G509" s="884" t="s">
        <v>7621</v>
      </c>
      <c r="H509" s="886">
        <v>42370</v>
      </c>
      <c r="I509" s="887">
        <v>42480</v>
      </c>
      <c r="J509" s="958">
        <v>84.41</v>
      </c>
    </row>
    <row r="510" spans="1:10" s="84" customFormat="1" outlineLevel="2">
      <c r="A510" s="884" t="s">
        <v>2393</v>
      </c>
      <c r="B510" s="1050" t="s">
        <v>7732</v>
      </c>
      <c r="C510" s="885" t="s">
        <v>286</v>
      </c>
      <c r="D510" s="884"/>
      <c r="E510" s="884" t="s">
        <v>1909</v>
      </c>
      <c r="F510" s="884" t="s">
        <v>7700</v>
      </c>
      <c r="G510" s="884" t="s">
        <v>7701</v>
      </c>
      <c r="H510" s="886">
        <v>42370</v>
      </c>
      <c r="I510" s="887">
        <v>42480</v>
      </c>
      <c r="J510" s="958">
        <v>124.92</v>
      </c>
    </row>
    <row r="511" spans="1:10" s="84" customFormat="1" outlineLevel="2">
      <c r="A511" s="884" t="s">
        <v>2435</v>
      </c>
      <c r="B511" s="1050">
        <v>112120105010</v>
      </c>
      <c r="C511" s="885" t="s">
        <v>286</v>
      </c>
      <c r="D511" s="884"/>
      <c r="E511" s="884" t="s">
        <v>2436</v>
      </c>
      <c r="F511" s="884" t="s">
        <v>2408</v>
      </c>
      <c r="G511" s="884" t="s">
        <v>6726</v>
      </c>
      <c r="H511" s="886">
        <v>42430</v>
      </c>
      <c r="I511" s="887">
        <v>42482</v>
      </c>
      <c r="J511" s="958">
        <v>91.13</v>
      </c>
    </row>
    <row r="512" spans="1:10" s="84" customFormat="1" outlineLevel="2">
      <c r="A512" s="884" t="s">
        <v>2438</v>
      </c>
      <c r="B512" s="1050">
        <v>112120105010</v>
      </c>
      <c r="C512" s="885" t="s">
        <v>286</v>
      </c>
      <c r="D512" s="884"/>
      <c r="E512" s="884" t="s">
        <v>2436</v>
      </c>
      <c r="F512" s="884" t="s">
        <v>2408</v>
      </c>
      <c r="G512" s="884" t="s">
        <v>6726</v>
      </c>
      <c r="H512" s="886">
        <v>42430</v>
      </c>
      <c r="I512" s="887">
        <v>42482</v>
      </c>
      <c r="J512" s="958">
        <v>19.600000000000001</v>
      </c>
    </row>
    <row r="513" spans="1:10" s="84" customFormat="1" outlineLevel="2">
      <c r="A513" s="884" t="s">
        <v>2473</v>
      </c>
      <c r="B513" s="1050">
        <v>112120105010</v>
      </c>
      <c r="C513" s="885" t="s">
        <v>286</v>
      </c>
      <c r="D513" s="884"/>
      <c r="E513" s="884" t="s">
        <v>2436</v>
      </c>
      <c r="F513" s="884" t="s">
        <v>2408</v>
      </c>
      <c r="G513" s="884" t="s">
        <v>6726</v>
      </c>
      <c r="H513" s="886">
        <v>42430</v>
      </c>
      <c r="I513" s="887">
        <v>42482</v>
      </c>
      <c r="J513" s="958">
        <v>30</v>
      </c>
    </row>
    <row r="514" spans="1:10" s="84" customFormat="1" outlineLevel="2">
      <c r="A514" s="884" t="s">
        <v>2435</v>
      </c>
      <c r="B514" s="1050">
        <v>112120104000</v>
      </c>
      <c r="C514" s="885" t="s">
        <v>286</v>
      </c>
      <c r="D514" s="884"/>
      <c r="E514" s="884" t="s">
        <v>2474</v>
      </c>
      <c r="F514" s="884" t="s">
        <v>2432</v>
      </c>
      <c r="G514" s="884" t="s">
        <v>6913</v>
      </c>
      <c r="H514" s="886">
        <v>42461</v>
      </c>
      <c r="I514" s="887">
        <v>42487</v>
      </c>
      <c r="J514" s="958">
        <v>119.41</v>
      </c>
    </row>
    <row r="515" spans="1:10" s="84" customFormat="1" outlineLevel="2">
      <c r="A515" s="884" t="s">
        <v>2438</v>
      </c>
      <c r="B515" s="1050">
        <v>112120104000</v>
      </c>
      <c r="C515" s="885" t="s">
        <v>286</v>
      </c>
      <c r="D515" s="884"/>
      <c r="E515" s="884" t="s">
        <v>2474</v>
      </c>
      <c r="F515" s="884" t="s">
        <v>2432</v>
      </c>
      <c r="G515" s="884" t="s">
        <v>6913</v>
      </c>
      <c r="H515" s="886">
        <v>42461</v>
      </c>
      <c r="I515" s="887">
        <v>42487</v>
      </c>
      <c r="J515" s="958">
        <v>23.9</v>
      </c>
    </row>
    <row r="516" spans="1:10" s="84" customFormat="1" outlineLevel="2">
      <c r="A516" s="884" t="s">
        <v>2435</v>
      </c>
      <c r="B516" s="1050">
        <v>112120104000</v>
      </c>
      <c r="C516" s="885" t="s">
        <v>286</v>
      </c>
      <c r="D516" s="884"/>
      <c r="E516" s="884" t="s">
        <v>2474</v>
      </c>
      <c r="F516" s="884" t="s">
        <v>2432</v>
      </c>
      <c r="G516" s="884" t="s">
        <v>6914</v>
      </c>
      <c r="H516" s="886">
        <v>42461</v>
      </c>
      <c r="I516" s="887">
        <v>42487</v>
      </c>
      <c r="J516" s="958">
        <v>115.71</v>
      </c>
    </row>
    <row r="517" spans="1:10" s="84" customFormat="1" outlineLevel="2">
      <c r="A517" s="884" t="s">
        <v>2438</v>
      </c>
      <c r="B517" s="1050">
        <v>112120104000</v>
      </c>
      <c r="C517" s="885" t="s">
        <v>286</v>
      </c>
      <c r="D517" s="884"/>
      <c r="E517" s="884" t="s">
        <v>2474</v>
      </c>
      <c r="F517" s="884" t="s">
        <v>2432</v>
      </c>
      <c r="G517" s="884" t="s">
        <v>6914</v>
      </c>
      <c r="H517" s="886">
        <v>42461</v>
      </c>
      <c r="I517" s="887">
        <v>42487</v>
      </c>
      <c r="J517" s="958">
        <v>16</v>
      </c>
    </row>
    <row r="518" spans="1:10" s="84" customFormat="1" outlineLevel="2">
      <c r="A518" s="884" t="s">
        <v>2435</v>
      </c>
      <c r="B518" s="1050">
        <v>112120104000</v>
      </c>
      <c r="C518" s="885" t="s">
        <v>286</v>
      </c>
      <c r="D518" s="884"/>
      <c r="E518" s="884" t="s">
        <v>2474</v>
      </c>
      <c r="F518" s="884" t="s">
        <v>2432</v>
      </c>
      <c r="G518" s="884" t="s">
        <v>6915</v>
      </c>
      <c r="H518" s="886">
        <v>42461</v>
      </c>
      <c r="I518" s="887">
        <v>42487</v>
      </c>
      <c r="J518" s="958">
        <v>145.6</v>
      </c>
    </row>
    <row r="519" spans="1:10" s="84" customFormat="1" outlineLevel="2">
      <c r="A519" s="884" t="s">
        <v>2437</v>
      </c>
      <c r="B519" s="1050">
        <v>112120104000</v>
      </c>
      <c r="C519" s="885" t="s">
        <v>286</v>
      </c>
      <c r="D519" s="884"/>
      <c r="E519" s="884" t="s">
        <v>2474</v>
      </c>
      <c r="F519" s="884" t="s">
        <v>2432</v>
      </c>
      <c r="G519" s="884" t="s">
        <v>6915</v>
      </c>
      <c r="H519" s="886">
        <v>42461</v>
      </c>
      <c r="I519" s="887">
        <v>42487</v>
      </c>
      <c r="J519" s="958">
        <v>60</v>
      </c>
    </row>
    <row r="520" spans="1:10" s="84" customFormat="1" outlineLevel="2">
      <c r="A520" s="884" t="s">
        <v>2438</v>
      </c>
      <c r="B520" s="1050">
        <v>112120104000</v>
      </c>
      <c r="C520" s="885" t="s">
        <v>286</v>
      </c>
      <c r="D520" s="884"/>
      <c r="E520" s="884" t="s">
        <v>2474</v>
      </c>
      <c r="F520" s="884" t="s">
        <v>2432</v>
      </c>
      <c r="G520" s="884" t="s">
        <v>6915</v>
      </c>
      <c r="H520" s="886">
        <v>42461</v>
      </c>
      <c r="I520" s="887">
        <v>42487</v>
      </c>
      <c r="J520" s="958">
        <v>16</v>
      </c>
    </row>
    <row r="521" spans="1:10" s="84" customFormat="1" outlineLevel="2">
      <c r="A521" s="884" t="s">
        <v>2473</v>
      </c>
      <c r="B521" s="1050">
        <v>112120104000</v>
      </c>
      <c r="C521" s="885" t="s">
        <v>286</v>
      </c>
      <c r="D521" s="884"/>
      <c r="E521" s="884" t="s">
        <v>2474</v>
      </c>
      <c r="F521" s="884" t="s">
        <v>2432</v>
      </c>
      <c r="G521" s="884" t="s">
        <v>6915</v>
      </c>
      <c r="H521" s="886">
        <v>42461</v>
      </c>
      <c r="I521" s="887">
        <v>42487</v>
      </c>
      <c r="J521" s="958">
        <v>30</v>
      </c>
    </row>
    <row r="522" spans="1:10" s="84" customFormat="1" outlineLevel="2">
      <c r="A522" s="884" t="s">
        <v>2313</v>
      </c>
      <c r="B522" s="1050">
        <v>112120612180</v>
      </c>
      <c r="C522" s="885" t="s">
        <v>286</v>
      </c>
      <c r="D522" s="884"/>
      <c r="E522" s="884" t="s">
        <v>421</v>
      </c>
      <c r="F522" s="884" t="s">
        <v>2412</v>
      </c>
      <c r="G522" s="884" t="s">
        <v>6906</v>
      </c>
      <c r="H522" s="886">
        <v>42461</v>
      </c>
      <c r="I522" s="887">
        <v>42487</v>
      </c>
      <c r="J522" s="958">
        <v>58.6</v>
      </c>
    </row>
    <row r="523" spans="1:10" s="84" customFormat="1" outlineLevel="2">
      <c r="A523" s="884" t="s">
        <v>2606</v>
      </c>
      <c r="B523" s="1050">
        <v>112120612180</v>
      </c>
      <c r="C523" s="885" t="s">
        <v>286</v>
      </c>
      <c r="D523" s="884"/>
      <c r="E523" s="884" t="s">
        <v>421</v>
      </c>
      <c r="F523" s="884" t="s">
        <v>2412</v>
      </c>
      <c r="G523" s="884" t="s">
        <v>6906</v>
      </c>
      <c r="H523" s="886">
        <v>42461</v>
      </c>
      <c r="I523" s="887">
        <v>42487</v>
      </c>
      <c r="J523" s="958">
        <v>124.15</v>
      </c>
    </row>
    <row r="524" spans="1:10" s="84" customFormat="1" outlineLevel="2">
      <c r="A524" s="884" t="s">
        <v>2599</v>
      </c>
      <c r="B524" s="1050">
        <v>112120612060</v>
      </c>
      <c r="C524" s="885" t="s">
        <v>286</v>
      </c>
      <c r="D524" s="884"/>
      <c r="E524" s="884" t="s">
        <v>2457</v>
      </c>
      <c r="F524" s="884" t="s">
        <v>2458</v>
      </c>
      <c r="G524" s="884" t="s">
        <v>6866</v>
      </c>
      <c r="H524" s="886">
        <v>42430</v>
      </c>
      <c r="I524" s="887">
        <v>42487</v>
      </c>
      <c r="J524" s="958">
        <v>337.01</v>
      </c>
    </row>
    <row r="525" spans="1:10" s="84" customFormat="1" outlineLevel="2">
      <c r="A525" s="884" t="s">
        <v>6734</v>
      </c>
      <c r="B525" s="1050">
        <v>112120106000</v>
      </c>
      <c r="C525" s="885" t="s">
        <v>286</v>
      </c>
      <c r="D525" s="884"/>
      <c r="E525" s="884" t="s">
        <v>424</v>
      </c>
      <c r="F525" s="884" t="s">
        <v>422</v>
      </c>
      <c r="G525" s="884" t="s">
        <v>6735</v>
      </c>
      <c r="H525" s="886">
        <v>42430</v>
      </c>
      <c r="I525" s="887">
        <v>42488</v>
      </c>
      <c r="J525" s="958">
        <v>797</v>
      </c>
    </row>
    <row r="526" spans="1:10" s="84" customFormat="1" outlineLevel="2">
      <c r="A526" s="884" t="s">
        <v>2599</v>
      </c>
      <c r="B526" s="1050">
        <v>112120612060</v>
      </c>
      <c r="C526" s="885" t="s">
        <v>286</v>
      </c>
      <c r="D526" s="884"/>
      <c r="E526" s="884" t="s">
        <v>2457</v>
      </c>
      <c r="F526" s="884" t="s">
        <v>2458</v>
      </c>
      <c r="G526" s="884" t="s">
        <v>6867</v>
      </c>
      <c r="H526" s="886">
        <v>42430</v>
      </c>
      <c r="I526" s="887">
        <v>42489</v>
      </c>
      <c r="J526" s="958">
        <v>43.77</v>
      </c>
    </row>
    <row r="527" spans="1:10" s="84" customFormat="1" outlineLevel="2">
      <c r="A527" s="884" t="s">
        <v>6695</v>
      </c>
      <c r="B527" s="1050">
        <v>112120203010</v>
      </c>
      <c r="C527" s="885" t="s">
        <v>286</v>
      </c>
      <c r="D527" s="884"/>
      <c r="E527" s="884" t="s">
        <v>856</v>
      </c>
      <c r="F527" s="884" t="s">
        <v>428</v>
      </c>
      <c r="G527" s="884" t="s">
        <v>6696</v>
      </c>
      <c r="H527" s="886">
        <v>42430</v>
      </c>
      <c r="I527" s="887">
        <v>42489</v>
      </c>
      <c r="J527" s="958">
        <v>345</v>
      </c>
    </row>
    <row r="528" spans="1:10" s="84" customFormat="1" outlineLevel="2">
      <c r="A528" s="884" t="s">
        <v>6695</v>
      </c>
      <c r="B528" s="1050">
        <v>112120203010</v>
      </c>
      <c r="C528" s="885" t="s">
        <v>286</v>
      </c>
      <c r="D528" s="884"/>
      <c r="E528" s="884" t="s">
        <v>856</v>
      </c>
      <c r="F528" s="884" t="s">
        <v>426</v>
      </c>
      <c r="G528" s="884" t="s">
        <v>6697</v>
      </c>
      <c r="H528" s="886">
        <v>42461</v>
      </c>
      <c r="I528" s="887">
        <v>42489</v>
      </c>
      <c r="J528" s="958">
        <v>-4.4800000000000004</v>
      </c>
    </row>
    <row r="529" spans="1:10" s="84" customFormat="1" outlineLevel="2">
      <c r="A529" s="884" t="s">
        <v>2315</v>
      </c>
      <c r="B529" s="1050" t="s">
        <v>6992</v>
      </c>
      <c r="C529" s="885" t="s">
        <v>286</v>
      </c>
      <c r="D529" s="884"/>
      <c r="E529" s="884" t="s">
        <v>2306</v>
      </c>
      <c r="F529" s="884" t="s">
        <v>2310</v>
      </c>
      <c r="G529" s="884">
        <v>1299124</v>
      </c>
      <c r="H529" s="886">
        <v>42461</v>
      </c>
      <c r="I529" s="887">
        <v>42489</v>
      </c>
      <c r="J529" s="958">
        <v>911.2</v>
      </c>
    </row>
    <row r="530" spans="1:10" s="84" customFormat="1" outlineLevel="2">
      <c r="A530" s="884" t="s">
        <v>2315</v>
      </c>
      <c r="B530" s="1050" t="s">
        <v>6992</v>
      </c>
      <c r="C530" s="885" t="s">
        <v>286</v>
      </c>
      <c r="D530" s="884"/>
      <c r="E530" s="884" t="s">
        <v>2306</v>
      </c>
      <c r="F530" s="884" t="s">
        <v>2310</v>
      </c>
      <c r="G530" s="884">
        <v>1299131</v>
      </c>
      <c r="H530" s="886">
        <v>42461</v>
      </c>
      <c r="I530" s="887">
        <v>42489</v>
      </c>
      <c r="J530" s="958">
        <v>911.2</v>
      </c>
    </row>
    <row r="531" spans="1:10" s="84" customFormat="1" outlineLevel="2">
      <c r="A531" s="884" t="s">
        <v>2313</v>
      </c>
      <c r="B531" s="1050" t="s">
        <v>6991</v>
      </c>
      <c r="C531" s="885" t="s">
        <v>286</v>
      </c>
      <c r="D531" s="884"/>
      <c r="E531" s="884" t="s">
        <v>2306</v>
      </c>
      <c r="F531" s="884" t="s">
        <v>2307</v>
      </c>
      <c r="G531" s="884">
        <v>1282406</v>
      </c>
      <c r="H531" s="886">
        <v>42461</v>
      </c>
      <c r="I531" s="887">
        <v>42489</v>
      </c>
      <c r="J531" s="958">
        <v>175.83</v>
      </c>
    </row>
    <row r="532" spans="1:10" s="84" customFormat="1" outlineLevel="2">
      <c r="A532" s="884" t="s">
        <v>2315</v>
      </c>
      <c r="B532" s="1050" t="s">
        <v>6992</v>
      </c>
      <c r="C532" s="885" t="s">
        <v>286</v>
      </c>
      <c r="D532" s="884"/>
      <c r="E532" s="884" t="s">
        <v>2306</v>
      </c>
      <c r="F532" s="884" t="s">
        <v>2310</v>
      </c>
      <c r="G532" s="884">
        <v>1282408</v>
      </c>
      <c r="H532" s="886">
        <v>42461</v>
      </c>
      <c r="I532" s="887">
        <v>42489</v>
      </c>
      <c r="J532" s="958">
        <v>1058.92</v>
      </c>
    </row>
    <row r="533" spans="1:10" s="84" customFormat="1" outlineLevel="2">
      <c r="A533" s="884" t="s">
        <v>2315</v>
      </c>
      <c r="B533" s="1050" t="s">
        <v>6992</v>
      </c>
      <c r="C533" s="885" t="s">
        <v>286</v>
      </c>
      <c r="D533" s="884"/>
      <c r="E533" s="884" t="s">
        <v>2306</v>
      </c>
      <c r="F533" s="884" t="s">
        <v>2310</v>
      </c>
      <c r="G533" s="884">
        <v>1282412</v>
      </c>
      <c r="H533" s="886">
        <v>42461</v>
      </c>
      <c r="I533" s="887">
        <v>42489</v>
      </c>
      <c r="J533" s="958">
        <v>63.11</v>
      </c>
    </row>
    <row r="534" spans="1:10" s="84" customFormat="1" outlineLevel="2">
      <c r="A534" s="884" t="s">
        <v>2313</v>
      </c>
      <c r="B534" s="1050" t="s">
        <v>6991</v>
      </c>
      <c r="C534" s="885" t="s">
        <v>286</v>
      </c>
      <c r="D534" s="884"/>
      <c r="E534" s="884" t="s">
        <v>2306</v>
      </c>
      <c r="F534" s="884" t="s">
        <v>2307</v>
      </c>
      <c r="G534" s="884">
        <v>1282414</v>
      </c>
      <c r="H534" s="886">
        <v>42461</v>
      </c>
      <c r="I534" s="887">
        <v>42489</v>
      </c>
      <c r="J534" s="958">
        <v>50.17</v>
      </c>
    </row>
    <row r="535" spans="1:10" s="84" customFormat="1" outlineLevel="2">
      <c r="A535" s="884" t="s">
        <v>2313</v>
      </c>
      <c r="B535" s="1050" t="s">
        <v>6991</v>
      </c>
      <c r="C535" s="885" t="s">
        <v>286</v>
      </c>
      <c r="D535" s="884"/>
      <c r="E535" s="884" t="s">
        <v>2306</v>
      </c>
      <c r="F535" s="884" t="s">
        <v>2307</v>
      </c>
      <c r="G535" s="884">
        <v>1282404</v>
      </c>
      <c r="H535" s="886">
        <v>42461</v>
      </c>
      <c r="I535" s="887">
        <v>42489</v>
      </c>
      <c r="J535" s="958">
        <v>25.68</v>
      </c>
    </row>
    <row r="536" spans="1:10" s="84" customFormat="1" outlineLevel="2">
      <c r="A536" s="884" t="s">
        <v>2313</v>
      </c>
      <c r="B536" s="1050" t="s">
        <v>6991</v>
      </c>
      <c r="C536" s="885" t="s">
        <v>286</v>
      </c>
      <c r="D536" s="884"/>
      <c r="E536" s="884" t="s">
        <v>2306</v>
      </c>
      <c r="F536" s="884" t="s">
        <v>2307</v>
      </c>
      <c r="G536" s="884">
        <v>1282402</v>
      </c>
      <c r="H536" s="886">
        <v>42461</v>
      </c>
      <c r="I536" s="887">
        <v>42489</v>
      </c>
      <c r="J536" s="958">
        <v>162.57</v>
      </c>
    </row>
    <row r="537" spans="1:10" s="84" customFormat="1" outlineLevel="1">
      <c r="A537" s="884"/>
      <c r="B537" s="1050"/>
      <c r="C537" s="908" t="s">
        <v>286</v>
      </c>
      <c r="D537" s="928" t="str">
        <f>VLOOKUP(C537,$C$1102:$E$1189,3,FALSE)</f>
        <v>TOTAL POUPATEMPO CAMPINAS CENTRO</v>
      </c>
      <c r="E537" s="928"/>
      <c r="F537" s="928"/>
      <c r="G537" s="928"/>
      <c r="H537" s="911"/>
      <c r="I537" s="912"/>
      <c r="J537" s="966">
        <f>SUBTOTAL(9,J472:J536)</f>
        <v>17426.39</v>
      </c>
    </row>
    <row r="538" spans="1:10" s="84" customFormat="1" outlineLevel="2">
      <c r="A538" s="884" t="s">
        <v>2475</v>
      </c>
      <c r="B538" s="1050">
        <v>112120101060</v>
      </c>
      <c r="C538" s="885" t="s">
        <v>287</v>
      </c>
      <c r="D538" s="884"/>
      <c r="E538" s="884" t="s">
        <v>2476</v>
      </c>
      <c r="F538" s="884" t="s">
        <v>2441</v>
      </c>
      <c r="G538" s="884" t="s">
        <v>6921</v>
      </c>
      <c r="H538" s="886">
        <v>42401</v>
      </c>
      <c r="I538" s="887">
        <v>42461</v>
      </c>
      <c r="J538" s="958">
        <v>441</v>
      </c>
    </row>
    <row r="539" spans="1:10" s="84" customFormat="1" outlineLevel="2">
      <c r="A539" s="884" t="s">
        <v>2605</v>
      </c>
      <c r="B539" s="1050">
        <v>112120612060</v>
      </c>
      <c r="C539" s="885" t="s">
        <v>287</v>
      </c>
      <c r="D539" s="884"/>
      <c r="E539" s="884" t="s">
        <v>2457</v>
      </c>
      <c r="F539" s="884" t="s">
        <v>2458</v>
      </c>
      <c r="G539" s="884" t="s">
        <v>6837</v>
      </c>
      <c r="H539" s="886">
        <v>42430</v>
      </c>
      <c r="I539" s="887">
        <v>42461</v>
      </c>
      <c r="J539" s="958">
        <v>37.200000000000003</v>
      </c>
    </row>
    <row r="540" spans="1:10" s="84" customFormat="1" outlineLevel="2">
      <c r="A540" s="884" t="s">
        <v>2423</v>
      </c>
      <c r="B540" s="1050">
        <v>112120604020</v>
      </c>
      <c r="C540" s="885" t="s">
        <v>287</v>
      </c>
      <c r="D540" s="884"/>
      <c r="E540" s="884" t="s">
        <v>2420</v>
      </c>
      <c r="F540" s="884" t="s">
        <v>432</v>
      </c>
      <c r="G540" s="884" t="s">
        <v>6702</v>
      </c>
      <c r="H540" s="886">
        <v>42401</v>
      </c>
      <c r="I540" s="887">
        <v>42461</v>
      </c>
      <c r="J540" s="958">
        <v>868.22</v>
      </c>
    </row>
    <row r="541" spans="1:10" s="84" customFormat="1" outlineLevel="2">
      <c r="A541" s="884" t="s">
        <v>2659</v>
      </c>
      <c r="B541" s="1050">
        <v>112120612030</v>
      </c>
      <c r="C541" s="885" t="s">
        <v>287</v>
      </c>
      <c r="D541" s="884"/>
      <c r="E541" s="884" t="s">
        <v>415</v>
      </c>
      <c r="F541" s="884" t="s">
        <v>2280</v>
      </c>
      <c r="G541" s="884" t="s">
        <v>6675</v>
      </c>
      <c r="H541" s="886">
        <v>42401</v>
      </c>
      <c r="I541" s="887">
        <v>42466</v>
      </c>
      <c r="J541" s="958">
        <v>168</v>
      </c>
    </row>
    <row r="542" spans="1:10" s="84" customFormat="1" outlineLevel="2">
      <c r="A542" s="884" t="s">
        <v>2660</v>
      </c>
      <c r="B542" s="1050">
        <v>112120612030</v>
      </c>
      <c r="C542" s="885" t="s">
        <v>287</v>
      </c>
      <c r="D542" s="884"/>
      <c r="E542" s="884" t="s">
        <v>415</v>
      </c>
      <c r="F542" s="884" t="s">
        <v>2280</v>
      </c>
      <c r="G542" s="884" t="s">
        <v>6675</v>
      </c>
      <c r="H542" s="886">
        <v>42401</v>
      </c>
      <c r="I542" s="887">
        <v>42466</v>
      </c>
      <c r="J542" s="958">
        <v>580</v>
      </c>
    </row>
    <row r="543" spans="1:10" s="84" customFormat="1" outlineLevel="2">
      <c r="A543" s="884" t="s">
        <v>2602</v>
      </c>
      <c r="B543" s="1050">
        <v>112120612030</v>
      </c>
      <c r="C543" s="885" t="s">
        <v>287</v>
      </c>
      <c r="D543" s="884"/>
      <c r="E543" s="884" t="s">
        <v>415</v>
      </c>
      <c r="F543" s="884" t="s">
        <v>2280</v>
      </c>
      <c r="G543" s="884" t="s">
        <v>6675</v>
      </c>
      <c r="H543" s="886">
        <v>42401</v>
      </c>
      <c r="I543" s="887">
        <v>42466</v>
      </c>
      <c r="J543" s="958">
        <v>75.900000000000006</v>
      </c>
    </row>
    <row r="544" spans="1:10" s="84" customFormat="1" outlineLevel="2">
      <c r="A544" s="884" t="s">
        <v>6676</v>
      </c>
      <c r="B544" s="1050">
        <v>112120612030</v>
      </c>
      <c r="C544" s="885" t="s">
        <v>287</v>
      </c>
      <c r="D544" s="884"/>
      <c r="E544" s="884" t="s">
        <v>415</v>
      </c>
      <c r="F544" s="884" t="s">
        <v>2280</v>
      </c>
      <c r="G544" s="884" t="s">
        <v>6675</v>
      </c>
      <c r="H544" s="886">
        <v>42401</v>
      </c>
      <c r="I544" s="887">
        <v>42466</v>
      </c>
      <c r="J544" s="958">
        <v>55.42</v>
      </c>
    </row>
    <row r="545" spans="1:10" s="84" customFormat="1" outlineLevel="2">
      <c r="A545" s="884" t="s">
        <v>2475</v>
      </c>
      <c r="B545" s="1050">
        <v>112120101060</v>
      </c>
      <c r="C545" s="885" t="s">
        <v>287</v>
      </c>
      <c r="D545" s="884"/>
      <c r="E545" s="884" t="s">
        <v>2476</v>
      </c>
      <c r="F545" s="884" t="s">
        <v>2441</v>
      </c>
      <c r="G545" s="884" t="s">
        <v>6925</v>
      </c>
      <c r="H545" s="886">
        <v>42430</v>
      </c>
      <c r="I545" s="887">
        <v>42467</v>
      </c>
      <c r="J545" s="958">
        <v>441</v>
      </c>
    </row>
    <row r="546" spans="1:10" s="84" customFormat="1" outlineLevel="2">
      <c r="A546" s="884" t="s">
        <v>2394</v>
      </c>
      <c r="B546" s="1050">
        <v>112120611040</v>
      </c>
      <c r="C546" s="885" t="s">
        <v>287</v>
      </c>
      <c r="D546" s="884"/>
      <c r="E546" s="884" t="s">
        <v>407</v>
      </c>
      <c r="F546" s="884" t="s">
        <v>2418</v>
      </c>
      <c r="G546" s="884" t="s">
        <v>6829</v>
      </c>
      <c r="H546" s="886">
        <v>42401</v>
      </c>
      <c r="I546" s="887">
        <v>42467</v>
      </c>
      <c r="J546" s="958">
        <v>4029.61</v>
      </c>
    </row>
    <row r="547" spans="1:10" s="84" customFormat="1" outlineLevel="2">
      <c r="A547" s="884" t="s">
        <v>2605</v>
      </c>
      <c r="B547" s="1050">
        <v>112120612060</v>
      </c>
      <c r="C547" s="885" t="s">
        <v>287</v>
      </c>
      <c r="D547" s="884"/>
      <c r="E547" s="884" t="s">
        <v>2457</v>
      </c>
      <c r="F547" s="884" t="s">
        <v>2458</v>
      </c>
      <c r="G547" s="884" t="s">
        <v>6842</v>
      </c>
      <c r="H547" s="886">
        <v>42430</v>
      </c>
      <c r="I547" s="887">
        <v>42471</v>
      </c>
      <c r="J547" s="958">
        <v>81.739999999999995</v>
      </c>
    </row>
    <row r="548" spans="1:10" s="84" customFormat="1" outlineLevel="2">
      <c r="A548" s="884" t="s">
        <v>2605</v>
      </c>
      <c r="B548" s="1050">
        <v>112120612060</v>
      </c>
      <c r="C548" s="885" t="s">
        <v>287</v>
      </c>
      <c r="D548" s="884"/>
      <c r="E548" s="884" t="s">
        <v>2457</v>
      </c>
      <c r="F548" s="884" t="s">
        <v>2458</v>
      </c>
      <c r="G548" s="884" t="s">
        <v>6843</v>
      </c>
      <c r="H548" s="886">
        <v>42430</v>
      </c>
      <c r="I548" s="887">
        <v>42471</v>
      </c>
      <c r="J548" s="958">
        <v>327.20999999999998</v>
      </c>
    </row>
    <row r="549" spans="1:10" s="84" customFormat="1" outlineLevel="2">
      <c r="A549" s="884" t="s">
        <v>2394</v>
      </c>
      <c r="B549" s="1050" t="s">
        <v>7732</v>
      </c>
      <c r="C549" s="885" t="s">
        <v>287</v>
      </c>
      <c r="D549" s="884"/>
      <c r="E549" s="884" t="s">
        <v>2282</v>
      </c>
      <c r="F549" s="884" t="s">
        <v>7204</v>
      </c>
      <c r="G549" s="884" t="s">
        <v>7205</v>
      </c>
      <c r="H549" s="886">
        <v>42401</v>
      </c>
      <c r="I549" s="887">
        <v>42471</v>
      </c>
      <c r="J549" s="958">
        <v>150.58000000000001</v>
      </c>
    </row>
    <row r="550" spans="1:10" s="84" customFormat="1" outlineLevel="2">
      <c r="A550" s="884" t="s">
        <v>2394</v>
      </c>
      <c r="B550" s="1050" t="s">
        <v>7732</v>
      </c>
      <c r="C550" s="885" t="s">
        <v>287</v>
      </c>
      <c r="D550" s="884"/>
      <c r="E550" s="884" t="s">
        <v>2282</v>
      </c>
      <c r="F550" s="884" t="s">
        <v>7206</v>
      </c>
      <c r="G550" s="884" t="s">
        <v>7207</v>
      </c>
      <c r="H550" s="886">
        <v>42401</v>
      </c>
      <c r="I550" s="887">
        <v>42471</v>
      </c>
      <c r="J550" s="958">
        <v>99.07</v>
      </c>
    </row>
    <row r="551" spans="1:10" s="84" customFormat="1" outlineLevel="2">
      <c r="A551" s="884" t="s">
        <v>2394</v>
      </c>
      <c r="B551" s="1050" t="s">
        <v>7732</v>
      </c>
      <c r="C551" s="885" t="s">
        <v>287</v>
      </c>
      <c r="D551" s="884"/>
      <c r="E551" s="884" t="s">
        <v>2282</v>
      </c>
      <c r="F551" s="884" t="s">
        <v>7208</v>
      </c>
      <c r="G551" s="884" t="s">
        <v>7209</v>
      </c>
      <c r="H551" s="886">
        <v>42401</v>
      </c>
      <c r="I551" s="887">
        <v>42471</v>
      </c>
      <c r="J551" s="958">
        <v>146.62</v>
      </c>
    </row>
    <row r="552" spans="1:10" s="84" customFormat="1" outlineLevel="2">
      <c r="A552" s="884" t="s">
        <v>2758</v>
      </c>
      <c r="B552" s="1050">
        <v>112120612010</v>
      </c>
      <c r="C552" s="885" t="s">
        <v>287</v>
      </c>
      <c r="D552" s="884"/>
      <c r="E552" s="884" t="s">
        <v>415</v>
      </c>
      <c r="F552" s="884" t="s">
        <v>435</v>
      </c>
      <c r="G552" s="884" t="s">
        <v>6677</v>
      </c>
      <c r="H552" s="886">
        <v>42430</v>
      </c>
      <c r="I552" s="887">
        <v>42472</v>
      </c>
      <c r="J552" s="958">
        <v>50.41</v>
      </c>
    </row>
    <row r="553" spans="1:10" s="84" customFormat="1" outlineLevel="2">
      <c r="A553" s="884" t="s">
        <v>2659</v>
      </c>
      <c r="B553" s="1050">
        <v>112120612010</v>
      </c>
      <c r="C553" s="885" t="s">
        <v>287</v>
      </c>
      <c r="D553" s="884"/>
      <c r="E553" s="884" t="s">
        <v>415</v>
      </c>
      <c r="F553" s="884" t="s">
        <v>435</v>
      </c>
      <c r="G553" s="884" t="s">
        <v>6677</v>
      </c>
      <c r="H553" s="886">
        <v>42430</v>
      </c>
      <c r="I553" s="887">
        <v>42472</v>
      </c>
      <c r="J553" s="958">
        <v>10</v>
      </c>
    </row>
    <row r="554" spans="1:10" s="84" customFormat="1" outlineLevel="2">
      <c r="A554" s="884" t="s">
        <v>2600</v>
      </c>
      <c r="B554" s="1050">
        <v>112120612010</v>
      </c>
      <c r="C554" s="885" t="s">
        <v>287</v>
      </c>
      <c r="D554" s="884"/>
      <c r="E554" s="884" t="s">
        <v>415</v>
      </c>
      <c r="F554" s="884" t="s">
        <v>435</v>
      </c>
      <c r="G554" s="884" t="s">
        <v>6677</v>
      </c>
      <c r="H554" s="886">
        <v>42430</v>
      </c>
      <c r="I554" s="887">
        <v>42472</v>
      </c>
      <c r="J554" s="958">
        <v>20</v>
      </c>
    </row>
    <row r="555" spans="1:10" s="84" customFormat="1" outlineLevel="2">
      <c r="A555" s="884" t="s">
        <v>2601</v>
      </c>
      <c r="B555" s="1050">
        <v>112120612010</v>
      </c>
      <c r="C555" s="885" t="s">
        <v>287</v>
      </c>
      <c r="D555" s="884"/>
      <c r="E555" s="884" t="s">
        <v>415</v>
      </c>
      <c r="F555" s="884" t="s">
        <v>435</v>
      </c>
      <c r="G555" s="884" t="s">
        <v>6677</v>
      </c>
      <c r="H555" s="886">
        <v>42430</v>
      </c>
      <c r="I555" s="887">
        <v>42472</v>
      </c>
      <c r="J555" s="958">
        <v>149.25</v>
      </c>
    </row>
    <row r="556" spans="1:10" s="84" customFormat="1" outlineLevel="2">
      <c r="A556" s="884" t="s">
        <v>2602</v>
      </c>
      <c r="B556" s="1050">
        <v>112120612010</v>
      </c>
      <c r="C556" s="885" t="s">
        <v>287</v>
      </c>
      <c r="D556" s="884"/>
      <c r="E556" s="884" t="s">
        <v>415</v>
      </c>
      <c r="F556" s="884" t="s">
        <v>435</v>
      </c>
      <c r="G556" s="884" t="s">
        <v>6677</v>
      </c>
      <c r="H556" s="886">
        <v>42430</v>
      </c>
      <c r="I556" s="887">
        <v>42472</v>
      </c>
      <c r="J556" s="958">
        <v>75.599999999999994</v>
      </c>
    </row>
    <row r="557" spans="1:10" s="84" customFormat="1" outlineLevel="2">
      <c r="A557" s="884" t="s">
        <v>2475</v>
      </c>
      <c r="B557" s="1050">
        <v>112120101060</v>
      </c>
      <c r="C557" s="885" t="s">
        <v>287</v>
      </c>
      <c r="D557" s="884"/>
      <c r="E557" s="884" t="s">
        <v>2476</v>
      </c>
      <c r="F557" s="884" t="s">
        <v>2441</v>
      </c>
      <c r="G557" s="884" t="s">
        <v>6926</v>
      </c>
      <c r="H557" s="886">
        <v>42401</v>
      </c>
      <c r="I557" s="887">
        <v>42473</v>
      </c>
      <c r="J557" s="958">
        <v>441</v>
      </c>
    </row>
    <row r="558" spans="1:10" s="84" customFormat="1" outlineLevel="2">
      <c r="A558" s="884" t="s">
        <v>2605</v>
      </c>
      <c r="B558" s="1050">
        <v>112120612060</v>
      </c>
      <c r="C558" s="885" t="s">
        <v>287</v>
      </c>
      <c r="D558" s="884"/>
      <c r="E558" s="884" t="s">
        <v>2457</v>
      </c>
      <c r="F558" s="884" t="s">
        <v>2458</v>
      </c>
      <c r="G558" s="884" t="s">
        <v>6853</v>
      </c>
      <c r="H558" s="886">
        <v>42430</v>
      </c>
      <c r="I558" s="887">
        <v>42474</v>
      </c>
      <c r="J558" s="958">
        <v>91.91</v>
      </c>
    </row>
    <row r="559" spans="1:10" s="84" customFormat="1" outlineLevel="2">
      <c r="A559" s="884" t="s">
        <v>2394</v>
      </c>
      <c r="B559" s="1050">
        <v>112120611040</v>
      </c>
      <c r="C559" s="885" t="s">
        <v>287</v>
      </c>
      <c r="D559" s="884"/>
      <c r="E559" s="884" t="s">
        <v>409</v>
      </c>
      <c r="F559" s="884" t="s">
        <v>2418</v>
      </c>
      <c r="G559" s="884" t="s">
        <v>6780</v>
      </c>
      <c r="H559" s="886">
        <v>42401</v>
      </c>
      <c r="I559" s="887">
        <v>42475</v>
      </c>
      <c r="J559" s="958">
        <v>5963.82</v>
      </c>
    </row>
    <row r="560" spans="1:10" s="84" customFormat="1" outlineLevel="2">
      <c r="A560" s="884" t="s">
        <v>2394</v>
      </c>
      <c r="B560" s="1050">
        <v>112120611040</v>
      </c>
      <c r="C560" s="885" t="s">
        <v>287</v>
      </c>
      <c r="D560" s="884"/>
      <c r="E560" s="884" t="s">
        <v>408</v>
      </c>
      <c r="F560" s="884" t="s">
        <v>2418</v>
      </c>
      <c r="G560" s="884" t="s">
        <v>6888</v>
      </c>
      <c r="H560" s="886">
        <v>42370</v>
      </c>
      <c r="I560" s="887">
        <v>42478</v>
      </c>
      <c r="J560" s="958">
        <v>6197.13</v>
      </c>
    </row>
    <row r="561" spans="1:10" s="84" customFormat="1" outlineLevel="2">
      <c r="A561" s="884" t="s">
        <v>2605</v>
      </c>
      <c r="B561" s="1050">
        <v>112120612060</v>
      </c>
      <c r="C561" s="885" t="s">
        <v>287</v>
      </c>
      <c r="D561" s="884"/>
      <c r="E561" s="884" t="s">
        <v>2457</v>
      </c>
      <c r="F561" s="884" t="s">
        <v>2458</v>
      </c>
      <c r="G561" s="884" t="s">
        <v>6855</v>
      </c>
      <c r="H561" s="886">
        <v>42430</v>
      </c>
      <c r="I561" s="887">
        <v>42478</v>
      </c>
      <c r="J561" s="958">
        <v>73.53</v>
      </c>
    </row>
    <row r="562" spans="1:10" s="84" customFormat="1" outlineLevel="2">
      <c r="A562" s="884" t="s">
        <v>2666</v>
      </c>
      <c r="B562" s="1050">
        <v>112120610030</v>
      </c>
      <c r="C562" s="885" t="s">
        <v>287</v>
      </c>
      <c r="D562" s="884"/>
      <c r="E562" s="884" t="s">
        <v>6727</v>
      </c>
      <c r="F562" s="884" t="s">
        <v>2667</v>
      </c>
      <c r="G562" s="884" t="s">
        <v>6728</v>
      </c>
      <c r="H562" s="886">
        <v>42430</v>
      </c>
      <c r="I562" s="887">
        <v>42478</v>
      </c>
      <c r="J562" s="958">
        <v>1586.69</v>
      </c>
    </row>
    <row r="563" spans="1:10" s="84" customFormat="1" outlineLevel="2">
      <c r="A563" s="884" t="s">
        <v>2317</v>
      </c>
      <c r="B563" s="1050">
        <v>112120612010</v>
      </c>
      <c r="C563" s="885" t="s">
        <v>287</v>
      </c>
      <c r="D563" s="884"/>
      <c r="E563" s="884" t="s">
        <v>6955</v>
      </c>
      <c r="F563" s="884" t="s">
        <v>435</v>
      </c>
      <c r="G563" s="884" t="s">
        <v>6956</v>
      </c>
      <c r="H563" s="886">
        <v>42430</v>
      </c>
      <c r="I563" s="887">
        <v>42479</v>
      </c>
      <c r="J563" s="958">
        <v>915</v>
      </c>
    </row>
    <row r="564" spans="1:10" s="84" customFormat="1" outlineLevel="2">
      <c r="A564" s="884" t="s">
        <v>2475</v>
      </c>
      <c r="B564" s="1050">
        <v>112120101060</v>
      </c>
      <c r="C564" s="885" t="s">
        <v>287</v>
      </c>
      <c r="D564" s="884"/>
      <c r="E564" s="884" t="s">
        <v>2476</v>
      </c>
      <c r="F564" s="884" t="s">
        <v>2441</v>
      </c>
      <c r="G564" s="884" t="s">
        <v>6930</v>
      </c>
      <c r="H564" s="886">
        <v>42401</v>
      </c>
      <c r="I564" s="887">
        <v>42480</v>
      </c>
      <c r="J564" s="958">
        <v>441</v>
      </c>
    </row>
    <row r="565" spans="1:10" s="84" customFormat="1" outlineLevel="2">
      <c r="A565" s="884" t="s">
        <v>2605</v>
      </c>
      <c r="B565" s="1050">
        <v>112120612060</v>
      </c>
      <c r="C565" s="885" t="s">
        <v>287</v>
      </c>
      <c r="D565" s="884"/>
      <c r="E565" s="884" t="s">
        <v>2457</v>
      </c>
      <c r="F565" s="884" t="s">
        <v>2458</v>
      </c>
      <c r="G565" s="884" t="s">
        <v>6861</v>
      </c>
      <c r="H565" s="886">
        <v>42430</v>
      </c>
      <c r="I565" s="887">
        <v>42480</v>
      </c>
      <c r="J565" s="958">
        <v>208.34</v>
      </c>
    </row>
    <row r="566" spans="1:10" s="84" customFormat="1" outlineLevel="2">
      <c r="A566" s="884" t="s">
        <v>2394</v>
      </c>
      <c r="B566" s="1050" t="s">
        <v>7732</v>
      </c>
      <c r="C566" s="885" t="s">
        <v>287</v>
      </c>
      <c r="D566" s="884"/>
      <c r="E566" s="884" t="s">
        <v>2336</v>
      </c>
      <c r="F566" s="884" t="s">
        <v>7122</v>
      </c>
      <c r="G566" s="884" t="s">
        <v>7123</v>
      </c>
      <c r="H566" s="886">
        <v>42401</v>
      </c>
      <c r="I566" s="887">
        <v>42480</v>
      </c>
      <c r="J566" s="958">
        <v>828.21</v>
      </c>
    </row>
    <row r="567" spans="1:10" s="84" customFormat="1" outlineLevel="2">
      <c r="A567" s="884" t="s">
        <v>2394</v>
      </c>
      <c r="B567" s="1050" t="s">
        <v>7732</v>
      </c>
      <c r="C567" s="885" t="s">
        <v>287</v>
      </c>
      <c r="D567" s="884"/>
      <c r="E567" s="884" t="s">
        <v>2336</v>
      </c>
      <c r="F567" s="884" t="s">
        <v>7124</v>
      </c>
      <c r="G567" s="884" t="s">
        <v>7125</v>
      </c>
      <c r="H567" s="886">
        <v>42401</v>
      </c>
      <c r="I567" s="887">
        <v>42480</v>
      </c>
      <c r="J567" s="958">
        <v>544.88</v>
      </c>
    </row>
    <row r="568" spans="1:10" s="84" customFormat="1" outlineLevel="2">
      <c r="A568" s="884" t="s">
        <v>2394</v>
      </c>
      <c r="B568" s="1050" t="s">
        <v>7732</v>
      </c>
      <c r="C568" s="885" t="s">
        <v>287</v>
      </c>
      <c r="D568" s="884"/>
      <c r="E568" s="884" t="s">
        <v>2336</v>
      </c>
      <c r="F568" s="884" t="s">
        <v>7126</v>
      </c>
      <c r="G568" s="884" t="s">
        <v>7127</v>
      </c>
      <c r="H568" s="886">
        <v>42401</v>
      </c>
      <c r="I568" s="887">
        <v>42480</v>
      </c>
      <c r="J568" s="958">
        <v>806.42</v>
      </c>
    </row>
    <row r="569" spans="1:10" s="84" customFormat="1" outlineLevel="2">
      <c r="A569" s="884" t="s">
        <v>2394</v>
      </c>
      <c r="B569" s="1050" t="s">
        <v>7732</v>
      </c>
      <c r="C569" s="885" t="s">
        <v>287</v>
      </c>
      <c r="D569" s="884"/>
      <c r="E569" s="884" t="s">
        <v>1909</v>
      </c>
      <c r="F569" s="884" t="s">
        <v>7428</v>
      </c>
      <c r="G569" s="884" t="s">
        <v>7429</v>
      </c>
      <c r="H569" s="886">
        <v>42401</v>
      </c>
      <c r="I569" s="887">
        <v>42480</v>
      </c>
      <c r="J569" s="958">
        <v>75.290000000000006</v>
      </c>
    </row>
    <row r="570" spans="1:10" s="84" customFormat="1" outlineLevel="2">
      <c r="A570" s="884" t="s">
        <v>2394</v>
      </c>
      <c r="B570" s="1050" t="s">
        <v>7732</v>
      </c>
      <c r="C570" s="885" t="s">
        <v>287</v>
      </c>
      <c r="D570" s="884"/>
      <c r="E570" s="884" t="s">
        <v>1909</v>
      </c>
      <c r="F570" s="884" t="s">
        <v>7494</v>
      </c>
      <c r="G570" s="884" t="s">
        <v>7495</v>
      </c>
      <c r="H570" s="886">
        <v>42401</v>
      </c>
      <c r="I570" s="887">
        <v>42480</v>
      </c>
      <c r="J570" s="958">
        <v>49.53</v>
      </c>
    </row>
    <row r="571" spans="1:10" s="84" customFormat="1" outlineLevel="2">
      <c r="A571" s="884" t="s">
        <v>2394</v>
      </c>
      <c r="B571" s="1050" t="s">
        <v>7732</v>
      </c>
      <c r="C571" s="885" t="s">
        <v>287</v>
      </c>
      <c r="D571" s="884"/>
      <c r="E571" s="884" t="s">
        <v>1909</v>
      </c>
      <c r="F571" s="884" t="s">
        <v>7554</v>
      </c>
      <c r="G571" s="884" t="s">
        <v>7555</v>
      </c>
      <c r="H571" s="886">
        <v>42401</v>
      </c>
      <c r="I571" s="887">
        <v>42480</v>
      </c>
      <c r="J571" s="958">
        <v>73.31</v>
      </c>
    </row>
    <row r="572" spans="1:10" s="84" customFormat="1" outlineLevel="2">
      <c r="A572" s="884" t="s">
        <v>2666</v>
      </c>
      <c r="B572" s="1050" t="s">
        <v>7732</v>
      </c>
      <c r="C572" s="885" t="s">
        <v>287</v>
      </c>
      <c r="D572" s="884"/>
      <c r="E572" s="884" t="s">
        <v>1909</v>
      </c>
      <c r="F572" s="884" t="s">
        <v>7572</v>
      </c>
      <c r="G572" s="884" t="s">
        <v>7573</v>
      </c>
      <c r="H572" s="886">
        <v>42430</v>
      </c>
      <c r="I572" s="887">
        <v>42480</v>
      </c>
      <c r="J572" s="958">
        <v>25.35</v>
      </c>
    </row>
    <row r="573" spans="1:10" s="84" customFormat="1" outlineLevel="2">
      <c r="A573" s="884" t="s">
        <v>2394</v>
      </c>
      <c r="B573" s="1050" t="s">
        <v>7732</v>
      </c>
      <c r="C573" s="885" t="s">
        <v>287</v>
      </c>
      <c r="D573" s="884"/>
      <c r="E573" s="884" t="s">
        <v>1909</v>
      </c>
      <c r="F573" s="884" t="s">
        <v>7640</v>
      </c>
      <c r="G573" s="884" t="s">
        <v>7641</v>
      </c>
      <c r="H573" s="886">
        <v>42370</v>
      </c>
      <c r="I573" s="887">
        <v>42480</v>
      </c>
      <c r="J573" s="958">
        <v>233.05</v>
      </c>
    </row>
    <row r="574" spans="1:10" s="84" customFormat="1" outlineLevel="2">
      <c r="A574" s="884" t="s">
        <v>2394</v>
      </c>
      <c r="B574" s="1050" t="s">
        <v>7732</v>
      </c>
      <c r="C574" s="885" t="s">
        <v>287</v>
      </c>
      <c r="D574" s="884"/>
      <c r="E574" s="884" t="s">
        <v>1909</v>
      </c>
      <c r="F574" s="884" t="s">
        <v>7694</v>
      </c>
      <c r="G574" s="884" t="s">
        <v>7695</v>
      </c>
      <c r="H574" s="886">
        <v>42370</v>
      </c>
      <c r="I574" s="887">
        <v>42480</v>
      </c>
      <c r="J574" s="958">
        <v>344.9</v>
      </c>
    </row>
    <row r="575" spans="1:10" s="84" customFormat="1" outlineLevel="2">
      <c r="A575" s="884" t="s">
        <v>2666</v>
      </c>
      <c r="B575" s="1050" t="s">
        <v>7732</v>
      </c>
      <c r="C575" s="885" t="s">
        <v>287</v>
      </c>
      <c r="D575" s="884"/>
      <c r="E575" s="884" t="s">
        <v>1909</v>
      </c>
      <c r="F575" s="884" t="s">
        <v>7724</v>
      </c>
      <c r="G575" s="884" t="s">
        <v>7725</v>
      </c>
      <c r="H575" s="886">
        <v>42370</v>
      </c>
      <c r="I575" s="887">
        <v>42480</v>
      </c>
      <c r="J575" s="958">
        <v>155.32</v>
      </c>
    </row>
    <row r="576" spans="1:10" s="84" customFormat="1" outlineLevel="2">
      <c r="A576" s="884" t="s">
        <v>2477</v>
      </c>
      <c r="B576" s="1050">
        <v>112120101060</v>
      </c>
      <c r="C576" s="885" t="s">
        <v>287</v>
      </c>
      <c r="D576" s="884"/>
      <c r="E576" s="884" t="s">
        <v>2476</v>
      </c>
      <c r="F576" s="884" t="s">
        <v>2441</v>
      </c>
      <c r="G576" s="884" t="s">
        <v>1033</v>
      </c>
      <c r="H576" s="886">
        <v>42430</v>
      </c>
      <c r="I576" s="887">
        <v>42485</v>
      </c>
      <c r="J576" s="958">
        <v>441</v>
      </c>
    </row>
    <row r="577" spans="1:10" s="84" customFormat="1" outlineLevel="2">
      <c r="A577" s="884" t="s">
        <v>2605</v>
      </c>
      <c r="B577" s="1050">
        <v>112120612060</v>
      </c>
      <c r="C577" s="885" t="s">
        <v>287</v>
      </c>
      <c r="D577" s="884"/>
      <c r="E577" s="884" t="s">
        <v>2457</v>
      </c>
      <c r="F577" s="884" t="s">
        <v>2458</v>
      </c>
      <c r="G577" s="884" t="s">
        <v>6866</v>
      </c>
      <c r="H577" s="886">
        <v>42430</v>
      </c>
      <c r="I577" s="887">
        <v>42487</v>
      </c>
      <c r="J577" s="958">
        <v>42.89</v>
      </c>
    </row>
    <row r="578" spans="1:10" s="84" customFormat="1" outlineLevel="2">
      <c r="A578" s="884" t="s">
        <v>2659</v>
      </c>
      <c r="B578" s="1050">
        <v>112120103020</v>
      </c>
      <c r="C578" s="885" t="s">
        <v>287</v>
      </c>
      <c r="D578" s="884"/>
      <c r="E578" s="884" t="s">
        <v>415</v>
      </c>
      <c r="F578" s="884" t="s">
        <v>2428</v>
      </c>
      <c r="G578" s="884" t="s">
        <v>6678</v>
      </c>
      <c r="H578" s="886">
        <v>42461</v>
      </c>
      <c r="I578" s="887">
        <v>42487</v>
      </c>
      <c r="J578" s="958">
        <v>20</v>
      </c>
    </row>
    <row r="579" spans="1:10" s="84" customFormat="1" outlineLevel="2">
      <c r="A579" s="884" t="s">
        <v>2600</v>
      </c>
      <c r="B579" s="1050">
        <v>112120103020</v>
      </c>
      <c r="C579" s="885" t="s">
        <v>287</v>
      </c>
      <c r="D579" s="884"/>
      <c r="E579" s="884" t="s">
        <v>415</v>
      </c>
      <c r="F579" s="884" t="s">
        <v>2428</v>
      </c>
      <c r="G579" s="884" t="s">
        <v>6678</v>
      </c>
      <c r="H579" s="886">
        <v>42461</v>
      </c>
      <c r="I579" s="887">
        <v>42487</v>
      </c>
      <c r="J579" s="958">
        <v>77</v>
      </c>
    </row>
    <row r="580" spans="1:10" s="84" customFormat="1" outlineLevel="2">
      <c r="A580" s="884" t="s">
        <v>2601</v>
      </c>
      <c r="B580" s="1050">
        <v>112120103020</v>
      </c>
      <c r="C580" s="885" t="s">
        <v>287</v>
      </c>
      <c r="D580" s="884"/>
      <c r="E580" s="884" t="s">
        <v>415</v>
      </c>
      <c r="F580" s="884" t="s">
        <v>2428</v>
      </c>
      <c r="G580" s="884" t="s">
        <v>6678</v>
      </c>
      <c r="H580" s="886">
        <v>42461</v>
      </c>
      <c r="I580" s="887">
        <v>42487</v>
      </c>
      <c r="J580" s="958">
        <v>104</v>
      </c>
    </row>
    <row r="581" spans="1:10" s="84" customFormat="1" outlineLevel="2">
      <c r="A581" s="884" t="s">
        <v>2660</v>
      </c>
      <c r="B581" s="1050">
        <v>112120103020</v>
      </c>
      <c r="C581" s="885" t="s">
        <v>287</v>
      </c>
      <c r="D581" s="884"/>
      <c r="E581" s="884" t="s">
        <v>415</v>
      </c>
      <c r="F581" s="884" t="s">
        <v>2428</v>
      </c>
      <c r="G581" s="884" t="s">
        <v>6678</v>
      </c>
      <c r="H581" s="886">
        <v>42461</v>
      </c>
      <c r="I581" s="887">
        <v>42487</v>
      </c>
      <c r="J581" s="958">
        <v>280</v>
      </c>
    </row>
    <row r="582" spans="1:10" s="84" customFormat="1" outlineLevel="2">
      <c r="A582" s="884" t="s">
        <v>2602</v>
      </c>
      <c r="B582" s="1050">
        <v>112120103020</v>
      </c>
      <c r="C582" s="885" t="s">
        <v>287</v>
      </c>
      <c r="D582" s="884"/>
      <c r="E582" s="884" t="s">
        <v>415</v>
      </c>
      <c r="F582" s="884" t="s">
        <v>2428</v>
      </c>
      <c r="G582" s="884" t="s">
        <v>6678</v>
      </c>
      <c r="H582" s="886">
        <v>42461</v>
      </c>
      <c r="I582" s="887">
        <v>42487</v>
      </c>
      <c r="J582" s="958">
        <v>148.9</v>
      </c>
    </row>
    <row r="583" spans="1:10" s="84" customFormat="1" outlineLevel="2">
      <c r="A583" s="884" t="s">
        <v>6676</v>
      </c>
      <c r="B583" s="1050">
        <v>112120103020</v>
      </c>
      <c r="C583" s="885" t="s">
        <v>287</v>
      </c>
      <c r="D583" s="884"/>
      <c r="E583" s="884" t="s">
        <v>415</v>
      </c>
      <c r="F583" s="884" t="s">
        <v>2428</v>
      </c>
      <c r="G583" s="884" t="s">
        <v>6678</v>
      </c>
      <c r="H583" s="886">
        <v>42461</v>
      </c>
      <c r="I583" s="887">
        <v>42487</v>
      </c>
      <c r="J583" s="958">
        <v>0</v>
      </c>
    </row>
    <row r="584" spans="1:10" s="84" customFormat="1" outlineLevel="2">
      <c r="A584" s="884" t="s">
        <v>2605</v>
      </c>
      <c r="B584" s="1050">
        <v>112120612010</v>
      </c>
      <c r="C584" s="885" t="s">
        <v>287</v>
      </c>
      <c r="D584" s="884"/>
      <c r="E584" s="884" t="s">
        <v>2457</v>
      </c>
      <c r="F584" s="884" t="s">
        <v>2458</v>
      </c>
      <c r="G584" s="884" t="s">
        <v>6867</v>
      </c>
      <c r="H584" s="886">
        <v>42430</v>
      </c>
      <c r="I584" s="887">
        <v>42489</v>
      </c>
      <c r="J584" s="958">
        <v>43.77</v>
      </c>
    </row>
    <row r="585" spans="1:10" s="84" customFormat="1" outlineLevel="2">
      <c r="A585" s="884" t="s">
        <v>2317</v>
      </c>
      <c r="B585" s="1050">
        <v>112120612010</v>
      </c>
      <c r="C585" s="885" t="s">
        <v>287</v>
      </c>
      <c r="D585" s="884"/>
      <c r="E585" s="884" t="s">
        <v>438</v>
      </c>
      <c r="F585" s="884" t="s">
        <v>2406</v>
      </c>
      <c r="G585" s="884" t="s">
        <v>5869</v>
      </c>
      <c r="H585" s="886">
        <v>42461</v>
      </c>
      <c r="I585" s="887">
        <v>42489</v>
      </c>
      <c r="J585" s="958">
        <v>235</v>
      </c>
    </row>
    <row r="586" spans="1:10" s="84" customFormat="1" outlineLevel="2">
      <c r="A586" s="884" t="s">
        <v>2318</v>
      </c>
      <c r="B586" s="1050" t="s">
        <v>6992</v>
      </c>
      <c r="C586" s="885" t="s">
        <v>287</v>
      </c>
      <c r="D586" s="884"/>
      <c r="E586" s="884" t="s">
        <v>2306</v>
      </c>
      <c r="F586" s="884" t="s">
        <v>2310</v>
      </c>
      <c r="G586" s="884">
        <v>1285166</v>
      </c>
      <c r="H586" s="886">
        <v>42461</v>
      </c>
      <c r="I586" s="887">
        <v>42489</v>
      </c>
      <c r="J586" s="958">
        <v>882.44</v>
      </c>
    </row>
    <row r="587" spans="1:10" s="84" customFormat="1" outlineLevel="2">
      <c r="A587" s="884" t="s">
        <v>2317</v>
      </c>
      <c r="B587" s="1050" t="s">
        <v>6991</v>
      </c>
      <c r="C587" s="885" t="s">
        <v>287</v>
      </c>
      <c r="D587" s="884"/>
      <c r="E587" s="884" t="s">
        <v>2306</v>
      </c>
      <c r="F587" s="884" t="s">
        <v>2307</v>
      </c>
      <c r="G587" s="884">
        <v>1291111</v>
      </c>
      <c r="H587" s="886">
        <v>42461</v>
      </c>
      <c r="I587" s="887">
        <v>42489</v>
      </c>
      <c r="J587" s="958">
        <v>101.44</v>
      </c>
    </row>
    <row r="588" spans="1:10" s="84" customFormat="1" outlineLevel="2">
      <c r="A588" s="884" t="s">
        <v>2318</v>
      </c>
      <c r="B588" s="1050" t="s">
        <v>6992</v>
      </c>
      <c r="C588" s="885" t="s">
        <v>287</v>
      </c>
      <c r="D588" s="884"/>
      <c r="E588" s="884" t="s">
        <v>2306</v>
      </c>
      <c r="F588" s="884" t="s">
        <v>2310</v>
      </c>
      <c r="G588" s="884">
        <v>1294116</v>
      </c>
      <c r="H588" s="886">
        <v>42461</v>
      </c>
      <c r="I588" s="887">
        <v>42489</v>
      </c>
      <c r="J588" s="958">
        <v>379.67</v>
      </c>
    </row>
    <row r="589" spans="1:10" s="84" customFormat="1" outlineLevel="2">
      <c r="A589" s="884" t="s">
        <v>2318</v>
      </c>
      <c r="B589" s="1050" t="s">
        <v>6992</v>
      </c>
      <c r="C589" s="885" t="s">
        <v>287</v>
      </c>
      <c r="D589" s="884"/>
      <c r="E589" s="884" t="s">
        <v>2306</v>
      </c>
      <c r="F589" s="884" t="s">
        <v>2310</v>
      </c>
      <c r="G589" s="884">
        <v>1297218</v>
      </c>
      <c r="H589" s="886">
        <v>42461</v>
      </c>
      <c r="I589" s="887">
        <v>42489</v>
      </c>
      <c r="J589" s="958">
        <v>379.67</v>
      </c>
    </row>
    <row r="590" spans="1:10" s="84" customFormat="1" outlineLevel="2">
      <c r="A590" s="884" t="s">
        <v>2317</v>
      </c>
      <c r="B590" s="1050" t="s">
        <v>6991</v>
      </c>
      <c r="C590" s="885" t="s">
        <v>287</v>
      </c>
      <c r="D590" s="884"/>
      <c r="E590" s="884" t="s">
        <v>2306</v>
      </c>
      <c r="F590" s="884" t="s">
        <v>2307</v>
      </c>
      <c r="G590" s="884">
        <v>1282578</v>
      </c>
      <c r="H590" s="886">
        <v>42461</v>
      </c>
      <c r="I590" s="887">
        <v>42489</v>
      </c>
      <c r="J590" s="958">
        <v>293.04000000000002</v>
      </c>
    </row>
    <row r="591" spans="1:10" s="84" customFormat="1" outlineLevel="2">
      <c r="A591" s="884" t="s">
        <v>2318</v>
      </c>
      <c r="B591" s="1050" t="s">
        <v>6992</v>
      </c>
      <c r="C591" s="885" t="s">
        <v>287</v>
      </c>
      <c r="D591" s="884"/>
      <c r="E591" s="884" t="s">
        <v>2306</v>
      </c>
      <c r="F591" s="884" t="s">
        <v>2310</v>
      </c>
      <c r="G591" s="884">
        <v>1282301</v>
      </c>
      <c r="H591" s="886">
        <v>42461</v>
      </c>
      <c r="I591" s="887">
        <v>42489</v>
      </c>
      <c r="J591" s="958">
        <v>1200.1099999999999</v>
      </c>
    </row>
    <row r="592" spans="1:10" s="84" customFormat="1" outlineLevel="2">
      <c r="A592" s="884" t="s">
        <v>2317</v>
      </c>
      <c r="B592" s="1050" t="s">
        <v>6991</v>
      </c>
      <c r="C592" s="885" t="s">
        <v>287</v>
      </c>
      <c r="D592" s="884"/>
      <c r="E592" s="884" t="s">
        <v>2306</v>
      </c>
      <c r="F592" s="884" t="s">
        <v>2307</v>
      </c>
      <c r="G592" s="884">
        <v>1282480</v>
      </c>
      <c r="H592" s="886">
        <v>42461</v>
      </c>
      <c r="I592" s="887">
        <v>42489</v>
      </c>
      <c r="J592" s="958">
        <v>17.12</v>
      </c>
    </row>
    <row r="593" spans="1:10" s="84" customFormat="1" outlineLevel="2">
      <c r="A593" s="884" t="s">
        <v>2318</v>
      </c>
      <c r="B593" s="1050" t="s">
        <v>6992</v>
      </c>
      <c r="C593" s="885" t="s">
        <v>287</v>
      </c>
      <c r="D593" s="884"/>
      <c r="E593" s="884" t="s">
        <v>2306</v>
      </c>
      <c r="F593" s="884" t="s">
        <v>2310</v>
      </c>
      <c r="G593" s="884">
        <v>1282484</v>
      </c>
      <c r="H593" s="886">
        <v>42461</v>
      </c>
      <c r="I593" s="887">
        <v>42489</v>
      </c>
      <c r="J593" s="958">
        <v>220.9</v>
      </c>
    </row>
    <row r="594" spans="1:10" s="84" customFormat="1" outlineLevel="2">
      <c r="A594" s="884" t="s">
        <v>2317</v>
      </c>
      <c r="B594" s="1050" t="s">
        <v>6991</v>
      </c>
      <c r="C594" s="885" t="s">
        <v>287</v>
      </c>
      <c r="D594" s="884"/>
      <c r="E594" s="884" t="s">
        <v>2306</v>
      </c>
      <c r="F594" s="884" t="s">
        <v>2307</v>
      </c>
      <c r="G594" s="884">
        <v>1282490</v>
      </c>
      <c r="H594" s="886">
        <v>42461</v>
      </c>
      <c r="I594" s="887">
        <v>42489</v>
      </c>
      <c r="J594" s="958">
        <v>139.88</v>
      </c>
    </row>
    <row r="595" spans="1:10" s="84" customFormat="1" outlineLevel="2">
      <c r="A595" s="884" t="s">
        <v>2317</v>
      </c>
      <c r="B595" s="1050" t="s">
        <v>6991</v>
      </c>
      <c r="C595" s="885" t="s">
        <v>287</v>
      </c>
      <c r="D595" s="884"/>
      <c r="E595" s="884" t="s">
        <v>2306</v>
      </c>
      <c r="F595" s="884" t="s">
        <v>2307</v>
      </c>
      <c r="G595" s="884">
        <v>1282488</v>
      </c>
      <c r="H595" s="886">
        <v>42461</v>
      </c>
      <c r="I595" s="887">
        <v>42489</v>
      </c>
      <c r="J595" s="958">
        <v>81.81</v>
      </c>
    </row>
    <row r="596" spans="1:10" s="84" customFormat="1" outlineLevel="2">
      <c r="A596" s="884" t="s">
        <v>2317</v>
      </c>
      <c r="B596" s="1050" t="s">
        <v>6991</v>
      </c>
      <c r="C596" s="885" t="s">
        <v>287</v>
      </c>
      <c r="D596" s="884"/>
      <c r="E596" s="884" t="s">
        <v>2306</v>
      </c>
      <c r="F596" s="884" t="s">
        <v>2307</v>
      </c>
      <c r="G596" s="884">
        <v>1282486</v>
      </c>
      <c r="H596" s="886">
        <v>42461</v>
      </c>
      <c r="I596" s="887">
        <v>42489</v>
      </c>
      <c r="J596" s="958">
        <v>50.17</v>
      </c>
    </row>
    <row r="597" spans="1:10" s="84" customFormat="1" outlineLevel="1">
      <c r="A597" s="884"/>
      <c r="B597" s="1050"/>
      <c r="C597" s="908" t="s">
        <v>287</v>
      </c>
      <c r="D597" s="928" t="str">
        <f>VLOOKUP(C597,$C$1102:$E$1189,3,FALSE)</f>
        <v>TOTAL POUPATEMPO SANTO AMARO</v>
      </c>
      <c r="E597" s="928"/>
      <c r="F597" s="928"/>
      <c r="G597" s="928"/>
      <c r="H597" s="911"/>
      <c r="I597" s="912"/>
      <c r="J597" s="966">
        <f>SUBTOTAL(9,J538:J596)</f>
        <v>32000.319999999992</v>
      </c>
    </row>
    <row r="598" spans="1:10" s="84" customFormat="1" outlineLevel="2">
      <c r="A598" s="884" t="s">
        <v>2421</v>
      </c>
      <c r="B598" s="1050">
        <v>112120604020</v>
      </c>
      <c r="C598" s="885" t="s">
        <v>288</v>
      </c>
      <c r="D598" s="884"/>
      <c r="E598" s="884" t="s">
        <v>2420</v>
      </c>
      <c r="F598" s="884" t="s">
        <v>432</v>
      </c>
      <c r="G598" s="884" t="s">
        <v>6699</v>
      </c>
      <c r="H598" s="886">
        <v>42401</v>
      </c>
      <c r="I598" s="887">
        <v>42461</v>
      </c>
      <c r="J598" s="958">
        <v>2102.04</v>
      </c>
    </row>
    <row r="599" spans="1:10" s="84" customFormat="1" outlineLevel="2">
      <c r="A599" s="884" t="s">
        <v>6916</v>
      </c>
      <c r="B599" s="1050">
        <v>112120601050</v>
      </c>
      <c r="C599" s="885" t="s">
        <v>288</v>
      </c>
      <c r="D599" s="884"/>
      <c r="E599" s="884" t="s">
        <v>1283</v>
      </c>
      <c r="F599" s="884" t="s">
        <v>404</v>
      </c>
      <c r="G599" s="884" t="s">
        <v>5540</v>
      </c>
      <c r="H599" s="886">
        <v>42430</v>
      </c>
      <c r="I599" s="887">
        <v>42464</v>
      </c>
      <c r="J599" s="958">
        <v>190</v>
      </c>
    </row>
    <row r="600" spans="1:10" s="84" customFormat="1" outlineLevel="2">
      <c r="A600" s="884" t="s">
        <v>2497</v>
      </c>
      <c r="B600" s="1050">
        <v>112120104000</v>
      </c>
      <c r="C600" s="885" t="s">
        <v>288</v>
      </c>
      <c r="D600" s="884"/>
      <c r="E600" s="884" t="s">
        <v>2495</v>
      </c>
      <c r="F600" s="884" t="s">
        <v>2432</v>
      </c>
      <c r="G600" s="884" t="s">
        <v>6978</v>
      </c>
      <c r="H600" s="886">
        <v>42430</v>
      </c>
      <c r="I600" s="887">
        <v>42465</v>
      </c>
      <c r="J600" s="958">
        <v>120.98</v>
      </c>
    </row>
    <row r="601" spans="1:10" s="84" customFormat="1" outlineLevel="2">
      <c r="A601" s="884" t="s">
        <v>2757</v>
      </c>
      <c r="B601" s="1050">
        <v>112120104000</v>
      </c>
      <c r="C601" s="885" t="s">
        <v>288</v>
      </c>
      <c r="D601" s="884"/>
      <c r="E601" s="884" t="s">
        <v>2495</v>
      </c>
      <c r="F601" s="884" t="s">
        <v>2432</v>
      </c>
      <c r="G601" s="884" t="s">
        <v>6978</v>
      </c>
      <c r="H601" s="886">
        <v>42430</v>
      </c>
      <c r="I601" s="887">
        <v>42465</v>
      </c>
      <c r="J601" s="958">
        <v>57</v>
      </c>
    </row>
    <row r="602" spans="1:10" s="84" customFormat="1" outlineLevel="2">
      <c r="A602" s="884" t="s">
        <v>2498</v>
      </c>
      <c r="B602" s="1050">
        <v>112120104000</v>
      </c>
      <c r="C602" s="885" t="s">
        <v>288</v>
      </c>
      <c r="D602" s="884"/>
      <c r="E602" s="884" t="s">
        <v>2495</v>
      </c>
      <c r="F602" s="884" t="s">
        <v>2432</v>
      </c>
      <c r="G602" s="884" t="s">
        <v>6978</v>
      </c>
      <c r="H602" s="886">
        <v>42430</v>
      </c>
      <c r="I602" s="887">
        <v>42465</v>
      </c>
      <c r="J602" s="958">
        <v>23.6</v>
      </c>
    </row>
    <row r="603" spans="1:10" s="84" customFormat="1" outlineLevel="2">
      <c r="A603" s="884" t="s">
        <v>6841</v>
      </c>
      <c r="B603" s="1050">
        <v>112120612060</v>
      </c>
      <c r="C603" s="885" t="s">
        <v>288</v>
      </c>
      <c r="D603" s="884"/>
      <c r="E603" s="884" t="s">
        <v>2457</v>
      </c>
      <c r="F603" s="884" t="s">
        <v>2458</v>
      </c>
      <c r="G603" s="884" t="s">
        <v>6840</v>
      </c>
      <c r="H603" s="886">
        <v>42430</v>
      </c>
      <c r="I603" s="887">
        <v>42467</v>
      </c>
      <c r="J603" s="958">
        <v>222.63</v>
      </c>
    </row>
    <row r="604" spans="1:10" s="84" customFormat="1" outlineLevel="2">
      <c r="A604" s="884" t="s">
        <v>2395</v>
      </c>
      <c r="B604" s="1050">
        <v>112120611040</v>
      </c>
      <c r="C604" s="885" t="s">
        <v>288</v>
      </c>
      <c r="D604" s="884"/>
      <c r="E604" s="884" t="s">
        <v>407</v>
      </c>
      <c r="F604" s="884" t="s">
        <v>2418</v>
      </c>
      <c r="G604" s="884" t="s">
        <v>6820</v>
      </c>
      <c r="H604" s="886">
        <v>42401</v>
      </c>
      <c r="I604" s="887">
        <v>42467</v>
      </c>
      <c r="J604" s="958">
        <v>1431.7</v>
      </c>
    </row>
    <row r="605" spans="1:10" s="84" customFormat="1" outlineLevel="2">
      <c r="A605" s="884" t="s">
        <v>2439</v>
      </c>
      <c r="B605" s="1050">
        <v>112120101060</v>
      </c>
      <c r="C605" s="885" t="s">
        <v>288</v>
      </c>
      <c r="D605" s="884"/>
      <c r="E605" s="884" t="s">
        <v>2440</v>
      </c>
      <c r="F605" s="884" t="s">
        <v>2441</v>
      </c>
      <c r="G605" s="884" t="s">
        <v>6731</v>
      </c>
      <c r="H605" s="886">
        <v>42401</v>
      </c>
      <c r="I605" s="887">
        <v>42467</v>
      </c>
      <c r="J605" s="958">
        <v>652.79999999999995</v>
      </c>
    </row>
    <row r="606" spans="1:10" s="84" customFormat="1" outlineLevel="2">
      <c r="A606" s="884" t="s">
        <v>6685</v>
      </c>
      <c r="B606" s="1050">
        <v>112120301010</v>
      </c>
      <c r="C606" s="885" t="s">
        <v>288</v>
      </c>
      <c r="D606" s="884"/>
      <c r="E606" s="884" t="s">
        <v>6686</v>
      </c>
      <c r="F606" s="884" t="s">
        <v>2609</v>
      </c>
      <c r="G606" s="884" t="s">
        <v>6687</v>
      </c>
      <c r="H606" s="886">
        <v>42430</v>
      </c>
      <c r="I606" s="887">
        <v>42473</v>
      </c>
      <c r="J606" s="958">
        <v>2782.8</v>
      </c>
    </row>
    <row r="607" spans="1:10" s="84" customFormat="1" outlineLevel="2">
      <c r="A607" s="884" t="s">
        <v>6841</v>
      </c>
      <c r="B607" s="1050">
        <v>112120612060</v>
      </c>
      <c r="C607" s="885" t="s">
        <v>288</v>
      </c>
      <c r="D607" s="884"/>
      <c r="E607" s="884" t="s">
        <v>2457</v>
      </c>
      <c r="F607" s="884" t="s">
        <v>2458</v>
      </c>
      <c r="G607" s="884" t="s">
        <v>6853</v>
      </c>
      <c r="H607" s="886">
        <v>42430</v>
      </c>
      <c r="I607" s="887">
        <v>42474</v>
      </c>
      <c r="J607" s="958">
        <v>61.27</v>
      </c>
    </row>
    <row r="608" spans="1:10" s="84" customFormat="1" outlineLevel="2">
      <c r="A608" s="884" t="s">
        <v>2395</v>
      </c>
      <c r="B608" s="1050">
        <v>112120611040</v>
      </c>
      <c r="C608" s="885" t="s">
        <v>288</v>
      </c>
      <c r="D608" s="884"/>
      <c r="E608" s="884" t="s">
        <v>409</v>
      </c>
      <c r="F608" s="884" t="s">
        <v>2418</v>
      </c>
      <c r="G608" s="884" t="s">
        <v>6772</v>
      </c>
      <c r="H608" s="886">
        <v>42401</v>
      </c>
      <c r="I608" s="887">
        <v>42475</v>
      </c>
      <c r="J608" s="958">
        <v>2118.94</v>
      </c>
    </row>
    <row r="609" spans="1:10" s="84" customFormat="1" outlineLevel="2">
      <c r="A609" s="884" t="s">
        <v>2760</v>
      </c>
      <c r="B609" s="1050">
        <v>112120101100</v>
      </c>
      <c r="C609" s="885" t="s">
        <v>288</v>
      </c>
      <c r="D609" s="884"/>
      <c r="E609" s="884" t="s">
        <v>414</v>
      </c>
      <c r="F609" s="884" t="s">
        <v>2427</v>
      </c>
      <c r="G609" s="884" t="s">
        <v>6704</v>
      </c>
      <c r="H609" s="886">
        <v>42461</v>
      </c>
      <c r="I609" s="887">
        <v>42475</v>
      </c>
      <c r="J609" s="958">
        <v>14.9</v>
      </c>
    </row>
    <row r="610" spans="1:10" s="84" customFormat="1" outlineLevel="2">
      <c r="A610" s="884" t="s">
        <v>2429</v>
      </c>
      <c r="B610" s="1050">
        <v>112120101100</v>
      </c>
      <c r="C610" s="885" t="s">
        <v>288</v>
      </c>
      <c r="D610" s="884"/>
      <c r="E610" s="884" t="s">
        <v>414</v>
      </c>
      <c r="F610" s="884" t="s">
        <v>2427</v>
      </c>
      <c r="G610" s="884" t="s">
        <v>6704</v>
      </c>
      <c r="H610" s="886">
        <v>42461</v>
      </c>
      <c r="I610" s="887">
        <v>42475</v>
      </c>
      <c r="J610" s="958">
        <v>48</v>
      </c>
    </row>
    <row r="611" spans="1:10" s="84" customFormat="1" outlineLevel="2">
      <c r="A611" s="884" t="s">
        <v>2431</v>
      </c>
      <c r="B611" s="1050">
        <v>112120101100</v>
      </c>
      <c r="C611" s="885" t="s">
        <v>288</v>
      </c>
      <c r="D611" s="884"/>
      <c r="E611" s="884" t="s">
        <v>414</v>
      </c>
      <c r="F611" s="884" t="s">
        <v>2427</v>
      </c>
      <c r="G611" s="884" t="s">
        <v>6704</v>
      </c>
      <c r="H611" s="886">
        <v>42461</v>
      </c>
      <c r="I611" s="887">
        <v>42475</v>
      </c>
      <c r="J611" s="958">
        <v>89.65</v>
      </c>
    </row>
    <row r="612" spans="1:10" s="84" customFormat="1" outlineLevel="2">
      <c r="A612" s="884" t="s">
        <v>2759</v>
      </c>
      <c r="B612" s="1050">
        <v>112120801030</v>
      </c>
      <c r="C612" s="885" t="s">
        <v>288</v>
      </c>
      <c r="D612" s="884"/>
      <c r="E612" s="884" t="s">
        <v>414</v>
      </c>
      <c r="F612" s="884" t="s">
        <v>121</v>
      </c>
      <c r="G612" s="884" t="s">
        <v>6705</v>
      </c>
      <c r="H612" s="886">
        <v>42430</v>
      </c>
      <c r="I612" s="887">
        <v>42475</v>
      </c>
      <c r="J612" s="958">
        <v>21.75</v>
      </c>
    </row>
    <row r="613" spans="1:10" s="84" customFormat="1" outlineLevel="2">
      <c r="A613" s="884" t="s">
        <v>2319</v>
      </c>
      <c r="B613" s="1050">
        <v>112120612030</v>
      </c>
      <c r="C613" s="885" t="s">
        <v>288</v>
      </c>
      <c r="D613" s="884"/>
      <c r="E613" s="884" t="s">
        <v>414</v>
      </c>
      <c r="F613" s="884" t="s">
        <v>2280</v>
      </c>
      <c r="G613" s="884" t="s">
        <v>6706</v>
      </c>
      <c r="H613" s="886">
        <v>42461</v>
      </c>
      <c r="I613" s="887">
        <v>42475</v>
      </c>
      <c r="J613" s="958">
        <v>49.9</v>
      </c>
    </row>
    <row r="614" spans="1:10" s="84" customFormat="1" outlineLevel="2">
      <c r="A614" s="884" t="s">
        <v>2430</v>
      </c>
      <c r="B614" s="1050">
        <v>112120612030</v>
      </c>
      <c r="C614" s="885" t="s">
        <v>288</v>
      </c>
      <c r="D614" s="884"/>
      <c r="E614" s="884" t="s">
        <v>414</v>
      </c>
      <c r="F614" s="884" t="s">
        <v>2280</v>
      </c>
      <c r="G614" s="884" t="s">
        <v>6706</v>
      </c>
      <c r="H614" s="886">
        <v>42461</v>
      </c>
      <c r="I614" s="887">
        <v>42475</v>
      </c>
      <c r="J614" s="958">
        <v>140</v>
      </c>
    </row>
    <row r="615" spans="1:10" s="84" customFormat="1" outlineLevel="2">
      <c r="A615" s="884" t="s">
        <v>2497</v>
      </c>
      <c r="B615" s="1050">
        <v>112120105010</v>
      </c>
      <c r="C615" s="885" t="s">
        <v>288</v>
      </c>
      <c r="D615" s="884"/>
      <c r="E615" s="884" t="s">
        <v>2495</v>
      </c>
      <c r="F615" s="884" t="s">
        <v>2408</v>
      </c>
      <c r="G615" s="884" t="s">
        <v>6981</v>
      </c>
      <c r="H615" s="886">
        <v>42430</v>
      </c>
      <c r="I615" s="887">
        <v>42478</v>
      </c>
      <c r="J615" s="958">
        <v>170.3</v>
      </c>
    </row>
    <row r="616" spans="1:10" s="84" customFormat="1" outlineLevel="2">
      <c r="A616" s="884" t="s">
        <v>2498</v>
      </c>
      <c r="B616" s="1050">
        <v>112120105010</v>
      </c>
      <c r="C616" s="885" t="s">
        <v>288</v>
      </c>
      <c r="D616" s="884"/>
      <c r="E616" s="884" t="s">
        <v>2495</v>
      </c>
      <c r="F616" s="884" t="s">
        <v>2408</v>
      </c>
      <c r="G616" s="884" t="s">
        <v>6981</v>
      </c>
      <c r="H616" s="886">
        <v>42430</v>
      </c>
      <c r="I616" s="887">
        <v>42478</v>
      </c>
      <c r="J616" s="958">
        <v>27.4</v>
      </c>
    </row>
    <row r="617" spans="1:10" s="84" customFormat="1" outlineLevel="2">
      <c r="A617" s="884" t="s">
        <v>2499</v>
      </c>
      <c r="B617" s="1050">
        <v>112120105010</v>
      </c>
      <c r="C617" s="885" t="s">
        <v>288</v>
      </c>
      <c r="D617" s="884"/>
      <c r="E617" s="884" t="s">
        <v>2495</v>
      </c>
      <c r="F617" s="884" t="s">
        <v>2408</v>
      </c>
      <c r="G617" s="884" t="s">
        <v>6981</v>
      </c>
      <c r="H617" s="886">
        <v>42430</v>
      </c>
      <c r="I617" s="887">
        <v>42478</v>
      </c>
      <c r="J617" s="958">
        <v>30</v>
      </c>
    </row>
    <row r="618" spans="1:10" s="84" customFormat="1" outlineLevel="2">
      <c r="A618" s="884" t="s">
        <v>6938</v>
      </c>
      <c r="B618" s="1050">
        <v>112120105010</v>
      </c>
      <c r="C618" s="885" t="s">
        <v>288</v>
      </c>
      <c r="D618" s="884"/>
      <c r="E618" s="884" t="s">
        <v>2658</v>
      </c>
      <c r="F618" s="884" t="s">
        <v>2408</v>
      </c>
      <c r="G618" s="884" t="s">
        <v>6939</v>
      </c>
      <c r="H618" s="886">
        <v>42461</v>
      </c>
      <c r="I618" s="887">
        <v>42478</v>
      </c>
      <c r="J618" s="958">
        <v>3.8</v>
      </c>
    </row>
    <row r="619" spans="1:10" s="84" customFormat="1" outlineLevel="2">
      <c r="A619" s="884" t="s">
        <v>2672</v>
      </c>
      <c r="B619" s="1050">
        <v>112120105010</v>
      </c>
      <c r="C619" s="885" t="s">
        <v>288</v>
      </c>
      <c r="D619" s="884"/>
      <c r="E619" s="884" t="s">
        <v>2658</v>
      </c>
      <c r="F619" s="884" t="s">
        <v>2408</v>
      </c>
      <c r="G619" s="884" t="s">
        <v>6939</v>
      </c>
      <c r="H619" s="886">
        <v>42461</v>
      </c>
      <c r="I619" s="887">
        <v>42478</v>
      </c>
      <c r="J619" s="958">
        <v>30.3</v>
      </c>
    </row>
    <row r="620" spans="1:10" s="84" customFormat="1" outlineLevel="2">
      <c r="A620" s="884" t="s">
        <v>2499</v>
      </c>
      <c r="B620" s="1050">
        <v>112120105010</v>
      </c>
      <c r="C620" s="885" t="s">
        <v>288</v>
      </c>
      <c r="D620" s="884"/>
      <c r="E620" s="884" t="s">
        <v>2658</v>
      </c>
      <c r="F620" s="884" t="s">
        <v>2408</v>
      </c>
      <c r="G620" s="884" t="s">
        <v>6939</v>
      </c>
      <c r="H620" s="886">
        <v>42461</v>
      </c>
      <c r="I620" s="887">
        <v>42478</v>
      </c>
      <c r="J620" s="958">
        <v>60</v>
      </c>
    </row>
    <row r="621" spans="1:10" s="84" customFormat="1" outlineLevel="2">
      <c r="A621" s="884" t="s">
        <v>2395</v>
      </c>
      <c r="B621" s="1050">
        <v>112120611040</v>
      </c>
      <c r="C621" s="885" t="s">
        <v>288</v>
      </c>
      <c r="D621" s="884"/>
      <c r="E621" s="884" t="s">
        <v>408</v>
      </c>
      <c r="F621" s="884" t="s">
        <v>2418</v>
      </c>
      <c r="G621" s="884" t="s">
        <v>6879</v>
      </c>
      <c r="H621" s="886">
        <v>42370</v>
      </c>
      <c r="I621" s="887">
        <v>42478</v>
      </c>
      <c r="J621" s="958">
        <v>2227.4899999999998</v>
      </c>
    </row>
    <row r="622" spans="1:10" s="84" customFormat="1" outlineLevel="2">
      <c r="A622" s="884" t="s">
        <v>2757</v>
      </c>
      <c r="B622" s="1050">
        <v>112120103030</v>
      </c>
      <c r="C622" s="885" t="s">
        <v>288</v>
      </c>
      <c r="D622" s="884"/>
      <c r="E622" s="884" t="s">
        <v>414</v>
      </c>
      <c r="F622" s="884" t="s">
        <v>2411</v>
      </c>
      <c r="G622" s="884" t="s">
        <v>6707</v>
      </c>
      <c r="H622" s="886">
        <v>42461</v>
      </c>
      <c r="I622" s="887">
        <v>42478</v>
      </c>
      <c r="J622" s="958">
        <v>148.19999999999999</v>
      </c>
    </row>
    <row r="623" spans="1:10" s="84" customFormat="1" outlineLevel="2">
      <c r="A623" s="884" t="s">
        <v>2431</v>
      </c>
      <c r="B623" s="1050">
        <v>112120103030</v>
      </c>
      <c r="C623" s="885" t="s">
        <v>288</v>
      </c>
      <c r="D623" s="884"/>
      <c r="E623" s="884" t="s">
        <v>414</v>
      </c>
      <c r="F623" s="884" t="s">
        <v>2411</v>
      </c>
      <c r="G623" s="884" t="s">
        <v>6707</v>
      </c>
      <c r="H623" s="886">
        <v>42461</v>
      </c>
      <c r="I623" s="887">
        <v>42478</v>
      </c>
      <c r="J623" s="958">
        <v>15</v>
      </c>
    </row>
    <row r="624" spans="1:10" s="84" customFormat="1" outlineLevel="2">
      <c r="A624" s="884" t="s">
        <v>2395</v>
      </c>
      <c r="B624" s="1050" t="s">
        <v>7732</v>
      </c>
      <c r="C624" s="885" t="s">
        <v>288</v>
      </c>
      <c r="D624" s="884"/>
      <c r="E624" s="884" t="s">
        <v>2336</v>
      </c>
      <c r="F624" s="884" t="s">
        <v>7130</v>
      </c>
      <c r="G624" s="884" t="s">
        <v>7131</v>
      </c>
      <c r="H624" s="886">
        <v>42401</v>
      </c>
      <c r="I624" s="887">
        <v>42480</v>
      </c>
      <c r="J624" s="958">
        <v>297.92</v>
      </c>
    </row>
    <row r="625" spans="1:10" s="84" customFormat="1" outlineLevel="2">
      <c r="A625" s="884" t="s">
        <v>2395</v>
      </c>
      <c r="B625" s="1050" t="s">
        <v>7732</v>
      </c>
      <c r="C625" s="885" t="s">
        <v>288</v>
      </c>
      <c r="D625" s="884"/>
      <c r="E625" s="884" t="s">
        <v>2336</v>
      </c>
      <c r="F625" s="884" t="s">
        <v>7128</v>
      </c>
      <c r="G625" s="884" t="s">
        <v>7129</v>
      </c>
      <c r="H625" s="886">
        <v>42401</v>
      </c>
      <c r="I625" s="887">
        <v>42480</v>
      </c>
      <c r="J625" s="958">
        <v>196</v>
      </c>
    </row>
    <row r="626" spans="1:10" s="84" customFormat="1" outlineLevel="2">
      <c r="A626" s="884" t="s">
        <v>2395</v>
      </c>
      <c r="B626" s="1050" t="s">
        <v>7732</v>
      </c>
      <c r="C626" s="885" t="s">
        <v>288</v>
      </c>
      <c r="D626" s="884"/>
      <c r="E626" s="884" t="s">
        <v>2336</v>
      </c>
      <c r="F626" s="884" t="s">
        <v>7132</v>
      </c>
      <c r="G626" s="884" t="s">
        <v>7133</v>
      </c>
      <c r="H626" s="886">
        <v>42401</v>
      </c>
      <c r="I626" s="887">
        <v>42480</v>
      </c>
      <c r="J626" s="958">
        <v>290.08</v>
      </c>
    </row>
    <row r="627" spans="1:10" s="84" customFormat="1" outlineLevel="2">
      <c r="A627" s="884" t="s">
        <v>2395</v>
      </c>
      <c r="B627" s="1050" t="s">
        <v>7732</v>
      </c>
      <c r="C627" s="885" t="s">
        <v>288</v>
      </c>
      <c r="D627" s="884"/>
      <c r="E627" s="884" t="s">
        <v>2347</v>
      </c>
      <c r="F627" s="884" t="s">
        <v>7348</v>
      </c>
      <c r="G627" s="884" t="s">
        <v>7349</v>
      </c>
      <c r="H627" s="886">
        <v>42401</v>
      </c>
      <c r="I627" s="887">
        <v>42480</v>
      </c>
      <c r="J627" s="958">
        <v>53.46</v>
      </c>
    </row>
    <row r="628" spans="1:10" s="84" customFormat="1" outlineLevel="2">
      <c r="A628" s="884" t="s">
        <v>2395</v>
      </c>
      <c r="B628" s="1050" t="s">
        <v>7732</v>
      </c>
      <c r="C628" s="885" t="s">
        <v>288</v>
      </c>
      <c r="D628" s="884"/>
      <c r="E628" s="884" t="s">
        <v>2347</v>
      </c>
      <c r="F628" s="884" t="s">
        <v>7350</v>
      </c>
      <c r="G628" s="884" t="s">
        <v>7351</v>
      </c>
      <c r="H628" s="886">
        <v>42401</v>
      </c>
      <c r="I628" s="887">
        <v>42480</v>
      </c>
      <c r="J628" s="958">
        <v>81.25</v>
      </c>
    </row>
    <row r="629" spans="1:10" s="84" customFormat="1" outlineLevel="2">
      <c r="A629" s="884" t="s">
        <v>2395</v>
      </c>
      <c r="B629" s="1050" t="s">
        <v>7732</v>
      </c>
      <c r="C629" s="885" t="s">
        <v>288</v>
      </c>
      <c r="D629" s="884"/>
      <c r="E629" s="884" t="s">
        <v>2347</v>
      </c>
      <c r="F629" s="884" t="s">
        <v>7352</v>
      </c>
      <c r="G629" s="884" t="s">
        <v>7353</v>
      </c>
      <c r="H629" s="886">
        <v>42401</v>
      </c>
      <c r="I629" s="887">
        <v>42480</v>
      </c>
      <c r="J629" s="958">
        <v>79.11</v>
      </c>
    </row>
    <row r="630" spans="1:10" s="84" customFormat="1" outlineLevel="2">
      <c r="A630" s="884" t="s">
        <v>2395</v>
      </c>
      <c r="B630" s="1050" t="s">
        <v>7732</v>
      </c>
      <c r="C630" s="885" t="s">
        <v>288</v>
      </c>
      <c r="D630" s="884"/>
      <c r="E630" s="884" t="s">
        <v>1909</v>
      </c>
      <c r="F630" s="884" t="s">
        <v>7408</v>
      </c>
      <c r="G630" s="884" t="s">
        <v>7409</v>
      </c>
      <c r="H630" s="886">
        <v>42401</v>
      </c>
      <c r="I630" s="887">
        <v>42480</v>
      </c>
      <c r="J630" s="958">
        <v>27.08</v>
      </c>
    </row>
    <row r="631" spans="1:10" s="84" customFormat="1" outlineLevel="2">
      <c r="A631" s="884" t="s">
        <v>2395</v>
      </c>
      <c r="B631" s="1050" t="s">
        <v>7732</v>
      </c>
      <c r="C631" s="885" t="s">
        <v>288</v>
      </c>
      <c r="D631" s="884"/>
      <c r="E631" s="884" t="s">
        <v>1909</v>
      </c>
      <c r="F631" s="884" t="s">
        <v>7476</v>
      </c>
      <c r="G631" s="884" t="s">
        <v>7477</v>
      </c>
      <c r="H631" s="886">
        <v>42401</v>
      </c>
      <c r="I631" s="887">
        <v>42480</v>
      </c>
      <c r="J631" s="958">
        <v>17.82</v>
      </c>
    </row>
    <row r="632" spans="1:10" s="84" customFormat="1" outlineLevel="2">
      <c r="A632" s="884" t="s">
        <v>2395</v>
      </c>
      <c r="B632" s="1050" t="s">
        <v>7732</v>
      </c>
      <c r="C632" s="885" t="s">
        <v>288</v>
      </c>
      <c r="D632" s="884"/>
      <c r="E632" s="884" t="s">
        <v>1909</v>
      </c>
      <c r="F632" s="884" t="s">
        <v>7538</v>
      </c>
      <c r="G632" s="884" t="s">
        <v>7539</v>
      </c>
      <c r="H632" s="886">
        <v>42401</v>
      </c>
      <c r="I632" s="887">
        <v>42480</v>
      </c>
      <c r="J632" s="958">
        <v>26.37</v>
      </c>
    </row>
    <row r="633" spans="1:10" s="84" customFormat="1" outlineLevel="2">
      <c r="A633" s="884" t="s">
        <v>2395</v>
      </c>
      <c r="B633" s="1050" t="s">
        <v>7732</v>
      </c>
      <c r="C633" s="885" t="s">
        <v>288</v>
      </c>
      <c r="D633" s="884"/>
      <c r="E633" s="884" t="s">
        <v>1909</v>
      </c>
      <c r="F633" s="884" t="s">
        <v>7596</v>
      </c>
      <c r="G633" s="884" t="s">
        <v>7597</v>
      </c>
      <c r="H633" s="886">
        <v>42370</v>
      </c>
      <c r="I633" s="887">
        <v>42480</v>
      </c>
      <c r="J633" s="958">
        <v>84.81</v>
      </c>
    </row>
    <row r="634" spans="1:10" s="84" customFormat="1" outlineLevel="2">
      <c r="A634" s="884" t="s">
        <v>2395</v>
      </c>
      <c r="B634" s="1050" t="s">
        <v>7732</v>
      </c>
      <c r="C634" s="885" t="s">
        <v>288</v>
      </c>
      <c r="D634" s="884"/>
      <c r="E634" s="884" t="s">
        <v>1909</v>
      </c>
      <c r="F634" s="884" t="s">
        <v>7660</v>
      </c>
      <c r="G634" s="884" t="s">
        <v>7661</v>
      </c>
      <c r="H634" s="886">
        <v>42370</v>
      </c>
      <c r="I634" s="887">
        <v>42480</v>
      </c>
      <c r="J634" s="958">
        <v>125.52</v>
      </c>
    </row>
    <row r="635" spans="1:10" s="84" customFormat="1" outlineLevel="2">
      <c r="A635" s="884" t="s">
        <v>2497</v>
      </c>
      <c r="B635" s="1050">
        <v>112120105010</v>
      </c>
      <c r="C635" s="885" t="s">
        <v>288</v>
      </c>
      <c r="D635" s="884"/>
      <c r="E635" s="884" t="s">
        <v>2495</v>
      </c>
      <c r="F635" s="884" t="s">
        <v>2408</v>
      </c>
      <c r="G635" s="884" t="s">
        <v>6983</v>
      </c>
      <c r="H635" s="886">
        <v>42461</v>
      </c>
      <c r="I635" s="887">
        <v>42482</v>
      </c>
      <c r="J635" s="958">
        <v>120.98</v>
      </c>
    </row>
    <row r="636" spans="1:10" s="84" customFormat="1" outlineLevel="2">
      <c r="A636" s="884" t="s">
        <v>2498</v>
      </c>
      <c r="B636" s="1050">
        <v>112120105010</v>
      </c>
      <c r="C636" s="885" t="s">
        <v>288</v>
      </c>
      <c r="D636" s="884"/>
      <c r="E636" s="884" t="s">
        <v>2495</v>
      </c>
      <c r="F636" s="884" t="s">
        <v>2408</v>
      </c>
      <c r="G636" s="884" t="s">
        <v>6983</v>
      </c>
      <c r="H636" s="886">
        <v>42461</v>
      </c>
      <c r="I636" s="887">
        <v>42482</v>
      </c>
      <c r="J636" s="958">
        <v>23.6</v>
      </c>
    </row>
    <row r="637" spans="1:10" s="84" customFormat="1" outlineLevel="2">
      <c r="A637" s="884" t="s">
        <v>2499</v>
      </c>
      <c r="B637" s="1050">
        <v>112120105010</v>
      </c>
      <c r="C637" s="885" t="s">
        <v>288</v>
      </c>
      <c r="D637" s="884"/>
      <c r="E637" s="884" t="s">
        <v>2495</v>
      </c>
      <c r="F637" s="884" t="s">
        <v>2408</v>
      </c>
      <c r="G637" s="884" t="s">
        <v>6983</v>
      </c>
      <c r="H637" s="886">
        <v>42461</v>
      </c>
      <c r="I637" s="887">
        <v>42482</v>
      </c>
      <c r="J637" s="958">
        <v>30</v>
      </c>
    </row>
    <row r="638" spans="1:10" s="84" customFormat="1" outlineLevel="2">
      <c r="A638" s="884" t="s">
        <v>2497</v>
      </c>
      <c r="B638" s="1050">
        <v>112120105010</v>
      </c>
      <c r="C638" s="885" t="s">
        <v>288</v>
      </c>
      <c r="D638" s="884"/>
      <c r="E638" s="884" t="s">
        <v>2658</v>
      </c>
      <c r="F638" s="884" t="s">
        <v>2408</v>
      </c>
      <c r="G638" s="884" t="s">
        <v>6940</v>
      </c>
      <c r="H638" s="886">
        <v>42430</v>
      </c>
      <c r="I638" s="887">
        <v>42482</v>
      </c>
      <c r="J638" s="958">
        <v>129.68</v>
      </c>
    </row>
    <row r="639" spans="1:10" s="84" customFormat="1" outlineLevel="2">
      <c r="A639" s="884" t="s">
        <v>2498</v>
      </c>
      <c r="B639" s="1050">
        <v>112120105010</v>
      </c>
      <c r="C639" s="885" t="s">
        <v>288</v>
      </c>
      <c r="D639" s="884"/>
      <c r="E639" s="884" t="s">
        <v>2658</v>
      </c>
      <c r="F639" s="884" t="s">
        <v>2408</v>
      </c>
      <c r="G639" s="884" t="s">
        <v>6940</v>
      </c>
      <c r="H639" s="886">
        <v>42430</v>
      </c>
      <c r="I639" s="887">
        <v>42482</v>
      </c>
      <c r="J639" s="958">
        <v>23.6</v>
      </c>
    </row>
    <row r="640" spans="1:10" s="84" customFormat="1" outlineLevel="2">
      <c r="A640" s="884" t="s">
        <v>2499</v>
      </c>
      <c r="B640" s="1050">
        <v>112120105010</v>
      </c>
      <c r="C640" s="885" t="s">
        <v>288</v>
      </c>
      <c r="D640" s="884"/>
      <c r="E640" s="884" t="s">
        <v>2658</v>
      </c>
      <c r="F640" s="884" t="s">
        <v>2408</v>
      </c>
      <c r="G640" s="884" t="s">
        <v>6940</v>
      </c>
      <c r="H640" s="886">
        <v>42430</v>
      </c>
      <c r="I640" s="887">
        <v>42482</v>
      </c>
      <c r="J640" s="958">
        <v>30</v>
      </c>
    </row>
    <row r="641" spans="1:10" s="84" customFormat="1" outlineLevel="2">
      <c r="A641" s="884" t="s">
        <v>2497</v>
      </c>
      <c r="B641" s="1050">
        <v>112120105010</v>
      </c>
      <c r="C641" s="885" t="s">
        <v>288</v>
      </c>
      <c r="D641" s="884"/>
      <c r="E641" s="884" t="s">
        <v>2495</v>
      </c>
      <c r="F641" s="884" t="s">
        <v>2408</v>
      </c>
      <c r="G641" s="884" t="s">
        <v>6984</v>
      </c>
      <c r="H641" s="886">
        <v>42430</v>
      </c>
      <c r="I641" s="887">
        <v>42486</v>
      </c>
      <c r="J641" s="958">
        <v>120.98</v>
      </c>
    </row>
    <row r="642" spans="1:10" s="84" customFormat="1" outlineLevel="2">
      <c r="A642" s="884" t="s">
        <v>2498</v>
      </c>
      <c r="B642" s="1050">
        <v>112120105010</v>
      </c>
      <c r="C642" s="885" t="s">
        <v>288</v>
      </c>
      <c r="D642" s="884"/>
      <c r="E642" s="884" t="s">
        <v>2495</v>
      </c>
      <c r="F642" s="884" t="s">
        <v>2408</v>
      </c>
      <c r="G642" s="884" t="s">
        <v>6984</v>
      </c>
      <c r="H642" s="886">
        <v>42430</v>
      </c>
      <c r="I642" s="887">
        <v>42486</v>
      </c>
      <c r="J642" s="958">
        <v>21</v>
      </c>
    </row>
    <row r="643" spans="1:10" s="84" customFormat="1" outlineLevel="2">
      <c r="A643" s="884" t="s">
        <v>2499</v>
      </c>
      <c r="B643" s="1050">
        <v>112120105010</v>
      </c>
      <c r="C643" s="885" t="s">
        <v>288</v>
      </c>
      <c r="D643" s="884"/>
      <c r="E643" s="884" t="s">
        <v>2495</v>
      </c>
      <c r="F643" s="884" t="s">
        <v>2408</v>
      </c>
      <c r="G643" s="884" t="s">
        <v>6984</v>
      </c>
      <c r="H643" s="886">
        <v>42430</v>
      </c>
      <c r="I643" s="887">
        <v>42486</v>
      </c>
      <c r="J643" s="958">
        <v>30</v>
      </c>
    </row>
    <row r="644" spans="1:10" s="84" customFormat="1" outlineLevel="2">
      <c r="A644" s="884" t="s">
        <v>2759</v>
      </c>
      <c r="B644" s="1050">
        <v>112120801030</v>
      </c>
      <c r="C644" s="885" t="s">
        <v>288</v>
      </c>
      <c r="D644" s="884"/>
      <c r="E644" s="884" t="s">
        <v>414</v>
      </c>
      <c r="F644" s="884" t="s">
        <v>121</v>
      </c>
      <c r="G644" s="884" t="s">
        <v>6708</v>
      </c>
      <c r="H644" s="886">
        <v>42461</v>
      </c>
      <c r="I644" s="887">
        <v>42486</v>
      </c>
      <c r="J644" s="958">
        <v>60.95</v>
      </c>
    </row>
    <row r="645" spans="1:10" s="84" customFormat="1" outlineLevel="2">
      <c r="A645" s="884" t="s">
        <v>2430</v>
      </c>
      <c r="B645" s="1050">
        <v>112120612030</v>
      </c>
      <c r="C645" s="885" t="s">
        <v>288</v>
      </c>
      <c r="D645" s="884"/>
      <c r="E645" s="884" t="s">
        <v>414</v>
      </c>
      <c r="F645" s="884" t="s">
        <v>2280</v>
      </c>
      <c r="G645" s="884" t="s">
        <v>6709</v>
      </c>
      <c r="H645" s="886">
        <v>42461</v>
      </c>
      <c r="I645" s="887">
        <v>42486</v>
      </c>
      <c r="J645" s="958">
        <v>70</v>
      </c>
    </row>
    <row r="646" spans="1:10" s="84" customFormat="1" outlineLevel="2">
      <c r="A646" s="884" t="s">
        <v>2431</v>
      </c>
      <c r="B646" s="1050">
        <v>112120612030</v>
      </c>
      <c r="C646" s="885" t="s">
        <v>288</v>
      </c>
      <c r="D646" s="884"/>
      <c r="E646" s="884" t="s">
        <v>414</v>
      </c>
      <c r="F646" s="884" t="s">
        <v>2280</v>
      </c>
      <c r="G646" s="884" t="s">
        <v>6709</v>
      </c>
      <c r="H646" s="886">
        <v>42461</v>
      </c>
      <c r="I646" s="887">
        <v>42486</v>
      </c>
      <c r="J646" s="958">
        <v>10.5</v>
      </c>
    </row>
    <row r="647" spans="1:10" s="84" customFormat="1" outlineLevel="2">
      <c r="A647" s="884" t="s">
        <v>2320</v>
      </c>
      <c r="B647" s="1050" t="s">
        <v>6992</v>
      </c>
      <c r="C647" s="885" t="s">
        <v>288</v>
      </c>
      <c r="D647" s="884"/>
      <c r="E647" s="884" t="s">
        <v>2306</v>
      </c>
      <c r="F647" s="884" t="s">
        <v>2310</v>
      </c>
      <c r="G647" s="884">
        <v>1290368</v>
      </c>
      <c r="H647" s="886">
        <v>42461</v>
      </c>
      <c r="I647" s="887">
        <v>42489</v>
      </c>
      <c r="J647" s="958">
        <v>705.95</v>
      </c>
    </row>
    <row r="648" spans="1:10" s="84" customFormat="1" outlineLevel="1">
      <c r="A648" s="884"/>
      <c r="B648" s="1050"/>
      <c r="C648" s="908" t="s">
        <v>288</v>
      </c>
      <c r="D648" s="928" t="str">
        <f>VLOOKUP(C648,$C$1102:$E$1189,3,FALSE)</f>
        <v>TOTAL POUPATEMPO SÃO JOSÉ DOS CAMPOS</v>
      </c>
      <c r="E648" s="928"/>
      <c r="F648" s="928"/>
      <c r="G648" s="928"/>
      <c r="H648" s="911"/>
      <c r="I648" s="912"/>
      <c r="J648" s="966">
        <f>SUBTOTAL(9,J598:J647)</f>
        <v>15497.109999999999</v>
      </c>
    </row>
    <row r="649" spans="1:10" s="84" customFormat="1" outlineLevel="2">
      <c r="A649" s="884" t="s">
        <v>2464</v>
      </c>
      <c r="B649" s="1050">
        <v>112120612060</v>
      </c>
      <c r="C649" s="885" t="s">
        <v>289</v>
      </c>
      <c r="D649" s="884"/>
      <c r="E649" s="884" t="s">
        <v>2457</v>
      </c>
      <c r="F649" s="884" t="s">
        <v>2458</v>
      </c>
      <c r="G649" s="884" t="s">
        <v>6837</v>
      </c>
      <c r="H649" s="886">
        <v>42430</v>
      </c>
      <c r="I649" s="887">
        <v>42461</v>
      </c>
      <c r="J649" s="958">
        <v>37.200000000000003</v>
      </c>
    </row>
    <row r="650" spans="1:10" s="84" customFormat="1" outlineLevel="2">
      <c r="A650" s="884" t="s">
        <v>2321</v>
      </c>
      <c r="B650" s="1050">
        <v>112120612010</v>
      </c>
      <c r="C650" s="885" t="s">
        <v>289</v>
      </c>
      <c r="D650" s="884"/>
      <c r="E650" s="884" t="s">
        <v>6740</v>
      </c>
      <c r="F650" s="884" t="s">
        <v>435</v>
      </c>
      <c r="G650" s="884" t="s">
        <v>6741</v>
      </c>
      <c r="H650" s="886">
        <v>42430</v>
      </c>
      <c r="I650" s="887">
        <v>42464</v>
      </c>
      <c r="J650" s="958">
        <v>1200</v>
      </c>
    </row>
    <row r="651" spans="1:10" s="84" customFormat="1" outlineLevel="2">
      <c r="A651" s="884" t="s">
        <v>2607</v>
      </c>
      <c r="B651" s="1050">
        <v>112120301010</v>
      </c>
      <c r="C651" s="885" t="s">
        <v>289</v>
      </c>
      <c r="D651" s="884"/>
      <c r="E651" s="884" t="s">
        <v>2608</v>
      </c>
      <c r="F651" s="884" t="s">
        <v>2609</v>
      </c>
      <c r="G651" s="884" t="s">
        <v>6937</v>
      </c>
      <c r="H651" s="886">
        <v>42430</v>
      </c>
      <c r="I651" s="887">
        <v>42466</v>
      </c>
      <c r="J651" s="958">
        <v>1317.84</v>
      </c>
    </row>
    <row r="652" spans="1:10" s="84" customFormat="1" outlineLevel="2">
      <c r="A652" s="884" t="s">
        <v>2396</v>
      </c>
      <c r="B652" s="1050">
        <v>112120611040</v>
      </c>
      <c r="C652" s="885" t="s">
        <v>289</v>
      </c>
      <c r="D652" s="884"/>
      <c r="E652" s="884" t="s">
        <v>407</v>
      </c>
      <c r="F652" s="884" t="s">
        <v>2418</v>
      </c>
      <c r="G652" s="884" t="s">
        <v>6831</v>
      </c>
      <c r="H652" s="886">
        <v>42401</v>
      </c>
      <c r="I652" s="887">
        <v>42467</v>
      </c>
      <c r="J652" s="958">
        <v>3294.75</v>
      </c>
    </row>
    <row r="653" spans="1:10" s="84" customFormat="1" outlineLevel="2">
      <c r="A653" s="884" t="s">
        <v>2321</v>
      </c>
      <c r="B653" s="1050">
        <v>112120612010</v>
      </c>
      <c r="C653" s="885" t="s">
        <v>289</v>
      </c>
      <c r="D653" s="884"/>
      <c r="E653" s="884" t="s">
        <v>6973</v>
      </c>
      <c r="F653" s="884" t="s">
        <v>435</v>
      </c>
      <c r="G653" s="884" t="s">
        <v>6974</v>
      </c>
      <c r="H653" s="886">
        <v>42430</v>
      </c>
      <c r="I653" s="887">
        <v>42471</v>
      </c>
      <c r="J653" s="958">
        <v>870</v>
      </c>
    </row>
    <row r="654" spans="1:10" s="84" customFormat="1" outlineLevel="2">
      <c r="A654" s="884" t="s">
        <v>2396</v>
      </c>
      <c r="B654" s="1050" t="s">
        <v>7732</v>
      </c>
      <c r="C654" s="885" t="s">
        <v>289</v>
      </c>
      <c r="D654" s="884"/>
      <c r="E654" s="884" t="s">
        <v>2282</v>
      </c>
      <c r="F654" s="884" t="s">
        <v>7210</v>
      </c>
      <c r="G654" s="884" t="s">
        <v>7211</v>
      </c>
      <c r="H654" s="886">
        <v>42401</v>
      </c>
      <c r="I654" s="887">
        <v>42471</v>
      </c>
      <c r="J654" s="958">
        <v>81</v>
      </c>
    </row>
    <row r="655" spans="1:10" s="84" customFormat="1" outlineLevel="2">
      <c r="A655" s="884" t="s">
        <v>2396</v>
      </c>
      <c r="B655" s="1050" t="s">
        <v>7732</v>
      </c>
      <c r="C655" s="885" t="s">
        <v>289</v>
      </c>
      <c r="D655" s="884"/>
      <c r="E655" s="884" t="s">
        <v>2282</v>
      </c>
      <c r="F655" s="884" t="s">
        <v>7212</v>
      </c>
      <c r="G655" s="884" t="s">
        <v>7213</v>
      </c>
      <c r="H655" s="886">
        <v>42401</v>
      </c>
      <c r="I655" s="887">
        <v>42471</v>
      </c>
      <c r="J655" s="958">
        <v>119.88</v>
      </c>
    </row>
    <row r="656" spans="1:10" s="84" customFormat="1" outlineLevel="2">
      <c r="A656" s="884" t="s">
        <v>2396</v>
      </c>
      <c r="B656" s="1050" t="s">
        <v>7732</v>
      </c>
      <c r="C656" s="885" t="s">
        <v>289</v>
      </c>
      <c r="D656" s="884"/>
      <c r="E656" s="884" t="s">
        <v>2282</v>
      </c>
      <c r="F656" s="884" t="s">
        <v>7214</v>
      </c>
      <c r="G656" s="884" t="s">
        <v>7215</v>
      </c>
      <c r="H656" s="886">
        <v>42401</v>
      </c>
      <c r="I656" s="887">
        <v>42471</v>
      </c>
      <c r="J656" s="958">
        <v>123.01</v>
      </c>
    </row>
    <row r="657" spans="1:10" s="84" customFormat="1" outlineLevel="2">
      <c r="A657" s="884" t="s">
        <v>2481</v>
      </c>
      <c r="B657" s="1050">
        <v>112120604020</v>
      </c>
      <c r="C657" s="885" t="s">
        <v>289</v>
      </c>
      <c r="D657" s="884"/>
      <c r="E657" s="884" t="s">
        <v>2482</v>
      </c>
      <c r="F657" s="884" t="s">
        <v>432</v>
      </c>
      <c r="G657" s="884" t="s">
        <v>6934</v>
      </c>
      <c r="H657" s="886">
        <v>42401</v>
      </c>
      <c r="I657" s="887">
        <v>42474</v>
      </c>
      <c r="J657" s="958">
        <v>1846.71</v>
      </c>
    </row>
    <row r="658" spans="1:10" s="84" customFormat="1" outlineLevel="2">
      <c r="A658" s="884" t="s">
        <v>2483</v>
      </c>
      <c r="B658" s="1050">
        <v>112120604020</v>
      </c>
      <c r="C658" s="885" t="s">
        <v>289</v>
      </c>
      <c r="D658" s="884"/>
      <c r="E658" s="884" t="s">
        <v>2482</v>
      </c>
      <c r="F658" s="884" t="s">
        <v>432</v>
      </c>
      <c r="G658" s="884" t="s">
        <v>6935</v>
      </c>
      <c r="H658" s="886">
        <v>42401</v>
      </c>
      <c r="I658" s="887">
        <v>42474</v>
      </c>
      <c r="J658" s="958">
        <v>741.29</v>
      </c>
    </row>
    <row r="659" spans="1:10" s="84" customFormat="1" outlineLevel="2">
      <c r="A659" s="884" t="s">
        <v>2464</v>
      </c>
      <c r="B659" s="1050">
        <v>112120612060</v>
      </c>
      <c r="C659" s="885" t="s">
        <v>289</v>
      </c>
      <c r="D659" s="884"/>
      <c r="E659" s="884" t="s">
        <v>2457</v>
      </c>
      <c r="F659" s="884" t="s">
        <v>2458</v>
      </c>
      <c r="G659" s="884" t="s">
        <v>6853</v>
      </c>
      <c r="H659" s="886">
        <v>42430</v>
      </c>
      <c r="I659" s="887">
        <v>42474</v>
      </c>
      <c r="J659" s="958">
        <v>91.91</v>
      </c>
    </row>
    <row r="660" spans="1:10" s="84" customFormat="1" outlineLevel="2">
      <c r="A660" s="884" t="s">
        <v>2486</v>
      </c>
      <c r="B660" s="1050">
        <v>112120612020</v>
      </c>
      <c r="C660" s="885" t="s">
        <v>289</v>
      </c>
      <c r="D660" s="884"/>
      <c r="E660" s="884" t="s">
        <v>419</v>
      </c>
      <c r="F660" s="884" t="s">
        <v>2623</v>
      </c>
      <c r="G660" s="884" t="s">
        <v>6950</v>
      </c>
      <c r="H660" s="886">
        <v>42401</v>
      </c>
      <c r="I660" s="887">
        <v>42475</v>
      </c>
      <c r="J660" s="958">
        <v>329.99</v>
      </c>
    </row>
    <row r="661" spans="1:10" s="84" customFormat="1" outlineLevel="2">
      <c r="A661" s="884" t="s">
        <v>2485</v>
      </c>
      <c r="B661" s="1050">
        <v>112120612020</v>
      </c>
      <c r="C661" s="885" t="s">
        <v>289</v>
      </c>
      <c r="D661" s="884"/>
      <c r="E661" s="884" t="s">
        <v>419</v>
      </c>
      <c r="F661" s="884" t="s">
        <v>2623</v>
      </c>
      <c r="G661" s="884" t="s">
        <v>6950</v>
      </c>
      <c r="H661" s="886">
        <v>42401</v>
      </c>
      <c r="I661" s="887">
        <v>42475</v>
      </c>
      <c r="J661" s="958">
        <v>32</v>
      </c>
    </row>
    <row r="662" spans="1:10" s="84" customFormat="1" outlineLevel="2">
      <c r="A662" s="884" t="s">
        <v>6951</v>
      </c>
      <c r="B662" s="1050">
        <v>112120612020</v>
      </c>
      <c r="C662" s="885" t="s">
        <v>289</v>
      </c>
      <c r="D662" s="884"/>
      <c r="E662" s="884" t="s">
        <v>419</v>
      </c>
      <c r="F662" s="884" t="s">
        <v>2623</v>
      </c>
      <c r="G662" s="884" t="s">
        <v>6950</v>
      </c>
      <c r="H662" s="886">
        <v>42401</v>
      </c>
      <c r="I662" s="887">
        <v>42475</v>
      </c>
      <c r="J662" s="958">
        <v>19</v>
      </c>
    </row>
    <row r="663" spans="1:10" s="84" customFormat="1" outlineLevel="2">
      <c r="A663" s="884" t="s">
        <v>2761</v>
      </c>
      <c r="B663" s="1050">
        <v>112120612020</v>
      </c>
      <c r="C663" s="885" t="s">
        <v>289</v>
      </c>
      <c r="D663" s="884"/>
      <c r="E663" s="884" t="s">
        <v>419</v>
      </c>
      <c r="F663" s="884" t="s">
        <v>2623</v>
      </c>
      <c r="G663" s="884" t="s">
        <v>6950</v>
      </c>
      <c r="H663" s="886">
        <v>42401</v>
      </c>
      <c r="I663" s="887">
        <v>42475</v>
      </c>
      <c r="J663" s="958">
        <v>3.8</v>
      </c>
    </row>
    <row r="664" spans="1:10" s="84" customFormat="1" outlineLevel="2">
      <c r="A664" s="884" t="s">
        <v>6952</v>
      </c>
      <c r="B664" s="1050">
        <v>112120612020</v>
      </c>
      <c r="C664" s="885" t="s">
        <v>289</v>
      </c>
      <c r="D664" s="884"/>
      <c r="E664" s="884" t="s">
        <v>419</v>
      </c>
      <c r="F664" s="884" t="s">
        <v>2623</v>
      </c>
      <c r="G664" s="884" t="s">
        <v>6950</v>
      </c>
      <c r="H664" s="886">
        <v>42401</v>
      </c>
      <c r="I664" s="887">
        <v>42475</v>
      </c>
      <c r="J664" s="958">
        <v>44.6</v>
      </c>
    </row>
    <row r="665" spans="1:10" s="84" customFormat="1" outlineLevel="2">
      <c r="A665" s="884" t="s">
        <v>6953</v>
      </c>
      <c r="B665" s="1050">
        <v>112120612020</v>
      </c>
      <c r="C665" s="885" t="s">
        <v>289</v>
      </c>
      <c r="D665" s="884"/>
      <c r="E665" s="884" t="s">
        <v>419</v>
      </c>
      <c r="F665" s="884" t="s">
        <v>2623</v>
      </c>
      <c r="G665" s="884" t="s">
        <v>6950</v>
      </c>
      <c r="H665" s="886">
        <v>42401</v>
      </c>
      <c r="I665" s="887">
        <v>42475</v>
      </c>
      <c r="J665" s="958">
        <v>240</v>
      </c>
    </row>
    <row r="666" spans="1:10" s="84" customFormat="1" outlineLevel="2">
      <c r="A666" s="884" t="s">
        <v>2396</v>
      </c>
      <c r="B666" s="1050">
        <v>112120611040</v>
      </c>
      <c r="C666" s="885" t="s">
        <v>289</v>
      </c>
      <c r="D666" s="884"/>
      <c r="E666" s="884" t="s">
        <v>409</v>
      </c>
      <c r="F666" s="884" t="s">
        <v>2418</v>
      </c>
      <c r="G666" s="884" t="s">
        <v>6782</v>
      </c>
      <c r="H666" s="886">
        <v>42401</v>
      </c>
      <c r="I666" s="887">
        <v>42475</v>
      </c>
      <c r="J666" s="958">
        <v>4876.2299999999996</v>
      </c>
    </row>
    <row r="667" spans="1:10" s="84" customFormat="1" outlineLevel="2">
      <c r="A667" s="884" t="s">
        <v>2396</v>
      </c>
      <c r="B667" s="1050">
        <v>112120611040</v>
      </c>
      <c r="C667" s="885" t="s">
        <v>289</v>
      </c>
      <c r="D667" s="884"/>
      <c r="E667" s="884" t="s">
        <v>408</v>
      </c>
      <c r="F667" s="884" t="s">
        <v>2418</v>
      </c>
      <c r="G667" s="884" t="s">
        <v>6898</v>
      </c>
      <c r="H667" s="886">
        <v>42370</v>
      </c>
      <c r="I667" s="887">
        <v>42478</v>
      </c>
      <c r="J667" s="958">
        <v>4997.82</v>
      </c>
    </row>
    <row r="668" spans="1:10" s="84" customFormat="1" outlineLevel="2">
      <c r="A668" s="884" t="s">
        <v>6835</v>
      </c>
      <c r="B668" s="1050">
        <v>112120101060</v>
      </c>
      <c r="C668" s="885" t="s">
        <v>289</v>
      </c>
      <c r="D668" s="884"/>
      <c r="E668" s="884" t="s">
        <v>2649</v>
      </c>
      <c r="F668" s="884" t="s">
        <v>2650</v>
      </c>
      <c r="G668" s="884" t="s">
        <v>6836</v>
      </c>
      <c r="H668" s="886">
        <v>42401</v>
      </c>
      <c r="I668" s="887">
        <v>42478</v>
      </c>
      <c r="J668" s="958">
        <v>1507.02</v>
      </c>
    </row>
    <row r="669" spans="1:10" s="84" customFormat="1" outlineLevel="2">
      <c r="A669" s="884" t="s">
        <v>2464</v>
      </c>
      <c r="B669" s="1050">
        <v>112120612060</v>
      </c>
      <c r="C669" s="885" t="s">
        <v>289</v>
      </c>
      <c r="D669" s="884"/>
      <c r="E669" s="884" t="s">
        <v>2457</v>
      </c>
      <c r="F669" s="884" t="s">
        <v>2458</v>
      </c>
      <c r="G669" s="884" t="s">
        <v>6861</v>
      </c>
      <c r="H669" s="886">
        <v>42430</v>
      </c>
      <c r="I669" s="887">
        <v>42480</v>
      </c>
      <c r="J669" s="958">
        <v>171.56</v>
      </c>
    </row>
    <row r="670" spans="1:10" s="84" customFormat="1" outlineLevel="2">
      <c r="A670" s="884" t="s">
        <v>2396</v>
      </c>
      <c r="B670" s="1050" t="s">
        <v>7732</v>
      </c>
      <c r="C670" s="885" t="s">
        <v>289</v>
      </c>
      <c r="D670" s="884"/>
      <c r="E670" s="884" t="s">
        <v>2336</v>
      </c>
      <c r="F670" s="884" t="s">
        <v>7134</v>
      </c>
      <c r="G670" s="884" t="s">
        <v>7135</v>
      </c>
      <c r="H670" s="886">
        <v>42401</v>
      </c>
      <c r="I670" s="887">
        <v>42480</v>
      </c>
      <c r="J670" s="958">
        <v>677.17</v>
      </c>
    </row>
    <row r="671" spans="1:10" s="84" customFormat="1" outlineLevel="2">
      <c r="A671" s="884" t="s">
        <v>2396</v>
      </c>
      <c r="B671" s="1050" t="s">
        <v>7732</v>
      </c>
      <c r="C671" s="885" t="s">
        <v>289</v>
      </c>
      <c r="D671" s="884"/>
      <c r="E671" s="884" t="s">
        <v>2336</v>
      </c>
      <c r="F671" s="884" t="s">
        <v>7136</v>
      </c>
      <c r="G671" s="884" t="s">
        <v>7137</v>
      </c>
      <c r="H671" s="886">
        <v>42401</v>
      </c>
      <c r="I671" s="887">
        <v>42480</v>
      </c>
      <c r="J671" s="958">
        <v>445.51</v>
      </c>
    </row>
    <row r="672" spans="1:10" s="84" customFormat="1" outlineLevel="2">
      <c r="A672" s="884" t="s">
        <v>2396</v>
      </c>
      <c r="B672" s="1050" t="s">
        <v>7732</v>
      </c>
      <c r="C672" s="885" t="s">
        <v>289</v>
      </c>
      <c r="D672" s="884"/>
      <c r="E672" s="884" t="s">
        <v>2336</v>
      </c>
      <c r="F672" s="884" t="s">
        <v>7138</v>
      </c>
      <c r="G672" s="884" t="s">
        <v>7139</v>
      </c>
      <c r="H672" s="886">
        <v>42401</v>
      </c>
      <c r="I672" s="887">
        <v>42480</v>
      </c>
      <c r="J672" s="958">
        <v>659.35</v>
      </c>
    </row>
    <row r="673" spans="1:10" s="84" customFormat="1" outlineLevel="2">
      <c r="A673" s="884" t="s">
        <v>2396</v>
      </c>
      <c r="B673" s="1050" t="s">
        <v>7732</v>
      </c>
      <c r="C673" s="885" t="s">
        <v>289</v>
      </c>
      <c r="D673" s="884"/>
      <c r="E673" s="884" t="s">
        <v>1909</v>
      </c>
      <c r="F673" s="884" t="s">
        <v>7432</v>
      </c>
      <c r="G673" s="884" t="s">
        <v>7433</v>
      </c>
      <c r="H673" s="886">
        <v>42401</v>
      </c>
      <c r="I673" s="887">
        <v>42480</v>
      </c>
      <c r="J673" s="958">
        <v>61.56</v>
      </c>
    </row>
    <row r="674" spans="1:10" s="84" customFormat="1" outlineLevel="2">
      <c r="A674" s="884" t="s">
        <v>6835</v>
      </c>
      <c r="B674" s="1050" t="s">
        <v>7732</v>
      </c>
      <c r="C674" s="885" t="s">
        <v>289</v>
      </c>
      <c r="D674" s="884"/>
      <c r="E674" s="884" t="s">
        <v>1909</v>
      </c>
      <c r="F674" s="884" t="s">
        <v>7442</v>
      </c>
      <c r="G674" s="884" t="s">
        <v>7443</v>
      </c>
      <c r="H674" s="886">
        <v>42401</v>
      </c>
      <c r="I674" s="887">
        <v>42480</v>
      </c>
      <c r="J674" s="958">
        <v>24.08</v>
      </c>
    </row>
    <row r="675" spans="1:10" s="84" customFormat="1" outlineLevel="2">
      <c r="A675" s="884" t="s">
        <v>2396</v>
      </c>
      <c r="B675" s="1050" t="s">
        <v>7732</v>
      </c>
      <c r="C675" s="885" t="s">
        <v>289</v>
      </c>
      <c r="D675" s="884"/>
      <c r="E675" s="884" t="s">
        <v>1909</v>
      </c>
      <c r="F675" s="884" t="s">
        <v>7498</v>
      </c>
      <c r="G675" s="884" t="s">
        <v>7499</v>
      </c>
      <c r="H675" s="886">
        <v>42401</v>
      </c>
      <c r="I675" s="887">
        <v>42480</v>
      </c>
      <c r="J675" s="958">
        <v>40.5</v>
      </c>
    </row>
    <row r="676" spans="1:10" s="84" customFormat="1" outlineLevel="2">
      <c r="A676" s="884" t="s">
        <v>2396</v>
      </c>
      <c r="B676" s="1050" t="s">
        <v>7732</v>
      </c>
      <c r="C676" s="885" t="s">
        <v>289</v>
      </c>
      <c r="D676" s="884"/>
      <c r="E676" s="884" t="s">
        <v>1909</v>
      </c>
      <c r="F676" s="884" t="s">
        <v>7558</v>
      </c>
      <c r="G676" s="884" t="s">
        <v>7559</v>
      </c>
      <c r="H676" s="886">
        <v>42401</v>
      </c>
      <c r="I676" s="887">
        <v>42480</v>
      </c>
      <c r="J676" s="958">
        <v>59.94</v>
      </c>
    </row>
    <row r="677" spans="1:10" s="84" customFormat="1" outlineLevel="2">
      <c r="A677" s="884" t="s">
        <v>2483</v>
      </c>
      <c r="B677" s="1050" t="s">
        <v>7732</v>
      </c>
      <c r="C677" s="885" t="s">
        <v>289</v>
      </c>
      <c r="D677" s="884"/>
      <c r="E677" s="884" t="s">
        <v>1909</v>
      </c>
      <c r="F677" s="884" t="s">
        <v>7590</v>
      </c>
      <c r="G677" s="884" t="s">
        <v>7591</v>
      </c>
      <c r="H677" s="886">
        <v>42370</v>
      </c>
      <c r="I677" s="887">
        <v>42480</v>
      </c>
      <c r="J677" s="958">
        <v>36.15</v>
      </c>
    </row>
    <row r="678" spans="1:10" s="84" customFormat="1" outlineLevel="2">
      <c r="A678" s="884" t="s">
        <v>2481</v>
      </c>
      <c r="B678" s="1050" t="s">
        <v>7732</v>
      </c>
      <c r="C678" s="885" t="s">
        <v>289</v>
      </c>
      <c r="D678" s="884"/>
      <c r="E678" s="884" t="s">
        <v>1909</v>
      </c>
      <c r="F678" s="884" t="s">
        <v>7592</v>
      </c>
      <c r="G678" s="884" t="s">
        <v>7593</v>
      </c>
      <c r="H678" s="886">
        <v>42370</v>
      </c>
      <c r="I678" s="887">
        <v>42480</v>
      </c>
      <c r="J678" s="958">
        <v>90.06</v>
      </c>
    </row>
    <row r="679" spans="1:10" s="84" customFormat="1" outlineLevel="2">
      <c r="A679" s="884" t="s">
        <v>2396</v>
      </c>
      <c r="B679" s="1050" t="s">
        <v>7732</v>
      </c>
      <c r="C679" s="885" t="s">
        <v>289</v>
      </c>
      <c r="D679" s="884"/>
      <c r="E679" s="884" t="s">
        <v>1909</v>
      </c>
      <c r="F679" s="884" t="s">
        <v>7650</v>
      </c>
      <c r="G679" s="884" t="s">
        <v>7651</v>
      </c>
      <c r="H679" s="886">
        <v>42370</v>
      </c>
      <c r="I679" s="887">
        <v>42480</v>
      </c>
      <c r="J679" s="958">
        <v>187.95</v>
      </c>
    </row>
    <row r="680" spans="1:10" s="84" customFormat="1" outlineLevel="2">
      <c r="A680" s="884" t="s">
        <v>2396</v>
      </c>
      <c r="B680" s="1050" t="s">
        <v>7732</v>
      </c>
      <c r="C680" s="885" t="s">
        <v>289</v>
      </c>
      <c r="D680" s="884"/>
      <c r="E680" s="884" t="s">
        <v>1909</v>
      </c>
      <c r="F680" s="884" t="s">
        <v>7712</v>
      </c>
      <c r="G680" s="884" t="s">
        <v>7713</v>
      </c>
      <c r="H680" s="886">
        <v>42370</v>
      </c>
      <c r="I680" s="887">
        <v>42480</v>
      </c>
      <c r="J680" s="958">
        <v>278.16000000000003</v>
      </c>
    </row>
    <row r="681" spans="1:10" s="84" customFormat="1" outlineLevel="2">
      <c r="A681" s="884" t="s">
        <v>2661</v>
      </c>
      <c r="B681" s="1050" t="s">
        <v>7732</v>
      </c>
      <c r="C681" s="885" t="s">
        <v>289</v>
      </c>
      <c r="D681" s="884"/>
      <c r="E681" s="884" t="s">
        <v>1909</v>
      </c>
      <c r="F681" s="884" t="s">
        <v>7726</v>
      </c>
      <c r="G681" s="884" t="s">
        <v>7727</v>
      </c>
      <c r="H681" s="886">
        <v>42401</v>
      </c>
      <c r="I681" s="887">
        <v>42480</v>
      </c>
      <c r="J681" s="958">
        <v>3.47</v>
      </c>
    </row>
    <row r="682" spans="1:10" s="84" customFormat="1" outlineLevel="2">
      <c r="A682" s="884" t="s">
        <v>2661</v>
      </c>
      <c r="B682" s="1050" t="s">
        <v>7732</v>
      </c>
      <c r="C682" s="885" t="s">
        <v>289</v>
      </c>
      <c r="D682" s="884"/>
      <c r="E682" s="884" t="s">
        <v>1909</v>
      </c>
      <c r="F682" s="884" t="s">
        <v>7726</v>
      </c>
      <c r="G682" s="884" t="s">
        <v>7728</v>
      </c>
      <c r="H682" s="886">
        <v>42401</v>
      </c>
      <c r="I682" s="887">
        <v>42480</v>
      </c>
      <c r="J682" s="958">
        <v>12.16</v>
      </c>
    </row>
    <row r="683" spans="1:10" s="84" customFormat="1" outlineLevel="2">
      <c r="A683" s="884" t="s">
        <v>2661</v>
      </c>
      <c r="B683" s="1050" t="s">
        <v>7732</v>
      </c>
      <c r="C683" s="885" t="s">
        <v>289</v>
      </c>
      <c r="D683" s="884"/>
      <c r="E683" s="884" t="s">
        <v>1909</v>
      </c>
      <c r="F683" s="884" t="s">
        <v>7729</v>
      </c>
      <c r="G683" s="884" t="s">
        <v>7730</v>
      </c>
      <c r="H683" s="886">
        <v>42401</v>
      </c>
      <c r="I683" s="887">
        <v>42480</v>
      </c>
      <c r="J683" s="958">
        <v>4.3899999999999997</v>
      </c>
    </row>
    <row r="684" spans="1:10" s="84" customFormat="1" outlineLevel="2">
      <c r="A684" s="884" t="s">
        <v>2661</v>
      </c>
      <c r="B684" s="1050" t="s">
        <v>7732</v>
      </c>
      <c r="C684" s="885" t="s">
        <v>289</v>
      </c>
      <c r="D684" s="884"/>
      <c r="E684" s="884" t="s">
        <v>1909</v>
      </c>
      <c r="F684" s="884" t="s">
        <v>7729</v>
      </c>
      <c r="G684" s="884" t="s">
        <v>7731</v>
      </c>
      <c r="H684" s="886">
        <v>42401</v>
      </c>
      <c r="I684" s="887">
        <v>42480</v>
      </c>
      <c r="J684" s="958">
        <v>13.19</v>
      </c>
    </row>
    <row r="685" spans="1:10" s="84" customFormat="1" outlineLevel="2">
      <c r="A685" s="884" t="s">
        <v>2464</v>
      </c>
      <c r="B685" s="1050">
        <v>112120612060</v>
      </c>
      <c r="C685" s="885" t="s">
        <v>289</v>
      </c>
      <c r="D685" s="884"/>
      <c r="E685" s="884" t="s">
        <v>2457</v>
      </c>
      <c r="F685" s="884" t="s">
        <v>2458</v>
      </c>
      <c r="G685" s="884" t="s">
        <v>6866</v>
      </c>
      <c r="H685" s="886">
        <v>42430</v>
      </c>
      <c r="I685" s="887">
        <v>42487</v>
      </c>
      <c r="J685" s="958">
        <v>42.89</v>
      </c>
    </row>
    <row r="686" spans="1:10" s="84" customFormat="1" outlineLevel="2">
      <c r="A686" s="884" t="s">
        <v>2464</v>
      </c>
      <c r="B686" s="1050">
        <v>112120612060</v>
      </c>
      <c r="C686" s="885" t="s">
        <v>289</v>
      </c>
      <c r="D686" s="884"/>
      <c r="E686" s="884" t="s">
        <v>2457</v>
      </c>
      <c r="F686" s="884" t="s">
        <v>2458</v>
      </c>
      <c r="G686" s="884" t="s">
        <v>6867</v>
      </c>
      <c r="H686" s="886">
        <v>42430</v>
      </c>
      <c r="I686" s="887">
        <v>42489</v>
      </c>
      <c r="J686" s="958">
        <v>43.77</v>
      </c>
    </row>
    <row r="687" spans="1:10" s="84" customFormat="1" outlineLevel="2">
      <c r="A687" s="884" t="s">
        <v>2322</v>
      </c>
      <c r="B687" s="1050" t="s">
        <v>6992</v>
      </c>
      <c r="C687" s="885" t="s">
        <v>289</v>
      </c>
      <c r="D687" s="884"/>
      <c r="E687" s="884" t="s">
        <v>2306</v>
      </c>
      <c r="F687" s="884" t="s">
        <v>2310</v>
      </c>
      <c r="G687" s="884">
        <v>1286211</v>
      </c>
      <c r="H687" s="886">
        <v>42461</v>
      </c>
      <c r="I687" s="887">
        <v>42489</v>
      </c>
      <c r="J687" s="958">
        <v>1235.4100000000001</v>
      </c>
    </row>
    <row r="688" spans="1:10" s="84" customFormat="1" outlineLevel="2">
      <c r="A688" s="884" t="s">
        <v>2322</v>
      </c>
      <c r="B688" s="1050" t="s">
        <v>6992</v>
      </c>
      <c r="C688" s="885" t="s">
        <v>289</v>
      </c>
      <c r="D688" s="884"/>
      <c r="E688" s="884" t="s">
        <v>2306</v>
      </c>
      <c r="F688" s="884" t="s">
        <v>2310</v>
      </c>
      <c r="G688" s="884">
        <v>1298184</v>
      </c>
      <c r="H688" s="886">
        <v>42461</v>
      </c>
      <c r="I688" s="887">
        <v>42489</v>
      </c>
      <c r="J688" s="958">
        <v>1764.87</v>
      </c>
    </row>
    <row r="689" spans="1:10" s="84" customFormat="1" outlineLevel="2">
      <c r="A689" s="884" t="s">
        <v>2322</v>
      </c>
      <c r="B689" s="1050" t="s">
        <v>6992</v>
      </c>
      <c r="C689" s="885" t="s">
        <v>289</v>
      </c>
      <c r="D689" s="884"/>
      <c r="E689" s="884" t="s">
        <v>2306</v>
      </c>
      <c r="F689" s="884" t="s">
        <v>2310</v>
      </c>
      <c r="G689" s="884">
        <v>1282456</v>
      </c>
      <c r="H689" s="886">
        <v>42461</v>
      </c>
      <c r="I689" s="887">
        <v>42489</v>
      </c>
      <c r="J689" s="958">
        <v>252.45</v>
      </c>
    </row>
    <row r="690" spans="1:10" s="84" customFormat="1" outlineLevel="2">
      <c r="A690" s="884" t="s">
        <v>2321</v>
      </c>
      <c r="B690" s="1050" t="s">
        <v>6991</v>
      </c>
      <c r="C690" s="885" t="s">
        <v>289</v>
      </c>
      <c r="D690" s="884"/>
      <c r="E690" s="884" t="s">
        <v>2306</v>
      </c>
      <c r="F690" s="884" t="s">
        <v>2307</v>
      </c>
      <c r="G690" s="884">
        <v>1282452</v>
      </c>
      <c r="H690" s="886">
        <v>42461</v>
      </c>
      <c r="I690" s="887">
        <v>42489</v>
      </c>
      <c r="J690" s="958">
        <v>293.04000000000002</v>
      </c>
    </row>
    <row r="691" spans="1:10" s="84" customFormat="1" outlineLevel="2">
      <c r="A691" s="884" t="s">
        <v>2321</v>
      </c>
      <c r="B691" s="1050" t="s">
        <v>6991</v>
      </c>
      <c r="C691" s="885" t="s">
        <v>289</v>
      </c>
      <c r="D691" s="884"/>
      <c r="E691" s="884" t="s">
        <v>2306</v>
      </c>
      <c r="F691" s="884" t="s">
        <v>2307</v>
      </c>
      <c r="G691" s="884">
        <v>1282450</v>
      </c>
      <c r="H691" s="886">
        <v>42461</v>
      </c>
      <c r="I691" s="887">
        <v>42489</v>
      </c>
      <c r="J691" s="958">
        <v>17.12</v>
      </c>
    </row>
    <row r="692" spans="1:10" s="84" customFormat="1" outlineLevel="1">
      <c r="A692" s="884"/>
      <c r="B692" s="1050"/>
      <c r="C692" s="908" t="s">
        <v>289</v>
      </c>
      <c r="D692" s="928" t="str">
        <f>VLOOKUP(C692,$C$1102:$E$1189,3,FALSE)</f>
        <v>TOTAL POUPATEMPO SÉ</v>
      </c>
      <c r="E692" s="928"/>
      <c r="F692" s="928"/>
      <c r="G692" s="928"/>
      <c r="H692" s="911"/>
      <c r="I692" s="912"/>
      <c r="J692" s="966">
        <f>SUBTOTAL(9,J649:J691)</f>
        <v>28188.799999999999</v>
      </c>
    </row>
    <row r="693" spans="1:10" s="84" customFormat="1" outlineLevel="2">
      <c r="A693" s="884" t="s">
        <v>2639</v>
      </c>
      <c r="B693" s="1050">
        <v>112120612060</v>
      </c>
      <c r="C693" s="885" t="s">
        <v>290</v>
      </c>
      <c r="D693" s="884"/>
      <c r="E693" s="884" t="s">
        <v>2457</v>
      </c>
      <c r="F693" s="884" t="s">
        <v>2458</v>
      </c>
      <c r="G693" s="884" t="s">
        <v>6837</v>
      </c>
      <c r="H693" s="886">
        <v>42430</v>
      </c>
      <c r="I693" s="887">
        <v>42461</v>
      </c>
      <c r="J693" s="958">
        <v>37.19</v>
      </c>
    </row>
    <row r="694" spans="1:10" s="84" customFormat="1" outlineLevel="2">
      <c r="A694" s="884" t="s">
        <v>2452</v>
      </c>
      <c r="B694" s="1050">
        <v>112120612160</v>
      </c>
      <c r="C694" s="885" t="s">
        <v>290</v>
      </c>
      <c r="D694" s="884"/>
      <c r="E694" s="884" t="s">
        <v>2450</v>
      </c>
      <c r="F694" s="884" t="s">
        <v>2456</v>
      </c>
      <c r="G694" s="884" t="s">
        <v>6795</v>
      </c>
      <c r="H694" s="886">
        <v>42430</v>
      </c>
      <c r="I694" s="887">
        <v>42461</v>
      </c>
      <c r="J694" s="958">
        <v>756.1</v>
      </c>
    </row>
    <row r="695" spans="1:10" s="84" customFormat="1" outlineLevel="2">
      <c r="A695" s="884" t="s">
        <v>2422</v>
      </c>
      <c r="B695" s="1050">
        <v>112120604020</v>
      </c>
      <c r="C695" s="885" t="s">
        <v>290</v>
      </c>
      <c r="D695" s="884"/>
      <c r="E695" s="884" t="s">
        <v>2420</v>
      </c>
      <c r="F695" s="884" t="s">
        <v>432</v>
      </c>
      <c r="G695" s="884" t="s">
        <v>6701</v>
      </c>
      <c r="H695" s="886">
        <v>42401</v>
      </c>
      <c r="I695" s="887">
        <v>42461</v>
      </c>
      <c r="J695" s="958">
        <v>1159.3</v>
      </c>
    </row>
    <row r="696" spans="1:10" s="84" customFormat="1" outlineLevel="2">
      <c r="A696" s="884" t="s">
        <v>2610</v>
      </c>
      <c r="B696" s="1050">
        <v>112120301010</v>
      </c>
      <c r="C696" s="885" t="s">
        <v>290</v>
      </c>
      <c r="D696" s="884"/>
      <c r="E696" s="884" t="s">
        <v>2608</v>
      </c>
      <c r="F696" s="884" t="s">
        <v>2609</v>
      </c>
      <c r="G696" s="884" t="s">
        <v>6936</v>
      </c>
      <c r="H696" s="886">
        <v>42430</v>
      </c>
      <c r="I696" s="887">
        <v>42464</v>
      </c>
      <c r="J696" s="958">
        <v>1803.36</v>
      </c>
    </row>
    <row r="697" spans="1:10" s="84" customFormat="1" outlineLevel="2">
      <c r="A697" s="884" t="s">
        <v>2477</v>
      </c>
      <c r="B697" s="1050">
        <v>112120101060</v>
      </c>
      <c r="C697" s="885" t="s">
        <v>290</v>
      </c>
      <c r="D697" s="884"/>
      <c r="E697" s="884" t="s">
        <v>2476</v>
      </c>
      <c r="F697" s="884" t="s">
        <v>2441</v>
      </c>
      <c r="G697" s="884" t="s">
        <v>948</v>
      </c>
      <c r="H697" s="886">
        <v>42430</v>
      </c>
      <c r="I697" s="887">
        <v>42464</v>
      </c>
      <c r="J697" s="958">
        <v>567</v>
      </c>
    </row>
    <row r="698" spans="1:10" s="84" customFormat="1" outlineLevel="2">
      <c r="A698" s="884" t="s">
        <v>2494</v>
      </c>
      <c r="B698" s="1050">
        <v>112120104000</v>
      </c>
      <c r="C698" s="885" t="s">
        <v>290</v>
      </c>
      <c r="D698" s="884"/>
      <c r="E698" s="884" t="s">
        <v>2495</v>
      </c>
      <c r="F698" s="884" t="s">
        <v>2432</v>
      </c>
      <c r="G698" s="884" t="s">
        <v>6975</v>
      </c>
      <c r="H698" s="886">
        <v>42430</v>
      </c>
      <c r="I698" s="887">
        <v>42465</v>
      </c>
      <c r="J698" s="958">
        <v>105.1</v>
      </c>
    </row>
    <row r="699" spans="1:10" s="84" customFormat="1" outlineLevel="2">
      <c r="A699" s="884" t="s">
        <v>2496</v>
      </c>
      <c r="B699" s="1050">
        <v>112120104000</v>
      </c>
      <c r="C699" s="885" t="s">
        <v>290</v>
      </c>
      <c r="D699" s="884"/>
      <c r="E699" s="884" t="s">
        <v>2495</v>
      </c>
      <c r="F699" s="884" t="s">
        <v>2432</v>
      </c>
      <c r="G699" s="884" t="s">
        <v>6975</v>
      </c>
      <c r="H699" s="886">
        <v>42430</v>
      </c>
      <c r="I699" s="887">
        <v>42465</v>
      </c>
      <c r="J699" s="958">
        <v>23.6</v>
      </c>
    </row>
    <row r="700" spans="1:10" s="84" customFormat="1" outlineLevel="2">
      <c r="A700" s="884" t="s">
        <v>2494</v>
      </c>
      <c r="B700" s="1050">
        <v>112120104000</v>
      </c>
      <c r="C700" s="885" t="s">
        <v>290</v>
      </c>
      <c r="D700" s="884"/>
      <c r="E700" s="884" t="s">
        <v>2495</v>
      </c>
      <c r="F700" s="884" t="s">
        <v>2432</v>
      </c>
      <c r="G700" s="884" t="s">
        <v>6976</v>
      </c>
      <c r="H700" s="886">
        <v>42430</v>
      </c>
      <c r="I700" s="887">
        <v>42465</v>
      </c>
      <c r="J700" s="958">
        <v>105.42</v>
      </c>
    </row>
    <row r="701" spans="1:10" s="84" customFormat="1" outlineLevel="2">
      <c r="A701" s="884" t="s">
        <v>2496</v>
      </c>
      <c r="B701" s="1050">
        <v>112120104000</v>
      </c>
      <c r="C701" s="885" t="s">
        <v>290</v>
      </c>
      <c r="D701" s="884"/>
      <c r="E701" s="884" t="s">
        <v>2495</v>
      </c>
      <c r="F701" s="884" t="s">
        <v>2432</v>
      </c>
      <c r="G701" s="884" t="s">
        <v>6976</v>
      </c>
      <c r="H701" s="886">
        <v>42430</v>
      </c>
      <c r="I701" s="887">
        <v>42465</v>
      </c>
      <c r="J701" s="958">
        <v>23.6</v>
      </c>
    </row>
    <row r="702" spans="1:10" s="84" customFormat="1" outlineLevel="2">
      <c r="A702" s="884" t="s">
        <v>2494</v>
      </c>
      <c r="B702" s="1050">
        <v>112120104000</v>
      </c>
      <c r="C702" s="885" t="s">
        <v>290</v>
      </c>
      <c r="D702" s="884"/>
      <c r="E702" s="884" t="s">
        <v>2495</v>
      </c>
      <c r="F702" s="884" t="s">
        <v>2432</v>
      </c>
      <c r="G702" s="884" t="s">
        <v>6977</v>
      </c>
      <c r="H702" s="886">
        <v>42430</v>
      </c>
      <c r="I702" s="887">
        <v>42465</v>
      </c>
      <c r="J702" s="958">
        <v>105.1</v>
      </c>
    </row>
    <row r="703" spans="1:10" s="84" customFormat="1" outlineLevel="2">
      <c r="A703" s="884" t="s">
        <v>2496</v>
      </c>
      <c r="B703" s="1050">
        <v>112120104000</v>
      </c>
      <c r="C703" s="885" t="s">
        <v>290</v>
      </c>
      <c r="D703" s="884"/>
      <c r="E703" s="884" t="s">
        <v>2495</v>
      </c>
      <c r="F703" s="884" t="s">
        <v>2432</v>
      </c>
      <c r="G703" s="884" t="s">
        <v>6977</v>
      </c>
      <c r="H703" s="886">
        <v>42430</v>
      </c>
      <c r="I703" s="887">
        <v>42465</v>
      </c>
      <c r="J703" s="958">
        <v>23.6</v>
      </c>
    </row>
    <row r="704" spans="1:10" s="84" customFormat="1" outlineLevel="2">
      <c r="A704" s="884" t="s">
        <v>2638</v>
      </c>
      <c r="B704" s="1050">
        <v>112120612160</v>
      </c>
      <c r="C704" s="885" t="s">
        <v>290</v>
      </c>
      <c r="D704" s="884"/>
      <c r="E704" s="884" t="s">
        <v>2450</v>
      </c>
      <c r="F704" s="884" t="s">
        <v>2456</v>
      </c>
      <c r="G704" s="884" t="s">
        <v>6796</v>
      </c>
      <c r="H704" s="886">
        <v>42430</v>
      </c>
      <c r="I704" s="887">
        <v>42465</v>
      </c>
      <c r="J704" s="958">
        <v>20</v>
      </c>
    </row>
    <row r="705" spans="1:10" s="84" customFormat="1" outlineLevel="2">
      <c r="A705" s="884" t="s">
        <v>2452</v>
      </c>
      <c r="B705" s="1050">
        <v>112120612160</v>
      </c>
      <c r="C705" s="885" t="s">
        <v>290</v>
      </c>
      <c r="D705" s="884"/>
      <c r="E705" s="884" t="s">
        <v>2450</v>
      </c>
      <c r="F705" s="884" t="s">
        <v>2456</v>
      </c>
      <c r="G705" s="884" t="s">
        <v>6796</v>
      </c>
      <c r="H705" s="886">
        <v>42430</v>
      </c>
      <c r="I705" s="887">
        <v>42465</v>
      </c>
      <c r="J705" s="958">
        <v>480</v>
      </c>
    </row>
    <row r="706" spans="1:10" s="84" customFormat="1" outlineLevel="2">
      <c r="A706" s="884" t="s">
        <v>2455</v>
      </c>
      <c r="B706" s="1050">
        <v>112120612160</v>
      </c>
      <c r="C706" s="885" t="s">
        <v>290</v>
      </c>
      <c r="D706" s="884"/>
      <c r="E706" s="884" t="s">
        <v>2450</v>
      </c>
      <c r="F706" s="884" t="s">
        <v>2456</v>
      </c>
      <c r="G706" s="884" t="s">
        <v>6796</v>
      </c>
      <c r="H706" s="886">
        <v>42430</v>
      </c>
      <c r="I706" s="887">
        <v>42465</v>
      </c>
      <c r="J706" s="958">
        <v>49.4</v>
      </c>
    </row>
    <row r="707" spans="1:10" s="84" customFormat="1" outlineLevel="2">
      <c r="A707" s="884" t="s">
        <v>2604</v>
      </c>
      <c r="B707" s="1050">
        <v>112120612010</v>
      </c>
      <c r="C707" s="885" t="s">
        <v>290</v>
      </c>
      <c r="D707" s="884"/>
      <c r="E707" s="884" t="s">
        <v>2450</v>
      </c>
      <c r="F707" s="884" t="s">
        <v>435</v>
      </c>
      <c r="G707" s="884" t="s">
        <v>6797</v>
      </c>
      <c r="H707" s="886">
        <v>42430</v>
      </c>
      <c r="I707" s="887">
        <v>42466</v>
      </c>
      <c r="J707" s="958">
        <v>49.4</v>
      </c>
    </row>
    <row r="708" spans="1:10" s="84" customFormat="1" outlineLevel="2">
      <c r="A708" s="884" t="s">
        <v>2449</v>
      </c>
      <c r="B708" s="1050">
        <v>112120612010</v>
      </c>
      <c r="C708" s="885" t="s">
        <v>290</v>
      </c>
      <c r="D708" s="884"/>
      <c r="E708" s="884" t="s">
        <v>2450</v>
      </c>
      <c r="F708" s="884" t="s">
        <v>435</v>
      </c>
      <c r="G708" s="884" t="s">
        <v>6797</v>
      </c>
      <c r="H708" s="886">
        <v>42430</v>
      </c>
      <c r="I708" s="887">
        <v>42466</v>
      </c>
      <c r="J708" s="958">
        <v>500</v>
      </c>
    </row>
    <row r="709" spans="1:10" s="84" customFormat="1" outlineLevel="2">
      <c r="A709" s="884" t="s">
        <v>2451</v>
      </c>
      <c r="B709" s="1050">
        <v>112120612010</v>
      </c>
      <c r="C709" s="885" t="s">
        <v>290</v>
      </c>
      <c r="D709" s="884"/>
      <c r="E709" s="884" t="s">
        <v>2450</v>
      </c>
      <c r="F709" s="884" t="s">
        <v>435</v>
      </c>
      <c r="G709" s="884" t="s">
        <v>6797</v>
      </c>
      <c r="H709" s="886">
        <v>42430</v>
      </c>
      <c r="I709" s="887">
        <v>42466</v>
      </c>
      <c r="J709" s="958">
        <v>280</v>
      </c>
    </row>
    <row r="710" spans="1:10" s="84" customFormat="1" outlineLevel="2">
      <c r="A710" s="884" t="s">
        <v>6798</v>
      </c>
      <c r="B710" s="1050">
        <v>112120612010</v>
      </c>
      <c r="C710" s="885" t="s">
        <v>290</v>
      </c>
      <c r="D710" s="884"/>
      <c r="E710" s="884" t="s">
        <v>2450</v>
      </c>
      <c r="F710" s="884" t="s">
        <v>435</v>
      </c>
      <c r="G710" s="884" t="s">
        <v>6797</v>
      </c>
      <c r="H710" s="886">
        <v>42430</v>
      </c>
      <c r="I710" s="887">
        <v>42466</v>
      </c>
      <c r="J710" s="958">
        <v>90</v>
      </c>
    </row>
    <row r="711" spans="1:10" s="84" customFormat="1" outlineLevel="2">
      <c r="A711" s="884" t="s">
        <v>2452</v>
      </c>
      <c r="B711" s="1050">
        <v>112120612010</v>
      </c>
      <c r="C711" s="885" t="s">
        <v>290</v>
      </c>
      <c r="D711" s="884"/>
      <c r="E711" s="884" t="s">
        <v>2450</v>
      </c>
      <c r="F711" s="884" t="s">
        <v>435</v>
      </c>
      <c r="G711" s="884" t="s">
        <v>6797</v>
      </c>
      <c r="H711" s="886">
        <v>42430</v>
      </c>
      <c r="I711" s="887">
        <v>42466</v>
      </c>
      <c r="J711" s="958">
        <v>162.37</v>
      </c>
    </row>
    <row r="712" spans="1:10" s="84" customFormat="1" outlineLevel="2">
      <c r="A712" s="884" t="s">
        <v>2639</v>
      </c>
      <c r="B712" s="1050">
        <v>112120612060</v>
      </c>
      <c r="C712" s="885" t="s">
        <v>290</v>
      </c>
      <c r="D712" s="884"/>
      <c r="E712" s="884" t="s">
        <v>2457</v>
      </c>
      <c r="F712" s="884" t="s">
        <v>2458</v>
      </c>
      <c r="G712" s="884" t="s">
        <v>6840</v>
      </c>
      <c r="H712" s="886">
        <v>42430</v>
      </c>
      <c r="I712" s="887">
        <v>42467</v>
      </c>
      <c r="J712" s="958">
        <v>222.63</v>
      </c>
    </row>
    <row r="713" spans="1:10" s="84" customFormat="1" outlineLevel="2">
      <c r="A713" s="884" t="s">
        <v>2397</v>
      </c>
      <c r="B713" s="1050">
        <v>112120611040</v>
      </c>
      <c r="C713" s="885" t="s">
        <v>290</v>
      </c>
      <c r="D713" s="884"/>
      <c r="E713" s="884" t="s">
        <v>407</v>
      </c>
      <c r="F713" s="884" t="s">
        <v>2418</v>
      </c>
      <c r="G713" s="884" t="s">
        <v>6824</v>
      </c>
      <c r="H713" s="886">
        <v>42401</v>
      </c>
      <c r="I713" s="887">
        <v>42467</v>
      </c>
      <c r="J713" s="958">
        <v>4321.68</v>
      </c>
    </row>
    <row r="714" spans="1:10" s="84" customFormat="1" outlineLevel="2">
      <c r="A714" s="884" t="s">
        <v>2494</v>
      </c>
      <c r="B714" s="1050">
        <v>112120104000</v>
      </c>
      <c r="C714" s="885" t="s">
        <v>290</v>
      </c>
      <c r="D714" s="884"/>
      <c r="E714" s="884" t="s">
        <v>2495</v>
      </c>
      <c r="F714" s="884" t="s">
        <v>2432</v>
      </c>
      <c r="G714" s="884" t="s">
        <v>6979</v>
      </c>
      <c r="H714" s="886">
        <v>42430</v>
      </c>
      <c r="I714" s="887">
        <v>42468</v>
      </c>
      <c r="J714" s="958">
        <v>105.1</v>
      </c>
    </row>
    <row r="715" spans="1:10" s="84" customFormat="1" outlineLevel="2">
      <c r="A715" s="884" t="s">
        <v>2496</v>
      </c>
      <c r="B715" s="1050">
        <v>112120104000</v>
      </c>
      <c r="C715" s="885" t="s">
        <v>290</v>
      </c>
      <c r="D715" s="884"/>
      <c r="E715" s="884" t="s">
        <v>2495</v>
      </c>
      <c r="F715" s="884" t="s">
        <v>2432</v>
      </c>
      <c r="G715" s="884" t="s">
        <v>6979</v>
      </c>
      <c r="H715" s="886">
        <v>42430</v>
      </c>
      <c r="I715" s="887">
        <v>42468</v>
      </c>
      <c r="J715" s="958">
        <v>23.6</v>
      </c>
    </row>
    <row r="716" spans="1:10" s="84" customFormat="1" outlineLevel="2">
      <c r="A716" s="884" t="s">
        <v>2494</v>
      </c>
      <c r="B716" s="1050">
        <v>112120104000</v>
      </c>
      <c r="C716" s="885" t="s">
        <v>290</v>
      </c>
      <c r="D716" s="884"/>
      <c r="E716" s="884" t="s">
        <v>2495</v>
      </c>
      <c r="F716" s="884" t="s">
        <v>2432</v>
      </c>
      <c r="G716" s="884" t="s">
        <v>6980</v>
      </c>
      <c r="H716" s="886">
        <v>42430</v>
      </c>
      <c r="I716" s="887">
        <v>42468</v>
      </c>
      <c r="J716" s="958">
        <v>104.97</v>
      </c>
    </row>
    <row r="717" spans="1:10" s="84" customFormat="1" outlineLevel="2">
      <c r="A717" s="884" t="s">
        <v>2496</v>
      </c>
      <c r="B717" s="1050">
        <v>112120104000</v>
      </c>
      <c r="C717" s="885" t="s">
        <v>290</v>
      </c>
      <c r="D717" s="884"/>
      <c r="E717" s="884" t="s">
        <v>2495</v>
      </c>
      <c r="F717" s="884" t="s">
        <v>2432</v>
      </c>
      <c r="G717" s="884" t="s">
        <v>6980</v>
      </c>
      <c r="H717" s="886">
        <v>42430</v>
      </c>
      <c r="I717" s="887">
        <v>42468</v>
      </c>
      <c r="J717" s="958">
        <v>23.6</v>
      </c>
    </row>
    <row r="718" spans="1:10" s="84" customFormat="1" outlineLevel="2">
      <c r="A718" s="884" t="s">
        <v>2639</v>
      </c>
      <c r="B718" s="1050">
        <v>112120612060</v>
      </c>
      <c r="C718" s="885" t="s">
        <v>290</v>
      </c>
      <c r="D718" s="884"/>
      <c r="E718" s="884" t="s">
        <v>2457</v>
      </c>
      <c r="F718" s="884" t="s">
        <v>2458</v>
      </c>
      <c r="G718" s="884" t="s">
        <v>6842</v>
      </c>
      <c r="H718" s="886">
        <v>42430</v>
      </c>
      <c r="I718" s="887">
        <v>42471</v>
      </c>
      <c r="J718" s="958">
        <v>81.62</v>
      </c>
    </row>
    <row r="719" spans="1:10" s="84" customFormat="1" outlineLevel="2">
      <c r="A719" s="884" t="s">
        <v>2397</v>
      </c>
      <c r="B719" s="1050" t="s">
        <v>7732</v>
      </c>
      <c r="C719" s="885" t="s">
        <v>290</v>
      </c>
      <c r="D719" s="884"/>
      <c r="E719" s="884" t="s">
        <v>2282</v>
      </c>
      <c r="F719" s="884" t="s">
        <v>7216</v>
      </c>
      <c r="G719" s="884" t="s">
        <v>7217</v>
      </c>
      <c r="H719" s="886">
        <v>42401</v>
      </c>
      <c r="I719" s="887">
        <v>42471</v>
      </c>
      <c r="J719" s="958">
        <v>157.25</v>
      </c>
    </row>
    <row r="720" spans="1:10" s="84" customFormat="1" outlineLevel="2">
      <c r="A720" s="884" t="s">
        <v>2397</v>
      </c>
      <c r="B720" s="1050" t="s">
        <v>7732</v>
      </c>
      <c r="C720" s="885" t="s">
        <v>290</v>
      </c>
      <c r="D720" s="884"/>
      <c r="E720" s="884" t="s">
        <v>2282</v>
      </c>
      <c r="F720" s="884" t="s">
        <v>7218</v>
      </c>
      <c r="G720" s="884" t="s">
        <v>7219</v>
      </c>
      <c r="H720" s="886">
        <v>42401</v>
      </c>
      <c r="I720" s="887">
        <v>42471</v>
      </c>
      <c r="J720" s="958">
        <v>161.5</v>
      </c>
    </row>
    <row r="721" spans="1:10" s="84" customFormat="1" outlineLevel="2">
      <c r="A721" s="884" t="s">
        <v>2397</v>
      </c>
      <c r="B721" s="1050" t="s">
        <v>7732</v>
      </c>
      <c r="C721" s="885" t="s">
        <v>290</v>
      </c>
      <c r="D721" s="884"/>
      <c r="E721" s="884" t="s">
        <v>2282</v>
      </c>
      <c r="F721" s="884" t="s">
        <v>7220</v>
      </c>
      <c r="G721" s="884" t="s">
        <v>7221</v>
      </c>
      <c r="H721" s="886">
        <v>42401</v>
      </c>
      <c r="I721" s="887">
        <v>42471</v>
      </c>
      <c r="J721" s="958">
        <v>106.25</v>
      </c>
    </row>
    <row r="722" spans="1:10" s="84" customFormat="1" outlineLevel="2">
      <c r="A722" s="884" t="s">
        <v>2638</v>
      </c>
      <c r="B722" s="1050">
        <v>112120612010</v>
      </c>
      <c r="C722" s="885" t="s">
        <v>290</v>
      </c>
      <c r="D722" s="884"/>
      <c r="E722" s="884" t="s">
        <v>2450</v>
      </c>
      <c r="F722" s="884" t="s">
        <v>435</v>
      </c>
      <c r="G722" s="884" t="s">
        <v>6799</v>
      </c>
      <c r="H722" s="886">
        <v>42430</v>
      </c>
      <c r="I722" s="887">
        <v>42472</v>
      </c>
      <c r="J722" s="958">
        <v>93</v>
      </c>
    </row>
    <row r="723" spans="1:10" s="84" customFormat="1" outlineLevel="2">
      <c r="A723" s="884" t="s">
        <v>2453</v>
      </c>
      <c r="B723" s="1050">
        <v>112120612010</v>
      </c>
      <c r="C723" s="885" t="s">
        <v>290</v>
      </c>
      <c r="D723" s="884"/>
      <c r="E723" s="884" t="s">
        <v>2450</v>
      </c>
      <c r="F723" s="884" t="s">
        <v>435</v>
      </c>
      <c r="G723" s="884" t="s">
        <v>6799</v>
      </c>
      <c r="H723" s="886">
        <v>42430</v>
      </c>
      <c r="I723" s="887">
        <v>42472</v>
      </c>
      <c r="J723" s="958">
        <v>30.4</v>
      </c>
    </row>
    <row r="724" spans="1:10" s="84" customFormat="1" outlineLevel="2">
      <c r="A724" s="884" t="s">
        <v>2454</v>
      </c>
      <c r="B724" s="1050">
        <v>112120612010</v>
      </c>
      <c r="C724" s="885" t="s">
        <v>290</v>
      </c>
      <c r="D724" s="884"/>
      <c r="E724" s="884" t="s">
        <v>2450</v>
      </c>
      <c r="F724" s="884" t="s">
        <v>435</v>
      </c>
      <c r="G724" s="884" t="s">
        <v>6799</v>
      </c>
      <c r="H724" s="886">
        <v>42430</v>
      </c>
      <c r="I724" s="887">
        <v>42472</v>
      </c>
      <c r="J724" s="958">
        <v>90</v>
      </c>
    </row>
    <row r="725" spans="1:10" s="84" customFormat="1" outlineLevel="2">
      <c r="A725" s="884" t="s">
        <v>2451</v>
      </c>
      <c r="B725" s="1050">
        <v>112120612010</v>
      </c>
      <c r="C725" s="885" t="s">
        <v>290</v>
      </c>
      <c r="D725" s="884"/>
      <c r="E725" s="884" t="s">
        <v>2450</v>
      </c>
      <c r="F725" s="884" t="s">
        <v>435</v>
      </c>
      <c r="G725" s="884" t="s">
        <v>6799</v>
      </c>
      <c r="H725" s="886">
        <v>42430</v>
      </c>
      <c r="I725" s="887">
        <v>42472</v>
      </c>
      <c r="J725" s="958">
        <v>149.30000000000001</v>
      </c>
    </row>
    <row r="726" spans="1:10" s="84" customFormat="1" outlineLevel="2">
      <c r="A726" s="884" t="s">
        <v>6800</v>
      </c>
      <c r="B726" s="1050">
        <v>112120612010</v>
      </c>
      <c r="C726" s="885" t="s">
        <v>290</v>
      </c>
      <c r="D726" s="884"/>
      <c r="E726" s="884" t="s">
        <v>2450</v>
      </c>
      <c r="F726" s="884" t="s">
        <v>435</v>
      </c>
      <c r="G726" s="884" t="s">
        <v>6799</v>
      </c>
      <c r="H726" s="886">
        <v>42430</v>
      </c>
      <c r="I726" s="887">
        <v>42472</v>
      </c>
      <c r="J726" s="958">
        <v>315.68</v>
      </c>
    </row>
    <row r="727" spans="1:10" s="84" customFormat="1" outlineLevel="2">
      <c r="A727" s="884" t="s">
        <v>2455</v>
      </c>
      <c r="B727" s="1050">
        <v>112120612010</v>
      </c>
      <c r="C727" s="885" t="s">
        <v>290</v>
      </c>
      <c r="D727" s="884"/>
      <c r="E727" s="884" t="s">
        <v>2450</v>
      </c>
      <c r="F727" s="884" t="s">
        <v>435</v>
      </c>
      <c r="G727" s="884" t="s">
        <v>6799</v>
      </c>
      <c r="H727" s="886">
        <v>42430</v>
      </c>
      <c r="I727" s="887">
        <v>42472</v>
      </c>
      <c r="J727" s="958">
        <v>64.599999999999994</v>
      </c>
    </row>
    <row r="728" spans="1:10" s="84" customFormat="1" outlineLevel="2">
      <c r="A728" s="884" t="s">
        <v>2639</v>
      </c>
      <c r="B728" s="1050">
        <v>112120612060</v>
      </c>
      <c r="C728" s="885" t="s">
        <v>290</v>
      </c>
      <c r="D728" s="884"/>
      <c r="E728" s="884" t="s">
        <v>2457</v>
      </c>
      <c r="F728" s="884" t="s">
        <v>2458</v>
      </c>
      <c r="G728" s="884" t="s">
        <v>6853</v>
      </c>
      <c r="H728" s="886">
        <v>42430</v>
      </c>
      <c r="I728" s="887">
        <v>42474</v>
      </c>
      <c r="J728" s="958">
        <v>91.91</v>
      </c>
    </row>
    <row r="729" spans="1:10" s="84" customFormat="1" outlineLevel="2">
      <c r="A729" s="884" t="s">
        <v>2323</v>
      </c>
      <c r="B729" s="1050">
        <v>112120612010</v>
      </c>
      <c r="C729" s="885" t="s">
        <v>290</v>
      </c>
      <c r="D729" s="884"/>
      <c r="E729" s="884" t="s">
        <v>6732</v>
      </c>
      <c r="F729" s="884" t="s">
        <v>435</v>
      </c>
      <c r="G729" s="884" t="s">
        <v>6733</v>
      </c>
      <c r="H729" s="886">
        <v>42430</v>
      </c>
      <c r="I729" s="887">
        <v>42474</v>
      </c>
      <c r="J729" s="958">
        <v>3600</v>
      </c>
    </row>
    <row r="730" spans="1:10" s="84" customFormat="1" outlineLevel="2">
      <c r="A730" s="884" t="s">
        <v>2397</v>
      </c>
      <c r="B730" s="1050">
        <v>112120611040</v>
      </c>
      <c r="C730" s="885" t="s">
        <v>290</v>
      </c>
      <c r="D730" s="884"/>
      <c r="E730" s="884" t="s">
        <v>409</v>
      </c>
      <c r="F730" s="884" t="s">
        <v>2418</v>
      </c>
      <c r="G730" s="884" t="s">
        <v>6776</v>
      </c>
      <c r="H730" s="886">
        <v>42401</v>
      </c>
      <c r="I730" s="887">
        <v>42475</v>
      </c>
      <c r="J730" s="958">
        <v>6396.07</v>
      </c>
    </row>
    <row r="731" spans="1:10" s="84" customFormat="1" outlineLevel="2">
      <c r="A731" s="884" t="s">
        <v>2477</v>
      </c>
      <c r="B731" s="1050">
        <v>112120101060</v>
      </c>
      <c r="C731" s="885" t="s">
        <v>290</v>
      </c>
      <c r="D731" s="884"/>
      <c r="E731" s="884" t="s">
        <v>2476</v>
      </c>
      <c r="F731" s="884" t="s">
        <v>2441</v>
      </c>
      <c r="G731" s="884" t="s">
        <v>1386</v>
      </c>
      <c r="H731" s="886">
        <v>42401</v>
      </c>
      <c r="I731" s="887">
        <v>42478</v>
      </c>
      <c r="J731" s="958">
        <v>441</v>
      </c>
    </row>
    <row r="732" spans="1:10" s="84" customFormat="1" outlineLevel="2">
      <c r="A732" s="884" t="s">
        <v>2397</v>
      </c>
      <c r="B732" s="1050">
        <v>112120611040</v>
      </c>
      <c r="C732" s="885" t="s">
        <v>290</v>
      </c>
      <c r="D732" s="884"/>
      <c r="E732" s="884" t="s">
        <v>408</v>
      </c>
      <c r="F732" s="884" t="s">
        <v>2418</v>
      </c>
      <c r="G732" s="884" t="s">
        <v>6885</v>
      </c>
      <c r="H732" s="886">
        <v>42370</v>
      </c>
      <c r="I732" s="887">
        <v>42478</v>
      </c>
      <c r="J732" s="958">
        <v>6495.54</v>
      </c>
    </row>
    <row r="733" spans="1:10" s="84" customFormat="1" outlineLevel="2">
      <c r="A733" s="884" t="s">
        <v>2639</v>
      </c>
      <c r="B733" s="1050">
        <v>112120612060</v>
      </c>
      <c r="C733" s="885" t="s">
        <v>290</v>
      </c>
      <c r="D733" s="884"/>
      <c r="E733" s="884" t="s">
        <v>2457</v>
      </c>
      <c r="F733" s="884" t="s">
        <v>2458</v>
      </c>
      <c r="G733" s="884" t="s">
        <v>6855</v>
      </c>
      <c r="H733" s="886">
        <v>42430</v>
      </c>
      <c r="I733" s="887">
        <v>42478</v>
      </c>
      <c r="J733" s="958">
        <v>73.53</v>
      </c>
    </row>
    <row r="734" spans="1:10" s="84" customFormat="1" outlineLevel="2">
      <c r="A734" s="884" t="s">
        <v>2452</v>
      </c>
      <c r="B734" s="1050">
        <v>112120612160</v>
      </c>
      <c r="C734" s="885" t="s">
        <v>290</v>
      </c>
      <c r="D734" s="884"/>
      <c r="E734" s="884" t="s">
        <v>2450</v>
      </c>
      <c r="F734" s="884" t="s">
        <v>2456</v>
      </c>
      <c r="G734" s="884" t="s">
        <v>6801</v>
      </c>
      <c r="H734" s="886">
        <v>42461</v>
      </c>
      <c r="I734" s="887">
        <v>42478</v>
      </c>
      <c r="J734" s="958">
        <v>388.8</v>
      </c>
    </row>
    <row r="735" spans="1:10" s="84" customFormat="1" outlineLevel="2">
      <c r="A735" s="884" t="s">
        <v>2397</v>
      </c>
      <c r="B735" s="1050" t="s">
        <v>7732</v>
      </c>
      <c r="C735" s="885" t="s">
        <v>290</v>
      </c>
      <c r="D735" s="884"/>
      <c r="E735" s="884" t="s">
        <v>2336</v>
      </c>
      <c r="F735" s="884" t="s">
        <v>7142</v>
      </c>
      <c r="G735" s="884" t="s">
        <v>7143</v>
      </c>
      <c r="H735" s="886">
        <v>42401</v>
      </c>
      <c r="I735" s="887">
        <v>42480</v>
      </c>
      <c r="J735" s="958">
        <v>888.24</v>
      </c>
    </row>
    <row r="736" spans="1:10" s="84" customFormat="1" outlineLevel="2">
      <c r="A736" s="884" t="s">
        <v>2397</v>
      </c>
      <c r="B736" s="1050" t="s">
        <v>7732</v>
      </c>
      <c r="C736" s="885" t="s">
        <v>290</v>
      </c>
      <c r="D736" s="884"/>
      <c r="E736" s="884" t="s">
        <v>2336</v>
      </c>
      <c r="F736" s="884" t="s">
        <v>7144</v>
      </c>
      <c r="G736" s="884" t="s">
        <v>7145</v>
      </c>
      <c r="H736" s="886">
        <v>42401</v>
      </c>
      <c r="I736" s="887">
        <v>42480</v>
      </c>
      <c r="J736" s="958">
        <v>584.37</v>
      </c>
    </row>
    <row r="737" spans="1:10" s="84" customFormat="1" outlineLevel="2">
      <c r="A737" s="884" t="s">
        <v>2397</v>
      </c>
      <c r="B737" s="1050" t="s">
        <v>7732</v>
      </c>
      <c r="C737" s="885" t="s">
        <v>290</v>
      </c>
      <c r="D737" s="884"/>
      <c r="E737" s="884" t="s">
        <v>2336</v>
      </c>
      <c r="F737" s="884" t="s">
        <v>7140</v>
      </c>
      <c r="G737" s="884" t="s">
        <v>7141</v>
      </c>
      <c r="H737" s="886">
        <v>42401</v>
      </c>
      <c r="I737" s="887">
        <v>42480</v>
      </c>
      <c r="J737" s="958">
        <v>864.87</v>
      </c>
    </row>
    <row r="738" spans="1:10" s="84" customFormat="1" outlineLevel="2">
      <c r="A738" s="884" t="s">
        <v>2397</v>
      </c>
      <c r="B738" s="1050" t="s">
        <v>7732</v>
      </c>
      <c r="C738" s="885" t="s">
        <v>290</v>
      </c>
      <c r="D738" s="884"/>
      <c r="E738" s="884" t="s">
        <v>1909</v>
      </c>
      <c r="F738" s="884" t="s">
        <v>7418</v>
      </c>
      <c r="G738" s="884" t="s">
        <v>7419</v>
      </c>
      <c r="H738" s="886">
        <v>42401</v>
      </c>
      <c r="I738" s="887">
        <v>42480</v>
      </c>
      <c r="J738" s="958">
        <v>80.75</v>
      </c>
    </row>
    <row r="739" spans="1:10" s="84" customFormat="1" outlineLevel="2">
      <c r="A739" s="884" t="s">
        <v>2397</v>
      </c>
      <c r="B739" s="1050" t="s">
        <v>7732</v>
      </c>
      <c r="C739" s="885" t="s">
        <v>290</v>
      </c>
      <c r="D739" s="884"/>
      <c r="E739" s="884" t="s">
        <v>1909</v>
      </c>
      <c r="F739" s="884" t="s">
        <v>7484</v>
      </c>
      <c r="G739" s="884" t="s">
        <v>7485</v>
      </c>
      <c r="H739" s="886">
        <v>42401</v>
      </c>
      <c r="I739" s="887">
        <v>42480</v>
      </c>
      <c r="J739" s="958">
        <v>53.12</v>
      </c>
    </row>
    <row r="740" spans="1:10" s="84" customFormat="1" outlineLevel="2">
      <c r="A740" s="884" t="s">
        <v>2397</v>
      </c>
      <c r="B740" s="1050" t="s">
        <v>7732</v>
      </c>
      <c r="C740" s="885" t="s">
        <v>290</v>
      </c>
      <c r="D740" s="884"/>
      <c r="E740" s="884" t="s">
        <v>1909</v>
      </c>
      <c r="F740" s="884" t="s">
        <v>7546</v>
      </c>
      <c r="G740" s="884" t="s">
        <v>7547</v>
      </c>
      <c r="H740" s="886">
        <v>42401</v>
      </c>
      <c r="I740" s="887">
        <v>42480</v>
      </c>
      <c r="J740" s="958">
        <v>78.62</v>
      </c>
    </row>
    <row r="741" spans="1:10" s="84" customFormat="1" outlineLevel="2">
      <c r="A741" s="884" t="s">
        <v>2397</v>
      </c>
      <c r="B741" s="1050" t="s">
        <v>7732</v>
      </c>
      <c r="C741" s="885" t="s">
        <v>290</v>
      </c>
      <c r="D741" s="884"/>
      <c r="E741" s="884" t="s">
        <v>1909</v>
      </c>
      <c r="F741" s="884" t="s">
        <v>7634</v>
      </c>
      <c r="G741" s="884" t="s">
        <v>7635</v>
      </c>
      <c r="H741" s="886">
        <v>42370</v>
      </c>
      <c r="I741" s="887">
        <v>42480</v>
      </c>
      <c r="J741" s="958">
        <v>244.27</v>
      </c>
    </row>
    <row r="742" spans="1:10" s="84" customFormat="1" outlineLevel="2">
      <c r="A742" s="884" t="s">
        <v>2397</v>
      </c>
      <c r="B742" s="1050" t="s">
        <v>7732</v>
      </c>
      <c r="C742" s="885" t="s">
        <v>290</v>
      </c>
      <c r="D742" s="884"/>
      <c r="E742" s="884" t="s">
        <v>1909</v>
      </c>
      <c r="F742" s="884" t="s">
        <v>7688</v>
      </c>
      <c r="G742" s="884" t="s">
        <v>7689</v>
      </c>
      <c r="H742" s="886">
        <v>42370</v>
      </c>
      <c r="I742" s="887">
        <v>42480</v>
      </c>
      <c r="J742" s="958">
        <v>361.52</v>
      </c>
    </row>
    <row r="743" spans="1:10" s="84" customFormat="1" outlineLevel="2">
      <c r="A743" s="884" t="s">
        <v>2494</v>
      </c>
      <c r="B743" s="1050">
        <v>112120104000</v>
      </c>
      <c r="C743" s="885" t="s">
        <v>290</v>
      </c>
      <c r="D743" s="884"/>
      <c r="E743" s="884" t="s">
        <v>2495</v>
      </c>
      <c r="F743" s="884" t="s">
        <v>2432</v>
      </c>
      <c r="G743" s="884" t="s">
        <v>6982</v>
      </c>
      <c r="H743" s="886">
        <v>42461</v>
      </c>
      <c r="I743" s="887">
        <v>42482</v>
      </c>
      <c r="J743" s="958">
        <v>104.97</v>
      </c>
    </row>
    <row r="744" spans="1:10" s="84" customFormat="1" outlineLevel="2">
      <c r="A744" s="884" t="s">
        <v>2496</v>
      </c>
      <c r="B744" s="1050">
        <v>112120104000</v>
      </c>
      <c r="C744" s="885" t="s">
        <v>290</v>
      </c>
      <c r="D744" s="884"/>
      <c r="E744" s="884" t="s">
        <v>2495</v>
      </c>
      <c r="F744" s="884" t="s">
        <v>2432</v>
      </c>
      <c r="G744" s="884" t="s">
        <v>6982</v>
      </c>
      <c r="H744" s="886">
        <v>42461</v>
      </c>
      <c r="I744" s="887">
        <v>42482</v>
      </c>
      <c r="J744" s="958">
        <v>23.53</v>
      </c>
    </row>
    <row r="745" spans="1:10" s="84" customFormat="1" outlineLevel="2">
      <c r="A745" s="884" t="s">
        <v>2478</v>
      </c>
      <c r="B745" s="1050">
        <v>112120101060</v>
      </c>
      <c r="C745" s="885" t="s">
        <v>290</v>
      </c>
      <c r="D745" s="884"/>
      <c r="E745" s="884" t="s">
        <v>2476</v>
      </c>
      <c r="F745" s="884" t="s">
        <v>2441</v>
      </c>
      <c r="G745" s="884" t="s">
        <v>1036</v>
      </c>
      <c r="H745" s="886">
        <v>42430</v>
      </c>
      <c r="I745" s="887">
        <v>42485</v>
      </c>
      <c r="J745" s="958">
        <v>441</v>
      </c>
    </row>
    <row r="746" spans="1:10" s="84" customFormat="1" outlineLevel="2">
      <c r="A746" s="884" t="s">
        <v>2639</v>
      </c>
      <c r="B746" s="1050">
        <v>112120612060</v>
      </c>
      <c r="C746" s="885" t="s">
        <v>290</v>
      </c>
      <c r="D746" s="884"/>
      <c r="E746" s="884" t="s">
        <v>2457</v>
      </c>
      <c r="F746" s="884" t="s">
        <v>2458</v>
      </c>
      <c r="G746" s="884" t="s">
        <v>6866</v>
      </c>
      <c r="H746" s="886">
        <v>42430</v>
      </c>
      <c r="I746" s="887">
        <v>42487</v>
      </c>
      <c r="J746" s="958">
        <v>42.89</v>
      </c>
    </row>
    <row r="747" spans="1:10" s="84" customFormat="1" outlineLevel="2">
      <c r="A747" s="884" t="s">
        <v>2639</v>
      </c>
      <c r="B747" s="1050">
        <v>112120612060</v>
      </c>
      <c r="C747" s="885" t="s">
        <v>290</v>
      </c>
      <c r="D747" s="884"/>
      <c r="E747" s="884" t="s">
        <v>2457</v>
      </c>
      <c r="F747" s="884" t="s">
        <v>2458</v>
      </c>
      <c r="G747" s="884" t="s">
        <v>6867</v>
      </c>
      <c r="H747" s="886">
        <v>42430</v>
      </c>
      <c r="I747" s="887">
        <v>42489</v>
      </c>
      <c r="J747" s="958">
        <v>43.77</v>
      </c>
    </row>
    <row r="748" spans="1:10" s="84" customFormat="1" outlineLevel="2">
      <c r="A748" s="884" t="s">
        <v>2323</v>
      </c>
      <c r="B748" s="1050" t="s">
        <v>6991</v>
      </c>
      <c r="C748" s="885" t="s">
        <v>290</v>
      </c>
      <c r="D748" s="884"/>
      <c r="E748" s="884" t="s">
        <v>2306</v>
      </c>
      <c r="F748" s="884" t="s">
        <v>2307</v>
      </c>
      <c r="G748" s="884">
        <v>1284720</v>
      </c>
      <c r="H748" s="886">
        <v>42461</v>
      </c>
      <c r="I748" s="887">
        <v>42489</v>
      </c>
      <c r="J748" s="958">
        <v>51.36</v>
      </c>
    </row>
    <row r="749" spans="1:10" s="84" customFormat="1" outlineLevel="2">
      <c r="A749" s="884" t="s">
        <v>2323</v>
      </c>
      <c r="B749" s="1050" t="s">
        <v>6991</v>
      </c>
      <c r="C749" s="885" t="s">
        <v>290</v>
      </c>
      <c r="D749" s="884"/>
      <c r="E749" s="884" t="s">
        <v>2306</v>
      </c>
      <c r="F749" s="884" t="s">
        <v>2307</v>
      </c>
      <c r="G749" s="884">
        <v>1284726</v>
      </c>
      <c r="H749" s="886">
        <v>42461</v>
      </c>
      <c r="I749" s="887">
        <v>42489</v>
      </c>
      <c r="J749" s="958">
        <v>25.08</v>
      </c>
    </row>
    <row r="750" spans="1:10" s="84" customFormat="1" outlineLevel="2">
      <c r="A750" s="884" t="s">
        <v>2323</v>
      </c>
      <c r="B750" s="1050" t="s">
        <v>6991</v>
      </c>
      <c r="C750" s="885" t="s">
        <v>290</v>
      </c>
      <c r="D750" s="884"/>
      <c r="E750" s="884" t="s">
        <v>2306</v>
      </c>
      <c r="F750" s="884" t="s">
        <v>2307</v>
      </c>
      <c r="G750" s="884">
        <v>1284728</v>
      </c>
      <c r="H750" s="886">
        <v>42461</v>
      </c>
      <c r="I750" s="887">
        <v>42489</v>
      </c>
      <c r="J750" s="958">
        <v>109.09</v>
      </c>
    </row>
    <row r="751" spans="1:10" s="84" customFormat="1" outlineLevel="2">
      <c r="A751" s="884" t="s">
        <v>2324</v>
      </c>
      <c r="B751" s="1050" t="s">
        <v>6992</v>
      </c>
      <c r="C751" s="885" t="s">
        <v>290</v>
      </c>
      <c r="D751" s="884"/>
      <c r="E751" s="884" t="s">
        <v>2306</v>
      </c>
      <c r="F751" s="884" t="s">
        <v>2310</v>
      </c>
      <c r="G751" s="884">
        <v>1284696</v>
      </c>
      <c r="H751" s="886">
        <v>42461</v>
      </c>
      <c r="I751" s="887">
        <v>42489</v>
      </c>
      <c r="J751" s="958">
        <v>2470.8200000000002</v>
      </c>
    </row>
    <row r="752" spans="1:10" s="84" customFormat="1" outlineLevel="2">
      <c r="A752" s="884" t="s">
        <v>2323</v>
      </c>
      <c r="B752" s="1050" t="s">
        <v>6991</v>
      </c>
      <c r="C752" s="885" t="s">
        <v>290</v>
      </c>
      <c r="D752" s="884"/>
      <c r="E752" s="884" t="s">
        <v>2306</v>
      </c>
      <c r="F752" s="884" t="s">
        <v>2307</v>
      </c>
      <c r="G752" s="884">
        <v>1284694</v>
      </c>
      <c r="H752" s="886">
        <v>42461</v>
      </c>
      <c r="I752" s="887">
        <v>42489</v>
      </c>
      <c r="J752" s="958">
        <v>6.94</v>
      </c>
    </row>
    <row r="753" spans="1:10" s="84" customFormat="1" outlineLevel="2">
      <c r="A753" s="884" t="s">
        <v>2323</v>
      </c>
      <c r="B753" s="1050" t="s">
        <v>6991</v>
      </c>
      <c r="C753" s="885" t="s">
        <v>290</v>
      </c>
      <c r="D753" s="884"/>
      <c r="E753" s="884" t="s">
        <v>2306</v>
      </c>
      <c r="F753" s="884" t="s">
        <v>2307</v>
      </c>
      <c r="G753" s="884">
        <v>1284690</v>
      </c>
      <c r="H753" s="886">
        <v>42461</v>
      </c>
      <c r="I753" s="887">
        <v>42489</v>
      </c>
      <c r="J753" s="958">
        <v>195.09</v>
      </c>
    </row>
    <row r="754" spans="1:10" s="84" customFormat="1" outlineLevel="2">
      <c r="A754" s="884" t="s">
        <v>2323</v>
      </c>
      <c r="B754" s="1050" t="s">
        <v>6991</v>
      </c>
      <c r="C754" s="885" t="s">
        <v>290</v>
      </c>
      <c r="D754" s="884"/>
      <c r="E754" s="884" t="s">
        <v>2306</v>
      </c>
      <c r="F754" s="884" t="s">
        <v>2307</v>
      </c>
      <c r="G754" s="884">
        <v>1284730</v>
      </c>
      <c r="H754" s="886">
        <v>42461</v>
      </c>
      <c r="I754" s="887">
        <v>42489</v>
      </c>
      <c r="J754" s="958">
        <v>111.9</v>
      </c>
    </row>
    <row r="755" spans="1:10" s="84" customFormat="1" outlineLevel="2">
      <c r="A755" s="884" t="s">
        <v>2324</v>
      </c>
      <c r="B755" s="1050" t="s">
        <v>6992</v>
      </c>
      <c r="C755" s="885" t="s">
        <v>290</v>
      </c>
      <c r="D755" s="884"/>
      <c r="E755" s="884" t="s">
        <v>2306</v>
      </c>
      <c r="F755" s="884" t="s">
        <v>2310</v>
      </c>
      <c r="G755" s="884">
        <v>1284724</v>
      </c>
      <c r="H755" s="886">
        <v>42461</v>
      </c>
      <c r="I755" s="887">
        <v>42489</v>
      </c>
      <c r="J755" s="958">
        <v>410.24</v>
      </c>
    </row>
    <row r="756" spans="1:10" s="84" customFormat="1" outlineLevel="2">
      <c r="A756" s="884" t="s">
        <v>2323</v>
      </c>
      <c r="B756" s="1050" t="s">
        <v>6991</v>
      </c>
      <c r="C756" s="885" t="s">
        <v>290</v>
      </c>
      <c r="D756" s="884"/>
      <c r="E756" s="884" t="s">
        <v>2306</v>
      </c>
      <c r="F756" s="884" t="s">
        <v>2307</v>
      </c>
      <c r="G756" s="884">
        <v>1284692</v>
      </c>
      <c r="H756" s="886">
        <v>42461</v>
      </c>
      <c r="I756" s="887">
        <v>42489</v>
      </c>
      <c r="J756" s="958">
        <v>66.52</v>
      </c>
    </row>
    <row r="757" spans="1:10" s="84" customFormat="1" outlineLevel="1">
      <c r="A757" s="884"/>
      <c r="B757" s="1050"/>
      <c r="C757" s="908" t="s">
        <v>290</v>
      </c>
      <c r="D757" s="928" t="str">
        <f>VLOOKUP(C757,$C$1102:$E$1189,3,FALSE)</f>
        <v>TOTAL POUPATEMPO ITAQUERA</v>
      </c>
      <c r="E757" s="928"/>
      <c r="F757" s="928"/>
      <c r="G757" s="928"/>
      <c r="H757" s="911"/>
      <c r="I757" s="912"/>
      <c r="J757" s="966">
        <f>SUBTOTAL(9,J693:J756)</f>
        <v>37137.529999999992</v>
      </c>
    </row>
    <row r="758" spans="1:10" s="84" customFormat="1" outlineLevel="2">
      <c r="A758" s="884" t="s">
        <v>2462</v>
      </c>
      <c r="B758" s="1050">
        <v>112120612060</v>
      </c>
      <c r="C758" s="885" t="s">
        <v>291</v>
      </c>
      <c r="D758" s="884"/>
      <c r="E758" s="884" t="s">
        <v>2457</v>
      </c>
      <c r="F758" s="884" t="s">
        <v>2458</v>
      </c>
      <c r="G758" s="884" t="s">
        <v>6837</v>
      </c>
      <c r="H758" s="886">
        <v>42430</v>
      </c>
      <c r="I758" s="887">
        <v>42461</v>
      </c>
      <c r="J758" s="958">
        <v>466.12</v>
      </c>
    </row>
    <row r="759" spans="1:10" s="84" customFormat="1" outlineLevel="2">
      <c r="A759" s="884" t="s">
        <v>2416</v>
      </c>
      <c r="B759" s="1050">
        <v>112120604020</v>
      </c>
      <c r="C759" s="885" t="s">
        <v>291</v>
      </c>
      <c r="D759" s="884"/>
      <c r="E759" s="884" t="s">
        <v>2415</v>
      </c>
      <c r="F759" s="884" t="s">
        <v>432</v>
      </c>
      <c r="G759" s="884" t="s">
        <v>6691</v>
      </c>
      <c r="H759" s="886">
        <v>42401</v>
      </c>
      <c r="I759" s="887">
        <v>42461</v>
      </c>
      <c r="J759" s="958">
        <v>2037</v>
      </c>
    </row>
    <row r="760" spans="1:10" s="84" customFormat="1" outlineLevel="2">
      <c r="A760" s="884" t="s">
        <v>2478</v>
      </c>
      <c r="B760" s="1050">
        <v>112120101060</v>
      </c>
      <c r="C760" s="885" t="s">
        <v>291</v>
      </c>
      <c r="D760" s="884"/>
      <c r="E760" s="884" t="s">
        <v>2476</v>
      </c>
      <c r="F760" s="884" t="s">
        <v>2441</v>
      </c>
      <c r="G760" s="884" t="s">
        <v>949</v>
      </c>
      <c r="H760" s="886">
        <v>42430</v>
      </c>
      <c r="I760" s="887">
        <v>42464</v>
      </c>
      <c r="J760" s="958">
        <v>315</v>
      </c>
    </row>
    <row r="761" spans="1:10" s="84" customFormat="1" outlineLevel="2">
      <c r="A761" s="884" t="s">
        <v>2325</v>
      </c>
      <c r="B761" s="1050">
        <v>112120612010</v>
      </c>
      <c r="C761" s="885" t="s">
        <v>291</v>
      </c>
      <c r="D761" s="884"/>
      <c r="E761" s="884" t="s">
        <v>6932</v>
      </c>
      <c r="F761" s="884" t="s">
        <v>435</v>
      </c>
      <c r="G761" s="884" t="s">
        <v>6933</v>
      </c>
      <c r="H761" s="886">
        <v>42430</v>
      </c>
      <c r="I761" s="887">
        <v>42467</v>
      </c>
      <c r="J761" s="958">
        <v>99.89</v>
      </c>
    </row>
    <row r="762" spans="1:10" s="84" customFormat="1" outlineLevel="2">
      <c r="A762" s="884" t="s">
        <v>2398</v>
      </c>
      <c r="B762" s="1050">
        <v>112120611040</v>
      </c>
      <c r="C762" s="885" t="s">
        <v>291</v>
      </c>
      <c r="D762" s="884"/>
      <c r="E762" s="884" t="s">
        <v>407</v>
      </c>
      <c r="F762" s="884" t="s">
        <v>2418</v>
      </c>
      <c r="G762" s="884" t="s">
        <v>6833</v>
      </c>
      <c r="H762" s="886">
        <v>42401</v>
      </c>
      <c r="I762" s="887">
        <v>42467</v>
      </c>
      <c r="J762" s="958">
        <v>3449.65</v>
      </c>
    </row>
    <row r="763" spans="1:10" s="84" customFormat="1" outlineLevel="2">
      <c r="A763" s="884" t="s">
        <v>2462</v>
      </c>
      <c r="B763" s="1050">
        <v>112120612060</v>
      </c>
      <c r="C763" s="885" t="s">
        <v>291</v>
      </c>
      <c r="D763" s="884"/>
      <c r="E763" s="884" t="s">
        <v>2457</v>
      </c>
      <c r="F763" s="884" t="s">
        <v>2458</v>
      </c>
      <c r="G763" s="884" t="s">
        <v>6842</v>
      </c>
      <c r="H763" s="886">
        <v>42430</v>
      </c>
      <c r="I763" s="887">
        <v>42471</v>
      </c>
      <c r="J763" s="958">
        <v>81.739999999999995</v>
      </c>
    </row>
    <row r="764" spans="1:10" s="84" customFormat="1" outlineLevel="2">
      <c r="A764" s="884" t="s">
        <v>2325</v>
      </c>
      <c r="B764" s="1050">
        <v>112120612010</v>
      </c>
      <c r="C764" s="885" t="s">
        <v>291</v>
      </c>
      <c r="D764" s="884"/>
      <c r="E764" s="884" t="s">
        <v>6902</v>
      </c>
      <c r="F764" s="884" t="s">
        <v>435</v>
      </c>
      <c r="G764" s="884" t="s">
        <v>6903</v>
      </c>
      <c r="H764" s="886">
        <v>42430</v>
      </c>
      <c r="I764" s="887">
        <v>42473</v>
      </c>
      <c r="J764" s="958">
        <v>45</v>
      </c>
    </row>
    <row r="765" spans="1:10" s="84" customFormat="1" outlineLevel="2">
      <c r="A765" s="884" t="s">
        <v>2489</v>
      </c>
      <c r="B765" s="1050">
        <v>112120612010</v>
      </c>
      <c r="C765" s="885" t="s">
        <v>291</v>
      </c>
      <c r="D765" s="884"/>
      <c r="E765" s="884" t="s">
        <v>416</v>
      </c>
      <c r="F765" s="884" t="s">
        <v>435</v>
      </c>
      <c r="G765" s="884" t="s">
        <v>6961</v>
      </c>
      <c r="H765" s="886">
        <v>42430</v>
      </c>
      <c r="I765" s="887">
        <v>42473</v>
      </c>
      <c r="J765" s="958">
        <v>108.67</v>
      </c>
    </row>
    <row r="766" spans="1:10" s="84" customFormat="1" outlineLevel="2">
      <c r="A766" s="884" t="s">
        <v>6962</v>
      </c>
      <c r="B766" s="1050">
        <v>112120612010</v>
      </c>
      <c r="C766" s="885" t="s">
        <v>291</v>
      </c>
      <c r="D766" s="884"/>
      <c r="E766" s="884" t="s">
        <v>416</v>
      </c>
      <c r="F766" s="884" t="s">
        <v>435</v>
      </c>
      <c r="G766" s="884" t="s">
        <v>6961</v>
      </c>
      <c r="H766" s="886">
        <v>42430</v>
      </c>
      <c r="I766" s="887">
        <v>42473</v>
      </c>
      <c r="J766" s="958">
        <v>51.3</v>
      </c>
    </row>
    <row r="767" spans="1:10" s="84" customFormat="1" outlineLevel="2">
      <c r="A767" s="884" t="s">
        <v>2490</v>
      </c>
      <c r="B767" s="1050">
        <v>112120612010</v>
      </c>
      <c r="C767" s="885" t="s">
        <v>291</v>
      </c>
      <c r="D767" s="884"/>
      <c r="E767" s="884" t="s">
        <v>416</v>
      </c>
      <c r="F767" s="884" t="s">
        <v>435</v>
      </c>
      <c r="G767" s="884" t="s">
        <v>6961</v>
      </c>
      <c r="H767" s="886">
        <v>42430</v>
      </c>
      <c r="I767" s="887">
        <v>42473</v>
      </c>
      <c r="J767" s="958">
        <v>35</v>
      </c>
    </row>
    <row r="768" spans="1:10" s="84" customFormat="1" outlineLevel="2">
      <c r="A768" s="884" t="s">
        <v>6963</v>
      </c>
      <c r="B768" s="1050">
        <v>112120612010</v>
      </c>
      <c r="C768" s="885" t="s">
        <v>291</v>
      </c>
      <c r="D768" s="884"/>
      <c r="E768" s="884" t="s">
        <v>416</v>
      </c>
      <c r="F768" s="884" t="s">
        <v>435</v>
      </c>
      <c r="G768" s="884" t="s">
        <v>6961</v>
      </c>
      <c r="H768" s="886">
        <v>42430</v>
      </c>
      <c r="I768" s="887">
        <v>42473</v>
      </c>
      <c r="J768" s="958">
        <v>300</v>
      </c>
    </row>
    <row r="769" spans="1:10" s="84" customFormat="1" outlineLevel="2">
      <c r="A769" s="884" t="s">
        <v>2325</v>
      </c>
      <c r="B769" s="1050">
        <v>112120612010</v>
      </c>
      <c r="C769" s="885" t="s">
        <v>291</v>
      </c>
      <c r="D769" s="884"/>
      <c r="E769" s="884" t="s">
        <v>416</v>
      </c>
      <c r="F769" s="884" t="s">
        <v>435</v>
      </c>
      <c r="G769" s="884" t="s">
        <v>6961</v>
      </c>
      <c r="H769" s="886">
        <v>42430</v>
      </c>
      <c r="I769" s="887">
        <v>42473</v>
      </c>
      <c r="J769" s="958">
        <v>141.12</v>
      </c>
    </row>
    <row r="770" spans="1:10" s="84" customFormat="1" outlineLevel="2">
      <c r="A770" s="884" t="s">
        <v>2462</v>
      </c>
      <c r="B770" s="1050">
        <v>112120612060</v>
      </c>
      <c r="C770" s="885" t="s">
        <v>291</v>
      </c>
      <c r="D770" s="884"/>
      <c r="E770" s="884" t="s">
        <v>2457</v>
      </c>
      <c r="F770" s="884" t="s">
        <v>2458</v>
      </c>
      <c r="G770" s="884" t="s">
        <v>6853</v>
      </c>
      <c r="H770" s="886">
        <v>42430</v>
      </c>
      <c r="I770" s="887">
        <v>42474</v>
      </c>
      <c r="J770" s="958">
        <v>91.91</v>
      </c>
    </row>
    <row r="771" spans="1:10" s="84" customFormat="1" outlineLevel="2">
      <c r="A771" s="884" t="s">
        <v>2398</v>
      </c>
      <c r="B771" s="1050">
        <v>112120611040</v>
      </c>
      <c r="C771" s="885" t="s">
        <v>291</v>
      </c>
      <c r="D771" s="884"/>
      <c r="E771" s="884" t="s">
        <v>409</v>
      </c>
      <c r="F771" s="884" t="s">
        <v>2418</v>
      </c>
      <c r="G771" s="884" t="s">
        <v>6786</v>
      </c>
      <c r="H771" s="886">
        <v>42401</v>
      </c>
      <c r="I771" s="887">
        <v>42475</v>
      </c>
      <c r="J771" s="958">
        <v>5105.47</v>
      </c>
    </row>
    <row r="772" spans="1:10" s="84" customFormat="1" outlineLevel="2">
      <c r="A772" s="884" t="s">
        <v>2325</v>
      </c>
      <c r="B772" s="1050">
        <v>112120612010</v>
      </c>
      <c r="C772" s="885" t="s">
        <v>291</v>
      </c>
      <c r="D772" s="884"/>
      <c r="E772" s="884" t="s">
        <v>410</v>
      </c>
      <c r="F772" s="884" t="s">
        <v>435</v>
      </c>
      <c r="G772" s="884" t="s">
        <v>6710</v>
      </c>
      <c r="H772" s="886">
        <v>42430</v>
      </c>
      <c r="I772" s="887">
        <v>42475</v>
      </c>
      <c r="J772" s="958">
        <v>2.88</v>
      </c>
    </row>
    <row r="773" spans="1:10" s="84" customFormat="1" outlineLevel="2">
      <c r="A773" s="884" t="s">
        <v>2398</v>
      </c>
      <c r="B773" s="1050" t="s">
        <v>7732</v>
      </c>
      <c r="C773" s="885" t="s">
        <v>291</v>
      </c>
      <c r="D773" s="884"/>
      <c r="E773" s="884" t="s">
        <v>410</v>
      </c>
      <c r="F773" s="884" t="s">
        <v>7330</v>
      </c>
      <c r="G773" s="884" t="s">
        <v>7331</v>
      </c>
      <c r="H773" s="886">
        <v>42401</v>
      </c>
      <c r="I773" s="887">
        <v>42475</v>
      </c>
      <c r="J773" s="958">
        <v>195.77</v>
      </c>
    </row>
    <row r="774" spans="1:10" s="84" customFormat="1" outlineLevel="2">
      <c r="A774" s="884" t="s">
        <v>2398</v>
      </c>
      <c r="B774" s="1050" t="s">
        <v>7732</v>
      </c>
      <c r="C774" s="885" t="s">
        <v>291</v>
      </c>
      <c r="D774" s="884"/>
      <c r="E774" s="884" t="s">
        <v>410</v>
      </c>
      <c r="F774" s="884" t="s">
        <v>7332</v>
      </c>
      <c r="G774" s="884" t="s">
        <v>7333</v>
      </c>
      <c r="H774" s="886">
        <v>42401</v>
      </c>
      <c r="I774" s="887">
        <v>42475</v>
      </c>
      <c r="J774" s="958">
        <v>190.62</v>
      </c>
    </row>
    <row r="775" spans="1:10" s="84" customFormat="1" outlineLevel="2">
      <c r="A775" s="884" t="s">
        <v>2398</v>
      </c>
      <c r="B775" s="1050" t="s">
        <v>7732</v>
      </c>
      <c r="C775" s="885" t="s">
        <v>291</v>
      </c>
      <c r="D775" s="884"/>
      <c r="E775" s="884" t="s">
        <v>410</v>
      </c>
      <c r="F775" s="884" t="s">
        <v>7334</v>
      </c>
      <c r="G775" s="884" t="s">
        <v>7335</v>
      </c>
      <c r="H775" s="886">
        <v>42401</v>
      </c>
      <c r="I775" s="887">
        <v>42475</v>
      </c>
      <c r="J775" s="958">
        <v>128.80000000000001</v>
      </c>
    </row>
    <row r="776" spans="1:10" s="84" customFormat="1" outlineLevel="2">
      <c r="A776" s="884" t="s">
        <v>2478</v>
      </c>
      <c r="B776" s="1050">
        <v>112120101060</v>
      </c>
      <c r="C776" s="885" t="s">
        <v>291</v>
      </c>
      <c r="D776" s="884"/>
      <c r="E776" s="884" t="s">
        <v>2476</v>
      </c>
      <c r="F776" s="884" t="s">
        <v>2441</v>
      </c>
      <c r="G776" s="884" t="s">
        <v>6927</v>
      </c>
      <c r="H776" s="886">
        <v>42401</v>
      </c>
      <c r="I776" s="887">
        <v>42478</v>
      </c>
      <c r="J776" s="958">
        <v>315</v>
      </c>
    </row>
    <row r="777" spans="1:10" s="84" customFormat="1" outlineLevel="2">
      <c r="A777" s="884" t="s">
        <v>2398</v>
      </c>
      <c r="B777" s="1050">
        <v>112120611040</v>
      </c>
      <c r="C777" s="885" t="s">
        <v>291</v>
      </c>
      <c r="D777" s="884"/>
      <c r="E777" s="884" t="s">
        <v>408</v>
      </c>
      <c r="F777" s="884" t="s">
        <v>2418</v>
      </c>
      <c r="G777" s="884" t="s">
        <v>6889</v>
      </c>
      <c r="H777" s="886">
        <v>42370</v>
      </c>
      <c r="I777" s="887">
        <v>42478</v>
      </c>
      <c r="J777" s="958">
        <v>5402.29</v>
      </c>
    </row>
    <row r="778" spans="1:10" s="84" customFormat="1" outlineLevel="2">
      <c r="A778" s="884" t="s">
        <v>2462</v>
      </c>
      <c r="B778" s="1050">
        <v>112120612060</v>
      </c>
      <c r="C778" s="885" t="s">
        <v>291</v>
      </c>
      <c r="D778" s="884"/>
      <c r="E778" s="884" t="s">
        <v>2457</v>
      </c>
      <c r="F778" s="884" t="s">
        <v>2458</v>
      </c>
      <c r="G778" s="884" t="s">
        <v>6855</v>
      </c>
      <c r="H778" s="886">
        <v>42430</v>
      </c>
      <c r="I778" s="887">
        <v>42478</v>
      </c>
      <c r="J778" s="958">
        <v>73.53</v>
      </c>
    </row>
    <row r="779" spans="1:10" s="84" customFormat="1" outlineLevel="2">
      <c r="A779" s="884" t="s">
        <v>2668</v>
      </c>
      <c r="B779" s="1050">
        <v>112120610030</v>
      </c>
      <c r="C779" s="885" t="s">
        <v>291</v>
      </c>
      <c r="D779" s="884"/>
      <c r="E779" s="884" t="s">
        <v>6727</v>
      </c>
      <c r="F779" s="884" t="s">
        <v>2667</v>
      </c>
      <c r="G779" s="884" t="s">
        <v>6728</v>
      </c>
      <c r="H779" s="886">
        <v>42430</v>
      </c>
      <c r="I779" s="887">
        <v>42478</v>
      </c>
      <c r="J779" s="958">
        <v>1919.57</v>
      </c>
    </row>
    <row r="780" spans="1:10" s="84" customFormat="1" outlineLevel="2">
      <c r="A780" s="884" t="s">
        <v>2462</v>
      </c>
      <c r="B780" s="1050">
        <v>112120612060</v>
      </c>
      <c r="C780" s="885" t="s">
        <v>291</v>
      </c>
      <c r="D780" s="884"/>
      <c r="E780" s="884" t="s">
        <v>2457</v>
      </c>
      <c r="F780" s="884" t="s">
        <v>2458</v>
      </c>
      <c r="G780" s="884" t="s">
        <v>6861</v>
      </c>
      <c r="H780" s="886">
        <v>42430</v>
      </c>
      <c r="I780" s="887">
        <v>42480</v>
      </c>
      <c r="J780" s="958">
        <v>171.56</v>
      </c>
    </row>
    <row r="781" spans="1:10" s="84" customFormat="1" outlineLevel="2">
      <c r="A781" s="884" t="s">
        <v>2398</v>
      </c>
      <c r="B781" s="1050" t="s">
        <v>7732</v>
      </c>
      <c r="C781" s="885" t="s">
        <v>291</v>
      </c>
      <c r="D781" s="884"/>
      <c r="E781" s="884" t="s">
        <v>2336</v>
      </c>
      <c r="F781" s="884" t="s">
        <v>7146</v>
      </c>
      <c r="G781" s="884" t="s">
        <v>7147</v>
      </c>
      <c r="H781" s="886">
        <v>42401</v>
      </c>
      <c r="I781" s="887">
        <v>42480</v>
      </c>
      <c r="J781" s="958">
        <v>717.84</v>
      </c>
    </row>
    <row r="782" spans="1:10" s="84" customFormat="1" outlineLevel="2">
      <c r="A782" s="884" t="s">
        <v>2398</v>
      </c>
      <c r="B782" s="1050" t="s">
        <v>7732</v>
      </c>
      <c r="C782" s="885" t="s">
        <v>291</v>
      </c>
      <c r="D782" s="884"/>
      <c r="E782" s="884" t="s">
        <v>2336</v>
      </c>
      <c r="F782" s="884" t="s">
        <v>7150</v>
      </c>
      <c r="G782" s="884" t="s">
        <v>7151</v>
      </c>
      <c r="H782" s="886">
        <v>42401</v>
      </c>
      <c r="I782" s="887">
        <v>42480</v>
      </c>
      <c r="J782" s="958">
        <v>472.26</v>
      </c>
    </row>
    <row r="783" spans="1:10" s="84" customFormat="1" outlineLevel="2">
      <c r="A783" s="884" t="s">
        <v>2398</v>
      </c>
      <c r="B783" s="1050" t="s">
        <v>7732</v>
      </c>
      <c r="C783" s="885" t="s">
        <v>291</v>
      </c>
      <c r="D783" s="884"/>
      <c r="E783" s="884" t="s">
        <v>2336</v>
      </c>
      <c r="F783" s="884" t="s">
        <v>7148</v>
      </c>
      <c r="G783" s="884" t="s">
        <v>7149</v>
      </c>
      <c r="H783" s="886">
        <v>42401</v>
      </c>
      <c r="I783" s="887">
        <v>42480</v>
      </c>
      <c r="J783" s="958">
        <v>698.95</v>
      </c>
    </row>
    <row r="784" spans="1:10" s="84" customFormat="1" outlineLevel="2">
      <c r="A784" s="884" t="s">
        <v>2398</v>
      </c>
      <c r="B784" s="1050" t="s">
        <v>7732</v>
      </c>
      <c r="C784" s="885" t="s">
        <v>291</v>
      </c>
      <c r="D784" s="884"/>
      <c r="E784" s="884" t="s">
        <v>1909</v>
      </c>
      <c r="F784" s="884" t="s">
        <v>7436</v>
      </c>
      <c r="G784" s="884" t="s">
        <v>7437</v>
      </c>
      <c r="H784" s="886">
        <v>42401</v>
      </c>
      <c r="I784" s="887">
        <v>42480</v>
      </c>
      <c r="J784" s="958">
        <v>65.260000000000005</v>
      </c>
    </row>
    <row r="785" spans="1:10" s="84" customFormat="1" outlineLevel="2">
      <c r="A785" s="884" t="s">
        <v>2398</v>
      </c>
      <c r="B785" s="1050" t="s">
        <v>7732</v>
      </c>
      <c r="C785" s="885" t="s">
        <v>291</v>
      </c>
      <c r="D785" s="884"/>
      <c r="E785" s="884" t="s">
        <v>1909</v>
      </c>
      <c r="F785" s="884" t="s">
        <v>7502</v>
      </c>
      <c r="G785" s="884" t="s">
        <v>7503</v>
      </c>
      <c r="H785" s="886">
        <v>42401</v>
      </c>
      <c r="I785" s="887">
        <v>42480</v>
      </c>
      <c r="J785" s="958">
        <v>42.93</v>
      </c>
    </row>
    <row r="786" spans="1:10" s="84" customFormat="1" outlineLevel="2">
      <c r="A786" s="884" t="s">
        <v>2398</v>
      </c>
      <c r="B786" s="1050" t="s">
        <v>7732</v>
      </c>
      <c r="C786" s="885" t="s">
        <v>291</v>
      </c>
      <c r="D786" s="884"/>
      <c r="E786" s="884" t="s">
        <v>1909</v>
      </c>
      <c r="F786" s="884" t="s">
        <v>7566</v>
      </c>
      <c r="G786" s="884" t="s">
        <v>7567</v>
      </c>
      <c r="H786" s="886">
        <v>42401</v>
      </c>
      <c r="I786" s="887">
        <v>42480</v>
      </c>
      <c r="J786" s="958">
        <v>63.54</v>
      </c>
    </row>
    <row r="787" spans="1:10" s="84" customFormat="1" outlineLevel="2">
      <c r="A787" s="884" t="s">
        <v>2668</v>
      </c>
      <c r="B787" s="1050" t="s">
        <v>7732</v>
      </c>
      <c r="C787" s="885" t="s">
        <v>291</v>
      </c>
      <c r="D787" s="884"/>
      <c r="E787" s="884" t="s">
        <v>1909</v>
      </c>
      <c r="F787" s="884" t="s">
        <v>7572</v>
      </c>
      <c r="G787" s="884" t="s">
        <v>7573</v>
      </c>
      <c r="H787" s="886">
        <v>42430</v>
      </c>
      <c r="I787" s="887">
        <v>42480</v>
      </c>
      <c r="J787" s="958">
        <v>30.69</v>
      </c>
    </row>
    <row r="788" spans="1:10" s="84" customFormat="1" outlineLevel="2">
      <c r="A788" s="884" t="s">
        <v>2398</v>
      </c>
      <c r="B788" s="1050" t="s">
        <v>7732</v>
      </c>
      <c r="C788" s="885" t="s">
        <v>291</v>
      </c>
      <c r="D788" s="884"/>
      <c r="E788" s="884" t="s">
        <v>1909</v>
      </c>
      <c r="F788" s="884" t="s">
        <v>7642</v>
      </c>
      <c r="G788" s="884" t="s">
        <v>7643</v>
      </c>
      <c r="H788" s="886">
        <v>42370</v>
      </c>
      <c r="I788" s="887">
        <v>42480</v>
      </c>
      <c r="J788" s="958">
        <v>205.68</v>
      </c>
    </row>
    <row r="789" spans="1:10" s="84" customFormat="1" outlineLevel="2">
      <c r="A789" s="884" t="s">
        <v>2398</v>
      </c>
      <c r="B789" s="1050" t="s">
        <v>7732</v>
      </c>
      <c r="C789" s="885" t="s">
        <v>291</v>
      </c>
      <c r="D789" s="884"/>
      <c r="E789" s="884" t="s">
        <v>1909</v>
      </c>
      <c r="F789" s="884" t="s">
        <v>7696</v>
      </c>
      <c r="G789" s="884" t="s">
        <v>7697</v>
      </c>
      <c r="H789" s="886">
        <v>42370</v>
      </c>
      <c r="I789" s="887">
        <v>42480</v>
      </c>
      <c r="J789" s="958">
        <v>304.41000000000003</v>
      </c>
    </row>
    <row r="790" spans="1:10" s="84" customFormat="1" outlineLevel="2">
      <c r="A790" s="884" t="s">
        <v>2668</v>
      </c>
      <c r="B790" s="1050" t="s">
        <v>7732</v>
      </c>
      <c r="C790" s="885" t="s">
        <v>291</v>
      </c>
      <c r="D790" s="884"/>
      <c r="E790" s="884" t="s">
        <v>1909</v>
      </c>
      <c r="F790" s="884" t="s">
        <v>7724</v>
      </c>
      <c r="G790" s="884" t="s">
        <v>7725</v>
      </c>
      <c r="H790" s="886">
        <v>42370</v>
      </c>
      <c r="I790" s="887">
        <v>42480</v>
      </c>
      <c r="J790" s="958">
        <v>187.9</v>
      </c>
    </row>
    <row r="791" spans="1:10" s="84" customFormat="1" outlineLevel="2">
      <c r="A791" s="884" t="s">
        <v>2745</v>
      </c>
      <c r="B791" s="1050">
        <v>112120101060</v>
      </c>
      <c r="C791" s="885" t="s">
        <v>291</v>
      </c>
      <c r="D791" s="884"/>
      <c r="E791" s="884" t="s">
        <v>2476</v>
      </c>
      <c r="F791" s="884" t="s">
        <v>2441</v>
      </c>
      <c r="G791" s="884" t="s">
        <v>1038</v>
      </c>
      <c r="H791" s="886">
        <v>42430</v>
      </c>
      <c r="I791" s="887">
        <v>42485</v>
      </c>
      <c r="J791" s="958">
        <v>315</v>
      </c>
    </row>
    <row r="792" spans="1:10" s="84" customFormat="1" outlineLevel="2">
      <c r="A792" s="884" t="s">
        <v>2462</v>
      </c>
      <c r="B792" s="1050">
        <v>112120612060</v>
      </c>
      <c r="C792" s="885" t="s">
        <v>291</v>
      </c>
      <c r="D792" s="884"/>
      <c r="E792" s="884" t="s">
        <v>2457</v>
      </c>
      <c r="F792" s="884" t="s">
        <v>2458</v>
      </c>
      <c r="G792" s="884" t="s">
        <v>6866</v>
      </c>
      <c r="H792" s="886">
        <v>42430</v>
      </c>
      <c r="I792" s="887">
        <v>42487</v>
      </c>
      <c r="J792" s="958">
        <v>42.89</v>
      </c>
    </row>
    <row r="793" spans="1:10" s="84" customFormat="1" outlineLevel="2">
      <c r="A793" s="884" t="s">
        <v>2462</v>
      </c>
      <c r="B793" s="1050">
        <v>112120612060</v>
      </c>
      <c r="C793" s="885" t="s">
        <v>291</v>
      </c>
      <c r="D793" s="884"/>
      <c r="E793" s="884" t="s">
        <v>2457</v>
      </c>
      <c r="F793" s="884" t="s">
        <v>2458</v>
      </c>
      <c r="G793" s="884" t="s">
        <v>6867</v>
      </c>
      <c r="H793" s="886">
        <v>42430</v>
      </c>
      <c r="I793" s="887">
        <v>42489</v>
      </c>
      <c r="J793" s="958">
        <v>43.77</v>
      </c>
    </row>
    <row r="794" spans="1:10" s="84" customFormat="1" outlineLevel="2">
      <c r="A794" s="884" t="s">
        <v>2326</v>
      </c>
      <c r="B794" s="1050" t="s">
        <v>6992</v>
      </c>
      <c r="C794" s="885" t="s">
        <v>291</v>
      </c>
      <c r="D794" s="884"/>
      <c r="E794" s="884" t="s">
        <v>2306</v>
      </c>
      <c r="F794" s="884" t="s">
        <v>2310</v>
      </c>
      <c r="G794" s="884">
        <v>1289116</v>
      </c>
      <c r="H794" s="886">
        <v>42461</v>
      </c>
      <c r="I794" s="887">
        <v>42489</v>
      </c>
      <c r="J794" s="958">
        <v>1518.67</v>
      </c>
    </row>
    <row r="795" spans="1:10" s="84" customFormat="1" outlineLevel="2">
      <c r="A795" s="884" t="s">
        <v>2326</v>
      </c>
      <c r="B795" s="1050" t="s">
        <v>6992</v>
      </c>
      <c r="C795" s="885" t="s">
        <v>291</v>
      </c>
      <c r="D795" s="884"/>
      <c r="E795" s="884" t="s">
        <v>2306</v>
      </c>
      <c r="F795" s="884" t="s">
        <v>2310</v>
      </c>
      <c r="G795" s="884">
        <v>1292116</v>
      </c>
      <c r="H795" s="886">
        <v>42461</v>
      </c>
      <c r="I795" s="887">
        <v>42489</v>
      </c>
      <c r="J795" s="958">
        <v>2735.55</v>
      </c>
    </row>
    <row r="796" spans="1:10" s="84" customFormat="1" outlineLevel="2">
      <c r="A796" s="884" t="s">
        <v>2325</v>
      </c>
      <c r="B796" s="1050" t="s">
        <v>6991</v>
      </c>
      <c r="C796" s="885" t="s">
        <v>291</v>
      </c>
      <c r="D796" s="884"/>
      <c r="E796" s="884" t="s">
        <v>2306</v>
      </c>
      <c r="F796" s="884" t="s">
        <v>2307</v>
      </c>
      <c r="G796" s="884">
        <v>1282766</v>
      </c>
      <c r="H796" s="886">
        <v>42461</v>
      </c>
      <c r="I796" s="887">
        <v>42489</v>
      </c>
      <c r="J796" s="958">
        <v>293.04000000000002</v>
      </c>
    </row>
    <row r="797" spans="1:10" s="84" customFormat="1" outlineLevel="2">
      <c r="A797" s="884" t="s">
        <v>2325</v>
      </c>
      <c r="B797" s="1050" t="s">
        <v>6991</v>
      </c>
      <c r="C797" s="885" t="s">
        <v>291</v>
      </c>
      <c r="D797" s="884"/>
      <c r="E797" s="884" t="s">
        <v>2306</v>
      </c>
      <c r="F797" s="884" t="s">
        <v>2307</v>
      </c>
      <c r="G797" s="884">
        <v>1282762</v>
      </c>
      <c r="H797" s="886">
        <v>42461</v>
      </c>
      <c r="I797" s="887">
        <v>42489</v>
      </c>
      <c r="J797" s="958">
        <v>260.12</v>
      </c>
    </row>
    <row r="798" spans="1:10" s="84" customFormat="1" outlineLevel="2">
      <c r="A798" s="884" t="s">
        <v>2325</v>
      </c>
      <c r="B798" s="1050" t="s">
        <v>6991</v>
      </c>
      <c r="C798" s="885" t="s">
        <v>291</v>
      </c>
      <c r="D798" s="884"/>
      <c r="E798" s="884" t="s">
        <v>2306</v>
      </c>
      <c r="F798" s="884" t="s">
        <v>2307</v>
      </c>
      <c r="G798" s="884">
        <v>1282799</v>
      </c>
      <c r="H798" s="886">
        <v>42461</v>
      </c>
      <c r="I798" s="887">
        <v>42489</v>
      </c>
      <c r="J798" s="958">
        <v>51.36</v>
      </c>
    </row>
    <row r="799" spans="1:10" s="84" customFormat="1" outlineLevel="2">
      <c r="A799" s="884" t="s">
        <v>2326</v>
      </c>
      <c r="B799" s="1050" t="s">
        <v>6992</v>
      </c>
      <c r="C799" s="885" t="s">
        <v>291</v>
      </c>
      <c r="D799" s="884"/>
      <c r="E799" s="884" t="s">
        <v>2306</v>
      </c>
      <c r="F799" s="884" t="s">
        <v>2310</v>
      </c>
      <c r="G799" s="884">
        <v>1282772</v>
      </c>
      <c r="H799" s="886">
        <v>42461</v>
      </c>
      <c r="I799" s="887">
        <v>42489</v>
      </c>
      <c r="J799" s="958">
        <v>126.23</v>
      </c>
    </row>
    <row r="800" spans="1:10" s="84" customFormat="1" outlineLevel="2">
      <c r="A800" s="884" t="s">
        <v>2325</v>
      </c>
      <c r="B800" s="1050" t="s">
        <v>6991</v>
      </c>
      <c r="C800" s="885" t="s">
        <v>291</v>
      </c>
      <c r="D800" s="884"/>
      <c r="E800" s="884" t="s">
        <v>2306</v>
      </c>
      <c r="F800" s="884" t="s">
        <v>2307</v>
      </c>
      <c r="G800" s="884">
        <v>1282774</v>
      </c>
      <c r="H800" s="886">
        <v>42461</v>
      </c>
      <c r="I800" s="887">
        <v>42489</v>
      </c>
      <c r="J800" s="958">
        <v>50.17</v>
      </c>
    </row>
    <row r="801" spans="1:10" s="84" customFormat="1" outlineLevel="2">
      <c r="A801" s="884" t="s">
        <v>2325</v>
      </c>
      <c r="B801" s="1050" t="s">
        <v>6991</v>
      </c>
      <c r="C801" s="885" t="s">
        <v>291</v>
      </c>
      <c r="D801" s="884"/>
      <c r="E801" s="884" t="s">
        <v>2306</v>
      </c>
      <c r="F801" s="884" t="s">
        <v>2307</v>
      </c>
      <c r="G801" s="884">
        <v>1282764</v>
      </c>
      <c r="H801" s="886">
        <v>42461</v>
      </c>
      <c r="I801" s="887">
        <v>42489</v>
      </c>
      <c r="J801" s="958">
        <v>33.26</v>
      </c>
    </row>
    <row r="802" spans="1:10" s="84" customFormat="1" outlineLevel="2">
      <c r="A802" s="884" t="s">
        <v>2327</v>
      </c>
      <c r="B802" s="1050" t="s">
        <v>6993</v>
      </c>
      <c r="C802" s="885" t="s">
        <v>291</v>
      </c>
      <c r="D802" s="884"/>
      <c r="E802" s="884" t="s">
        <v>2306</v>
      </c>
      <c r="F802" s="884" t="s">
        <v>2316</v>
      </c>
      <c r="G802" s="884">
        <v>1282768</v>
      </c>
      <c r="H802" s="886">
        <v>42461</v>
      </c>
      <c r="I802" s="887">
        <v>42489</v>
      </c>
      <c r="J802" s="958">
        <v>62.61</v>
      </c>
    </row>
    <row r="803" spans="1:10" s="84" customFormat="1" outlineLevel="2">
      <c r="A803" s="884" t="s">
        <v>2325</v>
      </c>
      <c r="B803" s="1050" t="s">
        <v>6991</v>
      </c>
      <c r="C803" s="885" t="s">
        <v>291</v>
      </c>
      <c r="D803" s="884"/>
      <c r="E803" s="884" t="s">
        <v>2306</v>
      </c>
      <c r="F803" s="884" t="s">
        <v>2307</v>
      </c>
      <c r="G803" s="884">
        <v>1282776</v>
      </c>
      <c r="H803" s="886">
        <v>42461</v>
      </c>
      <c r="I803" s="887">
        <v>42489</v>
      </c>
      <c r="J803" s="958">
        <v>76.36</v>
      </c>
    </row>
    <row r="804" spans="1:10" s="84" customFormat="1" outlineLevel="2">
      <c r="A804" s="884" t="s">
        <v>2325</v>
      </c>
      <c r="B804" s="1050" t="s">
        <v>6991</v>
      </c>
      <c r="C804" s="885" t="s">
        <v>291</v>
      </c>
      <c r="D804" s="884"/>
      <c r="E804" s="884" t="s">
        <v>2306</v>
      </c>
      <c r="F804" s="884" t="s">
        <v>2307</v>
      </c>
      <c r="G804" s="884">
        <v>1282780</v>
      </c>
      <c r="H804" s="886">
        <v>42461</v>
      </c>
      <c r="I804" s="887">
        <v>42489</v>
      </c>
      <c r="J804" s="958">
        <v>83.93</v>
      </c>
    </row>
    <row r="805" spans="1:10" s="84" customFormat="1" outlineLevel="1">
      <c r="A805" s="884"/>
      <c r="B805" s="1050"/>
      <c r="C805" s="908" t="s">
        <v>291</v>
      </c>
      <c r="D805" s="928" t="str">
        <f>VLOOKUP(C805,$C$1102:$E$1189,3,FALSE)</f>
        <v>TOTAL POUPATEMPO SÃO BERNARDO DO CAMPO</v>
      </c>
      <c r="E805" s="928"/>
      <c r="F805" s="928"/>
      <c r="G805" s="928"/>
      <c r="H805" s="911"/>
      <c r="I805" s="912"/>
      <c r="J805" s="966">
        <f>SUBTOTAL(9,J758:J804)</f>
        <v>29210.309999999998</v>
      </c>
    </row>
    <row r="806" spans="1:10" s="84" customFormat="1" outlineLevel="2">
      <c r="A806" s="884" t="s">
        <v>2466</v>
      </c>
      <c r="B806" s="1050">
        <v>112120612060</v>
      </c>
      <c r="C806" s="885" t="s">
        <v>292</v>
      </c>
      <c r="D806" s="884"/>
      <c r="E806" s="884" t="s">
        <v>2457</v>
      </c>
      <c r="F806" s="884" t="s">
        <v>2458</v>
      </c>
      <c r="G806" s="884" t="s">
        <v>6837</v>
      </c>
      <c r="H806" s="886">
        <v>42430</v>
      </c>
      <c r="I806" s="887">
        <v>42461</v>
      </c>
      <c r="J806" s="958">
        <v>37.19</v>
      </c>
    </row>
    <row r="807" spans="1:10" s="84" customFormat="1" outlineLevel="2">
      <c r="A807" s="884" t="s">
        <v>2424</v>
      </c>
      <c r="B807" s="1050">
        <v>112120604020</v>
      </c>
      <c r="C807" s="885" t="s">
        <v>292</v>
      </c>
      <c r="D807" s="884"/>
      <c r="E807" s="884" t="s">
        <v>2420</v>
      </c>
      <c r="F807" s="884" t="s">
        <v>432</v>
      </c>
      <c r="G807" s="884" t="s">
        <v>6700</v>
      </c>
      <c r="H807" s="886">
        <v>42401</v>
      </c>
      <c r="I807" s="887">
        <v>42461</v>
      </c>
      <c r="J807" s="958">
        <v>868.22</v>
      </c>
    </row>
    <row r="808" spans="1:10" s="84" customFormat="1" outlineLevel="2">
      <c r="A808" s="884" t="s">
        <v>2598</v>
      </c>
      <c r="B808" s="1050">
        <v>112120101060</v>
      </c>
      <c r="C808" s="885" t="s">
        <v>292</v>
      </c>
      <c r="D808" s="884"/>
      <c r="E808" s="884" t="s">
        <v>2476</v>
      </c>
      <c r="F808" s="884" t="s">
        <v>2441</v>
      </c>
      <c r="G808" s="884" t="s">
        <v>6922</v>
      </c>
      <c r="H808" s="886">
        <v>42430</v>
      </c>
      <c r="I808" s="887">
        <v>42464</v>
      </c>
      <c r="J808" s="958">
        <v>252</v>
      </c>
    </row>
    <row r="809" spans="1:10" s="84" customFormat="1" outlineLevel="2">
      <c r="A809" s="884" t="s">
        <v>2491</v>
      </c>
      <c r="B809" s="1050">
        <v>112120612020</v>
      </c>
      <c r="C809" s="885" t="s">
        <v>292</v>
      </c>
      <c r="D809" s="884"/>
      <c r="E809" s="884" t="s">
        <v>417</v>
      </c>
      <c r="F809" s="884" t="s">
        <v>2623</v>
      </c>
      <c r="G809" s="884" t="s">
        <v>6967</v>
      </c>
      <c r="H809" s="886">
        <v>42430</v>
      </c>
      <c r="I809" s="887">
        <v>42467</v>
      </c>
      <c r="J809" s="958">
        <v>195.43</v>
      </c>
    </row>
    <row r="810" spans="1:10" s="84" customFormat="1" outlineLevel="2">
      <c r="A810" s="884" t="s">
        <v>2625</v>
      </c>
      <c r="B810" s="1050">
        <v>112120612020</v>
      </c>
      <c r="C810" s="885" t="s">
        <v>292</v>
      </c>
      <c r="D810" s="884"/>
      <c r="E810" s="884" t="s">
        <v>417</v>
      </c>
      <c r="F810" s="884" t="s">
        <v>2623</v>
      </c>
      <c r="G810" s="884" t="s">
        <v>6967</v>
      </c>
      <c r="H810" s="886">
        <v>42430</v>
      </c>
      <c r="I810" s="887">
        <v>42467</v>
      </c>
      <c r="J810" s="958">
        <v>106</v>
      </c>
    </row>
    <row r="811" spans="1:10" s="84" customFormat="1" outlineLevel="2">
      <c r="A811" s="884" t="s">
        <v>2329</v>
      </c>
      <c r="B811" s="1050">
        <v>112120612020</v>
      </c>
      <c r="C811" s="885" t="s">
        <v>292</v>
      </c>
      <c r="D811" s="884"/>
      <c r="E811" s="884" t="s">
        <v>417</v>
      </c>
      <c r="F811" s="884" t="s">
        <v>2623</v>
      </c>
      <c r="G811" s="884" t="s">
        <v>6967</v>
      </c>
      <c r="H811" s="886">
        <v>42430</v>
      </c>
      <c r="I811" s="887">
        <v>42467</v>
      </c>
      <c r="J811" s="958">
        <v>32.5</v>
      </c>
    </row>
    <row r="812" spans="1:10" s="84" customFormat="1" outlineLevel="2">
      <c r="A812" s="884" t="s">
        <v>2627</v>
      </c>
      <c r="B812" s="1050">
        <v>112120612020</v>
      </c>
      <c r="C812" s="885" t="s">
        <v>292</v>
      </c>
      <c r="D812" s="884"/>
      <c r="E812" s="884" t="s">
        <v>417</v>
      </c>
      <c r="F812" s="884" t="s">
        <v>2623</v>
      </c>
      <c r="G812" s="884" t="s">
        <v>6967</v>
      </c>
      <c r="H812" s="886">
        <v>42430</v>
      </c>
      <c r="I812" s="887">
        <v>42467</v>
      </c>
      <c r="J812" s="958">
        <v>238.16</v>
      </c>
    </row>
    <row r="813" spans="1:10" s="84" customFormat="1" outlineLevel="2">
      <c r="A813" s="884" t="s">
        <v>2492</v>
      </c>
      <c r="B813" s="1050">
        <v>112120612020</v>
      </c>
      <c r="C813" s="885" t="s">
        <v>292</v>
      </c>
      <c r="D813" s="884"/>
      <c r="E813" s="884" t="s">
        <v>417</v>
      </c>
      <c r="F813" s="884" t="s">
        <v>2623</v>
      </c>
      <c r="G813" s="884" t="s">
        <v>6967</v>
      </c>
      <c r="H813" s="886">
        <v>42430</v>
      </c>
      <c r="I813" s="887">
        <v>42467</v>
      </c>
      <c r="J813" s="958">
        <v>6.3</v>
      </c>
    </row>
    <row r="814" spans="1:10" s="84" customFormat="1" outlineLevel="2">
      <c r="A814" s="884" t="s">
        <v>2466</v>
      </c>
      <c r="B814" s="1050">
        <v>112120612060</v>
      </c>
      <c r="C814" s="885" t="s">
        <v>292</v>
      </c>
      <c r="D814" s="884"/>
      <c r="E814" s="884" t="s">
        <v>2457</v>
      </c>
      <c r="F814" s="884" t="s">
        <v>2458</v>
      </c>
      <c r="G814" s="884" t="s">
        <v>6840</v>
      </c>
      <c r="H814" s="886">
        <v>42430</v>
      </c>
      <c r="I814" s="887">
        <v>42467</v>
      </c>
      <c r="J814" s="958">
        <v>112.33</v>
      </c>
    </row>
    <row r="815" spans="1:10" s="84" customFormat="1" outlineLevel="2">
      <c r="A815" s="884" t="s">
        <v>2400</v>
      </c>
      <c r="B815" s="1050">
        <v>112120608040</v>
      </c>
      <c r="C815" s="885" t="s">
        <v>292</v>
      </c>
      <c r="D815" s="884"/>
      <c r="E815" s="884" t="s">
        <v>2413</v>
      </c>
      <c r="F815" s="884" t="s">
        <v>6670</v>
      </c>
      <c r="G815" s="884" t="s">
        <v>6679</v>
      </c>
      <c r="H815" s="886">
        <v>42401</v>
      </c>
      <c r="I815" s="887">
        <v>42468</v>
      </c>
      <c r="J815" s="958">
        <v>202.85</v>
      </c>
    </row>
    <row r="816" spans="1:10" s="84" customFormat="1" outlineLevel="2">
      <c r="A816" s="884" t="s">
        <v>2400</v>
      </c>
      <c r="B816" s="1050">
        <v>112120608040</v>
      </c>
      <c r="C816" s="885" t="s">
        <v>292</v>
      </c>
      <c r="D816" s="884"/>
      <c r="E816" s="884" t="s">
        <v>2413</v>
      </c>
      <c r="F816" s="884" t="s">
        <v>6680</v>
      </c>
      <c r="G816" s="884" t="s">
        <v>6681</v>
      </c>
      <c r="H816" s="886">
        <v>42401</v>
      </c>
      <c r="I816" s="887">
        <v>42468</v>
      </c>
      <c r="J816" s="958">
        <v>202.85</v>
      </c>
    </row>
    <row r="817" spans="1:10" s="84" customFormat="1" outlineLevel="2">
      <c r="A817" s="884" t="s">
        <v>2400</v>
      </c>
      <c r="B817" s="1050">
        <v>112120608040</v>
      </c>
      <c r="C817" s="885" t="s">
        <v>292</v>
      </c>
      <c r="D817" s="884"/>
      <c r="E817" s="884" t="s">
        <v>2413</v>
      </c>
      <c r="F817" s="884" t="s">
        <v>6670</v>
      </c>
      <c r="G817" s="884" t="s">
        <v>6682</v>
      </c>
      <c r="H817" s="886">
        <v>42401</v>
      </c>
      <c r="I817" s="887">
        <v>42468</v>
      </c>
      <c r="J817" s="958">
        <v>202.98</v>
      </c>
    </row>
    <row r="818" spans="1:10" s="84" customFormat="1" outlineLevel="2">
      <c r="A818" s="884" t="s">
        <v>2466</v>
      </c>
      <c r="B818" s="1050">
        <v>112120612060</v>
      </c>
      <c r="C818" s="885" t="s">
        <v>292</v>
      </c>
      <c r="D818" s="884"/>
      <c r="E818" s="884" t="s">
        <v>2457</v>
      </c>
      <c r="F818" s="884" t="s">
        <v>2458</v>
      </c>
      <c r="G818" s="884" t="s">
        <v>6842</v>
      </c>
      <c r="H818" s="886">
        <v>42430</v>
      </c>
      <c r="I818" s="887">
        <v>42471</v>
      </c>
      <c r="J818" s="958">
        <v>81.62</v>
      </c>
    </row>
    <row r="819" spans="1:10" s="84" customFormat="1" outlineLevel="2">
      <c r="A819" s="884" t="s">
        <v>2466</v>
      </c>
      <c r="B819" s="1050">
        <v>112120612060</v>
      </c>
      <c r="C819" s="885" t="s">
        <v>292</v>
      </c>
      <c r="D819" s="884"/>
      <c r="E819" s="884" t="s">
        <v>2457</v>
      </c>
      <c r="F819" s="884" t="s">
        <v>2458</v>
      </c>
      <c r="G819" s="884" t="s">
        <v>6853</v>
      </c>
      <c r="H819" s="886">
        <v>42430</v>
      </c>
      <c r="I819" s="887">
        <v>42474</v>
      </c>
      <c r="J819" s="958">
        <v>91.91</v>
      </c>
    </row>
    <row r="820" spans="1:10" s="84" customFormat="1" outlineLevel="2">
      <c r="A820" s="884" t="s">
        <v>2400</v>
      </c>
      <c r="B820" s="1050">
        <v>112120608040</v>
      </c>
      <c r="C820" s="885" t="s">
        <v>292</v>
      </c>
      <c r="D820" s="884"/>
      <c r="E820" s="884" t="s">
        <v>2413</v>
      </c>
      <c r="F820" s="884" t="s">
        <v>6670</v>
      </c>
      <c r="G820" s="884" t="s">
        <v>6683</v>
      </c>
      <c r="H820" s="886">
        <v>42430</v>
      </c>
      <c r="I820" s="887">
        <v>42474</v>
      </c>
      <c r="J820" s="958">
        <v>101.46</v>
      </c>
    </row>
    <row r="821" spans="1:10" s="84" customFormat="1" outlineLevel="2">
      <c r="A821" s="884" t="s">
        <v>2399</v>
      </c>
      <c r="B821" s="1050">
        <v>112120611040</v>
      </c>
      <c r="C821" s="885" t="s">
        <v>292</v>
      </c>
      <c r="D821" s="884"/>
      <c r="E821" s="884" t="s">
        <v>409</v>
      </c>
      <c r="F821" s="884" t="s">
        <v>2418</v>
      </c>
      <c r="G821" s="884" t="s">
        <v>6775</v>
      </c>
      <c r="H821" s="886">
        <v>42401</v>
      </c>
      <c r="I821" s="887">
        <v>42475</v>
      </c>
      <c r="J821" s="958">
        <v>4960.7700000000004</v>
      </c>
    </row>
    <row r="822" spans="1:10" s="84" customFormat="1" outlineLevel="2">
      <c r="A822" s="884" t="s">
        <v>2491</v>
      </c>
      <c r="B822" s="1050">
        <v>112120103030</v>
      </c>
      <c r="C822" s="885" t="s">
        <v>292</v>
      </c>
      <c r="D822" s="884"/>
      <c r="E822" s="884" t="s">
        <v>417</v>
      </c>
      <c r="F822" s="884" t="s">
        <v>2411</v>
      </c>
      <c r="G822" s="884" t="s">
        <v>6968</v>
      </c>
      <c r="H822" s="886">
        <v>42461</v>
      </c>
      <c r="I822" s="887">
        <v>42478</v>
      </c>
      <c r="J822" s="958">
        <v>212.17</v>
      </c>
    </row>
    <row r="823" spans="1:10" s="84" customFormat="1" outlineLevel="2">
      <c r="A823" s="884" t="s">
        <v>2625</v>
      </c>
      <c r="B823" s="1050">
        <v>112120103030</v>
      </c>
      <c r="C823" s="885" t="s">
        <v>292</v>
      </c>
      <c r="D823" s="884"/>
      <c r="E823" s="884" t="s">
        <v>417</v>
      </c>
      <c r="F823" s="884" t="s">
        <v>2411</v>
      </c>
      <c r="G823" s="884" t="s">
        <v>6968</v>
      </c>
      <c r="H823" s="886">
        <v>42461</v>
      </c>
      <c r="I823" s="887">
        <v>42478</v>
      </c>
      <c r="J823" s="958">
        <v>0</v>
      </c>
    </row>
    <row r="824" spans="1:10" s="84" customFormat="1" outlineLevel="2">
      <c r="A824" s="884" t="s">
        <v>2626</v>
      </c>
      <c r="B824" s="1050">
        <v>112120103030</v>
      </c>
      <c r="C824" s="885" t="s">
        <v>292</v>
      </c>
      <c r="D824" s="884"/>
      <c r="E824" s="884" t="s">
        <v>417</v>
      </c>
      <c r="F824" s="884" t="s">
        <v>2411</v>
      </c>
      <c r="G824" s="884" t="s">
        <v>6968</v>
      </c>
      <c r="H824" s="886">
        <v>42461</v>
      </c>
      <c r="I824" s="887">
        <v>42478</v>
      </c>
      <c r="J824" s="958">
        <v>7.6</v>
      </c>
    </row>
    <row r="825" spans="1:10" s="84" customFormat="1" outlineLevel="2">
      <c r="A825" s="884" t="s">
        <v>2329</v>
      </c>
      <c r="B825" s="1050">
        <v>112120103030</v>
      </c>
      <c r="C825" s="885" t="s">
        <v>292</v>
      </c>
      <c r="D825" s="884"/>
      <c r="E825" s="884" t="s">
        <v>417</v>
      </c>
      <c r="F825" s="884" t="s">
        <v>2411</v>
      </c>
      <c r="G825" s="884" t="s">
        <v>6968</v>
      </c>
      <c r="H825" s="886">
        <v>42461</v>
      </c>
      <c r="I825" s="887">
        <v>42478</v>
      </c>
      <c r="J825" s="958">
        <v>30</v>
      </c>
    </row>
    <row r="826" spans="1:10" s="84" customFormat="1" outlineLevel="2">
      <c r="A826" s="884" t="s">
        <v>2493</v>
      </c>
      <c r="B826" s="1050">
        <v>112120103030</v>
      </c>
      <c r="C826" s="885" t="s">
        <v>292</v>
      </c>
      <c r="D826" s="884"/>
      <c r="E826" s="884" t="s">
        <v>417</v>
      </c>
      <c r="F826" s="884" t="s">
        <v>2411</v>
      </c>
      <c r="G826" s="884" t="s">
        <v>6968</v>
      </c>
      <c r="H826" s="886">
        <v>42461</v>
      </c>
      <c r="I826" s="887">
        <v>42478</v>
      </c>
      <c r="J826" s="958">
        <v>31</v>
      </c>
    </row>
    <row r="827" spans="1:10" s="84" customFormat="1" outlineLevel="2">
      <c r="A827" s="884" t="s">
        <v>2399</v>
      </c>
      <c r="B827" s="1050">
        <v>112120611040</v>
      </c>
      <c r="C827" s="885" t="s">
        <v>292</v>
      </c>
      <c r="D827" s="884"/>
      <c r="E827" s="884" t="s">
        <v>408</v>
      </c>
      <c r="F827" s="884" t="s">
        <v>2418</v>
      </c>
      <c r="G827" s="884" t="s">
        <v>6884</v>
      </c>
      <c r="H827" s="886">
        <v>42370</v>
      </c>
      <c r="I827" s="887">
        <v>42478</v>
      </c>
      <c r="J827" s="958">
        <v>5402.87</v>
      </c>
    </row>
    <row r="828" spans="1:10" s="84" customFormat="1" outlineLevel="2">
      <c r="A828" s="884" t="s">
        <v>2466</v>
      </c>
      <c r="B828" s="1050">
        <v>112120612060</v>
      </c>
      <c r="C828" s="885" t="s">
        <v>292</v>
      </c>
      <c r="D828" s="884"/>
      <c r="E828" s="884" t="s">
        <v>2457</v>
      </c>
      <c r="F828" s="884" t="s">
        <v>2458</v>
      </c>
      <c r="G828" s="884" t="s">
        <v>6855</v>
      </c>
      <c r="H828" s="886">
        <v>42430</v>
      </c>
      <c r="I828" s="887">
        <v>42478</v>
      </c>
      <c r="J828" s="958">
        <v>73.53</v>
      </c>
    </row>
    <row r="829" spans="1:10" s="84" customFormat="1" outlineLevel="2">
      <c r="A829" s="884" t="s">
        <v>2669</v>
      </c>
      <c r="B829" s="1050">
        <v>112120610030</v>
      </c>
      <c r="C829" s="885" t="s">
        <v>292</v>
      </c>
      <c r="D829" s="884"/>
      <c r="E829" s="884" t="s">
        <v>6727</v>
      </c>
      <c r="F829" s="884" t="s">
        <v>2667</v>
      </c>
      <c r="G829" s="884" t="s">
        <v>6728</v>
      </c>
      <c r="H829" s="886">
        <v>42430</v>
      </c>
      <c r="I829" s="887">
        <v>42478</v>
      </c>
      <c r="J829" s="958">
        <v>1551.08</v>
      </c>
    </row>
    <row r="830" spans="1:10" s="84" customFormat="1" outlineLevel="2">
      <c r="A830" s="884" t="s">
        <v>2466</v>
      </c>
      <c r="B830" s="1050">
        <v>112120612060</v>
      </c>
      <c r="C830" s="885" t="s">
        <v>292</v>
      </c>
      <c r="D830" s="884"/>
      <c r="E830" s="884" t="s">
        <v>2457</v>
      </c>
      <c r="F830" s="884" t="s">
        <v>2458</v>
      </c>
      <c r="G830" s="884" t="s">
        <v>6861</v>
      </c>
      <c r="H830" s="886">
        <v>42430</v>
      </c>
      <c r="I830" s="887">
        <v>42480</v>
      </c>
      <c r="J830" s="958">
        <v>208.34</v>
      </c>
    </row>
    <row r="831" spans="1:10" s="84" customFormat="1" outlineLevel="2">
      <c r="A831" s="884" t="s">
        <v>2399</v>
      </c>
      <c r="B831" s="1050" t="s">
        <v>7732</v>
      </c>
      <c r="C831" s="885" t="s">
        <v>292</v>
      </c>
      <c r="D831" s="884"/>
      <c r="E831" s="884" t="s">
        <v>2336</v>
      </c>
      <c r="F831" s="884" t="s">
        <v>7154</v>
      </c>
      <c r="G831" s="884" t="s">
        <v>7155</v>
      </c>
      <c r="H831" s="886">
        <v>42401</v>
      </c>
      <c r="I831" s="887">
        <v>42480</v>
      </c>
      <c r="J831" s="958">
        <v>688.92</v>
      </c>
    </row>
    <row r="832" spans="1:10" s="84" customFormat="1" outlineLevel="2">
      <c r="A832" s="884" t="s">
        <v>2399</v>
      </c>
      <c r="B832" s="1050" t="s">
        <v>7732</v>
      </c>
      <c r="C832" s="885" t="s">
        <v>292</v>
      </c>
      <c r="D832" s="884"/>
      <c r="E832" s="884" t="s">
        <v>2336</v>
      </c>
      <c r="F832" s="884" t="s">
        <v>7152</v>
      </c>
      <c r="G832" s="884" t="s">
        <v>7153</v>
      </c>
      <c r="H832" s="886">
        <v>42401</v>
      </c>
      <c r="I832" s="887">
        <v>42480</v>
      </c>
      <c r="J832" s="958">
        <v>670.79</v>
      </c>
    </row>
    <row r="833" spans="1:10" s="84" customFormat="1" outlineLevel="2">
      <c r="A833" s="884" t="s">
        <v>2399</v>
      </c>
      <c r="B833" s="1050" t="s">
        <v>7732</v>
      </c>
      <c r="C833" s="885" t="s">
        <v>292</v>
      </c>
      <c r="D833" s="884"/>
      <c r="E833" s="884" t="s">
        <v>1909</v>
      </c>
      <c r="F833" s="884" t="s">
        <v>7416</v>
      </c>
      <c r="G833" s="884" t="s">
        <v>7417</v>
      </c>
      <c r="H833" s="886">
        <v>42401</v>
      </c>
      <c r="I833" s="887">
        <v>42480</v>
      </c>
      <c r="J833" s="958">
        <v>62.63</v>
      </c>
    </row>
    <row r="834" spans="1:10" s="84" customFormat="1" outlineLevel="2">
      <c r="A834" s="884" t="s">
        <v>2399</v>
      </c>
      <c r="B834" s="1050" t="s">
        <v>7732</v>
      </c>
      <c r="C834" s="885" t="s">
        <v>292</v>
      </c>
      <c r="D834" s="884"/>
      <c r="E834" s="884" t="s">
        <v>1909</v>
      </c>
      <c r="F834" s="884" t="s">
        <v>7544</v>
      </c>
      <c r="G834" s="884" t="s">
        <v>7545</v>
      </c>
      <c r="H834" s="886">
        <v>42401</v>
      </c>
      <c r="I834" s="887">
        <v>42480</v>
      </c>
      <c r="J834" s="958">
        <v>60.98</v>
      </c>
    </row>
    <row r="835" spans="1:10" s="84" customFormat="1" outlineLevel="2">
      <c r="A835" s="884" t="s">
        <v>2669</v>
      </c>
      <c r="B835" s="1050" t="s">
        <v>7732</v>
      </c>
      <c r="C835" s="885" t="s">
        <v>292</v>
      </c>
      <c r="D835" s="884"/>
      <c r="E835" s="884" t="s">
        <v>1909</v>
      </c>
      <c r="F835" s="884" t="s">
        <v>7572</v>
      </c>
      <c r="G835" s="884" t="s">
        <v>7573</v>
      </c>
      <c r="H835" s="886">
        <v>42430</v>
      </c>
      <c r="I835" s="887">
        <v>42480</v>
      </c>
      <c r="J835" s="958">
        <v>24.79</v>
      </c>
    </row>
    <row r="836" spans="1:10" s="84" customFormat="1" outlineLevel="2">
      <c r="A836" s="884" t="s">
        <v>2400</v>
      </c>
      <c r="B836" s="1050" t="s">
        <v>7732</v>
      </c>
      <c r="C836" s="885" t="s">
        <v>292</v>
      </c>
      <c r="D836" s="884"/>
      <c r="E836" s="884" t="s">
        <v>1909</v>
      </c>
      <c r="F836" s="884" t="s">
        <v>7576</v>
      </c>
      <c r="G836" s="884" t="s">
        <v>7577</v>
      </c>
      <c r="H836" s="886">
        <v>42401</v>
      </c>
      <c r="I836" s="887">
        <v>42480</v>
      </c>
      <c r="J836" s="958">
        <v>3.25</v>
      </c>
    </row>
    <row r="837" spans="1:10" s="84" customFormat="1" outlineLevel="2">
      <c r="A837" s="884" t="s">
        <v>2400</v>
      </c>
      <c r="B837" s="1050" t="s">
        <v>7732</v>
      </c>
      <c r="C837" s="885" t="s">
        <v>292</v>
      </c>
      <c r="D837" s="884"/>
      <c r="E837" s="884" t="s">
        <v>1909</v>
      </c>
      <c r="F837" s="884" t="s">
        <v>7578</v>
      </c>
      <c r="G837" s="884" t="s">
        <v>7579</v>
      </c>
      <c r="H837" s="886">
        <v>42401</v>
      </c>
      <c r="I837" s="887">
        <v>42480</v>
      </c>
      <c r="J837" s="958">
        <v>3.25</v>
      </c>
    </row>
    <row r="838" spans="1:10" s="84" customFormat="1" outlineLevel="2">
      <c r="A838" s="884" t="s">
        <v>2400</v>
      </c>
      <c r="B838" s="1050" t="s">
        <v>7732</v>
      </c>
      <c r="C838" s="885" t="s">
        <v>292</v>
      </c>
      <c r="D838" s="884"/>
      <c r="E838" s="884" t="s">
        <v>1909</v>
      </c>
      <c r="F838" s="884" t="s">
        <v>7580</v>
      </c>
      <c r="G838" s="884" t="s">
        <v>7581</v>
      </c>
      <c r="H838" s="886">
        <v>42401</v>
      </c>
      <c r="I838" s="887">
        <v>42480</v>
      </c>
      <c r="J838" s="958">
        <v>3.24</v>
      </c>
    </row>
    <row r="839" spans="1:10" s="84" customFormat="1" outlineLevel="2">
      <c r="A839" s="884" t="s">
        <v>2400</v>
      </c>
      <c r="B839" s="1050" t="s">
        <v>7732</v>
      </c>
      <c r="C839" s="885" t="s">
        <v>292</v>
      </c>
      <c r="D839" s="884"/>
      <c r="E839" s="884" t="s">
        <v>1909</v>
      </c>
      <c r="F839" s="884" t="s">
        <v>7582</v>
      </c>
      <c r="G839" s="884" t="s">
        <v>7583</v>
      </c>
      <c r="H839" s="886">
        <v>42430</v>
      </c>
      <c r="I839" s="887">
        <v>42480</v>
      </c>
      <c r="J839" s="958">
        <v>2.84</v>
      </c>
    </row>
    <row r="840" spans="1:10" s="84" customFormat="1" outlineLevel="2">
      <c r="A840" s="884" t="s">
        <v>2665</v>
      </c>
      <c r="B840" s="1050" t="s">
        <v>7732</v>
      </c>
      <c r="C840" s="885" t="s">
        <v>292</v>
      </c>
      <c r="D840" s="884"/>
      <c r="E840" s="884" t="s">
        <v>1909</v>
      </c>
      <c r="F840" s="884" t="s">
        <v>7588</v>
      </c>
      <c r="G840" s="884" t="s">
        <v>7589</v>
      </c>
      <c r="H840" s="886">
        <v>42401</v>
      </c>
      <c r="I840" s="887">
        <v>42480</v>
      </c>
      <c r="J840" s="958">
        <v>459.09</v>
      </c>
    </row>
    <row r="841" spans="1:10" s="84" customFormat="1" outlineLevel="2">
      <c r="A841" s="884" t="s">
        <v>2399</v>
      </c>
      <c r="B841" s="1050" t="s">
        <v>7732</v>
      </c>
      <c r="C841" s="885" t="s">
        <v>292</v>
      </c>
      <c r="D841" s="884"/>
      <c r="E841" s="884" t="s">
        <v>1909</v>
      </c>
      <c r="F841" s="884" t="s">
        <v>7632</v>
      </c>
      <c r="G841" s="884" t="s">
        <v>7633</v>
      </c>
      <c r="H841" s="886">
        <v>42370</v>
      </c>
      <c r="I841" s="887">
        <v>42480</v>
      </c>
      <c r="J841" s="958">
        <v>203.18</v>
      </c>
    </row>
    <row r="842" spans="1:10" s="84" customFormat="1" outlineLevel="2">
      <c r="A842" s="884" t="s">
        <v>2399</v>
      </c>
      <c r="B842" s="1050" t="s">
        <v>7732</v>
      </c>
      <c r="C842" s="885" t="s">
        <v>292</v>
      </c>
      <c r="D842" s="884"/>
      <c r="E842" s="884" t="s">
        <v>1909</v>
      </c>
      <c r="F842" s="884" t="s">
        <v>7686</v>
      </c>
      <c r="G842" s="884" t="s">
        <v>7687</v>
      </c>
      <c r="H842" s="886">
        <v>42370</v>
      </c>
      <c r="I842" s="887">
        <v>42480</v>
      </c>
      <c r="J842" s="958">
        <v>300.70999999999998</v>
      </c>
    </row>
    <row r="843" spans="1:10" s="84" customFormat="1" outlineLevel="2">
      <c r="A843" s="884" t="s">
        <v>2669</v>
      </c>
      <c r="B843" s="1050" t="s">
        <v>7732</v>
      </c>
      <c r="C843" s="885" t="s">
        <v>292</v>
      </c>
      <c r="D843" s="884"/>
      <c r="E843" s="884" t="s">
        <v>1909</v>
      </c>
      <c r="F843" s="884" t="s">
        <v>7724</v>
      </c>
      <c r="G843" s="884" t="s">
        <v>7725</v>
      </c>
      <c r="H843" s="886">
        <v>42370</v>
      </c>
      <c r="I843" s="887">
        <v>42480</v>
      </c>
      <c r="J843" s="958">
        <v>151.83000000000001</v>
      </c>
    </row>
    <row r="844" spans="1:10" s="84" customFormat="1" outlineLevel="2">
      <c r="A844" s="884" t="s">
        <v>2662</v>
      </c>
      <c r="B844" s="1050" t="s">
        <v>7732</v>
      </c>
      <c r="C844" s="885" t="s">
        <v>292</v>
      </c>
      <c r="D844" s="884"/>
      <c r="E844" s="884" t="s">
        <v>1909</v>
      </c>
      <c r="F844" s="884" t="s">
        <v>7726</v>
      </c>
      <c r="G844" s="884" t="s">
        <v>7727</v>
      </c>
      <c r="H844" s="886">
        <v>42401</v>
      </c>
      <c r="I844" s="887">
        <v>42480</v>
      </c>
      <c r="J844" s="958">
        <v>3.47</v>
      </c>
    </row>
    <row r="845" spans="1:10" s="84" customFormat="1" outlineLevel="2">
      <c r="A845" s="884" t="s">
        <v>2662</v>
      </c>
      <c r="B845" s="1050" t="s">
        <v>7732</v>
      </c>
      <c r="C845" s="885" t="s">
        <v>292</v>
      </c>
      <c r="D845" s="884"/>
      <c r="E845" s="884" t="s">
        <v>1909</v>
      </c>
      <c r="F845" s="884" t="s">
        <v>7726</v>
      </c>
      <c r="G845" s="884" t="s">
        <v>7728</v>
      </c>
      <c r="H845" s="886">
        <v>42401</v>
      </c>
      <c r="I845" s="887">
        <v>42480</v>
      </c>
      <c r="J845" s="958">
        <v>12.16</v>
      </c>
    </row>
    <row r="846" spans="1:10" s="84" customFormat="1" outlineLevel="2">
      <c r="A846" s="884" t="s">
        <v>2400</v>
      </c>
      <c r="B846" s="1050" t="s">
        <v>7732</v>
      </c>
      <c r="C846" s="885" t="s">
        <v>292</v>
      </c>
      <c r="D846" s="884"/>
      <c r="E846" s="884" t="s">
        <v>1909</v>
      </c>
      <c r="F846" s="884" t="s">
        <v>7729</v>
      </c>
      <c r="G846" s="884" t="s">
        <v>7730</v>
      </c>
      <c r="H846" s="886">
        <v>42401</v>
      </c>
      <c r="I846" s="887">
        <v>42480</v>
      </c>
      <c r="J846" s="958">
        <v>4.3899999999999997</v>
      </c>
    </row>
    <row r="847" spans="1:10" s="84" customFormat="1" outlineLevel="2">
      <c r="A847" s="884" t="s">
        <v>2400</v>
      </c>
      <c r="B847" s="1050" t="s">
        <v>7732</v>
      </c>
      <c r="C847" s="885" t="s">
        <v>292</v>
      </c>
      <c r="D847" s="884"/>
      <c r="E847" s="884" t="s">
        <v>1909</v>
      </c>
      <c r="F847" s="884" t="s">
        <v>7729</v>
      </c>
      <c r="G847" s="884" t="s">
        <v>7731</v>
      </c>
      <c r="H847" s="886">
        <v>42401</v>
      </c>
      <c r="I847" s="887">
        <v>42480</v>
      </c>
      <c r="J847" s="958">
        <v>13.19</v>
      </c>
    </row>
    <row r="848" spans="1:10" s="84" customFormat="1" outlineLevel="2">
      <c r="A848" s="884" t="s">
        <v>2598</v>
      </c>
      <c r="B848" s="1050">
        <v>112120101060</v>
      </c>
      <c r="C848" s="885" t="s">
        <v>292</v>
      </c>
      <c r="D848" s="884"/>
      <c r="E848" s="884" t="s">
        <v>2476</v>
      </c>
      <c r="F848" s="884" t="s">
        <v>2441</v>
      </c>
      <c r="G848" s="884" t="s">
        <v>6931</v>
      </c>
      <c r="H848" s="886">
        <v>42401</v>
      </c>
      <c r="I848" s="887">
        <v>42482</v>
      </c>
      <c r="J848" s="958">
        <v>252</v>
      </c>
    </row>
    <row r="849" spans="1:10" s="84" customFormat="1" outlineLevel="2">
      <c r="A849" s="884" t="s">
        <v>2399</v>
      </c>
      <c r="B849" s="1050">
        <v>112120605020</v>
      </c>
      <c r="C849" s="885" t="s">
        <v>292</v>
      </c>
      <c r="D849" s="884"/>
      <c r="E849" s="884" t="s">
        <v>411</v>
      </c>
      <c r="F849" s="884" t="s">
        <v>432</v>
      </c>
      <c r="G849" s="884" t="s">
        <v>6712</v>
      </c>
      <c r="H849" s="886">
        <v>42430</v>
      </c>
      <c r="I849" s="887">
        <v>42485</v>
      </c>
      <c r="J849" s="958">
        <v>17.34</v>
      </c>
    </row>
    <row r="850" spans="1:10" s="84" customFormat="1" outlineLevel="2">
      <c r="A850" s="884" t="s">
        <v>2399</v>
      </c>
      <c r="B850" s="1050" t="s">
        <v>7732</v>
      </c>
      <c r="C850" s="885" t="s">
        <v>292</v>
      </c>
      <c r="D850" s="884"/>
      <c r="E850" s="884" t="s">
        <v>411</v>
      </c>
      <c r="F850" s="884" t="s">
        <v>7272</v>
      </c>
      <c r="G850" s="884" t="s">
        <v>7273</v>
      </c>
      <c r="H850" s="886">
        <v>42401</v>
      </c>
      <c r="I850" s="887">
        <v>42485</v>
      </c>
      <c r="J850" s="958">
        <v>121.96</v>
      </c>
    </row>
    <row r="851" spans="1:10" s="84" customFormat="1" outlineLevel="2">
      <c r="A851" s="884" t="s">
        <v>2373</v>
      </c>
      <c r="B851" s="1050" t="s">
        <v>7732</v>
      </c>
      <c r="C851" s="885" t="s">
        <v>292</v>
      </c>
      <c r="D851" s="884"/>
      <c r="E851" s="884" t="s">
        <v>411</v>
      </c>
      <c r="F851" s="884" t="s">
        <v>7274</v>
      </c>
      <c r="G851" s="884" t="s">
        <v>7275</v>
      </c>
      <c r="H851" s="886">
        <v>42401</v>
      </c>
      <c r="I851" s="887">
        <v>42485</v>
      </c>
      <c r="J851" s="958">
        <v>125.26</v>
      </c>
    </row>
    <row r="852" spans="1:10" s="84" customFormat="1" outlineLevel="2">
      <c r="A852" s="884" t="s">
        <v>2373</v>
      </c>
      <c r="B852" s="1050">
        <v>112120612020</v>
      </c>
      <c r="C852" s="885" t="s">
        <v>292</v>
      </c>
      <c r="D852" s="884"/>
      <c r="E852" s="884" t="s">
        <v>411</v>
      </c>
      <c r="F852" s="884" t="s">
        <v>2623</v>
      </c>
      <c r="G852" s="884" t="s">
        <v>6713</v>
      </c>
      <c r="H852" s="886">
        <v>42430</v>
      </c>
      <c r="I852" s="887">
        <v>42485</v>
      </c>
      <c r="J852" s="958">
        <v>1.95</v>
      </c>
    </row>
    <row r="853" spans="1:10" s="84" customFormat="1" outlineLevel="2">
      <c r="A853" s="884" t="s">
        <v>2373</v>
      </c>
      <c r="B853" s="1050">
        <v>112120612020</v>
      </c>
      <c r="C853" s="885" t="s">
        <v>292</v>
      </c>
      <c r="D853" s="884"/>
      <c r="E853" s="884" t="s">
        <v>411</v>
      </c>
      <c r="F853" s="884" t="s">
        <v>2623</v>
      </c>
      <c r="G853" s="884" t="s">
        <v>6714</v>
      </c>
      <c r="H853" s="886">
        <v>42430</v>
      </c>
      <c r="I853" s="887">
        <v>42485</v>
      </c>
      <c r="J853" s="958">
        <v>2.93</v>
      </c>
    </row>
    <row r="854" spans="1:10" s="84" customFormat="1" outlineLevel="2">
      <c r="A854" s="884" t="s">
        <v>2466</v>
      </c>
      <c r="B854" s="1050">
        <v>112120612060</v>
      </c>
      <c r="C854" s="885" t="s">
        <v>292</v>
      </c>
      <c r="D854" s="884"/>
      <c r="E854" s="884" t="s">
        <v>2457</v>
      </c>
      <c r="F854" s="884" t="s">
        <v>2458</v>
      </c>
      <c r="G854" s="884" t="s">
        <v>6866</v>
      </c>
      <c r="H854" s="886">
        <v>42430</v>
      </c>
      <c r="I854" s="887">
        <v>42487</v>
      </c>
      <c r="J854" s="958">
        <v>42.89</v>
      </c>
    </row>
    <row r="855" spans="1:10" s="84" customFormat="1" outlineLevel="2">
      <c r="A855" s="884" t="s">
        <v>2491</v>
      </c>
      <c r="B855" s="1050">
        <v>112120612020</v>
      </c>
      <c r="C855" s="885" t="s">
        <v>292</v>
      </c>
      <c r="D855" s="884"/>
      <c r="E855" s="884" t="s">
        <v>417</v>
      </c>
      <c r="F855" s="884" t="s">
        <v>2623</v>
      </c>
      <c r="G855" s="884" t="s">
        <v>6969</v>
      </c>
      <c r="H855" s="886">
        <v>42461</v>
      </c>
      <c r="I855" s="887">
        <v>42488</v>
      </c>
      <c r="J855" s="958">
        <v>209.56</v>
      </c>
    </row>
    <row r="856" spans="1:10" s="84" customFormat="1" outlineLevel="2">
      <c r="A856" s="884" t="s">
        <v>2624</v>
      </c>
      <c r="B856" s="1050">
        <v>112120612020</v>
      </c>
      <c r="C856" s="885" t="s">
        <v>292</v>
      </c>
      <c r="D856" s="884"/>
      <c r="E856" s="884" t="s">
        <v>417</v>
      </c>
      <c r="F856" s="884" t="s">
        <v>2623</v>
      </c>
      <c r="G856" s="884" t="s">
        <v>6969</v>
      </c>
      <c r="H856" s="886">
        <v>42461</v>
      </c>
      <c r="I856" s="887">
        <v>42488</v>
      </c>
      <c r="J856" s="958">
        <v>48</v>
      </c>
    </row>
    <row r="857" spans="1:10" s="84" customFormat="1" outlineLevel="2">
      <c r="A857" s="884" t="s">
        <v>2625</v>
      </c>
      <c r="B857" s="1050">
        <v>112120612020</v>
      </c>
      <c r="C857" s="885" t="s">
        <v>292</v>
      </c>
      <c r="D857" s="884"/>
      <c r="E857" s="884" t="s">
        <v>417</v>
      </c>
      <c r="F857" s="884" t="s">
        <v>2623</v>
      </c>
      <c r="G857" s="884" t="s">
        <v>6969</v>
      </c>
      <c r="H857" s="886">
        <v>42461</v>
      </c>
      <c r="I857" s="887">
        <v>42488</v>
      </c>
      <c r="J857" s="958">
        <v>10</v>
      </c>
    </row>
    <row r="858" spans="1:10" s="84" customFormat="1" outlineLevel="2">
      <c r="A858" s="884" t="s">
        <v>2627</v>
      </c>
      <c r="B858" s="1050">
        <v>112120612020</v>
      </c>
      <c r="C858" s="885" t="s">
        <v>292</v>
      </c>
      <c r="D858" s="884"/>
      <c r="E858" s="884" t="s">
        <v>417</v>
      </c>
      <c r="F858" s="884" t="s">
        <v>2623</v>
      </c>
      <c r="G858" s="884" t="s">
        <v>6969</v>
      </c>
      <c r="H858" s="886">
        <v>42461</v>
      </c>
      <c r="I858" s="887">
        <v>42488</v>
      </c>
      <c r="J858" s="958">
        <v>102.07</v>
      </c>
    </row>
    <row r="859" spans="1:10" s="84" customFormat="1" outlineLevel="2">
      <c r="A859" s="884" t="s">
        <v>2466</v>
      </c>
      <c r="B859" s="1050">
        <v>112120612060</v>
      </c>
      <c r="C859" s="885" t="s">
        <v>292</v>
      </c>
      <c r="D859" s="884"/>
      <c r="E859" s="884" t="s">
        <v>2457</v>
      </c>
      <c r="F859" s="884" t="s">
        <v>2458</v>
      </c>
      <c r="G859" s="884" t="s">
        <v>6867</v>
      </c>
      <c r="H859" s="886">
        <v>42430</v>
      </c>
      <c r="I859" s="887">
        <v>42489</v>
      </c>
      <c r="J859" s="958">
        <v>43.77</v>
      </c>
    </row>
    <row r="860" spans="1:10" s="84" customFormat="1" outlineLevel="2">
      <c r="A860" s="884" t="s">
        <v>6715</v>
      </c>
      <c r="B860" s="1050">
        <v>112120702010</v>
      </c>
      <c r="C860" s="885" t="s">
        <v>292</v>
      </c>
      <c r="D860" s="884"/>
      <c r="E860" s="884" t="s">
        <v>411</v>
      </c>
      <c r="F860" s="884" t="s">
        <v>2434</v>
      </c>
      <c r="G860" s="884" t="s">
        <v>6716</v>
      </c>
      <c r="H860" s="886">
        <v>42461</v>
      </c>
      <c r="I860" s="887">
        <v>42489</v>
      </c>
      <c r="J860" s="958">
        <v>329.54</v>
      </c>
    </row>
    <row r="861" spans="1:10" s="84" customFormat="1" outlineLevel="2">
      <c r="A861" s="884" t="s">
        <v>2330</v>
      </c>
      <c r="B861" s="1050" t="s">
        <v>6992</v>
      </c>
      <c r="C861" s="885" t="s">
        <v>292</v>
      </c>
      <c r="D861" s="884"/>
      <c r="E861" s="884" t="s">
        <v>2306</v>
      </c>
      <c r="F861" s="884" t="s">
        <v>2310</v>
      </c>
      <c r="G861" s="884">
        <v>1290167</v>
      </c>
      <c r="H861" s="886">
        <v>42461</v>
      </c>
      <c r="I861" s="887">
        <v>42489</v>
      </c>
      <c r="J861" s="958">
        <v>835.27</v>
      </c>
    </row>
    <row r="862" spans="1:10" s="84" customFormat="1" outlineLevel="2">
      <c r="A862" s="884" t="s">
        <v>2330</v>
      </c>
      <c r="B862" s="1050" t="s">
        <v>6992</v>
      </c>
      <c r="C862" s="885" t="s">
        <v>292</v>
      </c>
      <c r="D862" s="884"/>
      <c r="E862" s="884" t="s">
        <v>2306</v>
      </c>
      <c r="F862" s="884" t="s">
        <v>2310</v>
      </c>
      <c r="G862" s="884">
        <v>1295282</v>
      </c>
      <c r="H862" s="886">
        <v>42461</v>
      </c>
      <c r="I862" s="887">
        <v>42489</v>
      </c>
      <c r="J862" s="958">
        <v>1230.1199999999999</v>
      </c>
    </row>
    <row r="863" spans="1:10" s="84" customFormat="1" outlineLevel="2">
      <c r="A863" s="884" t="s">
        <v>2329</v>
      </c>
      <c r="B863" s="1050" t="s">
        <v>6991</v>
      </c>
      <c r="C863" s="885" t="s">
        <v>292</v>
      </c>
      <c r="D863" s="884"/>
      <c r="E863" s="884" t="s">
        <v>2306</v>
      </c>
      <c r="F863" s="884" t="s">
        <v>2307</v>
      </c>
      <c r="G863" s="884">
        <v>1282549</v>
      </c>
      <c r="H863" s="886">
        <v>42461</v>
      </c>
      <c r="I863" s="887">
        <v>42489</v>
      </c>
      <c r="J863" s="958">
        <v>101.44</v>
      </c>
    </row>
    <row r="864" spans="1:10" s="84" customFormat="1" outlineLevel="2">
      <c r="A864" s="884" t="s">
        <v>2329</v>
      </c>
      <c r="B864" s="1050" t="s">
        <v>6991</v>
      </c>
      <c r="C864" s="885" t="s">
        <v>292</v>
      </c>
      <c r="D864" s="884"/>
      <c r="E864" s="884" t="s">
        <v>2306</v>
      </c>
      <c r="F864" s="884" t="s">
        <v>2307</v>
      </c>
      <c r="G864" s="884">
        <v>1282557</v>
      </c>
      <c r="H864" s="886">
        <v>42461</v>
      </c>
      <c r="I864" s="887">
        <v>42489</v>
      </c>
      <c r="J864" s="958">
        <v>175.83</v>
      </c>
    </row>
    <row r="865" spans="1:10" s="84" customFormat="1" outlineLevel="2">
      <c r="A865" s="884" t="s">
        <v>2328</v>
      </c>
      <c r="B865" s="1050" t="s">
        <v>6993</v>
      </c>
      <c r="C865" s="885" t="s">
        <v>292</v>
      </c>
      <c r="D865" s="884"/>
      <c r="E865" s="884" t="s">
        <v>2306</v>
      </c>
      <c r="F865" s="884" t="s">
        <v>2316</v>
      </c>
      <c r="G865" s="884">
        <v>1282559</v>
      </c>
      <c r="H865" s="886">
        <v>42461</v>
      </c>
      <c r="I865" s="887">
        <v>42489</v>
      </c>
      <c r="J865" s="958">
        <v>125.23</v>
      </c>
    </row>
    <row r="866" spans="1:10" s="84" customFormat="1" outlineLevel="2">
      <c r="A866" s="884" t="s">
        <v>2330</v>
      </c>
      <c r="B866" s="1050" t="s">
        <v>6992</v>
      </c>
      <c r="C866" s="885" t="s">
        <v>292</v>
      </c>
      <c r="D866" s="884"/>
      <c r="E866" s="884" t="s">
        <v>2306</v>
      </c>
      <c r="F866" s="884" t="s">
        <v>2310</v>
      </c>
      <c r="G866" s="884">
        <v>1282563</v>
      </c>
      <c r="H866" s="886">
        <v>42461</v>
      </c>
      <c r="I866" s="887">
        <v>42489</v>
      </c>
      <c r="J866" s="958">
        <v>126.23</v>
      </c>
    </row>
    <row r="867" spans="1:10" s="84" customFormat="1" outlineLevel="2">
      <c r="A867" s="884" t="s">
        <v>2330</v>
      </c>
      <c r="B867" s="1050" t="s">
        <v>6992</v>
      </c>
      <c r="C867" s="885" t="s">
        <v>292</v>
      </c>
      <c r="D867" s="884"/>
      <c r="E867" s="884" t="s">
        <v>2306</v>
      </c>
      <c r="F867" s="884" t="s">
        <v>2310</v>
      </c>
      <c r="G867" s="884">
        <v>1282504</v>
      </c>
      <c r="H867" s="886">
        <v>42461</v>
      </c>
      <c r="I867" s="887">
        <v>42489</v>
      </c>
      <c r="J867" s="958">
        <v>1976.66</v>
      </c>
    </row>
    <row r="868" spans="1:10" s="84" customFormat="1" outlineLevel="2">
      <c r="A868" s="884" t="s">
        <v>2329</v>
      </c>
      <c r="B868" s="1050" t="s">
        <v>6991</v>
      </c>
      <c r="C868" s="885" t="s">
        <v>292</v>
      </c>
      <c r="D868" s="884"/>
      <c r="E868" s="884" t="s">
        <v>2306</v>
      </c>
      <c r="F868" s="884" t="s">
        <v>2307</v>
      </c>
      <c r="G868" s="884">
        <v>1282547</v>
      </c>
      <c r="H868" s="886">
        <v>42461</v>
      </c>
      <c r="I868" s="887">
        <v>42489</v>
      </c>
      <c r="J868" s="958">
        <v>65.03</v>
      </c>
    </row>
    <row r="869" spans="1:10" s="84" customFormat="1" outlineLevel="2">
      <c r="A869" s="884" t="s">
        <v>2329</v>
      </c>
      <c r="B869" s="1050" t="s">
        <v>6991</v>
      </c>
      <c r="C869" s="885" t="s">
        <v>292</v>
      </c>
      <c r="D869" s="884"/>
      <c r="E869" s="884" t="s">
        <v>2306</v>
      </c>
      <c r="F869" s="884" t="s">
        <v>2307</v>
      </c>
      <c r="G869" s="884">
        <v>1282551</v>
      </c>
      <c r="H869" s="886">
        <v>42461</v>
      </c>
      <c r="I869" s="887">
        <v>42489</v>
      </c>
      <c r="J869" s="958">
        <v>4.34</v>
      </c>
    </row>
    <row r="870" spans="1:10" s="84" customFormat="1" outlineLevel="2">
      <c r="A870" s="884" t="s">
        <v>2329</v>
      </c>
      <c r="B870" s="1050" t="s">
        <v>6991</v>
      </c>
      <c r="C870" s="885" t="s">
        <v>292</v>
      </c>
      <c r="D870" s="884"/>
      <c r="E870" s="884" t="s">
        <v>2306</v>
      </c>
      <c r="F870" s="884" t="s">
        <v>2307</v>
      </c>
      <c r="G870" s="884">
        <v>1282571</v>
      </c>
      <c r="H870" s="886">
        <v>42461</v>
      </c>
      <c r="I870" s="887">
        <v>42489</v>
      </c>
      <c r="J870" s="958">
        <v>55.95</v>
      </c>
    </row>
    <row r="871" spans="1:10" s="84" customFormat="1" outlineLevel="2">
      <c r="A871" s="884" t="s">
        <v>2329</v>
      </c>
      <c r="B871" s="1050" t="s">
        <v>6991</v>
      </c>
      <c r="C871" s="885" t="s">
        <v>292</v>
      </c>
      <c r="D871" s="884"/>
      <c r="E871" s="884" t="s">
        <v>2306</v>
      </c>
      <c r="F871" s="884" t="s">
        <v>2307</v>
      </c>
      <c r="G871" s="884">
        <v>1282567</v>
      </c>
      <c r="H871" s="886">
        <v>42461</v>
      </c>
      <c r="I871" s="887">
        <v>42489</v>
      </c>
      <c r="J871" s="958">
        <v>54.54</v>
      </c>
    </row>
    <row r="872" spans="1:10" s="84" customFormat="1" outlineLevel="2">
      <c r="A872" s="884" t="s">
        <v>2329</v>
      </c>
      <c r="B872" s="1050" t="s">
        <v>6991</v>
      </c>
      <c r="C872" s="885" t="s">
        <v>292</v>
      </c>
      <c r="D872" s="884"/>
      <c r="E872" s="884" t="s">
        <v>2306</v>
      </c>
      <c r="F872" s="884" t="s">
        <v>2307</v>
      </c>
      <c r="G872" s="884">
        <v>1282569</v>
      </c>
      <c r="H872" s="886">
        <v>42461</v>
      </c>
      <c r="I872" s="887">
        <v>42489</v>
      </c>
      <c r="J872" s="958">
        <v>5.98</v>
      </c>
    </row>
    <row r="873" spans="1:10" s="84" customFormat="1" outlineLevel="2">
      <c r="A873" s="884" t="s">
        <v>2329</v>
      </c>
      <c r="B873" s="1050" t="s">
        <v>6991</v>
      </c>
      <c r="C873" s="885" t="s">
        <v>292</v>
      </c>
      <c r="D873" s="884"/>
      <c r="E873" s="884" t="s">
        <v>2306</v>
      </c>
      <c r="F873" s="884" t="s">
        <v>2307</v>
      </c>
      <c r="G873" s="884">
        <v>1282553</v>
      </c>
      <c r="H873" s="886">
        <v>42461</v>
      </c>
      <c r="I873" s="887">
        <v>42489</v>
      </c>
      <c r="J873" s="958">
        <v>17.12</v>
      </c>
    </row>
    <row r="874" spans="1:10" s="84" customFormat="1" outlineLevel="2">
      <c r="A874" s="884" t="s">
        <v>2329</v>
      </c>
      <c r="B874" s="1050" t="s">
        <v>6991</v>
      </c>
      <c r="C874" s="885" t="s">
        <v>292</v>
      </c>
      <c r="D874" s="884"/>
      <c r="E874" s="884" t="s">
        <v>2306</v>
      </c>
      <c r="F874" s="884" t="s">
        <v>2307</v>
      </c>
      <c r="G874" s="884">
        <v>1282565</v>
      </c>
      <c r="H874" s="886">
        <v>42461</v>
      </c>
      <c r="I874" s="887">
        <v>42489</v>
      </c>
      <c r="J874" s="958">
        <v>25.08</v>
      </c>
    </row>
    <row r="875" spans="1:10" s="84" customFormat="1" outlineLevel="1">
      <c r="A875" s="884"/>
      <c r="B875" s="1050"/>
      <c r="C875" s="908" t="s">
        <v>292</v>
      </c>
      <c r="D875" s="928" t="str">
        <f>VLOOKUP(C875,$C$1102:$E$1189,3,FALSE)</f>
        <v>TOTAL POUPATEMPO GUARULHOS</v>
      </c>
      <c r="E875" s="928"/>
      <c r="F875" s="928"/>
      <c r="G875" s="928"/>
      <c r="H875" s="911"/>
      <c r="I875" s="912"/>
      <c r="J875" s="966">
        <f>SUBTOTAL(9,J806:J874)</f>
        <v>23983.960000000003</v>
      </c>
    </row>
    <row r="876" spans="1:10" s="84" customFormat="1" outlineLevel="2">
      <c r="A876" s="884" t="s">
        <v>2631</v>
      </c>
      <c r="B876" s="1050">
        <v>112120105010</v>
      </c>
      <c r="C876" s="885" t="s">
        <v>293</v>
      </c>
      <c r="D876" s="884"/>
      <c r="E876" s="884" t="s">
        <v>2619</v>
      </c>
      <c r="F876" s="884" t="s">
        <v>2408</v>
      </c>
      <c r="G876" s="884" t="s">
        <v>6970</v>
      </c>
      <c r="H876" s="886">
        <v>42430</v>
      </c>
      <c r="I876" s="887">
        <v>42461</v>
      </c>
      <c r="J876" s="958">
        <v>-180</v>
      </c>
    </row>
    <row r="877" spans="1:10" s="84" customFormat="1" outlineLevel="2">
      <c r="A877" s="884" t="s">
        <v>2622</v>
      </c>
      <c r="B877" s="1050">
        <v>112120105010</v>
      </c>
      <c r="C877" s="885" t="s">
        <v>293</v>
      </c>
      <c r="D877" s="884"/>
      <c r="E877" s="884" t="s">
        <v>2619</v>
      </c>
      <c r="F877" s="884" t="s">
        <v>2408</v>
      </c>
      <c r="G877" s="884" t="s">
        <v>6970</v>
      </c>
      <c r="H877" s="886">
        <v>42430</v>
      </c>
      <c r="I877" s="887">
        <v>42461</v>
      </c>
      <c r="J877" s="958">
        <v>46</v>
      </c>
    </row>
    <row r="878" spans="1:10" s="84" customFormat="1" outlineLevel="2">
      <c r="A878" s="884" t="s">
        <v>2612</v>
      </c>
      <c r="B878" s="1050">
        <v>112120105010</v>
      </c>
      <c r="C878" s="885" t="s">
        <v>293</v>
      </c>
      <c r="D878" s="884"/>
      <c r="E878" s="884" t="s">
        <v>2619</v>
      </c>
      <c r="F878" s="884" t="s">
        <v>2408</v>
      </c>
      <c r="G878" s="884" t="s">
        <v>6970</v>
      </c>
      <c r="H878" s="886">
        <v>42430</v>
      </c>
      <c r="I878" s="887">
        <v>42461</v>
      </c>
      <c r="J878" s="958">
        <v>12.15</v>
      </c>
    </row>
    <row r="879" spans="1:10" s="84" customFormat="1" outlineLevel="2">
      <c r="A879" s="884" t="s">
        <v>2613</v>
      </c>
      <c r="B879" s="1050">
        <v>112120105010</v>
      </c>
      <c r="C879" s="885" t="s">
        <v>293</v>
      </c>
      <c r="D879" s="884"/>
      <c r="E879" s="884" t="s">
        <v>2619</v>
      </c>
      <c r="F879" s="884" t="s">
        <v>2408</v>
      </c>
      <c r="G879" s="884" t="s">
        <v>6970</v>
      </c>
      <c r="H879" s="886">
        <v>42430</v>
      </c>
      <c r="I879" s="887">
        <v>42461</v>
      </c>
      <c r="J879" s="958">
        <v>163.25</v>
      </c>
    </row>
    <row r="880" spans="1:10" s="84" customFormat="1" outlineLevel="2">
      <c r="A880" s="884" t="s">
        <v>2614</v>
      </c>
      <c r="B880" s="1050">
        <v>112120105010</v>
      </c>
      <c r="C880" s="885" t="s">
        <v>293</v>
      </c>
      <c r="D880" s="884"/>
      <c r="E880" s="884" t="s">
        <v>2619</v>
      </c>
      <c r="F880" s="884" t="s">
        <v>2408</v>
      </c>
      <c r="G880" s="884" t="s">
        <v>6970</v>
      </c>
      <c r="H880" s="886">
        <v>42430</v>
      </c>
      <c r="I880" s="887">
        <v>42461</v>
      </c>
      <c r="J880" s="958">
        <v>60</v>
      </c>
    </row>
    <row r="881" spans="1:10" s="84" customFormat="1" outlineLevel="2">
      <c r="A881" s="884" t="s">
        <v>2467</v>
      </c>
      <c r="B881" s="1050">
        <v>112120612060</v>
      </c>
      <c r="C881" s="885" t="s">
        <v>293</v>
      </c>
      <c r="D881" s="884"/>
      <c r="E881" s="884" t="s">
        <v>2457</v>
      </c>
      <c r="F881" s="884" t="s">
        <v>2458</v>
      </c>
      <c r="G881" s="884" t="s">
        <v>6837</v>
      </c>
      <c r="H881" s="886">
        <v>42430</v>
      </c>
      <c r="I881" s="887">
        <v>42461</v>
      </c>
      <c r="J881" s="958">
        <v>558.04</v>
      </c>
    </row>
    <row r="882" spans="1:10" s="84" customFormat="1" outlineLevel="2">
      <c r="A882" s="884" t="s">
        <v>2631</v>
      </c>
      <c r="B882" s="1050">
        <v>112120105010</v>
      </c>
      <c r="C882" s="885" t="s">
        <v>293</v>
      </c>
      <c r="D882" s="884"/>
      <c r="E882" s="884" t="s">
        <v>2632</v>
      </c>
      <c r="F882" s="884" t="s">
        <v>2408</v>
      </c>
      <c r="G882" s="884" t="s">
        <v>6750</v>
      </c>
      <c r="H882" s="886">
        <v>42430</v>
      </c>
      <c r="I882" s="887">
        <v>42461</v>
      </c>
      <c r="J882" s="958">
        <v>-300</v>
      </c>
    </row>
    <row r="883" spans="1:10" s="84" customFormat="1" outlineLevel="2">
      <c r="A883" s="884" t="s">
        <v>2633</v>
      </c>
      <c r="B883" s="1050">
        <v>112120105010</v>
      </c>
      <c r="C883" s="885" t="s">
        <v>293</v>
      </c>
      <c r="D883" s="884"/>
      <c r="E883" s="884" t="s">
        <v>2632</v>
      </c>
      <c r="F883" s="884" t="s">
        <v>2408</v>
      </c>
      <c r="G883" s="884" t="s">
        <v>6750</v>
      </c>
      <c r="H883" s="886">
        <v>42430</v>
      </c>
      <c r="I883" s="887">
        <v>42461</v>
      </c>
      <c r="J883" s="958">
        <v>404.56</v>
      </c>
    </row>
    <row r="884" spans="1:10" s="84" customFormat="1" outlineLevel="2">
      <c r="A884" s="884" t="s">
        <v>2612</v>
      </c>
      <c r="B884" s="1050">
        <v>112120105010</v>
      </c>
      <c r="C884" s="885" t="s">
        <v>293</v>
      </c>
      <c r="D884" s="884"/>
      <c r="E884" s="884" t="s">
        <v>2632</v>
      </c>
      <c r="F884" s="884" t="s">
        <v>2408</v>
      </c>
      <c r="G884" s="884" t="s">
        <v>6750</v>
      </c>
      <c r="H884" s="886">
        <v>42430</v>
      </c>
      <c r="I884" s="887">
        <v>42461</v>
      </c>
      <c r="J884" s="958">
        <v>7.6</v>
      </c>
    </row>
    <row r="885" spans="1:10" s="84" customFormat="1" outlineLevel="2">
      <c r="A885" s="884" t="s">
        <v>2655</v>
      </c>
      <c r="B885" s="1050">
        <v>112120105010</v>
      </c>
      <c r="C885" s="885" t="s">
        <v>293</v>
      </c>
      <c r="D885" s="884"/>
      <c r="E885" s="884" t="s">
        <v>2632</v>
      </c>
      <c r="F885" s="884" t="s">
        <v>2408</v>
      </c>
      <c r="G885" s="884" t="s">
        <v>6750</v>
      </c>
      <c r="H885" s="886">
        <v>42430</v>
      </c>
      <c r="I885" s="887">
        <v>42461</v>
      </c>
      <c r="J885" s="958">
        <v>108.6</v>
      </c>
    </row>
    <row r="886" spans="1:10" s="84" customFormat="1" outlineLevel="2">
      <c r="A886" s="884" t="s">
        <v>2614</v>
      </c>
      <c r="B886" s="1050">
        <v>112120105010</v>
      </c>
      <c r="C886" s="885" t="s">
        <v>293</v>
      </c>
      <c r="D886" s="884"/>
      <c r="E886" s="884" t="s">
        <v>2632</v>
      </c>
      <c r="F886" s="884" t="s">
        <v>2408</v>
      </c>
      <c r="G886" s="884" t="s">
        <v>6750</v>
      </c>
      <c r="H886" s="886">
        <v>42430</v>
      </c>
      <c r="I886" s="887">
        <v>42461</v>
      </c>
      <c r="J886" s="958">
        <v>330</v>
      </c>
    </row>
    <row r="887" spans="1:10" s="84" customFormat="1" outlineLevel="2">
      <c r="A887" s="884" t="s">
        <v>2414</v>
      </c>
      <c r="B887" s="1050">
        <v>112120604020</v>
      </c>
      <c r="C887" s="885" t="s">
        <v>293</v>
      </c>
      <c r="D887" s="884"/>
      <c r="E887" s="884" t="s">
        <v>2415</v>
      </c>
      <c r="F887" s="884" t="s">
        <v>432</v>
      </c>
      <c r="G887" s="884" t="s">
        <v>6690</v>
      </c>
      <c r="H887" s="886">
        <v>42401</v>
      </c>
      <c r="I887" s="887">
        <v>42461</v>
      </c>
      <c r="J887" s="958">
        <v>1785</v>
      </c>
    </row>
    <row r="888" spans="1:10" s="84" customFormat="1" outlineLevel="2">
      <c r="A888" s="884" t="s">
        <v>2631</v>
      </c>
      <c r="B888" s="1050">
        <v>112070800000</v>
      </c>
      <c r="C888" s="885" t="s">
        <v>293</v>
      </c>
      <c r="D888" s="884"/>
      <c r="E888" s="884" t="s">
        <v>2632</v>
      </c>
      <c r="F888" s="884" t="s">
        <v>2575</v>
      </c>
      <c r="G888" s="884" t="s">
        <v>6751</v>
      </c>
      <c r="H888" s="886">
        <v>42461</v>
      </c>
      <c r="I888" s="887">
        <v>42465</v>
      </c>
      <c r="J888" s="958">
        <v>600</v>
      </c>
    </row>
    <row r="889" spans="1:10" s="84" customFormat="1" outlineLevel="2">
      <c r="A889" s="884" t="s">
        <v>2467</v>
      </c>
      <c r="B889" s="1050">
        <v>112120612060</v>
      </c>
      <c r="C889" s="885" t="s">
        <v>293</v>
      </c>
      <c r="D889" s="884"/>
      <c r="E889" s="884" t="s">
        <v>2457</v>
      </c>
      <c r="F889" s="884" t="s">
        <v>2458</v>
      </c>
      <c r="G889" s="884" t="s">
        <v>6839</v>
      </c>
      <c r="H889" s="886">
        <v>42430</v>
      </c>
      <c r="I889" s="887">
        <v>42466</v>
      </c>
      <c r="J889" s="958">
        <v>318.63</v>
      </c>
    </row>
    <row r="890" spans="1:10" s="84" customFormat="1" outlineLevel="2">
      <c r="A890" s="884" t="s">
        <v>2467</v>
      </c>
      <c r="B890" s="1050">
        <v>112120612060</v>
      </c>
      <c r="C890" s="885" t="s">
        <v>293</v>
      </c>
      <c r="D890" s="884"/>
      <c r="E890" s="884" t="s">
        <v>2457</v>
      </c>
      <c r="F890" s="884" t="s">
        <v>2458</v>
      </c>
      <c r="G890" s="884" t="s">
        <v>6840</v>
      </c>
      <c r="H890" s="886">
        <v>42430</v>
      </c>
      <c r="I890" s="887">
        <v>42467</v>
      </c>
      <c r="J890" s="958">
        <v>222.64</v>
      </c>
    </row>
    <row r="891" spans="1:10" s="84" customFormat="1" outlineLevel="2">
      <c r="A891" s="884" t="s">
        <v>2401</v>
      </c>
      <c r="B891" s="1050">
        <v>112120611040</v>
      </c>
      <c r="C891" s="885" t="s">
        <v>293</v>
      </c>
      <c r="D891" s="884"/>
      <c r="E891" s="884" t="s">
        <v>407</v>
      </c>
      <c r="F891" s="884" t="s">
        <v>2418</v>
      </c>
      <c r="G891" s="884" t="s">
        <v>6804</v>
      </c>
      <c r="H891" s="886">
        <v>42401</v>
      </c>
      <c r="I891" s="887">
        <v>42467</v>
      </c>
      <c r="J891" s="958">
        <v>1437.54</v>
      </c>
    </row>
    <row r="892" spans="1:10" s="84" customFormat="1" outlineLevel="2">
      <c r="A892" s="884" t="s">
        <v>2631</v>
      </c>
      <c r="B892" s="1050">
        <v>112070800000</v>
      </c>
      <c r="C892" s="885" t="s">
        <v>293</v>
      </c>
      <c r="D892" s="884"/>
      <c r="E892" s="884" t="s">
        <v>2632</v>
      </c>
      <c r="F892" s="884" t="s">
        <v>2575</v>
      </c>
      <c r="G892" s="884" t="s">
        <v>6752</v>
      </c>
      <c r="H892" s="886">
        <v>42461</v>
      </c>
      <c r="I892" s="887">
        <v>42467</v>
      </c>
      <c r="J892" s="958">
        <v>1500</v>
      </c>
    </row>
    <row r="893" spans="1:10" s="84" customFormat="1" outlineLevel="2">
      <c r="A893" s="884" t="s">
        <v>2631</v>
      </c>
      <c r="B893" s="1050">
        <v>112120105010</v>
      </c>
      <c r="C893" s="885" t="s">
        <v>293</v>
      </c>
      <c r="D893" s="884"/>
      <c r="E893" s="884" t="s">
        <v>2619</v>
      </c>
      <c r="F893" s="884" t="s">
        <v>2408</v>
      </c>
      <c r="G893" s="884" t="s">
        <v>6971</v>
      </c>
      <c r="H893" s="886">
        <v>42430</v>
      </c>
      <c r="I893" s="887">
        <v>42471</v>
      </c>
      <c r="J893" s="958">
        <v>-180</v>
      </c>
    </row>
    <row r="894" spans="1:10" s="84" customFormat="1" outlineLevel="2">
      <c r="A894" s="884" t="s">
        <v>2633</v>
      </c>
      <c r="B894" s="1050">
        <v>112120105010</v>
      </c>
      <c r="C894" s="885" t="s">
        <v>293</v>
      </c>
      <c r="D894" s="884"/>
      <c r="E894" s="884" t="s">
        <v>2619</v>
      </c>
      <c r="F894" s="884" t="s">
        <v>2408</v>
      </c>
      <c r="G894" s="884" t="s">
        <v>6971</v>
      </c>
      <c r="H894" s="886">
        <v>42430</v>
      </c>
      <c r="I894" s="887">
        <v>42471</v>
      </c>
      <c r="J894" s="958">
        <v>446.42</v>
      </c>
    </row>
    <row r="895" spans="1:10" s="84" customFormat="1" outlineLevel="2">
      <c r="A895" s="884" t="s">
        <v>2654</v>
      </c>
      <c r="B895" s="1050">
        <v>112120105010</v>
      </c>
      <c r="C895" s="885" t="s">
        <v>293</v>
      </c>
      <c r="D895" s="884"/>
      <c r="E895" s="884" t="s">
        <v>2619</v>
      </c>
      <c r="F895" s="884" t="s">
        <v>2408</v>
      </c>
      <c r="G895" s="884" t="s">
        <v>6971</v>
      </c>
      <c r="H895" s="886">
        <v>42430</v>
      </c>
      <c r="I895" s="887">
        <v>42471</v>
      </c>
      <c r="J895" s="958">
        <v>10</v>
      </c>
    </row>
    <row r="896" spans="1:10" s="84" customFormat="1" outlineLevel="2">
      <c r="A896" s="884" t="s">
        <v>2655</v>
      </c>
      <c r="B896" s="1050">
        <v>112120105010</v>
      </c>
      <c r="C896" s="885" t="s">
        <v>293</v>
      </c>
      <c r="D896" s="884"/>
      <c r="E896" s="884" t="s">
        <v>2619</v>
      </c>
      <c r="F896" s="884" t="s">
        <v>2408</v>
      </c>
      <c r="G896" s="884" t="s">
        <v>6971</v>
      </c>
      <c r="H896" s="886">
        <v>42430</v>
      </c>
      <c r="I896" s="887">
        <v>42471</v>
      </c>
      <c r="J896" s="958">
        <v>108.6</v>
      </c>
    </row>
    <row r="897" spans="1:10" s="84" customFormat="1" outlineLevel="2">
      <c r="A897" s="884" t="s">
        <v>2614</v>
      </c>
      <c r="B897" s="1050">
        <v>112120105010</v>
      </c>
      <c r="C897" s="885" t="s">
        <v>293</v>
      </c>
      <c r="D897" s="884"/>
      <c r="E897" s="884" t="s">
        <v>2619</v>
      </c>
      <c r="F897" s="884" t="s">
        <v>2408</v>
      </c>
      <c r="G897" s="884" t="s">
        <v>6971</v>
      </c>
      <c r="H897" s="886">
        <v>42430</v>
      </c>
      <c r="I897" s="887">
        <v>42471</v>
      </c>
      <c r="J897" s="958">
        <v>300</v>
      </c>
    </row>
    <row r="898" spans="1:10" s="84" customFormat="1" outlineLevel="2">
      <c r="A898" s="884" t="s">
        <v>2634</v>
      </c>
      <c r="B898" s="1050">
        <v>112120301030</v>
      </c>
      <c r="C898" s="885" t="s">
        <v>293</v>
      </c>
      <c r="D898" s="884"/>
      <c r="E898" s="884" t="s">
        <v>418</v>
      </c>
      <c r="F898" s="884" t="s">
        <v>440</v>
      </c>
      <c r="G898" s="884" t="s">
        <v>6957</v>
      </c>
      <c r="H898" s="886">
        <v>42430</v>
      </c>
      <c r="I898" s="887">
        <v>42471</v>
      </c>
      <c r="J898" s="958">
        <v>17.22</v>
      </c>
    </row>
    <row r="899" spans="1:10" s="84" customFormat="1" outlineLevel="2">
      <c r="A899" s="884" t="s">
        <v>2487</v>
      </c>
      <c r="B899" s="1050">
        <v>112120301030</v>
      </c>
      <c r="C899" s="885" t="s">
        <v>293</v>
      </c>
      <c r="D899" s="884"/>
      <c r="E899" s="884" t="s">
        <v>418</v>
      </c>
      <c r="F899" s="884" t="s">
        <v>440</v>
      </c>
      <c r="G899" s="884" t="s">
        <v>6957</v>
      </c>
      <c r="H899" s="886">
        <v>42430</v>
      </c>
      <c r="I899" s="887">
        <v>42471</v>
      </c>
      <c r="J899" s="958">
        <v>102.05</v>
      </c>
    </row>
    <row r="900" spans="1:10" s="84" customFormat="1" outlineLevel="2">
      <c r="A900" s="884" t="s">
        <v>6958</v>
      </c>
      <c r="B900" s="1050">
        <v>112120301030</v>
      </c>
      <c r="C900" s="885" t="s">
        <v>293</v>
      </c>
      <c r="D900" s="884"/>
      <c r="E900" s="884" t="s">
        <v>418</v>
      </c>
      <c r="F900" s="884" t="s">
        <v>440</v>
      </c>
      <c r="G900" s="884" t="s">
        <v>6957</v>
      </c>
      <c r="H900" s="886">
        <v>42430</v>
      </c>
      <c r="I900" s="887">
        <v>42471</v>
      </c>
      <c r="J900" s="958">
        <v>58</v>
      </c>
    </row>
    <row r="901" spans="1:10" s="84" customFormat="1" outlineLevel="2">
      <c r="A901" s="884" t="s">
        <v>2670</v>
      </c>
      <c r="B901" s="1050">
        <v>112120301030</v>
      </c>
      <c r="C901" s="885" t="s">
        <v>293</v>
      </c>
      <c r="D901" s="884"/>
      <c r="E901" s="884" t="s">
        <v>418</v>
      </c>
      <c r="F901" s="884" t="s">
        <v>440</v>
      </c>
      <c r="G901" s="884" t="s">
        <v>6957</v>
      </c>
      <c r="H901" s="886">
        <v>42430</v>
      </c>
      <c r="I901" s="887">
        <v>42471</v>
      </c>
      <c r="J901" s="958">
        <v>79.8</v>
      </c>
    </row>
    <row r="902" spans="1:10" s="84" customFormat="1" outlineLevel="2">
      <c r="A902" s="884" t="s">
        <v>2488</v>
      </c>
      <c r="B902" s="1050">
        <v>112120301030</v>
      </c>
      <c r="C902" s="885" t="s">
        <v>293</v>
      </c>
      <c r="D902" s="884"/>
      <c r="E902" s="884" t="s">
        <v>418</v>
      </c>
      <c r="F902" s="884" t="s">
        <v>440</v>
      </c>
      <c r="G902" s="884" t="s">
        <v>6957</v>
      </c>
      <c r="H902" s="886">
        <v>42430</v>
      </c>
      <c r="I902" s="887">
        <v>42471</v>
      </c>
      <c r="J902" s="958">
        <v>181</v>
      </c>
    </row>
    <row r="903" spans="1:10" s="84" customFormat="1" outlineLevel="2">
      <c r="A903" s="884" t="s">
        <v>6959</v>
      </c>
      <c r="B903" s="1050">
        <v>112120301030</v>
      </c>
      <c r="C903" s="885" t="s">
        <v>293</v>
      </c>
      <c r="D903" s="884"/>
      <c r="E903" s="884" t="s">
        <v>418</v>
      </c>
      <c r="F903" s="884" t="s">
        <v>440</v>
      </c>
      <c r="G903" s="884" t="s">
        <v>6957</v>
      </c>
      <c r="H903" s="886">
        <v>42430</v>
      </c>
      <c r="I903" s="887">
        <v>42471</v>
      </c>
      <c r="J903" s="958">
        <v>135</v>
      </c>
    </row>
    <row r="904" spans="1:10" s="84" customFormat="1" outlineLevel="2">
      <c r="A904" s="884" t="s">
        <v>2633</v>
      </c>
      <c r="B904" s="1050">
        <v>112120105010</v>
      </c>
      <c r="C904" s="885" t="s">
        <v>293</v>
      </c>
      <c r="D904" s="884"/>
      <c r="E904" s="884" t="s">
        <v>2448</v>
      </c>
      <c r="F904" s="884" t="s">
        <v>2408</v>
      </c>
      <c r="G904" s="884" t="s">
        <v>6792</v>
      </c>
      <c r="H904" s="886">
        <v>42430</v>
      </c>
      <c r="I904" s="887">
        <v>42471</v>
      </c>
      <c r="J904" s="958">
        <v>408.53</v>
      </c>
    </row>
    <row r="905" spans="1:10" s="84" customFormat="1" outlineLevel="2">
      <c r="A905" s="884" t="s">
        <v>2654</v>
      </c>
      <c r="B905" s="1050">
        <v>112120105010</v>
      </c>
      <c r="C905" s="885" t="s">
        <v>293</v>
      </c>
      <c r="D905" s="884"/>
      <c r="E905" s="884" t="s">
        <v>2448</v>
      </c>
      <c r="F905" s="884" t="s">
        <v>2408</v>
      </c>
      <c r="G905" s="884" t="s">
        <v>6792</v>
      </c>
      <c r="H905" s="886">
        <v>42430</v>
      </c>
      <c r="I905" s="887">
        <v>42471</v>
      </c>
      <c r="J905" s="958">
        <v>95</v>
      </c>
    </row>
    <row r="906" spans="1:10" s="84" customFormat="1" outlineLevel="2">
      <c r="A906" s="884" t="s">
        <v>2655</v>
      </c>
      <c r="B906" s="1050">
        <v>112120105010</v>
      </c>
      <c r="C906" s="885" t="s">
        <v>293</v>
      </c>
      <c r="D906" s="884"/>
      <c r="E906" s="884" t="s">
        <v>2448</v>
      </c>
      <c r="F906" s="884" t="s">
        <v>2408</v>
      </c>
      <c r="G906" s="884" t="s">
        <v>6792</v>
      </c>
      <c r="H906" s="886">
        <v>42430</v>
      </c>
      <c r="I906" s="887">
        <v>42471</v>
      </c>
      <c r="J906" s="958">
        <v>83</v>
      </c>
    </row>
    <row r="907" spans="1:10" s="84" customFormat="1" outlineLevel="2">
      <c r="A907" s="884" t="s">
        <v>2614</v>
      </c>
      <c r="B907" s="1050">
        <v>112120105010</v>
      </c>
      <c r="C907" s="885" t="s">
        <v>293</v>
      </c>
      <c r="D907" s="884"/>
      <c r="E907" s="884" t="s">
        <v>2448</v>
      </c>
      <c r="F907" s="884" t="s">
        <v>2408</v>
      </c>
      <c r="G907" s="884" t="s">
        <v>6792</v>
      </c>
      <c r="H907" s="886">
        <v>42430</v>
      </c>
      <c r="I907" s="887">
        <v>42471</v>
      </c>
      <c r="J907" s="958">
        <v>330</v>
      </c>
    </row>
    <row r="908" spans="1:10" s="84" customFormat="1" outlineLevel="2">
      <c r="A908" s="884" t="s">
        <v>2631</v>
      </c>
      <c r="B908" s="1050">
        <v>112070800000</v>
      </c>
      <c r="C908" s="885" t="s">
        <v>293</v>
      </c>
      <c r="D908" s="884"/>
      <c r="E908" s="884" t="s">
        <v>6688</v>
      </c>
      <c r="F908" s="884" t="s">
        <v>2575</v>
      </c>
      <c r="G908" s="884" t="s">
        <v>6689</v>
      </c>
      <c r="H908" s="886">
        <v>42461</v>
      </c>
      <c r="I908" s="887">
        <v>42471</v>
      </c>
      <c r="J908" s="958">
        <v>300</v>
      </c>
    </row>
    <row r="909" spans="1:10" s="84" customFormat="1" outlineLevel="2">
      <c r="A909" s="884" t="s">
        <v>2467</v>
      </c>
      <c r="B909" s="1050">
        <v>112120612060</v>
      </c>
      <c r="C909" s="885" t="s">
        <v>293</v>
      </c>
      <c r="D909" s="884"/>
      <c r="E909" s="884" t="s">
        <v>2457</v>
      </c>
      <c r="F909" s="884" t="s">
        <v>2458</v>
      </c>
      <c r="G909" s="884" t="s">
        <v>6853</v>
      </c>
      <c r="H909" s="886">
        <v>42430</v>
      </c>
      <c r="I909" s="887">
        <v>42474</v>
      </c>
      <c r="J909" s="958">
        <v>30.64</v>
      </c>
    </row>
    <row r="910" spans="1:10" s="84" customFormat="1" outlineLevel="2">
      <c r="A910" s="884" t="s">
        <v>2612</v>
      </c>
      <c r="B910" s="1050">
        <v>112120105010</v>
      </c>
      <c r="C910" s="885" t="s">
        <v>293</v>
      </c>
      <c r="D910" s="884"/>
      <c r="E910" s="884" t="s">
        <v>2619</v>
      </c>
      <c r="F910" s="884" t="s">
        <v>2408</v>
      </c>
      <c r="G910" s="884" t="s">
        <v>6972</v>
      </c>
      <c r="H910" s="886">
        <v>42461</v>
      </c>
      <c r="I910" s="887">
        <v>42475</v>
      </c>
      <c r="J910" s="958">
        <v>7.6</v>
      </c>
    </row>
    <row r="911" spans="1:10" s="84" customFormat="1" outlineLevel="2">
      <c r="A911" s="884" t="s">
        <v>2613</v>
      </c>
      <c r="B911" s="1050">
        <v>112120105010</v>
      </c>
      <c r="C911" s="885" t="s">
        <v>293</v>
      </c>
      <c r="D911" s="884"/>
      <c r="E911" s="884" t="s">
        <v>2619</v>
      </c>
      <c r="F911" s="884" t="s">
        <v>2408</v>
      </c>
      <c r="G911" s="884" t="s">
        <v>6972</v>
      </c>
      <c r="H911" s="886">
        <v>42461</v>
      </c>
      <c r="I911" s="887">
        <v>42475</v>
      </c>
      <c r="J911" s="958">
        <v>92.92</v>
      </c>
    </row>
    <row r="912" spans="1:10" s="84" customFormat="1" outlineLevel="2">
      <c r="A912" s="884" t="s">
        <v>2614</v>
      </c>
      <c r="B912" s="1050">
        <v>112120105010</v>
      </c>
      <c r="C912" s="885" t="s">
        <v>293</v>
      </c>
      <c r="D912" s="884"/>
      <c r="E912" s="884" t="s">
        <v>2619</v>
      </c>
      <c r="F912" s="884" t="s">
        <v>2408</v>
      </c>
      <c r="G912" s="884" t="s">
        <v>6972</v>
      </c>
      <c r="H912" s="886">
        <v>42461</v>
      </c>
      <c r="I912" s="887">
        <v>42475</v>
      </c>
      <c r="J912" s="958">
        <v>330</v>
      </c>
    </row>
    <row r="913" spans="1:10" s="84" customFormat="1" outlineLevel="2">
      <c r="A913" s="884" t="s">
        <v>2467</v>
      </c>
      <c r="B913" s="1050">
        <v>112120612060</v>
      </c>
      <c r="C913" s="885" t="s">
        <v>293</v>
      </c>
      <c r="D913" s="884"/>
      <c r="E913" s="884" t="s">
        <v>2457</v>
      </c>
      <c r="F913" s="884" t="s">
        <v>2458</v>
      </c>
      <c r="G913" s="884" t="s">
        <v>6854</v>
      </c>
      <c r="H913" s="886">
        <v>42430</v>
      </c>
      <c r="I913" s="887">
        <v>42475</v>
      </c>
      <c r="J913" s="958">
        <v>490.2</v>
      </c>
    </row>
    <row r="914" spans="1:10" s="84" customFormat="1" outlineLevel="2">
      <c r="A914" s="884" t="s">
        <v>2401</v>
      </c>
      <c r="B914" s="1050">
        <v>112120611040</v>
      </c>
      <c r="C914" s="885" t="s">
        <v>293</v>
      </c>
      <c r="D914" s="884"/>
      <c r="E914" s="884" t="s">
        <v>409</v>
      </c>
      <c r="F914" s="884" t="s">
        <v>2418</v>
      </c>
      <c r="G914" s="884" t="s">
        <v>6757</v>
      </c>
      <c r="H914" s="886">
        <v>42401</v>
      </c>
      <c r="I914" s="887">
        <v>42475</v>
      </c>
      <c r="J914" s="958">
        <v>2127.5500000000002</v>
      </c>
    </row>
    <row r="915" spans="1:10" s="84" customFormat="1" outlineLevel="2">
      <c r="A915" s="884" t="s">
        <v>2401</v>
      </c>
      <c r="B915" s="1050" t="s">
        <v>7732</v>
      </c>
      <c r="C915" s="885" t="s">
        <v>293</v>
      </c>
      <c r="D915" s="884"/>
      <c r="E915" s="884" t="s">
        <v>2348</v>
      </c>
      <c r="F915" s="884" t="s">
        <v>7312</v>
      </c>
      <c r="G915" s="884" t="s">
        <v>7313</v>
      </c>
      <c r="H915" s="886">
        <v>42401</v>
      </c>
      <c r="I915" s="887">
        <v>42475</v>
      </c>
      <c r="J915" s="958">
        <v>67.569999999999993</v>
      </c>
    </row>
    <row r="916" spans="1:10" s="84" customFormat="1" outlineLevel="2">
      <c r="A916" s="884" t="s">
        <v>2401</v>
      </c>
      <c r="B916" s="1050" t="s">
        <v>7732</v>
      </c>
      <c r="C916" s="885" t="s">
        <v>293</v>
      </c>
      <c r="D916" s="884"/>
      <c r="E916" s="884" t="s">
        <v>2348</v>
      </c>
      <c r="F916" s="884" t="s">
        <v>7314</v>
      </c>
      <c r="G916" s="884" t="s">
        <v>7315</v>
      </c>
      <c r="H916" s="886">
        <v>42401</v>
      </c>
      <c r="I916" s="887">
        <v>42475</v>
      </c>
      <c r="J916" s="958">
        <v>44.45</v>
      </c>
    </row>
    <row r="917" spans="1:10" s="84" customFormat="1" outlineLevel="2">
      <c r="A917" s="884" t="s">
        <v>2401</v>
      </c>
      <c r="B917" s="1050" t="s">
        <v>7732</v>
      </c>
      <c r="C917" s="885" t="s">
        <v>293</v>
      </c>
      <c r="D917" s="884"/>
      <c r="E917" s="884" t="s">
        <v>2348</v>
      </c>
      <c r="F917" s="884" t="s">
        <v>7316</v>
      </c>
      <c r="G917" s="884" t="s">
        <v>7317</v>
      </c>
      <c r="H917" s="886">
        <v>42401</v>
      </c>
      <c r="I917" s="887">
        <v>42475</v>
      </c>
      <c r="J917" s="958">
        <v>65.790000000000006</v>
      </c>
    </row>
    <row r="918" spans="1:10" s="84" customFormat="1" outlineLevel="2">
      <c r="A918" s="884" t="s">
        <v>2401</v>
      </c>
      <c r="B918" s="1050">
        <v>112120611040</v>
      </c>
      <c r="C918" s="885" t="s">
        <v>293</v>
      </c>
      <c r="D918" s="884"/>
      <c r="E918" s="884" t="s">
        <v>408</v>
      </c>
      <c r="F918" s="884" t="s">
        <v>2418</v>
      </c>
      <c r="G918" s="884" t="s">
        <v>6869</v>
      </c>
      <c r="H918" s="886">
        <v>42370</v>
      </c>
      <c r="I918" s="887">
        <v>42478</v>
      </c>
      <c r="J918" s="958">
        <v>2215.42</v>
      </c>
    </row>
    <row r="919" spans="1:10" s="84" customFormat="1" outlineLevel="2">
      <c r="A919" s="884" t="s">
        <v>2633</v>
      </c>
      <c r="B919" s="1050">
        <v>112120105010</v>
      </c>
      <c r="C919" s="885" t="s">
        <v>293</v>
      </c>
      <c r="D919" s="884"/>
      <c r="E919" s="884" t="s">
        <v>2448</v>
      </c>
      <c r="F919" s="884" t="s">
        <v>2408</v>
      </c>
      <c r="G919" s="884" t="s">
        <v>6793</v>
      </c>
      <c r="H919" s="886">
        <v>42430</v>
      </c>
      <c r="I919" s="887">
        <v>42478</v>
      </c>
      <c r="J919" s="958">
        <v>423.35</v>
      </c>
    </row>
    <row r="920" spans="1:10" s="84" customFormat="1" outlineLevel="2">
      <c r="A920" s="884" t="s">
        <v>2654</v>
      </c>
      <c r="B920" s="1050">
        <v>112120105010</v>
      </c>
      <c r="C920" s="885" t="s">
        <v>293</v>
      </c>
      <c r="D920" s="884"/>
      <c r="E920" s="884" t="s">
        <v>2448</v>
      </c>
      <c r="F920" s="884" t="s">
        <v>2408</v>
      </c>
      <c r="G920" s="884" t="s">
        <v>6793</v>
      </c>
      <c r="H920" s="886">
        <v>42430</v>
      </c>
      <c r="I920" s="887">
        <v>42478</v>
      </c>
      <c r="J920" s="958">
        <v>18</v>
      </c>
    </row>
    <row r="921" spans="1:10" s="84" customFormat="1" outlineLevel="2">
      <c r="A921" s="884" t="s">
        <v>2655</v>
      </c>
      <c r="B921" s="1050">
        <v>112120105010</v>
      </c>
      <c r="C921" s="885" t="s">
        <v>293</v>
      </c>
      <c r="D921" s="884"/>
      <c r="E921" s="884" t="s">
        <v>2448</v>
      </c>
      <c r="F921" s="884" t="s">
        <v>2408</v>
      </c>
      <c r="G921" s="884" t="s">
        <v>6793</v>
      </c>
      <c r="H921" s="886">
        <v>42430</v>
      </c>
      <c r="I921" s="887">
        <v>42478</v>
      </c>
      <c r="J921" s="958">
        <v>110.4</v>
      </c>
    </row>
    <row r="922" spans="1:10" s="84" customFormat="1" outlineLevel="2">
      <c r="A922" s="884" t="s">
        <v>2614</v>
      </c>
      <c r="B922" s="1050">
        <v>112120105010</v>
      </c>
      <c r="C922" s="885" t="s">
        <v>293</v>
      </c>
      <c r="D922" s="884"/>
      <c r="E922" s="884" t="s">
        <v>2448</v>
      </c>
      <c r="F922" s="884" t="s">
        <v>2408</v>
      </c>
      <c r="G922" s="884" t="s">
        <v>6793</v>
      </c>
      <c r="H922" s="886">
        <v>42430</v>
      </c>
      <c r="I922" s="887">
        <v>42478</v>
      </c>
      <c r="J922" s="958">
        <v>330</v>
      </c>
    </row>
    <row r="923" spans="1:10" s="84" customFormat="1" outlineLevel="2">
      <c r="A923" s="884" t="s">
        <v>6651</v>
      </c>
      <c r="B923" s="1050">
        <v>112120612160</v>
      </c>
      <c r="C923" s="885" t="s">
        <v>293</v>
      </c>
      <c r="D923" s="884"/>
      <c r="E923" s="884" t="s">
        <v>5701</v>
      </c>
      <c r="F923" s="884" t="s">
        <v>2456</v>
      </c>
      <c r="G923" s="884" t="s">
        <v>6652</v>
      </c>
      <c r="H923" s="886">
        <v>42430</v>
      </c>
      <c r="I923" s="887">
        <v>42479</v>
      </c>
      <c r="J923" s="958">
        <v>990</v>
      </c>
    </row>
    <row r="924" spans="1:10" s="84" customFormat="1" outlineLevel="2">
      <c r="A924" s="884" t="s">
        <v>2467</v>
      </c>
      <c r="B924" s="1050">
        <v>112120612060</v>
      </c>
      <c r="C924" s="885" t="s">
        <v>293</v>
      </c>
      <c r="D924" s="884"/>
      <c r="E924" s="884" t="s">
        <v>2457</v>
      </c>
      <c r="F924" s="884" t="s">
        <v>2458</v>
      </c>
      <c r="G924" s="884" t="s">
        <v>6861</v>
      </c>
      <c r="H924" s="886">
        <v>42430</v>
      </c>
      <c r="I924" s="887">
        <v>42480</v>
      </c>
      <c r="J924" s="958">
        <v>171.57</v>
      </c>
    </row>
    <row r="925" spans="1:10" s="84" customFormat="1" outlineLevel="2">
      <c r="A925" s="884" t="s">
        <v>2401</v>
      </c>
      <c r="B925" s="1050" t="s">
        <v>7732</v>
      </c>
      <c r="C925" s="885" t="s">
        <v>293</v>
      </c>
      <c r="D925" s="884"/>
      <c r="E925" s="884" t="s">
        <v>2336</v>
      </c>
      <c r="F925" s="884" t="s">
        <v>7156</v>
      </c>
      <c r="G925" s="884" t="s">
        <v>7157</v>
      </c>
      <c r="H925" s="886">
        <v>42401</v>
      </c>
      <c r="I925" s="887">
        <v>42480</v>
      </c>
      <c r="J925" s="958">
        <v>297.29000000000002</v>
      </c>
    </row>
    <row r="926" spans="1:10" s="84" customFormat="1" outlineLevel="2">
      <c r="A926" s="884" t="s">
        <v>2401</v>
      </c>
      <c r="B926" s="1050" t="s">
        <v>7732</v>
      </c>
      <c r="C926" s="885" t="s">
        <v>293</v>
      </c>
      <c r="D926" s="884"/>
      <c r="E926" s="884" t="s">
        <v>2336</v>
      </c>
      <c r="F926" s="884" t="s">
        <v>7158</v>
      </c>
      <c r="G926" s="884" t="s">
        <v>7159</v>
      </c>
      <c r="H926" s="886">
        <v>42401</v>
      </c>
      <c r="I926" s="887">
        <v>42480</v>
      </c>
      <c r="J926" s="958">
        <v>195.58</v>
      </c>
    </row>
    <row r="927" spans="1:10" s="84" customFormat="1" outlineLevel="2">
      <c r="A927" s="884" t="s">
        <v>2401</v>
      </c>
      <c r="B927" s="1050" t="s">
        <v>7732</v>
      </c>
      <c r="C927" s="885" t="s">
        <v>293</v>
      </c>
      <c r="D927" s="884"/>
      <c r="E927" s="884" t="s">
        <v>2336</v>
      </c>
      <c r="F927" s="884" t="s">
        <v>7160</v>
      </c>
      <c r="G927" s="884" t="s">
        <v>7161</v>
      </c>
      <c r="H927" s="886">
        <v>42401</v>
      </c>
      <c r="I927" s="887">
        <v>42480</v>
      </c>
      <c r="J927" s="958">
        <v>289.45999999999998</v>
      </c>
    </row>
    <row r="928" spans="1:10" s="84" customFormat="1" outlineLevel="2">
      <c r="A928" s="884" t="s">
        <v>2614</v>
      </c>
      <c r="B928" s="1050">
        <v>112120105010</v>
      </c>
      <c r="C928" s="885" t="s">
        <v>293</v>
      </c>
      <c r="D928" s="884"/>
      <c r="E928" s="884" t="s">
        <v>2448</v>
      </c>
      <c r="F928" s="884" t="s">
        <v>2408</v>
      </c>
      <c r="G928" s="884" t="s">
        <v>6794</v>
      </c>
      <c r="H928" s="886">
        <v>42430</v>
      </c>
      <c r="I928" s="887">
        <v>42480</v>
      </c>
      <c r="J928" s="958">
        <v>300</v>
      </c>
    </row>
    <row r="929" spans="1:10" s="84" customFormat="1" outlineLevel="2">
      <c r="A929" s="884" t="s">
        <v>2631</v>
      </c>
      <c r="B929" s="1050">
        <v>112070800000</v>
      </c>
      <c r="C929" s="885" t="s">
        <v>293</v>
      </c>
      <c r="D929" s="884"/>
      <c r="E929" s="884" t="s">
        <v>2632</v>
      </c>
      <c r="F929" s="884" t="s">
        <v>2575</v>
      </c>
      <c r="G929" s="884" t="s">
        <v>6753</v>
      </c>
      <c r="H929" s="886">
        <v>42461</v>
      </c>
      <c r="I929" s="887">
        <v>42480</v>
      </c>
      <c r="J929" s="958">
        <v>1500</v>
      </c>
    </row>
    <row r="930" spans="1:10" s="84" customFormat="1" outlineLevel="2">
      <c r="A930" s="884" t="s">
        <v>2401</v>
      </c>
      <c r="B930" s="1050" t="s">
        <v>7732</v>
      </c>
      <c r="C930" s="885" t="s">
        <v>293</v>
      </c>
      <c r="D930" s="884"/>
      <c r="E930" s="884" t="s">
        <v>1909</v>
      </c>
      <c r="F930" s="884" t="s">
        <v>7378</v>
      </c>
      <c r="G930" s="884" t="s">
        <v>7379</v>
      </c>
      <c r="H930" s="886">
        <v>42401</v>
      </c>
      <c r="I930" s="887">
        <v>42480</v>
      </c>
      <c r="J930" s="958">
        <v>27.03</v>
      </c>
    </row>
    <row r="931" spans="1:10" s="84" customFormat="1" outlineLevel="2">
      <c r="A931" s="884" t="s">
        <v>2401</v>
      </c>
      <c r="B931" s="1050" t="s">
        <v>7732</v>
      </c>
      <c r="C931" s="885" t="s">
        <v>293</v>
      </c>
      <c r="D931" s="884"/>
      <c r="E931" s="884" t="s">
        <v>1909</v>
      </c>
      <c r="F931" s="884" t="s">
        <v>7444</v>
      </c>
      <c r="G931" s="884" t="s">
        <v>7445</v>
      </c>
      <c r="H931" s="886">
        <v>42401</v>
      </c>
      <c r="I931" s="887">
        <v>42480</v>
      </c>
      <c r="J931" s="958">
        <v>17.78</v>
      </c>
    </row>
    <row r="932" spans="1:10" s="84" customFormat="1" outlineLevel="2">
      <c r="A932" s="884" t="s">
        <v>2401</v>
      </c>
      <c r="B932" s="1050" t="s">
        <v>7732</v>
      </c>
      <c r="C932" s="885" t="s">
        <v>293</v>
      </c>
      <c r="D932" s="884"/>
      <c r="E932" s="884" t="s">
        <v>1909</v>
      </c>
      <c r="F932" s="884" t="s">
        <v>7508</v>
      </c>
      <c r="G932" s="884" t="s">
        <v>7509</v>
      </c>
      <c r="H932" s="886">
        <v>42401</v>
      </c>
      <c r="I932" s="887">
        <v>42480</v>
      </c>
      <c r="J932" s="958">
        <v>26.31</v>
      </c>
    </row>
    <row r="933" spans="1:10" s="84" customFormat="1" outlineLevel="2">
      <c r="A933" s="884" t="s">
        <v>2401</v>
      </c>
      <c r="B933" s="1050" t="s">
        <v>7732</v>
      </c>
      <c r="C933" s="885" t="s">
        <v>293</v>
      </c>
      <c r="D933" s="884"/>
      <c r="E933" s="884" t="s">
        <v>1909</v>
      </c>
      <c r="F933" s="884" t="s">
        <v>7600</v>
      </c>
      <c r="G933" s="884" t="s">
        <v>7601</v>
      </c>
      <c r="H933" s="886">
        <v>42370</v>
      </c>
      <c r="I933" s="887">
        <v>42480</v>
      </c>
      <c r="J933" s="958">
        <v>83.83</v>
      </c>
    </row>
    <row r="934" spans="1:10" s="84" customFormat="1" outlineLevel="2">
      <c r="A934" s="884" t="s">
        <v>2401</v>
      </c>
      <c r="B934" s="1050" t="s">
        <v>7732</v>
      </c>
      <c r="C934" s="885" t="s">
        <v>293</v>
      </c>
      <c r="D934" s="884"/>
      <c r="E934" s="884" t="s">
        <v>1909</v>
      </c>
      <c r="F934" s="884" t="s">
        <v>7664</v>
      </c>
      <c r="G934" s="884" t="s">
        <v>7665</v>
      </c>
      <c r="H934" s="886">
        <v>42370</v>
      </c>
      <c r="I934" s="887">
        <v>42480</v>
      </c>
      <c r="J934" s="958">
        <v>124.07</v>
      </c>
    </row>
    <row r="935" spans="1:10" s="84" customFormat="1" outlineLevel="2">
      <c r="A935" s="884" t="s">
        <v>2633</v>
      </c>
      <c r="B935" s="1050">
        <v>112120301030</v>
      </c>
      <c r="C935" s="885" t="s">
        <v>293</v>
      </c>
      <c r="D935" s="884"/>
      <c r="E935" s="884" t="s">
        <v>418</v>
      </c>
      <c r="F935" s="884" t="s">
        <v>440</v>
      </c>
      <c r="G935" s="884" t="s">
        <v>6960</v>
      </c>
      <c r="H935" s="886">
        <v>42461</v>
      </c>
      <c r="I935" s="887">
        <v>42482</v>
      </c>
      <c r="J935" s="958">
        <v>19.760000000000002</v>
      </c>
    </row>
    <row r="936" spans="1:10" s="84" customFormat="1" outlineLevel="2">
      <c r="A936" s="884" t="s">
        <v>2487</v>
      </c>
      <c r="B936" s="1050">
        <v>112120301030</v>
      </c>
      <c r="C936" s="885" t="s">
        <v>293</v>
      </c>
      <c r="D936" s="884"/>
      <c r="E936" s="884" t="s">
        <v>418</v>
      </c>
      <c r="F936" s="884" t="s">
        <v>440</v>
      </c>
      <c r="G936" s="884" t="s">
        <v>6960</v>
      </c>
      <c r="H936" s="886">
        <v>42461</v>
      </c>
      <c r="I936" s="887">
        <v>42482</v>
      </c>
      <c r="J936" s="958">
        <v>51.74</v>
      </c>
    </row>
    <row r="937" spans="1:10" s="84" customFormat="1" outlineLevel="2">
      <c r="A937" s="884" t="s">
        <v>6958</v>
      </c>
      <c r="B937" s="1050">
        <v>112120301030</v>
      </c>
      <c r="C937" s="885" t="s">
        <v>293</v>
      </c>
      <c r="D937" s="884"/>
      <c r="E937" s="884" t="s">
        <v>418</v>
      </c>
      <c r="F937" s="884" t="s">
        <v>440</v>
      </c>
      <c r="G937" s="884" t="s">
        <v>6960</v>
      </c>
      <c r="H937" s="886">
        <v>42461</v>
      </c>
      <c r="I937" s="887">
        <v>42482</v>
      </c>
      <c r="J937" s="958">
        <v>58</v>
      </c>
    </row>
    <row r="938" spans="1:10" s="84" customFormat="1" outlineLevel="2">
      <c r="A938" s="884" t="s">
        <v>2488</v>
      </c>
      <c r="B938" s="1050">
        <v>112120301030</v>
      </c>
      <c r="C938" s="885" t="s">
        <v>293</v>
      </c>
      <c r="D938" s="884"/>
      <c r="E938" s="884" t="s">
        <v>418</v>
      </c>
      <c r="F938" s="884" t="s">
        <v>440</v>
      </c>
      <c r="G938" s="884" t="s">
        <v>6960</v>
      </c>
      <c r="H938" s="886">
        <v>42461</v>
      </c>
      <c r="I938" s="887">
        <v>42482</v>
      </c>
      <c r="J938" s="958">
        <v>10</v>
      </c>
    </row>
    <row r="939" spans="1:10" s="84" customFormat="1" outlineLevel="2">
      <c r="A939" s="884" t="s">
        <v>2645</v>
      </c>
      <c r="B939" s="1050">
        <v>112120301030</v>
      </c>
      <c r="C939" s="885" t="s">
        <v>293</v>
      </c>
      <c r="D939" s="884"/>
      <c r="E939" s="884" t="s">
        <v>418</v>
      </c>
      <c r="F939" s="884" t="s">
        <v>440</v>
      </c>
      <c r="G939" s="884" t="s">
        <v>6960</v>
      </c>
      <c r="H939" s="886">
        <v>42461</v>
      </c>
      <c r="I939" s="887">
        <v>42482</v>
      </c>
      <c r="J939" s="958">
        <v>5.4</v>
      </c>
    </row>
    <row r="940" spans="1:10" s="84" customFormat="1" outlineLevel="2">
      <c r="A940" s="884" t="s">
        <v>2671</v>
      </c>
      <c r="B940" s="1050">
        <v>112120301030</v>
      </c>
      <c r="C940" s="885" t="s">
        <v>293</v>
      </c>
      <c r="D940" s="884"/>
      <c r="E940" s="884" t="s">
        <v>418</v>
      </c>
      <c r="F940" s="884" t="s">
        <v>440</v>
      </c>
      <c r="G940" s="884" t="s">
        <v>6960</v>
      </c>
      <c r="H940" s="886">
        <v>42461</v>
      </c>
      <c r="I940" s="887">
        <v>42482</v>
      </c>
      <c r="J940" s="958">
        <v>16.8</v>
      </c>
    </row>
    <row r="941" spans="1:10" s="84" customFormat="1" outlineLevel="2">
      <c r="A941" s="884" t="s">
        <v>2631</v>
      </c>
      <c r="B941" s="1050">
        <v>112120105010</v>
      </c>
      <c r="C941" s="885" t="s">
        <v>293</v>
      </c>
      <c r="D941" s="884"/>
      <c r="E941" s="884" t="s">
        <v>2632</v>
      </c>
      <c r="F941" s="884" t="s">
        <v>2408</v>
      </c>
      <c r="G941" s="884" t="s">
        <v>6754</v>
      </c>
      <c r="H941" s="886">
        <v>42461</v>
      </c>
      <c r="I941" s="887">
        <v>42482</v>
      </c>
      <c r="J941" s="958">
        <v>-600</v>
      </c>
    </row>
    <row r="942" spans="1:10" s="84" customFormat="1" outlineLevel="2">
      <c r="A942" s="884" t="s">
        <v>2614</v>
      </c>
      <c r="B942" s="1050">
        <v>112120105010</v>
      </c>
      <c r="C942" s="885" t="s">
        <v>293</v>
      </c>
      <c r="D942" s="884"/>
      <c r="E942" s="884" t="s">
        <v>2632</v>
      </c>
      <c r="F942" s="884" t="s">
        <v>2408</v>
      </c>
      <c r="G942" s="884" t="s">
        <v>6754</v>
      </c>
      <c r="H942" s="886">
        <v>42461</v>
      </c>
      <c r="I942" s="887">
        <v>42482</v>
      </c>
      <c r="J942" s="958">
        <v>630</v>
      </c>
    </row>
    <row r="943" spans="1:10" s="84" customFormat="1" outlineLevel="2">
      <c r="A943" s="884" t="s">
        <v>2631</v>
      </c>
      <c r="B943" s="1050">
        <v>112070800000</v>
      </c>
      <c r="C943" s="885" t="s">
        <v>293</v>
      </c>
      <c r="D943" s="884"/>
      <c r="E943" s="884" t="s">
        <v>2632</v>
      </c>
      <c r="F943" s="884" t="s">
        <v>2575</v>
      </c>
      <c r="G943" s="884" t="s">
        <v>6755</v>
      </c>
      <c r="H943" s="886">
        <v>42461</v>
      </c>
      <c r="I943" s="887">
        <v>42482</v>
      </c>
      <c r="J943" s="958">
        <v>1600</v>
      </c>
    </row>
    <row r="944" spans="1:10" s="84" customFormat="1" outlineLevel="2">
      <c r="A944" s="884" t="s">
        <v>2467</v>
      </c>
      <c r="B944" s="1050">
        <v>112120612060</v>
      </c>
      <c r="C944" s="885" t="s">
        <v>293</v>
      </c>
      <c r="D944" s="884"/>
      <c r="E944" s="884" t="s">
        <v>2457</v>
      </c>
      <c r="F944" s="884" t="s">
        <v>2458</v>
      </c>
      <c r="G944" s="884" t="s">
        <v>6866</v>
      </c>
      <c r="H944" s="886">
        <v>42430</v>
      </c>
      <c r="I944" s="887">
        <v>42487</v>
      </c>
      <c r="J944" s="958">
        <v>386.04</v>
      </c>
    </row>
    <row r="945" spans="1:10" s="84" customFormat="1" outlineLevel="2">
      <c r="A945" s="884" t="s">
        <v>2631</v>
      </c>
      <c r="B945" s="1050">
        <v>112120105010</v>
      </c>
      <c r="C945" s="885" t="s">
        <v>293</v>
      </c>
      <c r="D945" s="884"/>
      <c r="E945" s="884" t="s">
        <v>2632</v>
      </c>
      <c r="F945" s="884" t="s">
        <v>2408</v>
      </c>
      <c r="G945" s="884" t="s">
        <v>6756</v>
      </c>
      <c r="H945" s="886">
        <v>42461</v>
      </c>
      <c r="I945" s="887">
        <v>42487</v>
      </c>
      <c r="J945" s="958">
        <v>-1500</v>
      </c>
    </row>
    <row r="946" spans="1:10" s="84" customFormat="1" outlineLevel="2">
      <c r="A946" s="884" t="s">
        <v>2613</v>
      </c>
      <c r="B946" s="1050">
        <v>112120105010</v>
      </c>
      <c r="C946" s="885" t="s">
        <v>293</v>
      </c>
      <c r="D946" s="884"/>
      <c r="E946" s="884" t="s">
        <v>2632</v>
      </c>
      <c r="F946" s="884" t="s">
        <v>2408</v>
      </c>
      <c r="G946" s="884" t="s">
        <v>6756</v>
      </c>
      <c r="H946" s="886">
        <v>42461</v>
      </c>
      <c r="I946" s="887">
        <v>42487</v>
      </c>
      <c r="J946" s="958">
        <v>113.8</v>
      </c>
    </row>
    <row r="947" spans="1:10" s="84" customFormat="1" outlineLevel="2">
      <c r="A947" s="884" t="s">
        <v>2614</v>
      </c>
      <c r="B947" s="1050">
        <v>112120105010</v>
      </c>
      <c r="C947" s="885" t="s">
        <v>293</v>
      </c>
      <c r="D947" s="884"/>
      <c r="E947" s="884" t="s">
        <v>2632</v>
      </c>
      <c r="F947" s="884" t="s">
        <v>2408</v>
      </c>
      <c r="G947" s="884" t="s">
        <v>6756</v>
      </c>
      <c r="H947" s="886">
        <v>42461</v>
      </c>
      <c r="I947" s="887">
        <v>42487</v>
      </c>
      <c r="J947" s="958">
        <v>1500</v>
      </c>
    </row>
    <row r="948" spans="1:10" s="84" customFormat="1" outlineLevel="2">
      <c r="A948" s="884" t="s">
        <v>2467</v>
      </c>
      <c r="B948" s="1050">
        <v>112120612060</v>
      </c>
      <c r="C948" s="885" t="s">
        <v>293</v>
      </c>
      <c r="D948" s="884"/>
      <c r="E948" s="884" t="s">
        <v>2457</v>
      </c>
      <c r="F948" s="884" t="s">
        <v>2458</v>
      </c>
      <c r="G948" s="884" t="s">
        <v>6867</v>
      </c>
      <c r="H948" s="886">
        <v>42430</v>
      </c>
      <c r="I948" s="887">
        <v>42489</v>
      </c>
      <c r="J948" s="958">
        <v>43.77</v>
      </c>
    </row>
    <row r="949" spans="1:10" s="84" customFormat="1" outlineLevel="2">
      <c r="A949" s="884" t="s">
        <v>2332</v>
      </c>
      <c r="B949" s="1050" t="s">
        <v>6992</v>
      </c>
      <c r="C949" s="885" t="s">
        <v>293</v>
      </c>
      <c r="D949" s="884"/>
      <c r="E949" s="884" t="s">
        <v>2306</v>
      </c>
      <c r="F949" s="884" t="s">
        <v>2310</v>
      </c>
      <c r="G949" s="884">
        <v>1282673</v>
      </c>
      <c r="H949" s="886">
        <v>42461</v>
      </c>
      <c r="I949" s="887">
        <v>42489</v>
      </c>
      <c r="J949" s="958">
        <v>63.11</v>
      </c>
    </row>
    <row r="950" spans="1:10" s="84" customFormat="1" outlineLevel="2">
      <c r="A950" s="884" t="s">
        <v>6990</v>
      </c>
      <c r="B950" s="1050" t="s">
        <v>6993</v>
      </c>
      <c r="C950" s="885" t="s">
        <v>293</v>
      </c>
      <c r="D950" s="884"/>
      <c r="E950" s="884" t="s">
        <v>2306</v>
      </c>
      <c r="F950" s="884" t="s">
        <v>2316</v>
      </c>
      <c r="G950" s="884">
        <v>1282671</v>
      </c>
      <c r="H950" s="886">
        <v>42461</v>
      </c>
      <c r="I950" s="887">
        <v>42489</v>
      </c>
      <c r="J950" s="958">
        <v>62.61</v>
      </c>
    </row>
    <row r="951" spans="1:10" s="84" customFormat="1" outlineLevel="2">
      <c r="A951" s="884" t="s">
        <v>2331</v>
      </c>
      <c r="B951" s="1050" t="s">
        <v>6991</v>
      </c>
      <c r="C951" s="885" t="s">
        <v>293</v>
      </c>
      <c r="D951" s="884"/>
      <c r="E951" s="884" t="s">
        <v>2306</v>
      </c>
      <c r="F951" s="884" t="s">
        <v>2307</v>
      </c>
      <c r="G951" s="884">
        <v>1282677</v>
      </c>
      <c r="H951" s="886">
        <v>42461</v>
      </c>
      <c r="I951" s="887">
        <v>42489</v>
      </c>
      <c r="J951" s="958">
        <v>54.54</v>
      </c>
    </row>
    <row r="952" spans="1:10" s="84" customFormat="1" outlineLevel="2">
      <c r="A952" s="884" t="s">
        <v>2331</v>
      </c>
      <c r="B952" s="1050" t="s">
        <v>6991</v>
      </c>
      <c r="C952" s="885" t="s">
        <v>293</v>
      </c>
      <c r="D952" s="884"/>
      <c r="E952" s="884" t="s">
        <v>2306</v>
      </c>
      <c r="F952" s="884" t="s">
        <v>2307</v>
      </c>
      <c r="G952" s="884">
        <v>1282675</v>
      </c>
      <c r="H952" s="886">
        <v>42461</v>
      </c>
      <c r="I952" s="887">
        <v>42489</v>
      </c>
      <c r="J952" s="958">
        <v>25.08</v>
      </c>
    </row>
    <row r="953" spans="1:10" s="84" customFormat="1" outlineLevel="2">
      <c r="A953" s="884" t="s">
        <v>2331</v>
      </c>
      <c r="B953" s="1050" t="s">
        <v>6991</v>
      </c>
      <c r="C953" s="885" t="s">
        <v>293</v>
      </c>
      <c r="D953" s="884"/>
      <c r="E953" s="884" t="s">
        <v>2306</v>
      </c>
      <c r="F953" s="884" t="s">
        <v>2307</v>
      </c>
      <c r="G953" s="884">
        <v>1282665</v>
      </c>
      <c r="H953" s="886">
        <v>42461</v>
      </c>
      <c r="I953" s="887">
        <v>42489</v>
      </c>
      <c r="J953" s="958">
        <v>13.3</v>
      </c>
    </row>
    <row r="954" spans="1:10" s="84" customFormat="1" outlineLevel="2">
      <c r="A954" s="884" t="s">
        <v>2331</v>
      </c>
      <c r="B954" s="1050" t="s">
        <v>6991</v>
      </c>
      <c r="C954" s="885" t="s">
        <v>293</v>
      </c>
      <c r="D954" s="884"/>
      <c r="E954" s="884" t="s">
        <v>2306</v>
      </c>
      <c r="F954" s="884" t="s">
        <v>2307</v>
      </c>
      <c r="G954" s="884">
        <v>1282681</v>
      </c>
      <c r="H954" s="886">
        <v>42461</v>
      </c>
      <c r="I954" s="887">
        <v>42489</v>
      </c>
      <c r="J954" s="958">
        <v>27.98</v>
      </c>
    </row>
    <row r="955" spans="1:10" s="84" customFormat="1" outlineLevel="2">
      <c r="A955" s="884" t="s">
        <v>2331</v>
      </c>
      <c r="B955" s="1050" t="s">
        <v>6991</v>
      </c>
      <c r="C955" s="885" t="s">
        <v>293</v>
      </c>
      <c r="D955" s="884"/>
      <c r="E955" s="884" t="s">
        <v>2306</v>
      </c>
      <c r="F955" s="884" t="s">
        <v>2307</v>
      </c>
      <c r="G955" s="884">
        <v>1282679</v>
      </c>
      <c r="H955" s="886">
        <v>42461</v>
      </c>
      <c r="I955" s="887">
        <v>42489</v>
      </c>
      <c r="J955" s="958">
        <v>2.99</v>
      </c>
    </row>
    <row r="956" spans="1:10" s="84" customFormat="1" outlineLevel="2">
      <c r="A956" s="884" t="s">
        <v>2331</v>
      </c>
      <c r="B956" s="1050" t="s">
        <v>6991</v>
      </c>
      <c r="C956" s="885" t="s">
        <v>293</v>
      </c>
      <c r="D956" s="884"/>
      <c r="E956" s="884" t="s">
        <v>2306</v>
      </c>
      <c r="F956" s="884" t="s">
        <v>2307</v>
      </c>
      <c r="G956" s="884">
        <v>1282669</v>
      </c>
      <c r="H956" s="886">
        <v>42461</v>
      </c>
      <c r="I956" s="887">
        <v>42489</v>
      </c>
      <c r="J956" s="958">
        <v>175.83</v>
      </c>
    </row>
    <row r="957" spans="1:10" s="84" customFormat="1" outlineLevel="2">
      <c r="A957" s="884" t="s">
        <v>2331</v>
      </c>
      <c r="B957" s="1050" t="s">
        <v>6991</v>
      </c>
      <c r="C957" s="885" t="s">
        <v>293</v>
      </c>
      <c r="D957" s="884"/>
      <c r="E957" s="884" t="s">
        <v>2306</v>
      </c>
      <c r="F957" s="884" t="s">
        <v>2307</v>
      </c>
      <c r="G957" s="884">
        <v>1282663</v>
      </c>
      <c r="H957" s="886">
        <v>42461</v>
      </c>
      <c r="I957" s="887">
        <v>42489</v>
      </c>
      <c r="J957" s="958">
        <v>130.06</v>
      </c>
    </row>
    <row r="958" spans="1:10" s="84" customFormat="1" outlineLevel="2">
      <c r="A958" s="884" t="s">
        <v>2331</v>
      </c>
      <c r="B958" s="1050" t="s">
        <v>6991</v>
      </c>
      <c r="C958" s="885" t="s">
        <v>293</v>
      </c>
      <c r="D958" s="884"/>
      <c r="E958" s="884" t="s">
        <v>2306</v>
      </c>
      <c r="F958" s="884" t="s">
        <v>2307</v>
      </c>
      <c r="G958" s="884">
        <v>1282667</v>
      </c>
      <c r="H958" s="886">
        <v>42461</v>
      </c>
      <c r="I958" s="887">
        <v>42489</v>
      </c>
      <c r="J958" s="958">
        <v>17.12</v>
      </c>
    </row>
    <row r="959" spans="1:10" s="84" customFormat="1" outlineLevel="1">
      <c r="A959" s="884"/>
      <c r="B959" s="1050"/>
      <c r="C959" s="908" t="s">
        <v>293</v>
      </c>
      <c r="D959" s="928" t="str">
        <f>VLOOKUP(C959,$C$1102:$E$1189,3,FALSE)</f>
        <v>TOTAL POUPATEMPO RIBEIRÃO PRETO</v>
      </c>
      <c r="E959" s="928"/>
      <c r="F959" s="928"/>
      <c r="G959" s="928"/>
      <c r="H959" s="911"/>
      <c r="I959" s="912"/>
      <c r="J959" s="966">
        <f>SUBTOTAL(9,J876:J958)</f>
        <v>22833.370000000014</v>
      </c>
    </row>
    <row r="960" spans="1:10" s="84" customFormat="1" outlineLevel="2">
      <c r="A960" s="884" t="s">
        <v>2463</v>
      </c>
      <c r="B960" s="1050">
        <v>112120612060</v>
      </c>
      <c r="C960" s="885" t="s">
        <v>294</v>
      </c>
      <c r="D960" s="884"/>
      <c r="E960" s="884" t="s">
        <v>2457</v>
      </c>
      <c r="F960" s="884" t="s">
        <v>2458</v>
      </c>
      <c r="G960" s="884" t="s">
        <v>6837</v>
      </c>
      <c r="H960" s="886">
        <v>42430</v>
      </c>
      <c r="I960" s="887">
        <v>42461</v>
      </c>
      <c r="J960" s="958">
        <v>37.19</v>
      </c>
    </row>
    <row r="961" spans="1:10" s="84" customFormat="1" outlineLevel="2">
      <c r="A961" s="884" t="s">
        <v>2425</v>
      </c>
      <c r="B961" s="1050">
        <v>112120604020</v>
      </c>
      <c r="C961" s="885" t="s">
        <v>294</v>
      </c>
      <c r="D961" s="884"/>
      <c r="E961" s="884" t="s">
        <v>2426</v>
      </c>
      <c r="F961" s="884" t="s">
        <v>432</v>
      </c>
      <c r="G961" s="884" t="s">
        <v>6703</v>
      </c>
      <c r="H961" s="886">
        <v>42401</v>
      </c>
      <c r="I961" s="887">
        <v>42461</v>
      </c>
      <c r="J961" s="958">
        <v>1381.56</v>
      </c>
    </row>
    <row r="962" spans="1:10" s="84" customFormat="1" outlineLevel="2">
      <c r="A962" s="884" t="s">
        <v>2480</v>
      </c>
      <c r="B962" s="1050">
        <v>112120101060</v>
      </c>
      <c r="C962" s="885" t="s">
        <v>294</v>
      </c>
      <c r="D962" s="884"/>
      <c r="E962" s="884" t="s">
        <v>2476</v>
      </c>
      <c r="F962" s="884" t="s">
        <v>2441</v>
      </c>
      <c r="G962" s="884" t="s">
        <v>6924</v>
      </c>
      <c r="H962" s="886">
        <v>42430</v>
      </c>
      <c r="I962" s="887">
        <v>42466</v>
      </c>
      <c r="J962" s="958">
        <v>420</v>
      </c>
    </row>
    <row r="963" spans="1:10" s="84" customFormat="1" outlineLevel="2">
      <c r="A963" s="884" t="s">
        <v>7734</v>
      </c>
      <c r="B963" s="1050">
        <v>112120605020</v>
      </c>
      <c r="C963" s="885" t="s">
        <v>294</v>
      </c>
      <c r="D963" s="884"/>
      <c r="E963" s="884" t="s">
        <v>6954</v>
      </c>
      <c r="F963" s="884" t="s">
        <v>395</v>
      </c>
      <c r="G963" s="884" t="s">
        <v>7735</v>
      </c>
      <c r="H963" s="886">
        <v>42430</v>
      </c>
      <c r="I963" s="887">
        <v>42467</v>
      </c>
      <c r="J963" s="958">
        <v>1130.5</v>
      </c>
    </row>
    <row r="964" spans="1:10" s="84" customFormat="1" outlineLevel="2">
      <c r="A964" s="884" t="s">
        <v>2463</v>
      </c>
      <c r="B964" s="1050">
        <v>112120612060</v>
      </c>
      <c r="C964" s="885" t="s">
        <v>294</v>
      </c>
      <c r="D964" s="884"/>
      <c r="E964" s="884" t="s">
        <v>2457</v>
      </c>
      <c r="F964" s="884" t="s">
        <v>2458</v>
      </c>
      <c r="G964" s="884" t="s">
        <v>6840</v>
      </c>
      <c r="H964" s="886">
        <v>42430</v>
      </c>
      <c r="I964" s="887">
        <v>42467</v>
      </c>
      <c r="J964" s="958">
        <v>222.63</v>
      </c>
    </row>
    <row r="965" spans="1:10" s="84" customFormat="1" outlineLevel="2">
      <c r="A965" s="884" t="s">
        <v>2402</v>
      </c>
      <c r="B965" s="1050">
        <v>112120611040</v>
      </c>
      <c r="C965" s="885" t="s">
        <v>294</v>
      </c>
      <c r="D965" s="884"/>
      <c r="E965" s="884" t="s">
        <v>407</v>
      </c>
      <c r="F965" s="884" t="s">
        <v>2418</v>
      </c>
      <c r="G965" s="884" t="s">
        <v>6807</v>
      </c>
      <c r="H965" s="886">
        <v>42401</v>
      </c>
      <c r="I965" s="887">
        <v>42467</v>
      </c>
      <c r="J965" s="958">
        <v>1192.0999999999999</v>
      </c>
    </row>
    <row r="966" spans="1:10" s="84" customFormat="1" outlineLevel="2">
      <c r="A966" s="884" t="s">
        <v>2463</v>
      </c>
      <c r="B966" s="1050">
        <v>112120612060</v>
      </c>
      <c r="C966" s="885" t="s">
        <v>294</v>
      </c>
      <c r="D966" s="884"/>
      <c r="E966" s="884" t="s">
        <v>2457</v>
      </c>
      <c r="F966" s="884" t="s">
        <v>2458</v>
      </c>
      <c r="G966" s="884" t="s">
        <v>6842</v>
      </c>
      <c r="H966" s="886">
        <v>42430</v>
      </c>
      <c r="I966" s="887">
        <v>42471</v>
      </c>
      <c r="J966" s="958">
        <v>81.739999999999995</v>
      </c>
    </row>
    <row r="967" spans="1:10" s="84" customFormat="1" outlineLevel="2">
      <c r="A967" s="884" t="s">
        <v>2402</v>
      </c>
      <c r="B967" s="1050" t="s">
        <v>7732</v>
      </c>
      <c r="C967" s="885" t="s">
        <v>294</v>
      </c>
      <c r="D967" s="884"/>
      <c r="E967" s="884" t="s">
        <v>2346</v>
      </c>
      <c r="F967" s="884" t="s">
        <v>7254</v>
      </c>
      <c r="G967" s="884" t="s">
        <v>7255</v>
      </c>
      <c r="H967" s="886">
        <v>42401</v>
      </c>
      <c r="I967" s="887">
        <v>42471</v>
      </c>
      <c r="J967" s="958">
        <v>60.09</v>
      </c>
    </row>
    <row r="968" spans="1:10" s="84" customFormat="1" outlineLevel="2">
      <c r="A968" s="884" t="s">
        <v>2402</v>
      </c>
      <c r="B968" s="1050" t="s">
        <v>7732</v>
      </c>
      <c r="C968" s="885" t="s">
        <v>294</v>
      </c>
      <c r="D968" s="884"/>
      <c r="E968" s="884" t="s">
        <v>2346</v>
      </c>
      <c r="F968" s="884" t="s">
        <v>7256</v>
      </c>
      <c r="G968" s="884" t="s">
        <v>7257</v>
      </c>
      <c r="H968" s="886">
        <v>42401</v>
      </c>
      <c r="I968" s="887">
        <v>42471</v>
      </c>
      <c r="J968" s="958">
        <v>91.34</v>
      </c>
    </row>
    <row r="969" spans="1:10" s="84" customFormat="1" outlineLevel="2">
      <c r="A969" s="884" t="s">
        <v>2402</v>
      </c>
      <c r="B969" s="1050" t="s">
        <v>7732</v>
      </c>
      <c r="C969" s="885" t="s">
        <v>294</v>
      </c>
      <c r="D969" s="884"/>
      <c r="E969" s="884" t="s">
        <v>2346</v>
      </c>
      <c r="F969" s="884" t="s">
        <v>7258</v>
      </c>
      <c r="G969" s="884" t="s">
        <v>7259</v>
      </c>
      <c r="H969" s="886">
        <v>42401</v>
      </c>
      <c r="I969" s="887">
        <v>42471</v>
      </c>
      <c r="J969" s="958">
        <v>88.94</v>
      </c>
    </row>
    <row r="970" spans="1:10" s="84" customFormat="1" outlineLevel="2">
      <c r="A970" s="884" t="s">
        <v>2463</v>
      </c>
      <c r="B970" s="1050">
        <v>112120612060</v>
      </c>
      <c r="C970" s="885" t="s">
        <v>294</v>
      </c>
      <c r="D970" s="884"/>
      <c r="E970" s="884" t="s">
        <v>2457</v>
      </c>
      <c r="F970" s="884" t="s">
        <v>2458</v>
      </c>
      <c r="G970" s="884" t="s">
        <v>6853</v>
      </c>
      <c r="H970" s="886">
        <v>42430</v>
      </c>
      <c r="I970" s="887">
        <v>42474</v>
      </c>
      <c r="J970" s="958">
        <v>91.91</v>
      </c>
    </row>
    <row r="971" spans="1:10" s="84" customFormat="1" outlineLevel="2">
      <c r="A971" s="884" t="s">
        <v>2629</v>
      </c>
      <c r="B971" s="1050">
        <v>112120104000</v>
      </c>
      <c r="C971" s="885" t="s">
        <v>294</v>
      </c>
      <c r="D971" s="884"/>
      <c r="E971" s="884" t="s">
        <v>2436</v>
      </c>
      <c r="F971" s="884" t="s">
        <v>2432</v>
      </c>
      <c r="G971" s="884" t="s">
        <v>6725</v>
      </c>
      <c r="H971" s="886">
        <v>42430</v>
      </c>
      <c r="I971" s="887">
        <v>42474</v>
      </c>
      <c r="J971" s="958">
        <v>95.88</v>
      </c>
    </row>
    <row r="972" spans="1:10" s="84" customFormat="1" outlineLevel="2">
      <c r="A972" s="884" t="s">
        <v>2630</v>
      </c>
      <c r="B972" s="1050">
        <v>112120104000</v>
      </c>
      <c r="C972" s="885" t="s">
        <v>294</v>
      </c>
      <c r="D972" s="884"/>
      <c r="E972" s="884" t="s">
        <v>2436</v>
      </c>
      <c r="F972" s="884" t="s">
        <v>2432</v>
      </c>
      <c r="G972" s="884" t="s">
        <v>6725</v>
      </c>
      <c r="H972" s="886">
        <v>42430</v>
      </c>
      <c r="I972" s="887">
        <v>42474</v>
      </c>
      <c r="J972" s="958">
        <v>16</v>
      </c>
    </row>
    <row r="973" spans="1:10" s="84" customFormat="1" outlineLevel="2">
      <c r="A973" s="884" t="s">
        <v>2402</v>
      </c>
      <c r="B973" s="1050">
        <v>112120611040</v>
      </c>
      <c r="C973" s="885" t="s">
        <v>294</v>
      </c>
      <c r="D973" s="884"/>
      <c r="E973" s="884" t="s">
        <v>409</v>
      </c>
      <c r="F973" s="884" t="s">
        <v>2418</v>
      </c>
      <c r="G973" s="884" t="s">
        <v>6760</v>
      </c>
      <c r="H973" s="886">
        <v>42401</v>
      </c>
      <c r="I973" s="887">
        <v>42475</v>
      </c>
      <c r="J973" s="958">
        <v>1764.31</v>
      </c>
    </row>
    <row r="974" spans="1:10" s="84" customFormat="1" outlineLevel="2">
      <c r="A974" s="884" t="s">
        <v>2402</v>
      </c>
      <c r="B974" s="1050">
        <v>112120611040</v>
      </c>
      <c r="C974" s="885" t="s">
        <v>294</v>
      </c>
      <c r="D974" s="884"/>
      <c r="E974" s="884" t="s">
        <v>408</v>
      </c>
      <c r="F974" s="884" t="s">
        <v>2418</v>
      </c>
      <c r="G974" s="884" t="s">
        <v>6890</v>
      </c>
      <c r="H974" s="886">
        <v>42370</v>
      </c>
      <c r="I974" s="887">
        <v>42478</v>
      </c>
      <c r="J974" s="958">
        <v>1878.2</v>
      </c>
    </row>
    <row r="975" spans="1:10" s="84" customFormat="1" outlineLevel="2">
      <c r="A975" s="884" t="s">
        <v>2463</v>
      </c>
      <c r="B975" s="1050">
        <v>112120612060</v>
      </c>
      <c r="C975" s="885" t="s">
        <v>294</v>
      </c>
      <c r="D975" s="884"/>
      <c r="E975" s="884" t="s">
        <v>2457</v>
      </c>
      <c r="F975" s="884" t="s">
        <v>2458</v>
      </c>
      <c r="G975" s="884" t="s">
        <v>6855</v>
      </c>
      <c r="H975" s="886">
        <v>42430</v>
      </c>
      <c r="I975" s="887">
        <v>42478</v>
      </c>
      <c r="J975" s="958">
        <v>73.53</v>
      </c>
    </row>
    <row r="976" spans="1:10" s="84" customFormat="1" outlineLevel="2">
      <c r="A976" s="884" t="s">
        <v>2480</v>
      </c>
      <c r="B976" s="1050">
        <v>112120101060</v>
      </c>
      <c r="C976" s="885" t="s">
        <v>294</v>
      </c>
      <c r="D976" s="884"/>
      <c r="E976" s="884" t="s">
        <v>2476</v>
      </c>
      <c r="F976" s="884" t="s">
        <v>2441</v>
      </c>
      <c r="G976" s="884" t="s">
        <v>6929</v>
      </c>
      <c r="H976" s="886">
        <v>42401</v>
      </c>
      <c r="I976" s="887">
        <v>42480</v>
      </c>
      <c r="J976" s="958">
        <v>420</v>
      </c>
    </row>
    <row r="977" spans="1:10" s="84" customFormat="1" outlineLevel="2">
      <c r="A977" s="884" t="s">
        <v>2402</v>
      </c>
      <c r="B977" s="1050" t="s">
        <v>7732</v>
      </c>
      <c r="C977" s="885" t="s">
        <v>294</v>
      </c>
      <c r="D977" s="884"/>
      <c r="E977" s="884" t="s">
        <v>2336</v>
      </c>
      <c r="F977" s="884" t="s">
        <v>7164</v>
      </c>
      <c r="G977" s="884" t="s">
        <v>7165</v>
      </c>
      <c r="H977" s="886">
        <v>42401</v>
      </c>
      <c r="I977" s="887">
        <v>42480</v>
      </c>
      <c r="J977" s="958">
        <v>251.19</v>
      </c>
    </row>
    <row r="978" spans="1:10" s="84" customFormat="1" outlineLevel="2">
      <c r="A978" s="884" t="s">
        <v>2402</v>
      </c>
      <c r="B978" s="1050" t="s">
        <v>7732</v>
      </c>
      <c r="C978" s="885" t="s">
        <v>294</v>
      </c>
      <c r="D978" s="884"/>
      <c r="E978" s="884" t="s">
        <v>2336</v>
      </c>
      <c r="F978" s="884" t="s">
        <v>7162</v>
      </c>
      <c r="G978" s="884" t="s">
        <v>7163</v>
      </c>
      <c r="H978" s="886">
        <v>42401</v>
      </c>
      <c r="I978" s="887">
        <v>42480</v>
      </c>
      <c r="J978" s="958">
        <v>165.26</v>
      </c>
    </row>
    <row r="979" spans="1:10" s="84" customFormat="1" outlineLevel="2">
      <c r="A979" s="884" t="s">
        <v>2402</v>
      </c>
      <c r="B979" s="1050" t="s">
        <v>7732</v>
      </c>
      <c r="C979" s="885" t="s">
        <v>294</v>
      </c>
      <c r="D979" s="884"/>
      <c r="E979" s="884" t="s">
        <v>2336</v>
      </c>
      <c r="F979" s="884" t="s">
        <v>7166</v>
      </c>
      <c r="G979" s="884" t="s">
        <v>7167</v>
      </c>
      <c r="H979" s="886">
        <v>42401</v>
      </c>
      <c r="I979" s="887">
        <v>42480</v>
      </c>
      <c r="J979" s="958">
        <v>244.58</v>
      </c>
    </row>
    <row r="980" spans="1:10" s="84" customFormat="1" outlineLevel="2">
      <c r="A980" s="884" t="s">
        <v>2402</v>
      </c>
      <c r="B980" s="1050" t="s">
        <v>7732</v>
      </c>
      <c r="C980" s="885" t="s">
        <v>294</v>
      </c>
      <c r="D980" s="884"/>
      <c r="E980" s="884" t="s">
        <v>1909</v>
      </c>
      <c r="F980" s="884" t="s">
        <v>7384</v>
      </c>
      <c r="G980" s="884" t="s">
        <v>7385</v>
      </c>
      <c r="H980" s="886">
        <v>42401</v>
      </c>
      <c r="I980" s="887">
        <v>42480</v>
      </c>
      <c r="J980" s="958">
        <v>22.84</v>
      </c>
    </row>
    <row r="981" spans="1:10" s="84" customFormat="1" outlineLevel="2">
      <c r="A981" s="884" t="s">
        <v>2402</v>
      </c>
      <c r="B981" s="1050" t="s">
        <v>7732</v>
      </c>
      <c r="C981" s="885" t="s">
        <v>294</v>
      </c>
      <c r="D981" s="884"/>
      <c r="E981" s="884" t="s">
        <v>1909</v>
      </c>
      <c r="F981" s="884" t="s">
        <v>7450</v>
      </c>
      <c r="G981" s="884" t="s">
        <v>7451</v>
      </c>
      <c r="H981" s="886">
        <v>42401</v>
      </c>
      <c r="I981" s="887">
        <v>42480</v>
      </c>
      <c r="J981" s="958">
        <v>15.02</v>
      </c>
    </row>
    <row r="982" spans="1:10" s="84" customFormat="1" outlineLevel="2">
      <c r="A982" s="884" t="s">
        <v>2402</v>
      </c>
      <c r="B982" s="1050" t="s">
        <v>7732</v>
      </c>
      <c r="C982" s="885" t="s">
        <v>294</v>
      </c>
      <c r="D982" s="884"/>
      <c r="E982" s="884" t="s">
        <v>1909</v>
      </c>
      <c r="F982" s="884" t="s">
        <v>7514</v>
      </c>
      <c r="G982" s="884" t="s">
        <v>7515</v>
      </c>
      <c r="H982" s="886">
        <v>42401</v>
      </c>
      <c r="I982" s="887">
        <v>42480</v>
      </c>
      <c r="J982" s="958">
        <v>22.23</v>
      </c>
    </row>
    <row r="983" spans="1:10" s="84" customFormat="1" outlineLevel="2">
      <c r="A983" s="884" t="s">
        <v>2402</v>
      </c>
      <c r="B983" s="1050" t="s">
        <v>7732</v>
      </c>
      <c r="C983" s="885" t="s">
        <v>294</v>
      </c>
      <c r="D983" s="884"/>
      <c r="E983" s="884" t="s">
        <v>1909</v>
      </c>
      <c r="F983" s="884" t="s">
        <v>7624</v>
      </c>
      <c r="G983" s="884" t="s">
        <v>7625</v>
      </c>
      <c r="H983" s="886">
        <v>42370</v>
      </c>
      <c r="I983" s="887">
        <v>42480</v>
      </c>
      <c r="J983" s="958">
        <v>72.41</v>
      </c>
    </row>
    <row r="984" spans="1:10" s="84" customFormat="1" outlineLevel="2">
      <c r="A984" s="884" t="s">
        <v>2402</v>
      </c>
      <c r="B984" s="1050" t="s">
        <v>7732</v>
      </c>
      <c r="C984" s="885" t="s">
        <v>294</v>
      </c>
      <c r="D984" s="884"/>
      <c r="E984" s="884" t="s">
        <v>1909</v>
      </c>
      <c r="F984" s="884" t="s">
        <v>7704</v>
      </c>
      <c r="G984" s="884" t="s">
        <v>7705</v>
      </c>
      <c r="H984" s="886">
        <v>42370</v>
      </c>
      <c r="I984" s="887">
        <v>42480</v>
      </c>
      <c r="J984" s="958">
        <v>107.16</v>
      </c>
    </row>
    <row r="985" spans="1:10" s="84" customFormat="1" outlineLevel="2">
      <c r="A985" s="884" t="s">
        <v>2629</v>
      </c>
      <c r="B985" s="1050">
        <v>112120104000</v>
      </c>
      <c r="C985" s="885" t="s">
        <v>294</v>
      </c>
      <c r="D985" s="884"/>
      <c r="E985" s="884" t="s">
        <v>6941</v>
      </c>
      <c r="F985" s="884" t="s">
        <v>2432</v>
      </c>
      <c r="G985" s="884" t="s">
        <v>6942</v>
      </c>
      <c r="H985" s="886">
        <v>42461</v>
      </c>
      <c r="I985" s="887">
        <v>42487</v>
      </c>
      <c r="J985" s="958">
        <v>31.59</v>
      </c>
    </row>
    <row r="986" spans="1:10" s="84" customFormat="1" outlineLevel="2">
      <c r="A986" s="884" t="s">
        <v>2630</v>
      </c>
      <c r="B986" s="1050">
        <v>112120104000</v>
      </c>
      <c r="C986" s="885" t="s">
        <v>294</v>
      </c>
      <c r="D986" s="884"/>
      <c r="E986" s="884" t="s">
        <v>6941</v>
      </c>
      <c r="F986" s="884" t="s">
        <v>2432</v>
      </c>
      <c r="G986" s="884" t="s">
        <v>6942</v>
      </c>
      <c r="H986" s="886">
        <v>42461</v>
      </c>
      <c r="I986" s="887">
        <v>42487</v>
      </c>
      <c r="J986" s="958">
        <v>15.8</v>
      </c>
    </row>
    <row r="987" spans="1:10" s="84" customFormat="1" outlineLevel="2">
      <c r="A987" s="884" t="s">
        <v>2629</v>
      </c>
      <c r="B987" s="1050">
        <v>112120105010</v>
      </c>
      <c r="C987" s="885" t="s">
        <v>294</v>
      </c>
      <c r="D987" s="884"/>
      <c r="E987" s="884" t="s">
        <v>6941</v>
      </c>
      <c r="F987" s="884" t="s">
        <v>2408</v>
      </c>
      <c r="G987" s="884" t="s">
        <v>6943</v>
      </c>
      <c r="H987" s="886">
        <v>42461</v>
      </c>
      <c r="I987" s="887">
        <v>42487</v>
      </c>
      <c r="J987" s="958">
        <v>31.59</v>
      </c>
    </row>
    <row r="988" spans="1:10" s="84" customFormat="1" outlineLevel="2">
      <c r="A988" s="884" t="s">
        <v>2630</v>
      </c>
      <c r="B988" s="1050">
        <v>112120105010</v>
      </c>
      <c r="C988" s="885" t="s">
        <v>294</v>
      </c>
      <c r="D988" s="884"/>
      <c r="E988" s="884" t="s">
        <v>6941</v>
      </c>
      <c r="F988" s="884" t="s">
        <v>2408</v>
      </c>
      <c r="G988" s="884" t="s">
        <v>6943</v>
      </c>
      <c r="H988" s="886">
        <v>42461</v>
      </c>
      <c r="I988" s="887">
        <v>42487</v>
      </c>
      <c r="J988" s="958">
        <v>15.8</v>
      </c>
    </row>
    <row r="989" spans="1:10" s="84" customFormat="1" outlineLevel="2">
      <c r="A989" s="884" t="s">
        <v>2653</v>
      </c>
      <c r="B989" s="1050">
        <v>112120105010</v>
      </c>
      <c r="C989" s="885" t="s">
        <v>294</v>
      </c>
      <c r="D989" s="884"/>
      <c r="E989" s="884" t="s">
        <v>6941</v>
      </c>
      <c r="F989" s="884" t="s">
        <v>2408</v>
      </c>
      <c r="G989" s="884" t="s">
        <v>6943</v>
      </c>
      <c r="H989" s="886">
        <v>42461</v>
      </c>
      <c r="I989" s="887">
        <v>42487</v>
      </c>
      <c r="J989" s="958">
        <v>30</v>
      </c>
    </row>
    <row r="990" spans="1:10" s="84" customFormat="1" outlineLevel="2">
      <c r="A990" s="884" t="s">
        <v>2463</v>
      </c>
      <c r="B990" s="1050">
        <v>112120612060</v>
      </c>
      <c r="C990" s="885" t="s">
        <v>294</v>
      </c>
      <c r="D990" s="884"/>
      <c r="E990" s="884" t="s">
        <v>2457</v>
      </c>
      <c r="F990" s="884" t="s">
        <v>2458</v>
      </c>
      <c r="G990" s="884" t="s">
        <v>6866</v>
      </c>
      <c r="H990" s="886">
        <v>42430</v>
      </c>
      <c r="I990" s="887">
        <v>42487</v>
      </c>
      <c r="J990" s="958">
        <v>318.63</v>
      </c>
    </row>
    <row r="991" spans="1:10" s="84" customFormat="1" outlineLevel="2">
      <c r="A991" s="884" t="s">
        <v>2463</v>
      </c>
      <c r="B991" s="1050">
        <v>112120612060</v>
      </c>
      <c r="C991" s="885" t="s">
        <v>294</v>
      </c>
      <c r="D991" s="884"/>
      <c r="E991" s="884" t="s">
        <v>2457</v>
      </c>
      <c r="F991" s="884" t="s">
        <v>2458</v>
      </c>
      <c r="G991" s="884" t="s">
        <v>6867</v>
      </c>
      <c r="H991" s="886">
        <v>42430</v>
      </c>
      <c r="I991" s="887">
        <v>42489</v>
      </c>
      <c r="J991" s="958">
        <v>43.76</v>
      </c>
    </row>
    <row r="992" spans="1:10" s="84" customFormat="1" outlineLevel="2">
      <c r="A992" s="884" t="s">
        <v>2333</v>
      </c>
      <c r="B992" s="1050" t="s">
        <v>6992</v>
      </c>
      <c r="C992" s="885" t="s">
        <v>294</v>
      </c>
      <c r="D992" s="884"/>
      <c r="E992" s="884" t="s">
        <v>2306</v>
      </c>
      <c r="F992" s="884" t="s">
        <v>2310</v>
      </c>
      <c r="G992" s="884">
        <v>1299117</v>
      </c>
      <c r="H992" s="886">
        <v>42461</v>
      </c>
      <c r="I992" s="887">
        <v>42489</v>
      </c>
      <c r="J992" s="958">
        <v>455.6</v>
      </c>
    </row>
    <row r="993" spans="1:10" s="84" customFormat="1" outlineLevel="2">
      <c r="A993" s="884" t="s">
        <v>2334</v>
      </c>
      <c r="B993" s="1050" t="s">
        <v>6991</v>
      </c>
      <c r="C993" s="885" t="s">
        <v>294</v>
      </c>
      <c r="D993" s="884"/>
      <c r="E993" s="884" t="s">
        <v>2306</v>
      </c>
      <c r="F993" s="884" t="s">
        <v>2307</v>
      </c>
      <c r="G993" s="884">
        <v>1282427</v>
      </c>
      <c r="H993" s="886">
        <v>42461</v>
      </c>
      <c r="I993" s="887">
        <v>42489</v>
      </c>
      <c r="J993" s="958">
        <v>108.38</v>
      </c>
    </row>
    <row r="994" spans="1:10" s="84" customFormat="1" outlineLevel="1">
      <c r="A994" s="884"/>
      <c r="B994" s="1050"/>
      <c r="C994" s="908" t="s">
        <v>294</v>
      </c>
      <c r="D994" s="928" t="str">
        <f>VLOOKUP(C994,$C$1102:$E$1189,3,FALSE)</f>
        <v>TOTAL POUPATEMPO CAMPINAS SHOPPING</v>
      </c>
      <c r="E994" s="928"/>
      <c r="F994" s="928"/>
      <c r="G994" s="928"/>
      <c r="H994" s="911"/>
      <c r="I994" s="912"/>
      <c r="J994" s="966">
        <f>SUBTOTAL(9,J960:J993)</f>
        <v>10997.759999999998</v>
      </c>
    </row>
    <row r="995" spans="1:10" s="84" customFormat="1" outlineLevel="2">
      <c r="A995" s="884" t="s">
        <v>2640</v>
      </c>
      <c r="B995" s="1050">
        <v>112120612060</v>
      </c>
      <c r="C995" s="885" t="s">
        <v>295</v>
      </c>
      <c r="D995" s="884"/>
      <c r="E995" s="884" t="s">
        <v>2457</v>
      </c>
      <c r="F995" s="884" t="s">
        <v>2458</v>
      </c>
      <c r="G995" s="884" t="s">
        <v>6837</v>
      </c>
      <c r="H995" s="886">
        <v>42430</v>
      </c>
      <c r="I995" s="887">
        <v>42461</v>
      </c>
      <c r="J995" s="958">
        <v>37.21</v>
      </c>
    </row>
    <row r="996" spans="1:10" s="84" customFormat="1" outlineLevel="2">
      <c r="A996" s="884" t="s">
        <v>2616</v>
      </c>
      <c r="B996" s="1050">
        <v>112120105010</v>
      </c>
      <c r="C996" s="885" t="s">
        <v>295</v>
      </c>
      <c r="D996" s="884"/>
      <c r="E996" s="884" t="s">
        <v>2617</v>
      </c>
      <c r="F996" s="884" t="s">
        <v>2408</v>
      </c>
      <c r="G996" s="884" t="s">
        <v>6964</v>
      </c>
      <c r="H996" s="886">
        <v>42430</v>
      </c>
      <c r="I996" s="887">
        <v>42465</v>
      </c>
      <c r="J996" s="958">
        <v>54.89</v>
      </c>
    </row>
    <row r="997" spans="1:10" s="84" customFormat="1" outlineLevel="2">
      <c r="A997" s="884" t="s">
        <v>2618</v>
      </c>
      <c r="B997" s="1050">
        <v>112120105010</v>
      </c>
      <c r="C997" s="885" t="s">
        <v>295</v>
      </c>
      <c r="D997" s="884"/>
      <c r="E997" s="884" t="s">
        <v>2617</v>
      </c>
      <c r="F997" s="884" t="s">
        <v>2408</v>
      </c>
      <c r="G997" s="884" t="s">
        <v>6964</v>
      </c>
      <c r="H997" s="886">
        <v>42430</v>
      </c>
      <c r="I997" s="887">
        <v>42465</v>
      </c>
      <c r="J997" s="958">
        <v>50</v>
      </c>
    </row>
    <row r="998" spans="1:10" s="84" customFormat="1" outlineLevel="2">
      <c r="A998" s="884" t="s">
        <v>2403</v>
      </c>
      <c r="B998" s="1050">
        <v>112120611040</v>
      </c>
      <c r="C998" s="885" t="s">
        <v>295</v>
      </c>
      <c r="D998" s="884"/>
      <c r="E998" s="884" t="s">
        <v>407</v>
      </c>
      <c r="F998" s="884" t="s">
        <v>2418</v>
      </c>
      <c r="G998" s="884" t="s">
        <v>6818</v>
      </c>
      <c r="H998" s="886">
        <v>42401</v>
      </c>
      <c r="I998" s="887">
        <v>42467</v>
      </c>
      <c r="J998" s="958">
        <v>1686.68</v>
      </c>
    </row>
    <row r="999" spans="1:10" s="84" customFormat="1" outlineLevel="2">
      <c r="A999" s="884" t="s">
        <v>2640</v>
      </c>
      <c r="B999" s="1050">
        <v>112120612060</v>
      </c>
      <c r="C999" s="885" t="s">
        <v>295</v>
      </c>
      <c r="D999" s="884"/>
      <c r="E999" s="884" t="s">
        <v>2457</v>
      </c>
      <c r="F999" s="884" t="s">
        <v>2458</v>
      </c>
      <c r="G999" s="884" t="s">
        <v>6853</v>
      </c>
      <c r="H999" s="886">
        <v>42430</v>
      </c>
      <c r="I999" s="887">
        <v>42474</v>
      </c>
      <c r="J999" s="958">
        <v>30.64</v>
      </c>
    </row>
    <row r="1000" spans="1:10" s="84" customFormat="1" outlineLevel="2">
      <c r="A1000" s="884" t="s">
        <v>2403</v>
      </c>
      <c r="B1000" s="1050">
        <v>112120611040</v>
      </c>
      <c r="C1000" s="885" t="s">
        <v>295</v>
      </c>
      <c r="D1000" s="884"/>
      <c r="E1000" s="884" t="s">
        <v>409</v>
      </c>
      <c r="F1000" s="884" t="s">
        <v>2418</v>
      </c>
      <c r="G1000" s="884" t="s">
        <v>6770</v>
      </c>
      <c r="H1000" s="886">
        <v>42401</v>
      </c>
      <c r="I1000" s="887">
        <v>42475</v>
      </c>
      <c r="J1000" s="958">
        <v>2496.2800000000002</v>
      </c>
    </row>
    <row r="1001" spans="1:10" s="84" customFormat="1" outlineLevel="2">
      <c r="A1001" s="884" t="s">
        <v>2403</v>
      </c>
      <c r="B1001" s="1050" t="s">
        <v>7732</v>
      </c>
      <c r="C1001" s="885" t="s">
        <v>295</v>
      </c>
      <c r="D1001" s="884"/>
      <c r="E1001" s="884" t="s">
        <v>2349</v>
      </c>
      <c r="F1001" s="884" t="s">
        <v>7236</v>
      </c>
      <c r="G1001" s="884" t="s">
        <v>7237</v>
      </c>
      <c r="H1001" s="886">
        <v>42401</v>
      </c>
      <c r="I1001" s="887">
        <v>42475</v>
      </c>
      <c r="J1001" s="958">
        <v>63.03</v>
      </c>
    </row>
    <row r="1002" spans="1:10" s="84" customFormat="1" outlineLevel="2">
      <c r="A1002" s="884" t="s">
        <v>2403</v>
      </c>
      <c r="B1002" s="1050" t="s">
        <v>7732</v>
      </c>
      <c r="C1002" s="885" t="s">
        <v>295</v>
      </c>
      <c r="D1002" s="884"/>
      <c r="E1002" s="884" t="s">
        <v>2349</v>
      </c>
      <c r="F1002" s="884" t="s">
        <v>7238</v>
      </c>
      <c r="G1002" s="884" t="s">
        <v>7239</v>
      </c>
      <c r="H1002" s="886">
        <v>42401</v>
      </c>
      <c r="I1002" s="887">
        <v>42475</v>
      </c>
      <c r="J1002" s="958">
        <v>61.37</v>
      </c>
    </row>
    <row r="1003" spans="1:10" s="84" customFormat="1" outlineLevel="2">
      <c r="A1003" s="884" t="s">
        <v>2403</v>
      </c>
      <c r="B1003" s="1050" t="s">
        <v>7732</v>
      </c>
      <c r="C1003" s="885" t="s">
        <v>295</v>
      </c>
      <c r="D1003" s="884"/>
      <c r="E1003" s="884" t="s">
        <v>2349</v>
      </c>
      <c r="F1003" s="884" t="s">
        <v>7240</v>
      </c>
      <c r="G1003" s="884" t="s">
        <v>7241</v>
      </c>
      <c r="H1003" s="886">
        <v>42401</v>
      </c>
      <c r="I1003" s="887">
        <v>42475</v>
      </c>
      <c r="J1003" s="958">
        <v>41.47</v>
      </c>
    </row>
    <row r="1004" spans="1:10" s="84" customFormat="1" outlineLevel="2">
      <c r="A1004" s="884" t="s">
        <v>2403</v>
      </c>
      <c r="B1004" s="1050">
        <v>112120611040</v>
      </c>
      <c r="C1004" s="885" t="s">
        <v>295</v>
      </c>
      <c r="D1004" s="884"/>
      <c r="E1004" s="884" t="s">
        <v>408</v>
      </c>
      <c r="F1004" s="884" t="s">
        <v>2418</v>
      </c>
      <c r="G1004" s="884" t="s">
        <v>6894</v>
      </c>
      <c r="H1004" s="886">
        <v>42370</v>
      </c>
      <c r="I1004" s="887">
        <v>42478</v>
      </c>
      <c r="J1004" s="958">
        <v>2709.44</v>
      </c>
    </row>
    <row r="1005" spans="1:10" s="84" customFormat="1" outlineLevel="2">
      <c r="A1005" s="884" t="s">
        <v>2403</v>
      </c>
      <c r="B1005" s="1050" t="s">
        <v>7732</v>
      </c>
      <c r="C1005" s="885" t="s">
        <v>295</v>
      </c>
      <c r="D1005" s="884"/>
      <c r="E1005" s="884" t="s">
        <v>2336</v>
      </c>
      <c r="F1005" s="884" t="s">
        <v>7168</v>
      </c>
      <c r="G1005" s="884" t="s">
        <v>7169</v>
      </c>
      <c r="H1005" s="886">
        <v>42401</v>
      </c>
      <c r="I1005" s="887">
        <v>42480</v>
      </c>
      <c r="J1005" s="958">
        <v>346.67</v>
      </c>
    </row>
    <row r="1006" spans="1:10" s="84" customFormat="1" outlineLevel="2">
      <c r="A1006" s="884" t="s">
        <v>2403</v>
      </c>
      <c r="B1006" s="1050" t="s">
        <v>7732</v>
      </c>
      <c r="C1006" s="885" t="s">
        <v>295</v>
      </c>
      <c r="D1006" s="884"/>
      <c r="E1006" s="884" t="s">
        <v>2336</v>
      </c>
      <c r="F1006" s="884" t="s">
        <v>7172</v>
      </c>
      <c r="G1006" s="884" t="s">
        <v>7173</v>
      </c>
      <c r="H1006" s="886">
        <v>42401</v>
      </c>
      <c r="I1006" s="887">
        <v>42480</v>
      </c>
      <c r="J1006" s="958">
        <v>228.07</v>
      </c>
    </row>
    <row r="1007" spans="1:10" s="84" customFormat="1" outlineLevel="2">
      <c r="A1007" s="884" t="s">
        <v>2403</v>
      </c>
      <c r="B1007" s="1050" t="s">
        <v>7732</v>
      </c>
      <c r="C1007" s="885" t="s">
        <v>295</v>
      </c>
      <c r="D1007" s="884"/>
      <c r="E1007" s="884" t="s">
        <v>2336</v>
      </c>
      <c r="F1007" s="884" t="s">
        <v>7170</v>
      </c>
      <c r="G1007" s="884" t="s">
        <v>7171</v>
      </c>
      <c r="H1007" s="886">
        <v>42401</v>
      </c>
      <c r="I1007" s="887">
        <v>42480</v>
      </c>
      <c r="J1007" s="958">
        <v>337.54</v>
      </c>
    </row>
    <row r="1008" spans="1:10" s="84" customFormat="1" outlineLevel="2">
      <c r="A1008" s="884" t="s">
        <v>2403</v>
      </c>
      <c r="B1008" s="1050" t="s">
        <v>7732</v>
      </c>
      <c r="C1008" s="885" t="s">
        <v>295</v>
      </c>
      <c r="D1008" s="884"/>
      <c r="E1008" s="884" t="s">
        <v>1909</v>
      </c>
      <c r="F1008" s="884" t="s">
        <v>7404</v>
      </c>
      <c r="G1008" s="884" t="s">
        <v>7405</v>
      </c>
      <c r="H1008" s="886">
        <v>42401</v>
      </c>
      <c r="I1008" s="887">
        <v>42480</v>
      </c>
      <c r="J1008" s="958">
        <v>31.52</v>
      </c>
    </row>
    <row r="1009" spans="1:10" s="84" customFormat="1" outlineLevel="2">
      <c r="A1009" s="884" t="s">
        <v>2403</v>
      </c>
      <c r="B1009" s="1050" t="s">
        <v>7732</v>
      </c>
      <c r="C1009" s="885" t="s">
        <v>295</v>
      </c>
      <c r="D1009" s="884"/>
      <c r="E1009" s="884" t="s">
        <v>1909</v>
      </c>
      <c r="F1009" s="884" t="s">
        <v>7472</v>
      </c>
      <c r="G1009" s="884" t="s">
        <v>7473</v>
      </c>
      <c r="H1009" s="886">
        <v>42401</v>
      </c>
      <c r="I1009" s="887">
        <v>42480</v>
      </c>
      <c r="J1009" s="958">
        <v>20.73</v>
      </c>
    </row>
    <row r="1010" spans="1:10" s="84" customFormat="1" outlineLevel="2">
      <c r="A1010" s="884" t="s">
        <v>2403</v>
      </c>
      <c r="B1010" s="1050" t="s">
        <v>7732</v>
      </c>
      <c r="C1010" s="885" t="s">
        <v>295</v>
      </c>
      <c r="D1010" s="884"/>
      <c r="E1010" s="884" t="s">
        <v>1909</v>
      </c>
      <c r="F1010" s="884" t="s">
        <v>7534</v>
      </c>
      <c r="G1010" s="884" t="s">
        <v>7535</v>
      </c>
      <c r="H1010" s="886">
        <v>42401</v>
      </c>
      <c r="I1010" s="887">
        <v>42480</v>
      </c>
      <c r="J1010" s="958">
        <v>30.69</v>
      </c>
    </row>
    <row r="1011" spans="1:10" s="84" customFormat="1" outlineLevel="2">
      <c r="A1011" s="884" t="s">
        <v>2403</v>
      </c>
      <c r="B1011" s="1050" t="s">
        <v>7732</v>
      </c>
      <c r="C1011" s="885" t="s">
        <v>295</v>
      </c>
      <c r="D1011" s="884"/>
      <c r="E1011" s="884" t="s">
        <v>1909</v>
      </c>
      <c r="F1011" s="884" t="s">
        <v>7646</v>
      </c>
      <c r="G1011" s="884" t="s">
        <v>7647</v>
      </c>
      <c r="H1011" s="886">
        <v>42370</v>
      </c>
      <c r="I1011" s="887">
        <v>42480</v>
      </c>
      <c r="J1011" s="958">
        <v>101.89</v>
      </c>
    </row>
    <row r="1012" spans="1:10" s="84" customFormat="1" outlineLevel="2">
      <c r="A1012" s="884" t="s">
        <v>2403</v>
      </c>
      <c r="B1012" s="1050" t="s">
        <v>7732</v>
      </c>
      <c r="C1012" s="885" t="s">
        <v>295</v>
      </c>
      <c r="D1012" s="884"/>
      <c r="E1012" s="884" t="s">
        <v>1909</v>
      </c>
      <c r="F1012" s="884" t="s">
        <v>7718</v>
      </c>
      <c r="G1012" s="884" t="s">
        <v>7719</v>
      </c>
      <c r="H1012" s="886">
        <v>42370</v>
      </c>
      <c r="I1012" s="887">
        <v>42480</v>
      </c>
      <c r="J1012" s="958">
        <v>150.87</v>
      </c>
    </row>
    <row r="1013" spans="1:10" s="84" customFormat="1" outlineLevel="2">
      <c r="A1013" s="884" t="s">
        <v>2640</v>
      </c>
      <c r="B1013" s="1050">
        <v>112120612060</v>
      </c>
      <c r="C1013" s="885" t="s">
        <v>295</v>
      </c>
      <c r="D1013" s="884"/>
      <c r="E1013" s="884" t="s">
        <v>2457</v>
      </c>
      <c r="F1013" s="884" t="s">
        <v>2458</v>
      </c>
      <c r="G1013" s="884" t="s">
        <v>6866</v>
      </c>
      <c r="H1013" s="886">
        <v>42430</v>
      </c>
      <c r="I1013" s="887">
        <v>42487</v>
      </c>
      <c r="J1013" s="958">
        <v>42.89</v>
      </c>
    </row>
    <row r="1014" spans="1:10" s="84" customFormat="1" outlineLevel="2">
      <c r="A1014" s="884" t="s">
        <v>2640</v>
      </c>
      <c r="B1014" s="1050">
        <v>112120612060</v>
      </c>
      <c r="C1014" s="885" t="s">
        <v>295</v>
      </c>
      <c r="D1014" s="884"/>
      <c r="E1014" s="884" t="s">
        <v>2457</v>
      </c>
      <c r="F1014" s="884" t="s">
        <v>2458</v>
      </c>
      <c r="G1014" s="884" t="s">
        <v>6867</v>
      </c>
      <c r="H1014" s="886">
        <v>42430</v>
      </c>
      <c r="I1014" s="887">
        <v>42489</v>
      </c>
      <c r="J1014" s="958">
        <v>43.77</v>
      </c>
    </row>
    <row r="1015" spans="1:10" s="84" customFormat="1" outlineLevel="1">
      <c r="A1015" s="884"/>
      <c r="B1015" s="1050"/>
      <c r="C1015" s="908" t="s">
        <v>295</v>
      </c>
      <c r="D1015" s="928" t="str">
        <f>VLOOKUP(C1015,$C$1102:$E$1189,3,FALSE)</f>
        <v>TOTAL POUPATEMPO BAURU</v>
      </c>
      <c r="E1015" s="928"/>
      <c r="F1015" s="928"/>
      <c r="G1015" s="928"/>
      <c r="H1015" s="911"/>
      <c r="I1015" s="912"/>
      <c r="J1015" s="966">
        <f>SUBTOTAL(9,J995:J1014)</f>
        <v>8565.6500000000015</v>
      </c>
    </row>
    <row r="1016" spans="1:10" s="84" customFormat="1" outlineLevel="2">
      <c r="A1016" s="884" t="s">
        <v>2469</v>
      </c>
      <c r="B1016" s="1050">
        <v>112120612060</v>
      </c>
      <c r="C1016" s="885" t="s">
        <v>296</v>
      </c>
      <c r="D1016" s="884"/>
      <c r="E1016" s="884" t="s">
        <v>2457</v>
      </c>
      <c r="F1016" s="884" t="s">
        <v>2458</v>
      </c>
      <c r="G1016" s="884" t="s">
        <v>6837</v>
      </c>
      <c r="H1016" s="886">
        <v>42430</v>
      </c>
      <c r="I1016" s="887">
        <v>42461</v>
      </c>
      <c r="J1016" s="958">
        <v>37.21</v>
      </c>
    </row>
    <row r="1017" spans="1:10" s="84" customFormat="1" outlineLevel="2">
      <c r="A1017" s="884" t="s">
        <v>2404</v>
      </c>
      <c r="B1017" s="1050">
        <v>112120611040</v>
      </c>
      <c r="C1017" s="885" t="s">
        <v>296</v>
      </c>
      <c r="D1017" s="884"/>
      <c r="E1017" s="884" t="s">
        <v>407</v>
      </c>
      <c r="F1017" s="884" t="s">
        <v>2418</v>
      </c>
      <c r="G1017" s="884" t="s">
        <v>6832</v>
      </c>
      <c r="H1017" s="886">
        <v>42401</v>
      </c>
      <c r="I1017" s="887">
        <v>42467</v>
      </c>
      <c r="J1017" s="958">
        <v>1073.46</v>
      </c>
    </row>
    <row r="1018" spans="1:10" s="84" customFormat="1" outlineLevel="2">
      <c r="A1018" s="884" t="s">
        <v>2404</v>
      </c>
      <c r="B1018" s="1050" t="s">
        <v>7732</v>
      </c>
      <c r="C1018" s="885" t="s">
        <v>296</v>
      </c>
      <c r="D1018" s="884"/>
      <c r="E1018" s="884" t="s">
        <v>2342</v>
      </c>
      <c r="F1018" s="884" t="s">
        <v>7360</v>
      </c>
      <c r="G1018" s="884" t="s">
        <v>7361</v>
      </c>
      <c r="H1018" s="886">
        <v>42401</v>
      </c>
      <c r="I1018" s="887">
        <v>42471</v>
      </c>
      <c r="J1018" s="958">
        <v>60.92</v>
      </c>
    </row>
    <row r="1019" spans="1:10" s="84" customFormat="1" outlineLevel="2">
      <c r="A1019" s="884" t="s">
        <v>2404</v>
      </c>
      <c r="B1019" s="1050" t="s">
        <v>7732</v>
      </c>
      <c r="C1019" s="885" t="s">
        <v>296</v>
      </c>
      <c r="D1019" s="884"/>
      <c r="E1019" s="884" t="s">
        <v>2342</v>
      </c>
      <c r="F1019" s="884" t="s">
        <v>7362</v>
      </c>
      <c r="G1019" s="884" t="s">
        <v>7363</v>
      </c>
      <c r="H1019" s="886">
        <v>42401</v>
      </c>
      <c r="I1019" s="887">
        <v>42471</v>
      </c>
      <c r="J1019" s="958">
        <v>40.08</v>
      </c>
    </row>
    <row r="1020" spans="1:10" s="84" customFormat="1" outlineLevel="2">
      <c r="A1020" s="884" t="s">
        <v>2404</v>
      </c>
      <c r="B1020" s="1050" t="s">
        <v>7732</v>
      </c>
      <c r="C1020" s="885" t="s">
        <v>296</v>
      </c>
      <c r="D1020" s="884"/>
      <c r="E1020" s="884" t="s">
        <v>2342</v>
      </c>
      <c r="F1020" s="884" t="s">
        <v>7364</v>
      </c>
      <c r="G1020" s="884" t="s">
        <v>7365</v>
      </c>
      <c r="H1020" s="886">
        <v>42401</v>
      </c>
      <c r="I1020" s="887">
        <v>42471</v>
      </c>
      <c r="J1020" s="958">
        <v>59.32</v>
      </c>
    </row>
    <row r="1021" spans="1:10" s="84" customFormat="1" outlineLevel="2">
      <c r="A1021" s="884" t="s">
        <v>2404</v>
      </c>
      <c r="B1021" s="1050">
        <v>112120611040</v>
      </c>
      <c r="C1021" s="885" t="s">
        <v>296</v>
      </c>
      <c r="D1021" s="884"/>
      <c r="E1021" s="884" t="s">
        <v>409</v>
      </c>
      <c r="F1021" s="884" t="s">
        <v>2418</v>
      </c>
      <c r="G1021" s="884" t="s">
        <v>6783</v>
      </c>
      <c r="H1021" s="886">
        <v>42401</v>
      </c>
      <c r="I1021" s="887">
        <v>42475</v>
      </c>
      <c r="J1021" s="958">
        <v>1588.73</v>
      </c>
    </row>
    <row r="1022" spans="1:10" s="84" customFormat="1" outlineLevel="2">
      <c r="A1022" s="884" t="s">
        <v>2404</v>
      </c>
      <c r="B1022" s="1050">
        <v>112120611040</v>
      </c>
      <c r="C1022" s="885" t="s">
        <v>296</v>
      </c>
      <c r="D1022" s="884"/>
      <c r="E1022" s="884" t="s">
        <v>408</v>
      </c>
      <c r="F1022" s="884" t="s">
        <v>2418</v>
      </c>
      <c r="G1022" s="884" t="s">
        <v>6899</v>
      </c>
      <c r="H1022" s="886">
        <v>42370</v>
      </c>
      <c r="I1022" s="887">
        <v>42478</v>
      </c>
      <c r="J1022" s="958">
        <v>1644.65</v>
      </c>
    </row>
    <row r="1023" spans="1:10" s="84" customFormat="1" outlineLevel="2">
      <c r="A1023" s="884" t="s">
        <v>2404</v>
      </c>
      <c r="B1023" s="1050" t="s">
        <v>7732</v>
      </c>
      <c r="C1023" s="885" t="s">
        <v>296</v>
      </c>
      <c r="D1023" s="884"/>
      <c r="E1023" s="884" t="s">
        <v>2336</v>
      </c>
      <c r="F1023" s="884" t="s">
        <v>7174</v>
      </c>
      <c r="G1023" s="884" t="s">
        <v>7175</v>
      </c>
      <c r="H1023" s="886">
        <v>42401</v>
      </c>
      <c r="I1023" s="887">
        <v>42480</v>
      </c>
      <c r="J1023" s="958">
        <v>223.38</v>
      </c>
    </row>
    <row r="1024" spans="1:10" s="84" customFormat="1" outlineLevel="2">
      <c r="A1024" s="884" t="s">
        <v>2404</v>
      </c>
      <c r="B1024" s="1050" t="s">
        <v>7732</v>
      </c>
      <c r="C1024" s="885" t="s">
        <v>296</v>
      </c>
      <c r="D1024" s="884"/>
      <c r="E1024" s="884" t="s">
        <v>2336</v>
      </c>
      <c r="F1024" s="884" t="s">
        <v>7176</v>
      </c>
      <c r="G1024" s="884" t="s">
        <v>7177</v>
      </c>
      <c r="H1024" s="886">
        <v>42401</v>
      </c>
      <c r="I1024" s="887">
        <v>42480</v>
      </c>
      <c r="J1024" s="958">
        <v>146.96</v>
      </c>
    </row>
    <row r="1025" spans="1:10" s="84" customFormat="1" outlineLevel="2">
      <c r="A1025" s="884" t="s">
        <v>2404</v>
      </c>
      <c r="B1025" s="1050" t="s">
        <v>7732</v>
      </c>
      <c r="C1025" s="885" t="s">
        <v>296</v>
      </c>
      <c r="D1025" s="884"/>
      <c r="E1025" s="884" t="s">
        <v>2336</v>
      </c>
      <c r="F1025" s="884" t="s">
        <v>7178</v>
      </c>
      <c r="G1025" s="884" t="s">
        <v>7179</v>
      </c>
      <c r="H1025" s="886">
        <v>42401</v>
      </c>
      <c r="I1025" s="887">
        <v>42480</v>
      </c>
      <c r="J1025" s="958">
        <v>217.5</v>
      </c>
    </row>
    <row r="1026" spans="1:10" s="84" customFormat="1" outlineLevel="2">
      <c r="A1026" s="884" t="s">
        <v>2404</v>
      </c>
      <c r="B1026" s="1050" t="s">
        <v>7732</v>
      </c>
      <c r="C1026" s="885" t="s">
        <v>296</v>
      </c>
      <c r="D1026" s="884"/>
      <c r="E1026" s="884" t="s">
        <v>1909</v>
      </c>
      <c r="F1026" s="884" t="s">
        <v>7434</v>
      </c>
      <c r="G1026" s="884" t="s">
        <v>7435</v>
      </c>
      <c r="H1026" s="886">
        <v>42401</v>
      </c>
      <c r="I1026" s="887">
        <v>42480</v>
      </c>
      <c r="J1026" s="958">
        <v>20.309999999999999</v>
      </c>
    </row>
    <row r="1027" spans="1:10" s="84" customFormat="1" outlineLevel="2">
      <c r="A1027" s="884" t="s">
        <v>2404</v>
      </c>
      <c r="B1027" s="1050" t="s">
        <v>7732</v>
      </c>
      <c r="C1027" s="885" t="s">
        <v>296</v>
      </c>
      <c r="D1027" s="884"/>
      <c r="E1027" s="884" t="s">
        <v>1909</v>
      </c>
      <c r="F1027" s="884" t="s">
        <v>7500</v>
      </c>
      <c r="G1027" s="884" t="s">
        <v>7501</v>
      </c>
      <c r="H1027" s="886">
        <v>42401</v>
      </c>
      <c r="I1027" s="887">
        <v>42480</v>
      </c>
      <c r="J1027" s="958">
        <v>13.36</v>
      </c>
    </row>
    <row r="1028" spans="1:10" s="84" customFormat="1" outlineLevel="2">
      <c r="A1028" s="884" t="s">
        <v>2404</v>
      </c>
      <c r="B1028" s="1050" t="s">
        <v>7732</v>
      </c>
      <c r="C1028" s="885" t="s">
        <v>296</v>
      </c>
      <c r="D1028" s="884"/>
      <c r="E1028" s="884" t="s">
        <v>1909</v>
      </c>
      <c r="F1028" s="884" t="s">
        <v>7560</v>
      </c>
      <c r="G1028" s="884" t="s">
        <v>7561</v>
      </c>
      <c r="H1028" s="886">
        <v>42401</v>
      </c>
      <c r="I1028" s="887">
        <v>42480</v>
      </c>
      <c r="J1028" s="958">
        <v>19.77</v>
      </c>
    </row>
    <row r="1029" spans="1:10" s="84" customFormat="1" outlineLevel="2">
      <c r="A1029" s="884" t="s">
        <v>2404</v>
      </c>
      <c r="B1029" s="1050" t="s">
        <v>7732</v>
      </c>
      <c r="C1029" s="885" t="s">
        <v>296</v>
      </c>
      <c r="D1029" s="884"/>
      <c r="E1029" s="884" t="s">
        <v>1909</v>
      </c>
      <c r="F1029" s="884" t="s">
        <v>7652</v>
      </c>
      <c r="G1029" s="884" t="s">
        <v>7653</v>
      </c>
      <c r="H1029" s="886">
        <v>42370</v>
      </c>
      <c r="I1029" s="887">
        <v>42480</v>
      </c>
      <c r="J1029" s="958">
        <v>62.61</v>
      </c>
    </row>
    <row r="1030" spans="1:10" s="84" customFormat="1" outlineLevel="2">
      <c r="A1030" s="884" t="s">
        <v>2404</v>
      </c>
      <c r="B1030" s="1050" t="s">
        <v>7732</v>
      </c>
      <c r="C1030" s="885" t="s">
        <v>296</v>
      </c>
      <c r="D1030" s="884"/>
      <c r="E1030" s="884" t="s">
        <v>1909</v>
      </c>
      <c r="F1030" s="884" t="s">
        <v>7714</v>
      </c>
      <c r="G1030" s="884" t="s">
        <v>7715</v>
      </c>
      <c r="H1030" s="886">
        <v>42370</v>
      </c>
      <c r="I1030" s="887">
        <v>42480</v>
      </c>
      <c r="J1030" s="958">
        <v>92.67</v>
      </c>
    </row>
    <row r="1031" spans="1:10" s="84" customFormat="1" outlineLevel="2">
      <c r="A1031" s="884" t="s">
        <v>2469</v>
      </c>
      <c r="B1031" s="1050">
        <v>112120612060</v>
      </c>
      <c r="C1031" s="885" t="s">
        <v>296</v>
      </c>
      <c r="D1031" s="884"/>
      <c r="E1031" s="884" t="s">
        <v>2457</v>
      </c>
      <c r="F1031" s="884" t="s">
        <v>2458</v>
      </c>
      <c r="G1031" s="884" t="s">
        <v>6866</v>
      </c>
      <c r="H1031" s="886">
        <v>42430</v>
      </c>
      <c r="I1031" s="887">
        <v>42487</v>
      </c>
      <c r="J1031" s="958">
        <v>42.89</v>
      </c>
    </row>
    <row r="1032" spans="1:10" s="84" customFormat="1" outlineLevel="2">
      <c r="A1032" s="884" t="s">
        <v>2469</v>
      </c>
      <c r="B1032" s="1050">
        <v>112120612060</v>
      </c>
      <c r="C1032" s="885" t="s">
        <v>296</v>
      </c>
      <c r="D1032" s="884"/>
      <c r="E1032" s="884" t="s">
        <v>2457</v>
      </c>
      <c r="F1032" s="884" t="s">
        <v>2458</v>
      </c>
      <c r="G1032" s="884" t="s">
        <v>6867</v>
      </c>
      <c r="H1032" s="886">
        <v>42430</v>
      </c>
      <c r="I1032" s="887">
        <v>42489</v>
      </c>
      <c r="J1032" s="958">
        <v>43.77</v>
      </c>
    </row>
    <row r="1033" spans="1:10" s="84" customFormat="1" outlineLevel="1">
      <c r="A1033" s="884"/>
      <c r="B1033" s="1050"/>
      <c r="C1033" s="908" t="s">
        <v>296</v>
      </c>
      <c r="D1033" s="928" t="str">
        <f>VLOOKUP(C1033,$C$1102:$E$1189,3,FALSE)</f>
        <v>TOTAL POUPATEMPO SUZANO</v>
      </c>
      <c r="E1033" s="928"/>
      <c r="F1033" s="928"/>
      <c r="G1033" s="928"/>
      <c r="H1033" s="911"/>
      <c r="I1033" s="912"/>
      <c r="J1033" s="966">
        <f>SUBTOTAL(9,J1016:J1032)</f>
        <v>5387.590000000002</v>
      </c>
    </row>
    <row r="1034" spans="1:10" s="84" customFormat="1" outlineLevel="2">
      <c r="A1034" s="884" t="s">
        <v>6845</v>
      </c>
      <c r="B1034" s="1050">
        <v>112120612060</v>
      </c>
      <c r="C1034" s="885" t="s">
        <v>314</v>
      </c>
      <c r="D1034" s="884"/>
      <c r="E1034" s="884" t="s">
        <v>2457</v>
      </c>
      <c r="F1034" s="884" t="s">
        <v>2458</v>
      </c>
      <c r="G1034" s="884" t="s">
        <v>6843</v>
      </c>
      <c r="H1034" s="886">
        <v>42430</v>
      </c>
      <c r="I1034" s="887">
        <v>42471</v>
      </c>
      <c r="J1034" s="958">
        <v>136.88999999999999</v>
      </c>
    </row>
    <row r="1035" spans="1:10" s="84" customFormat="1" outlineLevel="2">
      <c r="A1035" s="884" t="s">
        <v>6845</v>
      </c>
      <c r="B1035" s="1050">
        <v>112120612060</v>
      </c>
      <c r="C1035" s="885" t="s">
        <v>314</v>
      </c>
      <c r="D1035" s="884"/>
      <c r="E1035" s="884" t="s">
        <v>2457</v>
      </c>
      <c r="F1035" s="884" t="s">
        <v>2458</v>
      </c>
      <c r="G1035" s="884" t="s">
        <v>6855</v>
      </c>
      <c r="H1035" s="886">
        <v>42430</v>
      </c>
      <c r="I1035" s="887">
        <v>42478</v>
      </c>
      <c r="J1035" s="958">
        <v>71.08</v>
      </c>
    </row>
    <row r="1036" spans="1:10" s="84" customFormat="1" outlineLevel="1">
      <c r="A1036" s="884"/>
      <c r="B1036" s="1050"/>
      <c r="C1036" s="908" t="s">
        <v>314</v>
      </c>
      <c r="D1036" s="928" t="str">
        <f>VLOOKUP(C1036,$C$1102:$E$1189,3,FALSE)</f>
        <v>TOTAL POUPATEMPO SANTO ANDRÉ</v>
      </c>
      <c r="E1036" s="928"/>
      <c r="F1036" s="928"/>
      <c r="G1036" s="928"/>
      <c r="H1036" s="911"/>
      <c r="I1036" s="912"/>
      <c r="J1036" s="966">
        <f>SUBTOTAL(9,J1034:J1035)</f>
        <v>207.96999999999997</v>
      </c>
    </row>
    <row r="1037" spans="1:10" s="84" customFormat="1" outlineLevel="2">
      <c r="A1037" s="884" t="s">
        <v>6846</v>
      </c>
      <c r="B1037" s="1050">
        <v>112120612060</v>
      </c>
      <c r="C1037" s="885" t="s">
        <v>2460</v>
      </c>
      <c r="D1037" s="884"/>
      <c r="E1037" s="884" t="s">
        <v>2457</v>
      </c>
      <c r="F1037" s="884" t="s">
        <v>2458</v>
      </c>
      <c r="G1037" s="884" t="s">
        <v>6843</v>
      </c>
      <c r="H1037" s="886">
        <v>42430</v>
      </c>
      <c r="I1037" s="887">
        <v>42471</v>
      </c>
      <c r="J1037" s="958">
        <v>136.88999999999999</v>
      </c>
    </row>
    <row r="1038" spans="1:10" s="84" customFormat="1" outlineLevel="1">
      <c r="A1038" s="884"/>
      <c r="B1038" s="1050"/>
      <c r="C1038" s="908" t="s">
        <v>2460</v>
      </c>
      <c r="D1038" s="928" t="str">
        <f>VLOOKUP(C1038,$C$1102:$E$1189,3,FALSE)</f>
        <v>TOTAL POUPATEMPO ANDRADINA</v>
      </c>
      <c r="E1038" s="928"/>
      <c r="F1038" s="928"/>
      <c r="G1038" s="928"/>
      <c r="H1038" s="911"/>
      <c r="I1038" s="912"/>
      <c r="J1038" s="966">
        <f>SUBTOTAL(9,J1037:J1037)</f>
        <v>136.88999999999999</v>
      </c>
    </row>
    <row r="1039" spans="1:10" s="84" customFormat="1" outlineLevel="2">
      <c r="A1039" s="884" t="s">
        <v>6653</v>
      </c>
      <c r="B1039" s="1050">
        <v>112120702010</v>
      </c>
      <c r="C1039" s="885" t="s">
        <v>318</v>
      </c>
      <c r="D1039" s="884"/>
      <c r="E1039" s="884" t="s">
        <v>438</v>
      </c>
      <c r="F1039" s="884" t="s">
        <v>2406</v>
      </c>
      <c r="G1039" s="884" t="s">
        <v>6654</v>
      </c>
      <c r="H1039" s="886">
        <v>42461</v>
      </c>
      <c r="I1039" s="887">
        <v>42467</v>
      </c>
      <c r="J1039" s="958">
        <v>29.25</v>
      </c>
    </row>
    <row r="1040" spans="1:10" s="84" customFormat="1" outlineLevel="1">
      <c r="A1040" s="884"/>
      <c r="B1040" s="1050"/>
      <c r="C1040" s="908" t="s">
        <v>318</v>
      </c>
      <c r="D1040" s="928" t="str">
        <f>VLOOKUP(C1040,$C$1102:$E$1189,3,FALSE)</f>
        <v>TOTAL POUPATEMPO ARARAS</v>
      </c>
      <c r="E1040" s="928"/>
      <c r="F1040" s="928"/>
      <c r="G1040" s="928"/>
      <c r="H1040" s="911"/>
      <c r="I1040" s="912"/>
      <c r="J1040" s="966">
        <f>SUBTOTAL(9,J1039:J1039)</f>
        <v>29.25</v>
      </c>
    </row>
    <row r="1041" spans="1:10" s="84" customFormat="1" outlineLevel="2">
      <c r="A1041" s="884" t="s">
        <v>7860</v>
      </c>
      <c r="B1041" s="1050">
        <v>112120605020</v>
      </c>
      <c r="C1041" s="885" t="s">
        <v>324</v>
      </c>
      <c r="D1041" s="884"/>
      <c r="E1041" s="884" t="s">
        <v>6693</v>
      </c>
      <c r="F1041" s="884" t="s">
        <v>395</v>
      </c>
      <c r="G1041" s="884" t="s">
        <v>6694</v>
      </c>
      <c r="H1041" s="886">
        <v>42461</v>
      </c>
      <c r="I1041" s="887">
        <v>42475</v>
      </c>
      <c r="J1041" s="958">
        <v>230</v>
      </c>
    </row>
    <row r="1042" spans="1:10" s="84" customFormat="1" outlineLevel="1">
      <c r="A1042" s="884"/>
      <c r="B1042" s="1050"/>
      <c r="C1042" s="908" t="s">
        <v>324</v>
      </c>
      <c r="D1042" s="928" t="str">
        <f>VLOOKUP(C1042,$C$1102:$E$1189,3,FALSE)</f>
        <v>TOTAL POUPATEMPO CAIEIRAS</v>
      </c>
      <c r="E1042" s="928"/>
      <c r="F1042" s="928"/>
      <c r="G1042" s="928"/>
      <c r="H1042" s="911"/>
      <c r="I1042" s="912"/>
      <c r="J1042" s="966">
        <f>SUBTOTAL(9,J1041:J1041)</f>
        <v>230</v>
      </c>
    </row>
    <row r="1043" spans="1:10" s="84" customFormat="1" outlineLevel="2">
      <c r="A1043" s="884" t="s">
        <v>6847</v>
      </c>
      <c r="B1043" s="1050">
        <v>112120612060</v>
      </c>
      <c r="C1043" s="885" t="s">
        <v>325</v>
      </c>
      <c r="D1043" s="884"/>
      <c r="E1043" s="884" t="s">
        <v>2457</v>
      </c>
      <c r="F1043" s="884" t="s">
        <v>2458</v>
      </c>
      <c r="G1043" s="884" t="s">
        <v>6843</v>
      </c>
      <c r="H1043" s="886">
        <v>42430</v>
      </c>
      <c r="I1043" s="887">
        <v>42471</v>
      </c>
      <c r="J1043" s="958">
        <v>136.88999999999999</v>
      </c>
    </row>
    <row r="1044" spans="1:10" s="84" customFormat="1" outlineLevel="2">
      <c r="A1044" s="884" t="s">
        <v>6847</v>
      </c>
      <c r="B1044" s="1050">
        <v>112120612060</v>
      </c>
      <c r="C1044" s="885" t="s">
        <v>325</v>
      </c>
      <c r="D1044" s="884"/>
      <c r="E1044" s="884" t="s">
        <v>2457</v>
      </c>
      <c r="F1044" s="884" t="s">
        <v>2458</v>
      </c>
      <c r="G1044" s="884" t="s">
        <v>6855</v>
      </c>
      <c r="H1044" s="886">
        <v>42430</v>
      </c>
      <c r="I1044" s="887">
        <v>42478</v>
      </c>
      <c r="J1044" s="958">
        <v>71.069999999999993</v>
      </c>
    </row>
    <row r="1045" spans="1:10" s="84" customFormat="1" outlineLevel="1">
      <c r="A1045" s="884"/>
      <c r="B1045" s="1050"/>
      <c r="C1045" s="908" t="s">
        <v>325</v>
      </c>
      <c r="D1045" s="928" t="str">
        <f>VLOOKUP(C1045,$C$1102:$E$1189,3,FALSE)</f>
        <v>TOTAL POUPATEMPO CARAPICUÍBA</v>
      </c>
      <c r="E1045" s="928"/>
      <c r="F1045" s="928"/>
      <c r="G1045" s="928"/>
      <c r="H1045" s="911"/>
      <c r="I1045" s="912"/>
      <c r="J1045" s="966">
        <f>SUBTOTAL(9,J1043:J1044)</f>
        <v>207.95999999999998</v>
      </c>
    </row>
    <row r="1046" spans="1:10" s="84" customFormat="1" outlineLevel="2">
      <c r="A1046" s="884" t="s">
        <v>6856</v>
      </c>
      <c r="B1046" s="1050">
        <v>112120612060</v>
      </c>
      <c r="C1046" s="885" t="s">
        <v>328</v>
      </c>
      <c r="D1046" s="884"/>
      <c r="E1046" s="884" t="s">
        <v>2457</v>
      </c>
      <c r="F1046" s="884" t="s">
        <v>2458</v>
      </c>
      <c r="G1046" s="884" t="s">
        <v>6855</v>
      </c>
      <c r="H1046" s="886">
        <v>42430</v>
      </c>
      <c r="I1046" s="887">
        <v>42478</v>
      </c>
      <c r="J1046" s="958">
        <v>71.069999999999993</v>
      </c>
    </row>
    <row r="1047" spans="1:10" s="84" customFormat="1" outlineLevel="1">
      <c r="A1047" s="884"/>
      <c r="B1047" s="1050"/>
      <c r="C1047" s="908" t="s">
        <v>328</v>
      </c>
      <c r="D1047" s="928" t="str">
        <f>VLOOKUP(C1047,$C$1102:$E$1189,3,FALSE)</f>
        <v>TOTAL POUPATEMPO DIADEMA</v>
      </c>
      <c r="E1047" s="928"/>
      <c r="F1047" s="928"/>
      <c r="G1047" s="928"/>
      <c r="H1047" s="911"/>
      <c r="I1047" s="912"/>
      <c r="J1047" s="966">
        <f>SUBTOTAL(9,J1046:J1046)</f>
        <v>71.069999999999993</v>
      </c>
    </row>
    <row r="1048" spans="1:10" s="84" customFormat="1" outlineLevel="2">
      <c r="A1048" s="884" t="s">
        <v>6668</v>
      </c>
      <c r="B1048" s="1050">
        <v>112120608040</v>
      </c>
      <c r="C1048" s="885" t="s">
        <v>1822</v>
      </c>
      <c r="D1048" s="884"/>
      <c r="E1048" s="884" t="s">
        <v>6669</v>
      </c>
      <c r="F1048" s="884" t="s">
        <v>6670</v>
      </c>
      <c r="G1048" s="884" t="s">
        <v>6671</v>
      </c>
      <c r="H1048" s="886">
        <v>42430</v>
      </c>
      <c r="I1048" s="887">
        <v>42466</v>
      </c>
      <c r="J1048" s="958">
        <v>1200</v>
      </c>
    </row>
    <row r="1049" spans="1:10" s="84" customFormat="1" outlineLevel="2">
      <c r="A1049" s="884" t="s">
        <v>6668</v>
      </c>
      <c r="B1049" s="1050">
        <v>112120608040</v>
      </c>
      <c r="C1049" s="885" t="s">
        <v>1822</v>
      </c>
      <c r="D1049" s="884"/>
      <c r="E1049" s="884" t="s">
        <v>6669</v>
      </c>
      <c r="F1049" s="884" t="s">
        <v>426</v>
      </c>
      <c r="G1049" s="884" t="s">
        <v>6674</v>
      </c>
      <c r="H1049" s="886">
        <v>42430</v>
      </c>
      <c r="I1049" s="887">
        <v>42466</v>
      </c>
      <c r="J1049" s="958">
        <v>-4.4800000000000004</v>
      </c>
    </row>
    <row r="1050" spans="1:10" s="84" customFormat="1" outlineLevel="2">
      <c r="A1050" s="884" t="s">
        <v>2663</v>
      </c>
      <c r="B1050" s="1050">
        <v>112120612060</v>
      </c>
      <c r="C1050" s="885" t="s">
        <v>1822</v>
      </c>
      <c r="D1050" s="884"/>
      <c r="E1050" s="884" t="s">
        <v>2457</v>
      </c>
      <c r="F1050" s="884" t="s">
        <v>2458</v>
      </c>
      <c r="G1050" s="884" t="s">
        <v>6843</v>
      </c>
      <c r="H1050" s="886">
        <v>42430</v>
      </c>
      <c r="I1050" s="887">
        <v>42471</v>
      </c>
      <c r="J1050" s="958">
        <v>136.88999999999999</v>
      </c>
    </row>
    <row r="1051" spans="1:10" s="84" customFormat="1" outlineLevel="1">
      <c r="A1051" s="884"/>
      <c r="B1051" s="1050"/>
      <c r="C1051" s="908" t="s">
        <v>1822</v>
      </c>
      <c r="D1051" s="928" t="str">
        <f>VLOOKUP(C1051,$C$1102:$E$1189,3,FALSE)</f>
        <v>TOTAL POUPATEMPO GUARATINGUETÁ</v>
      </c>
      <c r="E1051" s="928"/>
      <c r="F1051" s="928"/>
      <c r="G1051" s="928"/>
      <c r="H1051" s="911"/>
      <c r="I1051" s="912"/>
      <c r="J1051" s="966">
        <f>SUBTOTAL(9,J1048:J1050)</f>
        <v>1332.4099999999999</v>
      </c>
    </row>
    <row r="1052" spans="1:10" s="84" customFormat="1" outlineLevel="2">
      <c r="A1052" s="884" t="s">
        <v>6672</v>
      </c>
      <c r="B1052" s="1050">
        <v>112120608040</v>
      </c>
      <c r="C1052" s="885" t="s">
        <v>1821</v>
      </c>
      <c r="D1052" s="884"/>
      <c r="E1052" s="884" t="s">
        <v>6669</v>
      </c>
      <c r="F1052" s="884" t="s">
        <v>6670</v>
      </c>
      <c r="G1052" s="884" t="s">
        <v>6671</v>
      </c>
      <c r="H1052" s="886">
        <v>42430</v>
      </c>
      <c r="I1052" s="887">
        <v>42466</v>
      </c>
      <c r="J1052" s="958">
        <v>1200</v>
      </c>
    </row>
    <row r="1053" spans="1:10" s="84" customFormat="1" outlineLevel="1">
      <c r="A1053" s="884"/>
      <c r="B1053" s="1050"/>
      <c r="C1053" s="908" t="s">
        <v>1821</v>
      </c>
      <c r="D1053" s="928" t="str">
        <f>VLOOKUP(C1053,$C$1102:$E$1189,3,FALSE)</f>
        <v>TOTAL POUPATEMPO GUARUJÁ</v>
      </c>
      <c r="E1053" s="928"/>
      <c r="F1053" s="928"/>
      <c r="G1053" s="928"/>
      <c r="H1053" s="911"/>
      <c r="I1053" s="912"/>
      <c r="J1053" s="966">
        <f>SUBTOTAL(9,J1052:J1052)</f>
        <v>1200</v>
      </c>
    </row>
    <row r="1054" spans="1:10" s="84" customFormat="1" outlineLevel="2">
      <c r="A1054" s="884" t="s">
        <v>6848</v>
      </c>
      <c r="B1054" s="1050">
        <v>112120612060</v>
      </c>
      <c r="C1054" s="885" t="s">
        <v>331</v>
      </c>
      <c r="D1054" s="884"/>
      <c r="E1054" s="884" t="s">
        <v>2457</v>
      </c>
      <c r="F1054" s="884" t="s">
        <v>2458</v>
      </c>
      <c r="G1054" s="884" t="s">
        <v>6843</v>
      </c>
      <c r="H1054" s="886">
        <v>42430</v>
      </c>
      <c r="I1054" s="887">
        <v>42471</v>
      </c>
      <c r="J1054" s="958">
        <v>136.88999999999999</v>
      </c>
    </row>
    <row r="1055" spans="1:10" s="84" customFormat="1" outlineLevel="1">
      <c r="A1055" s="884"/>
      <c r="B1055" s="1050"/>
      <c r="C1055" s="908" t="s">
        <v>331</v>
      </c>
      <c r="D1055" s="928" t="str">
        <f>VLOOKUP(C1055,$C$1102:$E$1189,3,FALSE)</f>
        <v>TOTAL POUPATEMPO INDAIATUBA</v>
      </c>
      <c r="E1055" s="928"/>
      <c r="F1055" s="928"/>
      <c r="G1055" s="928"/>
      <c r="H1055" s="911"/>
      <c r="I1055" s="912"/>
      <c r="J1055" s="966">
        <f>SUBTOTAL(9,J1054:J1054)</f>
        <v>136.88999999999999</v>
      </c>
    </row>
    <row r="1056" spans="1:10" s="84" customFormat="1" outlineLevel="2">
      <c r="A1056" s="884" t="s">
        <v>6849</v>
      </c>
      <c r="B1056" s="1050">
        <v>112120612060</v>
      </c>
      <c r="C1056" s="885" t="s">
        <v>334</v>
      </c>
      <c r="D1056" s="884"/>
      <c r="E1056" s="884" t="s">
        <v>2457</v>
      </c>
      <c r="F1056" s="884" t="s">
        <v>2458</v>
      </c>
      <c r="G1056" s="884" t="s">
        <v>6843</v>
      </c>
      <c r="H1056" s="886">
        <v>42430</v>
      </c>
      <c r="I1056" s="887">
        <v>42471</v>
      </c>
      <c r="J1056" s="958">
        <v>136.88999999999999</v>
      </c>
    </row>
    <row r="1057" spans="1:10" s="84" customFormat="1" outlineLevel="1">
      <c r="A1057" s="884"/>
      <c r="B1057" s="1050"/>
      <c r="C1057" s="908" t="s">
        <v>334</v>
      </c>
      <c r="D1057" s="928" t="str">
        <f>VLOOKUP(C1057,$C$1102:$E$1189,3,FALSE)</f>
        <v>TOTAL POUPATEMPO ITU</v>
      </c>
      <c r="E1057" s="928"/>
      <c r="F1057" s="928"/>
      <c r="G1057" s="928"/>
      <c r="H1057" s="911"/>
      <c r="I1057" s="912"/>
      <c r="J1057" s="966">
        <f>SUBTOTAL(9,J1056:J1056)</f>
        <v>136.88999999999999</v>
      </c>
    </row>
    <row r="1058" spans="1:10" s="84" customFormat="1" outlineLevel="2">
      <c r="A1058" s="884" t="s">
        <v>6857</v>
      </c>
      <c r="B1058" s="1050">
        <v>112120612060</v>
      </c>
      <c r="C1058" s="885" t="s">
        <v>298</v>
      </c>
      <c r="D1058" s="884"/>
      <c r="E1058" s="884" t="s">
        <v>2457</v>
      </c>
      <c r="F1058" s="884" t="s">
        <v>2458</v>
      </c>
      <c r="G1058" s="884" t="s">
        <v>6855</v>
      </c>
      <c r="H1058" s="886">
        <v>42430</v>
      </c>
      <c r="I1058" s="887">
        <v>42478</v>
      </c>
      <c r="J1058" s="958">
        <v>71.069999999999993</v>
      </c>
    </row>
    <row r="1059" spans="1:10" s="84" customFormat="1" outlineLevel="1">
      <c r="A1059" s="884"/>
      <c r="B1059" s="1050"/>
      <c r="C1059" s="908" t="s">
        <v>298</v>
      </c>
      <c r="D1059" s="928" t="str">
        <f>VLOOKUP(C1059,$C$1102:$E$1189,3,FALSE)</f>
        <v>TOTAL POUPATEMPO MAUÁ</v>
      </c>
      <c r="E1059" s="928"/>
      <c r="F1059" s="928"/>
      <c r="G1059" s="928"/>
      <c r="H1059" s="911"/>
      <c r="I1059" s="912"/>
      <c r="J1059" s="966">
        <f>SUBTOTAL(9,J1058:J1058)</f>
        <v>71.069999999999993</v>
      </c>
    </row>
    <row r="1060" spans="1:10" s="84" customFormat="1" outlineLevel="2">
      <c r="A1060" s="884" t="s">
        <v>6850</v>
      </c>
      <c r="B1060" s="1050">
        <v>112120612060</v>
      </c>
      <c r="C1060" s="885" t="s">
        <v>340</v>
      </c>
      <c r="D1060" s="884"/>
      <c r="E1060" s="884" t="s">
        <v>2457</v>
      </c>
      <c r="F1060" s="884" t="s">
        <v>2458</v>
      </c>
      <c r="G1060" s="884" t="s">
        <v>6843</v>
      </c>
      <c r="H1060" s="886">
        <v>42430</v>
      </c>
      <c r="I1060" s="887">
        <v>42471</v>
      </c>
      <c r="J1060" s="958">
        <v>136.88999999999999</v>
      </c>
    </row>
    <row r="1061" spans="1:10" s="84" customFormat="1" outlineLevel="2">
      <c r="A1061" s="884" t="s">
        <v>6850</v>
      </c>
      <c r="B1061" s="1050">
        <v>112120612060</v>
      </c>
      <c r="C1061" s="885" t="s">
        <v>340</v>
      </c>
      <c r="D1061" s="884"/>
      <c r="E1061" s="884" t="s">
        <v>2457</v>
      </c>
      <c r="F1061" s="884" t="s">
        <v>2458</v>
      </c>
      <c r="G1061" s="884" t="s">
        <v>6855</v>
      </c>
      <c r="H1061" s="886">
        <v>42430</v>
      </c>
      <c r="I1061" s="887">
        <v>42478</v>
      </c>
      <c r="J1061" s="958">
        <v>71.09</v>
      </c>
    </row>
    <row r="1062" spans="1:10" s="84" customFormat="1" outlineLevel="1">
      <c r="A1062" s="884"/>
      <c r="B1062" s="1050"/>
      <c r="C1062" s="908" t="s">
        <v>340</v>
      </c>
      <c r="D1062" s="928" t="str">
        <f>VLOOKUP(C1062,$C$1102:$E$1189,3,FALSE)</f>
        <v>TOTAL POUPATEMPO TABOÃO DA SERRA</v>
      </c>
      <c r="E1062" s="928"/>
      <c r="F1062" s="928"/>
      <c r="G1062" s="928"/>
      <c r="H1062" s="911"/>
      <c r="I1062" s="912"/>
      <c r="J1062" s="966">
        <f>SUBTOTAL(9,J1060:J1061)</f>
        <v>207.98</v>
      </c>
    </row>
    <row r="1063" spans="1:10" s="84" customFormat="1" outlineLevel="2">
      <c r="A1063" s="884" t="s">
        <v>6862</v>
      </c>
      <c r="B1063" s="1050">
        <v>112120612060</v>
      </c>
      <c r="C1063" s="885" t="s">
        <v>6863</v>
      </c>
      <c r="D1063" s="884"/>
      <c r="E1063" s="884" t="s">
        <v>2457</v>
      </c>
      <c r="F1063" s="884" t="s">
        <v>2458</v>
      </c>
      <c r="G1063" s="884" t="s">
        <v>6864</v>
      </c>
      <c r="H1063" s="886">
        <v>42430</v>
      </c>
      <c r="I1063" s="887">
        <v>42482</v>
      </c>
      <c r="J1063" s="958">
        <v>490.2</v>
      </c>
    </row>
    <row r="1064" spans="1:10" s="84" customFormat="1" outlineLevel="1">
      <c r="A1064" s="884"/>
      <c r="B1064" s="1050"/>
      <c r="C1064" s="908" t="s">
        <v>6863</v>
      </c>
      <c r="D1064" s="928" t="str">
        <f>VLOOKUP(C1064,$C$1102:$E$1189,3,FALSE)</f>
        <v>TOTAL POUPATEMPO TUPÃ</v>
      </c>
      <c r="E1064" s="928"/>
      <c r="F1064" s="928"/>
      <c r="G1064" s="928"/>
      <c r="H1064" s="911"/>
      <c r="I1064" s="912"/>
      <c r="J1064" s="966">
        <f>SUBTOTAL(9,J1063:J1063)</f>
        <v>490.2</v>
      </c>
    </row>
    <row r="1065" spans="1:10" s="84" customFormat="1" outlineLevel="2">
      <c r="A1065" s="884" t="s">
        <v>6656</v>
      </c>
      <c r="B1065" s="1050">
        <v>112120702010</v>
      </c>
      <c r="C1065" s="885" t="s">
        <v>342</v>
      </c>
      <c r="D1065" s="884"/>
      <c r="E1065" s="884" t="s">
        <v>438</v>
      </c>
      <c r="F1065" s="884" t="s">
        <v>2294</v>
      </c>
      <c r="G1065" s="884" t="s">
        <v>6657</v>
      </c>
      <c r="H1065" s="886">
        <v>42461</v>
      </c>
      <c r="I1065" s="887">
        <v>42489</v>
      </c>
      <c r="J1065" s="958">
        <v>199.71</v>
      </c>
    </row>
    <row r="1066" spans="1:10" s="84" customFormat="1" outlineLevel="1">
      <c r="A1066" s="884"/>
      <c r="B1066" s="1050"/>
      <c r="C1066" s="908" t="s">
        <v>342</v>
      </c>
      <c r="D1066" s="928" t="str">
        <f>VLOOKUP(C1066,$C$1102:$E$1189,3,FALSE)</f>
        <v>TOTAL POUPATEMPO MÓVEL REGIÃO NORTE</v>
      </c>
      <c r="E1066" s="928"/>
      <c r="F1066" s="928"/>
      <c r="G1066" s="928"/>
      <c r="H1066" s="911"/>
      <c r="I1066" s="912"/>
      <c r="J1066" s="966">
        <f>SUBTOTAL(9,J1065:J1065)</f>
        <v>199.71</v>
      </c>
    </row>
    <row r="1067" spans="1:10" s="84" customFormat="1" outlineLevel="2">
      <c r="A1067" s="884" t="s">
        <v>6851</v>
      </c>
      <c r="B1067" s="1050">
        <v>112120612060</v>
      </c>
      <c r="C1067" s="885" t="s">
        <v>302</v>
      </c>
      <c r="D1067" s="884"/>
      <c r="E1067" s="884" t="s">
        <v>2457</v>
      </c>
      <c r="F1067" s="884" t="s">
        <v>2458</v>
      </c>
      <c r="G1067" s="884" t="s">
        <v>6843</v>
      </c>
      <c r="H1067" s="886">
        <v>42430</v>
      </c>
      <c r="I1067" s="887">
        <v>42471</v>
      </c>
      <c r="J1067" s="958">
        <v>136.88999999999999</v>
      </c>
    </row>
    <row r="1068" spans="1:10" s="84" customFormat="1" outlineLevel="1">
      <c r="A1068" s="884"/>
      <c r="B1068" s="1050"/>
      <c r="C1068" s="908" t="s">
        <v>302</v>
      </c>
      <c r="D1068" s="928" t="str">
        <f>VLOOKUP(C1068,$C$1102:$E$1189,3,FALSE)</f>
        <v>TOTAL POUPATEMPO PENÁPOLIS</v>
      </c>
      <c r="E1068" s="928"/>
      <c r="F1068" s="928"/>
      <c r="G1068" s="928"/>
      <c r="H1068" s="911"/>
      <c r="I1068" s="912"/>
      <c r="J1068" s="966">
        <f>SUBTOTAL(9,J1067:J1067)</f>
        <v>136.88999999999999</v>
      </c>
    </row>
    <row r="1069" spans="1:10" s="84" customFormat="1" outlineLevel="2">
      <c r="A1069" s="884" t="s">
        <v>6673</v>
      </c>
      <c r="B1069" s="1050">
        <v>112120608040</v>
      </c>
      <c r="C1069" s="885" t="s">
        <v>347</v>
      </c>
      <c r="D1069" s="884"/>
      <c r="E1069" s="884" t="s">
        <v>6669</v>
      </c>
      <c r="F1069" s="884" t="s">
        <v>6670</v>
      </c>
      <c r="G1069" s="884" t="s">
        <v>6671</v>
      </c>
      <c r="H1069" s="886">
        <v>42430</v>
      </c>
      <c r="I1069" s="887">
        <v>42466</v>
      </c>
      <c r="J1069" s="958">
        <v>1200</v>
      </c>
    </row>
    <row r="1070" spans="1:10" s="84" customFormat="1" outlineLevel="2">
      <c r="A1070" s="884" t="s">
        <v>6852</v>
      </c>
      <c r="B1070" s="1050">
        <v>112120612060</v>
      </c>
      <c r="C1070" s="885" t="s">
        <v>347</v>
      </c>
      <c r="D1070" s="884"/>
      <c r="E1070" s="884" t="s">
        <v>2457</v>
      </c>
      <c r="F1070" s="884" t="s">
        <v>2458</v>
      </c>
      <c r="G1070" s="884" t="s">
        <v>6843</v>
      </c>
      <c r="H1070" s="886">
        <v>42430</v>
      </c>
      <c r="I1070" s="887">
        <v>42471</v>
      </c>
      <c r="J1070" s="958">
        <v>136.88999999999999</v>
      </c>
    </row>
    <row r="1071" spans="1:10" s="84" customFormat="1" outlineLevel="2">
      <c r="A1071" s="884" t="s">
        <v>6852</v>
      </c>
      <c r="B1071" s="1050">
        <v>112120612060</v>
      </c>
      <c r="C1071" s="885" t="s">
        <v>347</v>
      </c>
      <c r="D1071" s="884"/>
      <c r="E1071" s="884" t="s">
        <v>2457</v>
      </c>
      <c r="F1071" s="884" t="s">
        <v>2458</v>
      </c>
      <c r="G1071" s="884" t="s">
        <v>6865</v>
      </c>
      <c r="H1071" s="886">
        <v>42430</v>
      </c>
      <c r="I1071" s="887">
        <v>42482</v>
      </c>
      <c r="J1071" s="958">
        <v>306.38</v>
      </c>
    </row>
    <row r="1072" spans="1:10" s="84" customFormat="1" outlineLevel="1">
      <c r="A1072" s="884"/>
      <c r="B1072" s="1050"/>
      <c r="C1072" s="908" t="s">
        <v>347</v>
      </c>
      <c r="D1072" s="928" t="str">
        <f>VLOOKUP(C1072,$C$1102:$E$1189,3,FALSE)</f>
        <v>TOTAL POUPATEMPO SERTÃOZINHO</v>
      </c>
      <c r="E1072" s="928"/>
      <c r="F1072" s="928"/>
      <c r="G1072" s="928"/>
      <c r="H1072" s="911"/>
      <c r="I1072" s="912"/>
      <c r="J1072" s="966">
        <f>SUBTOTAL(9,J1069:J1071)</f>
        <v>1643.27</v>
      </c>
    </row>
    <row r="1073" spans="1:10" s="84" customFormat="1" outlineLevel="2">
      <c r="A1073" s="884" t="s">
        <v>6858</v>
      </c>
      <c r="B1073" s="1050">
        <v>112120612060</v>
      </c>
      <c r="C1073" s="885" t="s">
        <v>303</v>
      </c>
      <c r="D1073" s="884"/>
      <c r="E1073" s="884" t="s">
        <v>2457</v>
      </c>
      <c r="F1073" s="884" t="s">
        <v>2458</v>
      </c>
      <c r="G1073" s="884" t="s">
        <v>6855</v>
      </c>
      <c r="H1073" s="886">
        <v>42430</v>
      </c>
      <c r="I1073" s="887">
        <v>42478</v>
      </c>
      <c r="J1073" s="958">
        <v>71.08</v>
      </c>
    </row>
    <row r="1074" spans="1:10" s="84" customFormat="1" outlineLevel="1">
      <c r="A1074" s="884"/>
      <c r="B1074" s="1050"/>
      <c r="C1074" s="908" t="s">
        <v>303</v>
      </c>
      <c r="D1074" s="928" t="str">
        <f>VLOOKUP(C1074,$C$1102:$E$1189,3,FALSE)</f>
        <v>TOTAL POUPATEMPO ITAQUAQUECETUBA</v>
      </c>
      <c r="E1074" s="928"/>
      <c r="F1074" s="928"/>
      <c r="G1074" s="928"/>
      <c r="H1074" s="911"/>
      <c r="I1074" s="912"/>
      <c r="J1074" s="966">
        <f>SUBTOTAL(9,J1073:J1073)</f>
        <v>71.08</v>
      </c>
    </row>
    <row r="1075" spans="1:10" s="84" customFormat="1" outlineLevel="2">
      <c r="A1075" s="884" t="s">
        <v>6859</v>
      </c>
      <c r="B1075" s="1050">
        <v>112120612060</v>
      </c>
      <c r="C1075" s="885" t="s">
        <v>6860</v>
      </c>
      <c r="D1075" s="884"/>
      <c r="E1075" s="884" t="s">
        <v>2457</v>
      </c>
      <c r="F1075" s="884" t="s">
        <v>2458</v>
      </c>
      <c r="G1075" s="884" t="s">
        <v>6855</v>
      </c>
      <c r="H1075" s="886">
        <v>42430</v>
      </c>
      <c r="I1075" s="887">
        <v>42478</v>
      </c>
      <c r="J1075" s="958">
        <v>71.09</v>
      </c>
    </row>
    <row r="1076" spans="1:10" s="84" customFormat="1" outlineLevel="1">
      <c r="A1076" s="884"/>
      <c r="B1076" s="1050"/>
      <c r="C1076" s="908" t="s">
        <v>6860</v>
      </c>
      <c r="D1076" s="928" t="str">
        <f>VLOOKUP(C1076,$C$1102:$E$1189,3,FALSE)</f>
        <v>TOTAL POUPATEMPO SÃO VICENTE</v>
      </c>
      <c r="E1076" s="928"/>
      <c r="F1076" s="928"/>
      <c r="G1076" s="928"/>
      <c r="H1076" s="911"/>
      <c r="I1076" s="912"/>
      <c r="J1076" s="966">
        <f>SUBTOTAL(9,J1075:J1075)</f>
        <v>71.09</v>
      </c>
    </row>
    <row r="1077" spans="1:10" s="84" customFormat="1" outlineLevel="2">
      <c r="A1077" s="884" t="s">
        <v>2643</v>
      </c>
      <c r="B1077" s="1050">
        <v>112120612060</v>
      </c>
      <c r="C1077" s="885" t="s">
        <v>304</v>
      </c>
      <c r="D1077" s="884"/>
      <c r="E1077" s="884" t="s">
        <v>2457</v>
      </c>
      <c r="F1077" s="884" t="s">
        <v>2458</v>
      </c>
      <c r="G1077" s="884" t="s">
        <v>6837</v>
      </c>
      <c r="H1077" s="886">
        <v>42430</v>
      </c>
      <c r="I1077" s="887">
        <v>42461</v>
      </c>
      <c r="J1077" s="958">
        <v>37.21</v>
      </c>
    </row>
    <row r="1078" spans="1:10" s="84" customFormat="1" outlineLevel="2">
      <c r="A1078" s="884" t="s">
        <v>2405</v>
      </c>
      <c r="B1078" s="1050">
        <v>112120611040</v>
      </c>
      <c r="C1078" s="885" t="s">
        <v>304</v>
      </c>
      <c r="D1078" s="884"/>
      <c r="E1078" s="884" t="s">
        <v>407</v>
      </c>
      <c r="F1078" s="884" t="s">
        <v>2418</v>
      </c>
      <c r="G1078" s="884" t="s">
        <v>6819</v>
      </c>
      <c r="H1078" s="886">
        <v>42401</v>
      </c>
      <c r="I1078" s="887">
        <v>42467</v>
      </c>
      <c r="J1078" s="958">
        <v>1183.96</v>
      </c>
    </row>
    <row r="1079" spans="1:10" s="84" customFormat="1" outlineLevel="2">
      <c r="A1079" s="884" t="s">
        <v>2643</v>
      </c>
      <c r="B1079" s="1050">
        <v>112120612060</v>
      </c>
      <c r="C1079" s="885" t="s">
        <v>304</v>
      </c>
      <c r="D1079" s="884"/>
      <c r="E1079" s="884" t="s">
        <v>2457</v>
      </c>
      <c r="F1079" s="884" t="s">
        <v>2458</v>
      </c>
      <c r="G1079" s="884" t="s">
        <v>6853</v>
      </c>
      <c r="H1079" s="886">
        <v>42430</v>
      </c>
      <c r="I1079" s="887">
        <v>42474</v>
      </c>
      <c r="J1079" s="958">
        <v>30.64</v>
      </c>
    </row>
    <row r="1080" spans="1:10" s="84" customFormat="1" outlineLevel="2">
      <c r="A1080" s="884" t="s">
        <v>2405</v>
      </c>
      <c r="B1080" s="1050">
        <v>112120611040</v>
      </c>
      <c r="C1080" s="885" t="s">
        <v>304</v>
      </c>
      <c r="D1080" s="884"/>
      <c r="E1080" s="884" t="s">
        <v>409</v>
      </c>
      <c r="F1080" s="884" t="s">
        <v>2418</v>
      </c>
      <c r="G1080" s="884" t="s">
        <v>6771</v>
      </c>
      <c r="H1080" s="886">
        <v>42401</v>
      </c>
      <c r="I1080" s="887">
        <v>42475</v>
      </c>
      <c r="J1080" s="958">
        <v>1752.27</v>
      </c>
    </row>
    <row r="1081" spans="1:10" s="84" customFormat="1" outlineLevel="2">
      <c r="A1081" s="884" t="s">
        <v>2405</v>
      </c>
      <c r="B1081" s="1050" t="s">
        <v>7732</v>
      </c>
      <c r="C1081" s="885" t="s">
        <v>304</v>
      </c>
      <c r="D1081" s="884"/>
      <c r="E1081" s="884" t="s">
        <v>2352</v>
      </c>
      <c r="F1081" s="884" t="s">
        <v>7342</v>
      </c>
      <c r="G1081" s="884" t="s">
        <v>7343</v>
      </c>
      <c r="H1081" s="886">
        <v>42401</v>
      </c>
      <c r="I1081" s="887">
        <v>42475</v>
      </c>
      <c r="J1081" s="958">
        <v>67.19</v>
      </c>
    </row>
    <row r="1082" spans="1:10" s="84" customFormat="1" outlineLevel="2">
      <c r="A1082" s="884" t="s">
        <v>2405</v>
      </c>
      <c r="B1082" s="1050" t="s">
        <v>7732</v>
      </c>
      <c r="C1082" s="885" t="s">
        <v>304</v>
      </c>
      <c r="D1082" s="884"/>
      <c r="E1082" s="884" t="s">
        <v>2352</v>
      </c>
      <c r="F1082" s="884" t="s">
        <v>7344</v>
      </c>
      <c r="G1082" s="884" t="s">
        <v>7345</v>
      </c>
      <c r="H1082" s="886">
        <v>42401</v>
      </c>
      <c r="I1082" s="887">
        <v>42475</v>
      </c>
      <c r="J1082" s="958">
        <v>65.42</v>
      </c>
    </row>
    <row r="1083" spans="1:10" s="84" customFormat="1" outlineLevel="2">
      <c r="A1083" s="884" t="s">
        <v>2405</v>
      </c>
      <c r="B1083" s="1050" t="s">
        <v>7732</v>
      </c>
      <c r="C1083" s="885" t="s">
        <v>304</v>
      </c>
      <c r="D1083" s="884"/>
      <c r="E1083" s="884" t="s">
        <v>2352</v>
      </c>
      <c r="F1083" s="884" t="s">
        <v>7346</v>
      </c>
      <c r="G1083" s="884" t="s">
        <v>7347</v>
      </c>
      <c r="H1083" s="886">
        <v>42401</v>
      </c>
      <c r="I1083" s="887">
        <v>42475</v>
      </c>
      <c r="J1083" s="958">
        <v>44.21</v>
      </c>
    </row>
    <row r="1084" spans="1:10" s="84" customFormat="1" outlineLevel="2">
      <c r="A1084" s="884" t="s">
        <v>2405</v>
      </c>
      <c r="B1084" s="1050">
        <v>112120611040</v>
      </c>
      <c r="C1084" s="885" t="s">
        <v>304</v>
      </c>
      <c r="D1084" s="884"/>
      <c r="E1084" s="884" t="s">
        <v>408</v>
      </c>
      <c r="F1084" s="884" t="s">
        <v>2418</v>
      </c>
      <c r="G1084" s="884" t="s">
        <v>6872</v>
      </c>
      <c r="H1084" s="886">
        <v>42370</v>
      </c>
      <c r="I1084" s="887">
        <v>42478</v>
      </c>
      <c r="J1084" s="958">
        <v>1851.6</v>
      </c>
    </row>
    <row r="1085" spans="1:10" s="84" customFormat="1" outlineLevel="2">
      <c r="A1085" s="884" t="s">
        <v>2405</v>
      </c>
      <c r="B1085" s="1050" t="s">
        <v>7732</v>
      </c>
      <c r="C1085" s="885" t="s">
        <v>304</v>
      </c>
      <c r="D1085" s="884"/>
      <c r="E1085" s="884" t="s">
        <v>2336</v>
      </c>
      <c r="F1085" s="884" t="s">
        <v>7180</v>
      </c>
      <c r="G1085" s="884" t="s">
        <v>7181</v>
      </c>
      <c r="H1085" s="886">
        <v>42401</v>
      </c>
      <c r="I1085" s="887">
        <v>42480</v>
      </c>
      <c r="J1085" s="958">
        <v>246.37</v>
      </c>
    </row>
    <row r="1086" spans="1:10" s="84" customFormat="1" outlineLevel="2">
      <c r="A1086" s="884" t="s">
        <v>2405</v>
      </c>
      <c r="B1086" s="1050" t="s">
        <v>7732</v>
      </c>
      <c r="C1086" s="885" t="s">
        <v>304</v>
      </c>
      <c r="D1086" s="884"/>
      <c r="E1086" s="884" t="s">
        <v>2336</v>
      </c>
      <c r="F1086" s="884" t="s">
        <v>7184</v>
      </c>
      <c r="G1086" s="884" t="s">
        <v>7185</v>
      </c>
      <c r="H1086" s="886">
        <v>42401</v>
      </c>
      <c r="I1086" s="887">
        <v>42480</v>
      </c>
      <c r="J1086" s="958">
        <v>162.09</v>
      </c>
    </row>
    <row r="1087" spans="1:10" s="84" customFormat="1" outlineLevel="2">
      <c r="A1087" s="884" t="s">
        <v>2405</v>
      </c>
      <c r="B1087" s="1050" t="s">
        <v>7732</v>
      </c>
      <c r="C1087" s="885" t="s">
        <v>304</v>
      </c>
      <c r="D1087" s="884"/>
      <c r="E1087" s="884" t="s">
        <v>2336</v>
      </c>
      <c r="F1087" s="884" t="s">
        <v>7182</v>
      </c>
      <c r="G1087" s="884" t="s">
        <v>7183</v>
      </c>
      <c r="H1087" s="886">
        <v>42401</v>
      </c>
      <c r="I1087" s="887">
        <v>42480</v>
      </c>
      <c r="J1087" s="958">
        <v>239.89</v>
      </c>
    </row>
    <row r="1088" spans="1:10" s="84" customFormat="1" outlineLevel="2">
      <c r="A1088" s="884" t="s">
        <v>2405</v>
      </c>
      <c r="B1088" s="1050" t="s">
        <v>7732</v>
      </c>
      <c r="C1088" s="885" t="s">
        <v>304</v>
      </c>
      <c r="D1088" s="884"/>
      <c r="E1088" s="884" t="s">
        <v>1909</v>
      </c>
      <c r="F1088" s="884" t="s">
        <v>7406</v>
      </c>
      <c r="G1088" s="884" t="s">
        <v>7407</v>
      </c>
      <c r="H1088" s="886">
        <v>42401</v>
      </c>
      <c r="I1088" s="887">
        <v>42480</v>
      </c>
      <c r="J1088" s="958">
        <v>22.4</v>
      </c>
    </row>
    <row r="1089" spans="1:10" s="84" customFormat="1" outlineLevel="2">
      <c r="A1089" s="884" t="s">
        <v>2405</v>
      </c>
      <c r="B1089" s="1050" t="s">
        <v>7732</v>
      </c>
      <c r="C1089" s="885" t="s">
        <v>304</v>
      </c>
      <c r="D1089" s="884"/>
      <c r="E1089" s="884" t="s">
        <v>1909</v>
      </c>
      <c r="F1089" s="884" t="s">
        <v>7474</v>
      </c>
      <c r="G1089" s="884" t="s">
        <v>7475</v>
      </c>
      <c r="H1089" s="886">
        <v>42401</v>
      </c>
      <c r="I1089" s="887">
        <v>42480</v>
      </c>
      <c r="J1089" s="958">
        <v>14.74</v>
      </c>
    </row>
    <row r="1090" spans="1:10" s="84" customFormat="1" outlineLevel="2">
      <c r="A1090" s="884" t="s">
        <v>2405</v>
      </c>
      <c r="B1090" s="1050" t="s">
        <v>7732</v>
      </c>
      <c r="C1090" s="885" t="s">
        <v>304</v>
      </c>
      <c r="D1090" s="884"/>
      <c r="E1090" s="884" t="s">
        <v>1909</v>
      </c>
      <c r="F1090" s="884" t="s">
        <v>7536</v>
      </c>
      <c r="G1090" s="884" t="s">
        <v>7537</v>
      </c>
      <c r="H1090" s="886">
        <v>42401</v>
      </c>
      <c r="I1090" s="887">
        <v>42480</v>
      </c>
      <c r="J1090" s="958">
        <v>21.81</v>
      </c>
    </row>
    <row r="1091" spans="1:10" s="84" customFormat="1" outlineLevel="2">
      <c r="A1091" s="884" t="s">
        <v>2405</v>
      </c>
      <c r="B1091" s="1050" t="s">
        <v>7732</v>
      </c>
      <c r="C1091" s="885" t="s">
        <v>304</v>
      </c>
      <c r="D1091" s="884"/>
      <c r="E1091" s="884" t="s">
        <v>1909</v>
      </c>
      <c r="F1091" s="884" t="s">
        <v>7606</v>
      </c>
      <c r="G1091" s="884" t="s">
        <v>7607</v>
      </c>
      <c r="H1091" s="886">
        <v>42370</v>
      </c>
      <c r="I1091" s="887">
        <v>42480</v>
      </c>
      <c r="J1091" s="958">
        <v>70.5</v>
      </c>
    </row>
    <row r="1092" spans="1:10" s="84" customFormat="1" outlineLevel="2">
      <c r="A1092" s="884" t="s">
        <v>2405</v>
      </c>
      <c r="B1092" s="1050" t="s">
        <v>7732</v>
      </c>
      <c r="C1092" s="885" t="s">
        <v>304</v>
      </c>
      <c r="D1092" s="884"/>
      <c r="E1092" s="884" t="s">
        <v>1909</v>
      </c>
      <c r="F1092" s="884" t="s">
        <v>7670</v>
      </c>
      <c r="G1092" s="884" t="s">
        <v>7671</v>
      </c>
      <c r="H1092" s="886">
        <v>42370</v>
      </c>
      <c r="I1092" s="887">
        <v>42480</v>
      </c>
      <c r="J1092" s="958">
        <v>104.34</v>
      </c>
    </row>
    <row r="1093" spans="1:10" s="84" customFormat="1" outlineLevel="2">
      <c r="A1093" s="884" t="s">
        <v>2643</v>
      </c>
      <c r="B1093" s="1050">
        <v>112120612060</v>
      </c>
      <c r="C1093" s="885" t="s">
        <v>304</v>
      </c>
      <c r="D1093" s="884"/>
      <c r="E1093" s="884" t="s">
        <v>2457</v>
      </c>
      <c r="F1093" s="884" t="s">
        <v>2458</v>
      </c>
      <c r="G1093" s="884" t="s">
        <v>6866</v>
      </c>
      <c r="H1093" s="886">
        <v>42430</v>
      </c>
      <c r="I1093" s="887">
        <v>42487</v>
      </c>
      <c r="J1093" s="958">
        <v>42.89</v>
      </c>
    </row>
    <row r="1094" spans="1:10" s="84" customFormat="1" outlineLevel="2">
      <c r="A1094" s="884" t="s">
        <v>2643</v>
      </c>
      <c r="B1094" s="1050">
        <v>112120612060</v>
      </c>
      <c r="C1094" s="885" t="s">
        <v>304</v>
      </c>
      <c r="D1094" s="884"/>
      <c r="E1094" s="884" t="s">
        <v>2457</v>
      </c>
      <c r="F1094" s="884" t="s">
        <v>2458</v>
      </c>
      <c r="G1094" s="884" t="s">
        <v>6867</v>
      </c>
      <c r="H1094" s="886">
        <v>42430</v>
      </c>
      <c r="I1094" s="887">
        <v>42489</v>
      </c>
      <c r="J1094" s="958">
        <v>43.77</v>
      </c>
    </row>
    <row r="1095" spans="1:10" s="84" customFormat="1" outlineLevel="1">
      <c r="A1095" s="884"/>
      <c r="B1095" s="1050"/>
      <c r="C1095" s="908" t="s">
        <v>304</v>
      </c>
      <c r="D1095" s="928" t="str">
        <f>VLOOKUP(C1095,$C$1102:$E$1189,3,FALSE)</f>
        <v>TOTAL POUPATEMPO SÃO JOSÉ DO RIO PRETO</v>
      </c>
      <c r="E1095" s="928"/>
      <c r="F1095" s="928"/>
      <c r="G1095" s="928"/>
      <c r="H1095" s="911"/>
      <c r="I1095" s="912"/>
      <c r="J1095" s="966">
        <f>SUBTOTAL(9,J1077:J1094)</f>
        <v>6001.3000000000011</v>
      </c>
    </row>
    <row r="1096" spans="1:10" s="84" customFormat="1" outlineLevel="1">
      <c r="A1096" s="460"/>
      <c r="B1096" s="578"/>
      <c r="C1096" s="734"/>
      <c r="D1096" s="924"/>
      <c r="E1096" s="924"/>
      <c r="F1096" s="924"/>
      <c r="G1096" s="924"/>
      <c r="H1096" s="737"/>
      <c r="I1096" s="738"/>
      <c r="J1096" s="1053"/>
    </row>
    <row r="1097" spans="1:10" s="84" customFormat="1">
      <c r="A1097" s="884"/>
      <c r="B1097" s="1050"/>
      <c r="C1097" s="931" t="s">
        <v>134</v>
      </c>
      <c r="D1097" s="928"/>
      <c r="E1097" s="928"/>
      <c r="F1097" s="928"/>
      <c r="G1097" s="928"/>
      <c r="H1097" s="911"/>
      <c r="I1097" s="912"/>
      <c r="J1097" s="966">
        <f>SUBTOTAL(9,J6:J1094)</f>
        <v>659303.09999999974</v>
      </c>
    </row>
    <row r="1098" spans="1:10" s="84" customFormat="1">
      <c r="A1098" s="1044"/>
      <c r="B1098" s="1051"/>
      <c r="C1098" s="1045"/>
      <c r="D1098" s="768"/>
      <c r="E1098" s="1045"/>
      <c r="F1098" s="1044"/>
      <c r="G1098" s="768"/>
      <c r="H1098" s="1046"/>
      <c r="I1098" s="1047"/>
      <c r="J1098" s="1048"/>
    </row>
    <row r="1099" spans="1:10" s="84" customFormat="1">
      <c r="A1099" s="878"/>
      <c r="B1099" s="879"/>
      <c r="C1099" s="923"/>
      <c r="D1099" s="924"/>
      <c r="E1099" s="925"/>
      <c r="F1099" s="925"/>
      <c r="G1099" s="925"/>
      <c r="H1099" s="926"/>
      <c r="I1099" s="927"/>
      <c r="J1099" s="932"/>
    </row>
    <row r="1100" spans="1:10">
      <c r="E1100" s="1124"/>
      <c r="F1100" s="1124"/>
      <c r="G1100" s="1125"/>
      <c r="H1100" s="1126"/>
      <c r="I1100" s="1127"/>
    </row>
    <row r="1101" spans="1:10">
      <c r="H1101" s="871"/>
    </row>
    <row r="1102" spans="1:10" hidden="1">
      <c r="C1102" s="567" t="s">
        <v>267</v>
      </c>
      <c r="D1102" s="872"/>
      <c r="E1102" s="725" t="s">
        <v>127</v>
      </c>
      <c r="F1102" s="751"/>
      <c r="G1102" s="770"/>
    </row>
    <row r="1103" spans="1:10" hidden="1">
      <c r="C1103" s="567" t="s">
        <v>268</v>
      </c>
      <c r="D1103" s="872"/>
      <c r="E1103" s="725" t="s">
        <v>128</v>
      </c>
      <c r="F1103" s="751"/>
      <c r="G1103" s="770"/>
    </row>
    <row r="1104" spans="1:10" hidden="1">
      <c r="C1104" s="567" t="s">
        <v>305</v>
      </c>
      <c r="D1104" s="872"/>
      <c r="E1104" s="725" t="s">
        <v>129</v>
      </c>
      <c r="F1104" s="751"/>
      <c r="G1104" s="770"/>
    </row>
    <row r="1105" spans="3:7" hidden="1">
      <c r="C1105" s="567" t="s">
        <v>306</v>
      </c>
      <c r="D1105" s="872"/>
      <c r="E1105" s="725" t="s">
        <v>130</v>
      </c>
      <c r="F1105" s="751"/>
      <c r="G1105" s="770"/>
    </row>
    <row r="1106" spans="3:7" hidden="1">
      <c r="C1106" s="567" t="s">
        <v>269</v>
      </c>
      <c r="D1106" s="872"/>
      <c r="E1106" s="725" t="s">
        <v>131</v>
      </c>
      <c r="F1106" s="751"/>
      <c r="G1106" s="770"/>
    </row>
    <row r="1107" spans="3:7" hidden="1">
      <c r="C1107" s="567" t="s">
        <v>270</v>
      </c>
      <c r="D1107" s="872"/>
      <c r="E1107" s="725" t="s">
        <v>132</v>
      </c>
      <c r="F1107" s="751"/>
      <c r="G1107" s="770"/>
    </row>
    <row r="1108" spans="3:7" hidden="1">
      <c r="C1108" s="567" t="s">
        <v>271</v>
      </c>
      <c r="D1108" s="872"/>
      <c r="E1108" s="725" t="s">
        <v>133</v>
      </c>
      <c r="F1108" s="751"/>
      <c r="G1108" s="770"/>
    </row>
    <row r="1109" spans="3:7" hidden="1">
      <c r="C1109" s="567" t="s">
        <v>272</v>
      </c>
      <c r="D1109" s="872"/>
      <c r="E1109" s="725" t="s">
        <v>185</v>
      </c>
      <c r="F1109" s="751"/>
      <c r="G1109" s="770"/>
    </row>
    <row r="1110" spans="3:7" hidden="1">
      <c r="C1110" s="567" t="s">
        <v>273</v>
      </c>
      <c r="D1110" s="872"/>
      <c r="E1110" s="725" t="s">
        <v>187</v>
      </c>
      <c r="F1110" s="751"/>
      <c r="G1110" s="770"/>
    </row>
    <row r="1111" spans="3:7" hidden="1">
      <c r="C1111" s="567" t="s">
        <v>274</v>
      </c>
      <c r="D1111" s="872"/>
      <c r="E1111" s="725" t="s">
        <v>189</v>
      </c>
      <c r="F1111" s="751"/>
      <c r="G1111" s="770"/>
    </row>
    <row r="1112" spans="3:7" hidden="1">
      <c r="C1112" s="567" t="s">
        <v>275</v>
      </c>
      <c r="D1112" s="872"/>
      <c r="E1112" s="725" t="s">
        <v>191</v>
      </c>
      <c r="F1112" s="751"/>
      <c r="G1112" s="770"/>
    </row>
    <row r="1113" spans="3:7" hidden="1">
      <c r="C1113" s="567" t="s">
        <v>276</v>
      </c>
      <c r="D1113" s="872"/>
      <c r="E1113" s="725" t="s">
        <v>193</v>
      </c>
      <c r="F1113" s="751"/>
      <c r="G1113" s="770"/>
    </row>
    <row r="1114" spans="3:7" hidden="1">
      <c r="C1114" s="567" t="s">
        <v>277</v>
      </c>
      <c r="D1114" s="872"/>
      <c r="E1114" s="725" t="s">
        <v>195</v>
      </c>
      <c r="F1114" s="751"/>
      <c r="G1114" s="770"/>
    </row>
    <row r="1115" spans="3:7" hidden="1">
      <c r="C1115" s="567" t="s">
        <v>278</v>
      </c>
      <c r="D1115" s="872"/>
      <c r="E1115" s="725" t="s">
        <v>197</v>
      </c>
      <c r="F1115" s="751"/>
      <c r="G1115" s="770"/>
    </row>
    <row r="1116" spans="3:7" hidden="1">
      <c r="C1116" s="567" t="s">
        <v>279</v>
      </c>
      <c r="D1116" s="872"/>
      <c r="E1116" s="725" t="s">
        <v>125</v>
      </c>
      <c r="F1116" s="751"/>
      <c r="G1116" s="770"/>
    </row>
    <row r="1117" spans="3:7" hidden="1">
      <c r="C1117" s="567" t="s">
        <v>280</v>
      </c>
      <c r="D1117" s="872"/>
      <c r="E1117" s="725" t="s">
        <v>126</v>
      </c>
      <c r="F1117" s="751"/>
      <c r="G1117" s="770"/>
    </row>
    <row r="1118" spans="3:7" hidden="1">
      <c r="C1118" s="567" t="s">
        <v>307</v>
      </c>
      <c r="D1118" s="872"/>
      <c r="E1118" s="725" t="s">
        <v>124</v>
      </c>
      <c r="F1118" s="751"/>
      <c r="G1118" s="770"/>
    </row>
    <row r="1119" spans="3:7" hidden="1">
      <c r="C1119" s="567" t="s">
        <v>281</v>
      </c>
      <c r="D1119" s="872"/>
      <c r="E1119" s="725" t="s">
        <v>168</v>
      </c>
      <c r="F1119" s="751"/>
      <c r="G1119" s="770"/>
    </row>
    <row r="1120" spans="3:7" hidden="1">
      <c r="C1120" s="567" t="s">
        <v>282</v>
      </c>
      <c r="D1120" s="872"/>
      <c r="E1120" s="725" t="s">
        <v>165</v>
      </c>
      <c r="F1120" s="751"/>
      <c r="G1120" s="770"/>
    </row>
    <row r="1121" spans="3:7" hidden="1">
      <c r="C1121" s="567" t="s">
        <v>283</v>
      </c>
      <c r="D1121" s="872"/>
      <c r="E1121" s="725" t="s">
        <v>2520</v>
      </c>
      <c r="F1121" s="751"/>
      <c r="G1121" s="770"/>
    </row>
    <row r="1122" spans="3:7" hidden="1">
      <c r="C1122" s="567" t="s">
        <v>285</v>
      </c>
      <c r="D1122" s="872"/>
      <c r="E1122" s="725" t="s">
        <v>164</v>
      </c>
      <c r="F1122" s="751"/>
      <c r="G1122" s="770"/>
    </row>
    <row r="1123" spans="3:7" hidden="1">
      <c r="C1123" s="567" t="s">
        <v>286</v>
      </c>
      <c r="D1123" s="872"/>
      <c r="E1123" s="725" t="s">
        <v>160</v>
      </c>
      <c r="F1123" s="751"/>
      <c r="G1123" s="770"/>
    </row>
    <row r="1124" spans="3:7" hidden="1">
      <c r="C1124" s="567" t="s">
        <v>287</v>
      </c>
      <c r="D1124" s="872"/>
      <c r="E1124" s="725" t="s">
        <v>167</v>
      </c>
      <c r="F1124" s="751"/>
      <c r="G1124" s="770"/>
    </row>
    <row r="1125" spans="3:7" hidden="1">
      <c r="C1125" s="567" t="s">
        <v>288</v>
      </c>
      <c r="D1125" s="872"/>
      <c r="E1125" s="725" t="s">
        <v>171</v>
      </c>
      <c r="F1125" s="751"/>
      <c r="G1125" s="770"/>
    </row>
    <row r="1126" spans="3:7" hidden="1">
      <c r="C1126" s="567" t="s">
        <v>289</v>
      </c>
      <c r="D1126" s="872"/>
      <c r="E1126" s="725" t="s">
        <v>172</v>
      </c>
      <c r="F1126" s="751"/>
      <c r="G1126" s="770"/>
    </row>
    <row r="1127" spans="3:7" hidden="1">
      <c r="C1127" s="567" t="s">
        <v>290</v>
      </c>
      <c r="D1127" s="872"/>
      <c r="E1127" s="725" t="s">
        <v>163</v>
      </c>
      <c r="F1127" s="751"/>
      <c r="G1127" s="770"/>
    </row>
    <row r="1128" spans="3:7" hidden="1">
      <c r="C1128" s="567" t="s">
        <v>291</v>
      </c>
      <c r="D1128" s="872"/>
      <c r="E1128" s="725" t="s">
        <v>169</v>
      </c>
      <c r="F1128" s="751"/>
      <c r="G1128" s="770"/>
    </row>
    <row r="1129" spans="3:7" hidden="1">
      <c r="C1129" s="567" t="s">
        <v>292</v>
      </c>
      <c r="D1129" s="872"/>
      <c r="E1129" s="725" t="s">
        <v>162</v>
      </c>
      <c r="F1129" s="751"/>
      <c r="G1129" s="770"/>
    </row>
    <row r="1130" spans="3:7" hidden="1">
      <c r="C1130" s="567" t="s">
        <v>293</v>
      </c>
      <c r="D1130" s="872"/>
      <c r="E1130" s="725" t="s">
        <v>166</v>
      </c>
      <c r="F1130" s="751"/>
      <c r="G1130" s="770"/>
    </row>
    <row r="1131" spans="3:7" hidden="1">
      <c r="C1131" s="567" t="s">
        <v>294</v>
      </c>
      <c r="D1131" s="872"/>
      <c r="E1131" s="725" t="s">
        <v>161</v>
      </c>
      <c r="F1131" s="751"/>
      <c r="G1131" s="770"/>
    </row>
    <row r="1132" spans="3:7" hidden="1">
      <c r="C1132" s="567" t="s">
        <v>308</v>
      </c>
      <c r="D1132" s="872"/>
      <c r="E1132" s="725" t="s">
        <v>2521</v>
      </c>
      <c r="F1132" s="751"/>
      <c r="G1132" s="770"/>
    </row>
    <row r="1133" spans="3:7" hidden="1">
      <c r="C1133" s="567" t="s">
        <v>309</v>
      </c>
      <c r="D1133" s="872"/>
      <c r="E1133" s="725" t="s">
        <v>2522</v>
      </c>
      <c r="F1133" s="751"/>
      <c r="G1133" s="770"/>
    </row>
    <row r="1134" spans="3:7" hidden="1">
      <c r="C1134" s="567" t="s">
        <v>310</v>
      </c>
      <c r="D1134" s="872"/>
      <c r="E1134" s="725" t="s">
        <v>2523</v>
      </c>
      <c r="F1134" s="751"/>
      <c r="G1134" s="770"/>
    </row>
    <row r="1135" spans="3:7" hidden="1">
      <c r="C1135" s="567" t="s">
        <v>311</v>
      </c>
      <c r="D1135" s="872"/>
      <c r="E1135" s="725" t="s">
        <v>2524</v>
      </c>
      <c r="F1135" s="751"/>
      <c r="G1135" s="770"/>
    </row>
    <row r="1136" spans="3:7" hidden="1">
      <c r="C1136" s="567" t="s">
        <v>312</v>
      </c>
      <c r="D1136" s="872"/>
      <c r="E1136" s="725" t="s">
        <v>2525</v>
      </c>
      <c r="F1136" s="751"/>
      <c r="G1136" s="770"/>
    </row>
    <row r="1137" spans="3:7" hidden="1">
      <c r="C1137" s="567" t="s">
        <v>313</v>
      </c>
      <c r="D1137" s="872"/>
      <c r="E1137" s="725" t="s">
        <v>2526</v>
      </c>
      <c r="F1137" s="751"/>
      <c r="G1137" s="770"/>
    </row>
    <row r="1138" spans="3:7" hidden="1">
      <c r="C1138" s="567" t="s">
        <v>295</v>
      </c>
      <c r="D1138" s="872"/>
      <c r="E1138" s="725" t="s">
        <v>159</v>
      </c>
      <c r="F1138" s="751"/>
      <c r="G1138" s="770"/>
    </row>
    <row r="1139" spans="3:7" hidden="1">
      <c r="C1139" s="567" t="s">
        <v>296</v>
      </c>
      <c r="D1139" s="872"/>
      <c r="E1139" s="725" t="s">
        <v>218</v>
      </c>
      <c r="F1139" s="751"/>
      <c r="G1139" s="770"/>
    </row>
    <row r="1140" spans="3:7" hidden="1">
      <c r="C1140" s="567" t="s">
        <v>314</v>
      </c>
      <c r="D1140" s="872"/>
      <c r="E1140" s="725" t="s">
        <v>315</v>
      </c>
      <c r="F1140" s="751"/>
      <c r="G1140" s="770"/>
    </row>
    <row r="1141" spans="3:7" hidden="1">
      <c r="C1141" s="567" t="s">
        <v>316</v>
      </c>
      <c r="D1141" s="872"/>
      <c r="E1141" s="725" t="s">
        <v>2527</v>
      </c>
      <c r="F1141" s="751"/>
      <c r="G1141" s="770"/>
    </row>
    <row r="1142" spans="3:7" hidden="1">
      <c r="C1142" s="567" t="s">
        <v>317</v>
      </c>
      <c r="D1142" s="872"/>
      <c r="E1142" s="725" t="s">
        <v>2528</v>
      </c>
      <c r="F1142" s="751"/>
      <c r="G1142" s="770"/>
    </row>
    <row r="1143" spans="3:7" hidden="1">
      <c r="C1143" s="567" t="s">
        <v>2460</v>
      </c>
      <c r="D1143" s="872"/>
      <c r="E1143" s="725" t="s">
        <v>2570</v>
      </c>
      <c r="F1143" s="751"/>
      <c r="G1143" s="770"/>
    </row>
    <row r="1144" spans="3:7" hidden="1">
      <c r="C1144" s="567" t="s">
        <v>318</v>
      </c>
      <c r="D1144" s="872"/>
      <c r="E1144" s="725" t="s">
        <v>2529</v>
      </c>
      <c r="F1144" s="751"/>
      <c r="G1144" s="770"/>
    </row>
    <row r="1145" spans="3:7" hidden="1">
      <c r="C1145" s="567" t="s">
        <v>319</v>
      </c>
      <c r="D1145" s="872"/>
      <c r="E1145" s="725" t="s">
        <v>2530</v>
      </c>
      <c r="F1145" s="751"/>
      <c r="G1145" s="770"/>
    </row>
    <row r="1146" spans="3:7" hidden="1">
      <c r="C1146" s="567" t="s">
        <v>297</v>
      </c>
      <c r="D1146" s="872"/>
      <c r="E1146" s="725" t="s">
        <v>2531</v>
      </c>
      <c r="F1146" s="751"/>
      <c r="G1146" s="770"/>
    </row>
    <row r="1147" spans="3:7" hidden="1">
      <c r="C1147" s="567" t="s">
        <v>320</v>
      </c>
      <c r="D1147" s="872"/>
      <c r="E1147" s="725" t="s">
        <v>2532</v>
      </c>
      <c r="F1147" s="751"/>
      <c r="G1147" s="770"/>
    </row>
    <row r="1148" spans="3:7" hidden="1">
      <c r="C1148" s="567" t="s">
        <v>321</v>
      </c>
      <c r="D1148" s="872"/>
      <c r="E1148" s="725" t="s">
        <v>2533</v>
      </c>
      <c r="F1148" s="751"/>
      <c r="G1148" s="770"/>
    </row>
    <row r="1149" spans="3:7" hidden="1">
      <c r="C1149" s="567" t="s">
        <v>322</v>
      </c>
      <c r="D1149" s="872"/>
      <c r="E1149" s="725" t="s">
        <v>2534</v>
      </c>
      <c r="F1149" s="751"/>
      <c r="G1149" s="770"/>
    </row>
    <row r="1150" spans="3:7" hidden="1">
      <c r="C1150" s="567" t="s">
        <v>323</v>
      </c>
      <c r="D1150" s="872"/>
      <c r="E1150" s="725" t="s">
        <v>2535</v>
      </c>
      <c r="F1150" s="751"/>
      <c r="G1150" s="770"/>
    </row>
    <row r="1151" spans="3:7" hidden="1">
      <c r="C1151" s="567" t="s">
        <v>324</v>
      </c>
      <c r="D1151" s="872"/>
      <c r="E1151" s="725" t="s">
        <v>2536</v>
      </c>
      <c r="F1151" s="751"/>
      <c r="G1151" s="770"/>
    </row>
    <row r="1152" spans="3:7" hidden="1">
      <c r="C1152" s="567" t="s">
        <v>325</v>
      </c>
      <c r="D1152" s="872"/>
      <c r="E1152" s="725" t="s">
        <v>2537</v>
      </c>
      <c r="F1152" s="751"/>
      <c r="G1152" s="770"/>
    </row>
    <row r="1153" spans="3:7" hidden="1">
      <c r="C1153" s="567" t="s">
        <v>326</v>
      </c>
      <c r="D1153" s="872"/>
      <c r="E1153" s="725" t="s">
        <v>2538</v>
      </c>
      <c r="F1153" s="751"/>
      <c r="G1153" s="770"/>
    </row>
    <row r="1154" spans="3:7" hidden="1">
      <c r="C1154" s="567" t="s">
        <v>327</v>
      </c>
      <c r="D1154" s="872"/>
      <c r="E1154" s="725" t="s">
        <v>2539</v>
      </c>
      <c r="F1154" s="751"/>
      <c r="G1154" s="770"/>
    </row>
    <row r="1155" spans="3:7" hidden="1">
      <c r="C1155" s="567" t="s">
        <v>328</v>
      </c>
      <c r="D1155" s="872"/>
      <c r="E1155" s="725" t="s">
        <v>2540</v>
      </c>
      <c r="F1155" s="751"/>
      <c r="G1155" s="770"/>
    </row>
    <row r="1156" spans="3:7" hidden="1">
      <c r="C1156" s="567" t="s">
        <v>329</v>
      </c>
      <c r="D1156" s="872"/>
      <c r="E1156" s="725" t="s">
        <v>2541</v>
      </c>
      <c r="F1156" s="751"/>
      <c r="G1156" s="770"/>
    </row>
    <row r="1157" spans="3:7" hidden="1">
      <c r="C1157" s="567" t="s">
        <v>330</v>
      </c>
      <c r="D1157" s="872"/>
      <c r="E1157" s="725" t="s">
        <v>2542</v>
      </c>
      <c r="F1157" s="751"/>
      <c r="G1157" s="770"/>
    </row>
    <row r="1158" spans="3:7" hidden="1">
      <c r="C1158" s="567" t="s">
        <v>1822</v>
      </c>
      <c r="D1158" s="872"/>
      <c r="E1158" s="725" t="s">
        <v>2543</v>
      </c>
      <c r="F1158" s="751"/>
      <c r="G1158" s="770"/>
    </row>
    <row r="1159" spans="3:7" hidden="1">
      <c r="C1159" s="567" t="s">
        <v>1821</v>
      </c>
      <c r="D1159" s="872"/>
      <c r="E1159" s="725" t="s">
        <v>2544</v>
      </c>
      <c r="F1159" s="751"/>
      <c r="G1159" s="770"/>
    </row>
    <row r="1160" spans="3:7" hidden="1">
      <c r="C1160" s="567" t="s">
        <v>331</v>
      </c>
      <c r="D1160" s="872"/>
      <c r="E1160" s="725" t="s">
        <v>2545</v>
      </c>
      <c r="F1160" s="751"/>
      <c r="G1160" s="770"/>
    </row>
    <row r="1161" spans="3:7" hidden="1">
      <c r="C1161" s="567" t="s">
        <v>332</v>
      </c>
      <c r="D1161" s="872"/>
      <c r="E1161" s="725" t="s">
        <v>2546</v>
      </c>
      <c r="F1161" s="751"/>
      <c r="G1161" s="770"/>
    </row>
    <row r="1162" spans="3:7" hidden="1">
      <c r="C1162" s="567" t="s">
        <v>333</v>
      </c>
      <c r="D1162" s="872"/>
      <c r="E1162" s="725" t="s">
        <v>2547</v>
      </c>
      <c r="F1162" s="751"/>
      <c r="G1162" s="770"/>
    </row>
    <row r="1163" spans="3:7" hidden="1">
      <c r="C1163" s="567" t="s">
        <v>334</v>
      </c>
      <c r="D1163" s="872"/>
      <c r="E1163" s="725" t="s">
        <v>2548</v>
      </c>
      <c r="F1163" s="751"/>
      <c r="G1163" s="770"/>
    </row>
    <row r="1164" spans="3:7" hidden="1">
      <c r="C1164" s="567" t="s">
        <v>335</v>
      </c>
      <c r="D1164" s="872"/>
      <c r="E1164" s="725" t="s">
        <v>2549</v>
      </c>
      <c r="F1164" s="751"/>
      <c r="G1164" s="770"/>
    </row>
    <row r="1165" spans="3:7" hidden="1">
      <c r="C1165" s="567" t="s">
        <v>336</v>
      </c>
      <c r="D1165" s="872"/>
      <c r="E1165" s="725" t="s">
        <v>2550</v>
      </c>
      <c r="F1165" s="751"/>
      <c r="G1165" s="770"/>
    </row>
    <row r="1166" spans="3:7" hidden="1">
      <c r="C1166" s="567" t="s">
        <v>298</v>
      </c>
      <c r="D1166" s="872"/>
      <c r="E1166" s="725" t="s">
        <v>2551</v>
      </c>
      <c r="F1166" s="751"/>
      <c r="G1166" s="770"/>
    </row>
    <row r="1167" spans="3:7" hidden="1">
      <c r="C1167" s="567" t="s">
        <v>337</v>
      </c>
      <c r="D1167" s="872"/>
      <c r="E1167" s="725" t="s">
        <v>2552</v>
      </c>
      <c r="F1167" s="751"/>
      <c r="G1167" s="770"/>
    </row>
    <row r="1168" spans="3:7" hidden="1">
      <c r="C1168" s="567" t="s">
        <v>338</v>
      </c>
      <c r="D1168" s="872"/>
      <c r="E1168" s="725" t="s">
        <v>2553</v>
      </c>
      <c r="F1168" s="751"/>
      <c r="G1168" s="770"/>
    </row>
    <row r="1169" spans="3:7" hidden="1">
      <c r="C1169" s="567" t="s">
        <v>2461</v>
      </c>
      <c r="D1169" s="872"/>
      <c r="E1169" s="725" t="s">
        <v>2571</v>
      </c>
      <c r="F1169" s="751"/>
      <c r="G1169" s="770"/>
    </row>
    <row r="1170" spans="3:7" hidden="1">
      <c r="C1170" s="567" t="s">
        <v>339</v>
      </c>
      <c r="D1170" s="872"/>
      <c r="E1170" s="725" t="s">
        <v>2554</v>
      </c>
      <c r="F1170" s="751"/>
      <c r="G1170" s="770"/>
    </row>
    <row r="1171" spans="3:7" hidden="1">
      <c r="C1171" s="567" t="s">
        <v>299</v>
      </c>
      <c r="D1171" s="872"/>
      <c r="E1171" s="725" t="s">
        <v>2555</v>
      </c>
      <c r="F1171" s="751"/>
      <c r="G1171" s="770"/>
    </row>
    <row r="1172" spans="3:7" hidden="1">
      <c r="C1172" s="567" t="s">
        <v>300</v>
      </c>
      <c r="D1172" s="872"/>
      <c r="E1172" s="725" t="s">
        <v>2556</v>
      </c>
      <c r="F1172" s="751"/>
      <c r="G1172" s="770"/>
    </row>
    <row r="1173" spans="3:7" hidden="1">
      <c r="C1173" s="567" t="s">
        <v>340</v>
      </c>
      <c r="D1173" s="872"/>
      <c r="E1173" s="725" t="s">
        <v>2557</v>
      </c>
      <c r="F1173" s="751"/>
      <c r="G1173" s="770"/>
    </row>
    <row r="1174" spans="3:7" hidden="1">
      <c r="C1174" s="567" t="s">
        <v>6863</v>
      </c>
      <c r="D1174" s="872"/>
      <c r="E1174" s="725" t="s">
        <v>7861</v>
      </c>
      <c r="F1174" s="751"/>
      <c r="G1174" s="770"/>
    </row>
    <row r="1175" spans="3:7" hidden="1">
      <c r="C1175" s="567" t="s">
        <v>2459</v>
      </c>
      <c r="D1175" s="872"/>
      <c r="E1175" s="725" t="s">
        <v>2572</v>
      </c>
      <c r="F1175" s="751"/>
      <c r="G1175" s="770"/>
    </row>
    <row r="1176" spans="3:7" hidden="1">
      <c r="C1176" s="567" t="s">
        <v>341</v>
      </c>
      <c r="D1176" s="872"/>
      <c r="E1176" s="725" t="s">
        <v>2558</v>
      </c>
      <c r="F1176" s="751"/>
      <c r="G1176" s="770"/>
    </row>
    <row r="1177" spans="3:7" hidden="1">
      <c r="C1177" s="567" t="s">
        <v>342</v>
      </c>
      <c r="D1177" s="872"/>
      <c r="E1177" s="725" t="s">
        <v>2559</v>
      </c>
      <c r="F1177" s="751"/>
      <c r="G1177" s="770"/>
    </row>
    <row r="1178" spans="3:7" hidden="1">
      <c r="C1178" s="567" t="s">
        <v>343</v>
      </c>
      <c r="D1178" s="872"/>
      <c r="E1178" s="725" t="s">
        <v>2560</v>
      </c>
      <c r="F1178" s="751"/>
      <c r="G1178" s="770"/>
    </row>
    <row r="1179" spans="3:7" hidden="1">
      <c r="C1179" s="567" t="s">
        <v>301</v>
      </c>
      <c r="D1179" s="872"/>
      <c r="E1179" s="725" t="s">
        <v>2561</v>
      </c>
      <c r="F1179" s="751"/>
      <c r="G1179" s="770"/>
    </row>
    <row r="1180" spans="3:7" hidden="1">
      <c r="C1180" s="567" t="s">
        <v>344</v>
      </c>
      <c r="D1180" s="872"/>
      <c r="E1180" s="725" t="s">
        <v>2562</v>
      </c>
      <c r="F1180" s="751"/>
      <c r="G1180" s="770"/>
    </row>
    <row r="1181" spans="3:7" hidden="1">
      <c r="C1181" s="567" t="s">
        <v>345</v>
      </c>
      <c r="D1181" s="872"/>
      <c r="E1181" s="725" t="s">
        <v>2563</v>
      </c>
      <c r="F1181" s="751"/>
      <c r="G1181" s="770"/>
    </row>
    <row r="1182" spans="3:7" hidden="1">
      <c r="C1182" s="567" t="s">
        <v>346</v>
      </c>
      <c r="D1182" s="872"/>
      <c r="E1182" s="725" t="s">
        <v>2564</v>
      </c>
      <c r="F1182" s="751"/>
      <c r="G1182" s="770"/>
    </row>
    <row r="1183" spans="3:7" hidden="1">
      <c r="C1183" s="567" t="s">
        <v>396</v>
      </c>
      <c r="D1183" s="872"/>
      <c r="E1183" s="725" t="s">
        <v>2565</v>
      </c>
      <c r="F1183" s="751"/>
      <c r="G1183" s="770"/>
    </row>
    <row r="1184" spans="3:7" hidden="1">
      <c r="C1184" s="567" t="s">
        <v>302</v>
      </c>
      <c r="D1184" s="872"/>
      <c r="E1184" s="725" t="s">
        <v>2566</v>
      </c>
      <c r="F1184" s="751"/>
      <c r="G1184" s="770"/>
    </row>
    <row r="1185" spans="1:10" hidden="1">
      <c r="C1185" s="567" t="s">
        <v>347</v>
      </c>
      <c r="D1185" s="872"/>
      <c r="E1185" s="725" t="s">
        <v>2567</v>
      </c>
      <c r="F1185" s="751"/>
      <c r="G1185" s="770"/>
    </row>
    <row r="1186" spans="1:10" hidden="1">
      <c r="C1186" s="567" t="s">
        <v>303</v>
      </c>
      <c r="D1186" s="872"/>
      <c r="E1186" s="725" t="s">
        <v>2568</v>
      </c>
      <c r="F1186" s="751"/>
      <c r="G1186" s="770"/>
    </row>
    <row r="1187" spans="1:10" hidden="1">
      <c r="C1187" s="567" t="s">
        <v>6860</v>
      </c>
      <c r="D1187" s="872"/>
      <c r="E1187" s="725" t="s">
        <v>7859</v>
      </c>
      <c r="F1187" s="751"/>
      <c r="G1187" s="770"/>
    </row>
    <row r="1188" spans="1:10" hidden="1">
      <c r="C1188" s="567" t="s">
        <v>348</v>
      </c>
      <c r="D1188" s="872"/>
      <c r="E1188" s="725" t="s">
        <v>2569</v>
      </c>
      <c r="F1188" s="751"/>
      <c r="G1188" s="770"/>
    </row>
    <row r="1189" spans="1:10" hidden="1">
      <c r="C1189" s="567" t="s">
        <v>304</v>
      </c>
      <c r="D1189" s="872"/>
      <c r="E1189" s="725" t="s">
        <v>170</v>
      </c>
      <c r="F1189" s="751"/>
      <c r="G1189" s="770"/>
    </row>
    <row r="1190" spans="1:10" hidden="1"/>
    <row r="1191" spans="1:10" hidden="1"/>
    <row r="1192" spans="1:10" hidden="1"/>
    <row r="1193" spans="1:10" s="504" customFormat="1" hidden="1">
      <c r="A1193" s="759" t="s">
        <v>284</v>
      </c>
      <c r="B1193" s="771">
        <v>112120801030</v>
      </c>
      <c r="C1193" s="578" t="s">
        <v>283</v>
      </c>
      <c r="D1193" s="767"/>
      <c r="E1193" s="460" t="s">
        <v>120</v>
      </c>
      <c r="F1193" s="504" t="s">
        <v>121</v>
      </c>
      <c r="G1193" s="748" t="s">
        <v>122</v>
      </c>
      <c r="H1193" s="749">
        <v>42370</v>
      </c>
      <c r="I1193" s="750">
        <v>42398</v>
      </c>
      <c r="J1193" s="772"/>
    </row>
    <row r="1194" spans="1:10" hidden="1"/>
    <row r="1195" spans="1:10" hidden="1"/>
    <row r="1196" spans="1:10" hidden="1"/>
    <row r="1197" spans="1:10" hidden="1">
      <c r="B1197" s="1052" t="s">
        <v>2728</v>
      </c>
      <c r="C1197" s="760">
        <v>112120612010</v>
      </c>
      <c r="D1197" s="571"/>
      <c r="E1197" s="768"/>
      <c r="F1197" s="471" t="s">
        <v>2306</v>
      </c>
      <c r="G1197" s="748" t="s">
        <v>2307</v>
      </c>
      <c r="H1197" s="810">
        <v>1263374</v>
      </c>
      <c r="I1197" s="764">
        <v>42430</v>
      </c>
      <c r="J1197" s="766">
        <v>42431</v>
      </c>
    </row>
    <row r="1198" spans="1:10" hidden="1">
      <c r="B1198" s="1052" t="s">
        <v>2309</v>
      </c>
      <c r="C1198" s="760">
        <v>112120612100</v>
      </c>
      <c r="D1198" s="571"/>
      <c r="E1198" s="768"/>
      <c r="F1198" s="471" t="s">
        <v>2306</v>
      </c>
      <c r="G1198" s="748" t="s">
        <v>2310</v>
      </c>
      <c r="H1198" s="810">
        <v>1275136</v>
      </c>
      <c r="I1198" s="764">
        <v>42430</v>
      </c>
      <c r="J1198" s="766">
        <v>42443</v>
      </c>
    </row>
    <row r="1199" spans="1:10" hidden="1">
      <c r="B1199" s="1052" t="s">
        <v>2309</v>
      </c>
      <c r="C1199" s="760">
        <v>112120612110</v>
      </c>
      <c r="D1199" s="571"/>
      <c r="E1199" s="768"/>
      <c r="F1199" s="471" t="s">
        <v>2306</v>
      </c>
      <c r="G1199" s="748" t="s">
        <v>2310</v>
      </c>
      <c r="H1199" s="810">
        <v>1271224</v>
      </c>
      <c r="I1199" s="764">
        <v>42430</v>
      </c>
      <c r="J1199" s="766">
        <v>42439</v>
      </c>
    </row>
    <row r="1200" spans="1:10" hidden="1">
      <c r="B1200" s="1052" t="s">
        <v>2308</v>
      </c>
      <c r="C1200" s="760">
        <v>112120612110</v>
      </c>
      <c r="D1200" s="571"/>
      <c r="E1200" s="768"/>
      <c r="F1200" s="471" t="s">
        <v>2306</v>
      </c>
      <c r="G1200" s="748" t="s">
        <v>2307</v>
      </c>
      <c r="H1200" s="810">
        <v>1261768</v>
      </c>
      <c r="I1200" s="764">
        <v>42430</v>
      </c>
      <c r="J1200" s="766">
        <v>42430</v>
      </c>
    </row>
    <row r="1201" spans="2:10" hidden="1">
      <c r="B1201" s="1052" t="s">
        <v>2308</v>
      </c>
      <c r="C1201" s="760">
        <v>112120612010</v>
      </c>
      <c r="D1201" s="571"/>
      <c r="E1201" s="768"/>
      <c r="F1201" s="471" t="s">
        <v>2306</v>
      </c>
      <c r="G1201" s="748" t="s">
        <v>2307</v>
      </c>
      <c r="H1201" s="810">
        <v>1261772</v>
      </c>
      <c r="I1201" s="764">
        <v>42430</v>
      </c>
      <c r="J1201" s="766">
        <v>42430</v>
      </c>
    </row>
    <row r="1202" spans="2:10" hidden="1">
      <c r="B1202" s="1052" t="s">
        <v>2309</v>
      </c>
      <c r="C1202" s="760">
        <v>112120612010</v>
      </c>
      <c r="D1202" s="571"/>
      <c r="E1202" s="768"/>
      <c r="F1202" s="471" t="s">
        <v>2306</v>
      </c>
      <c r="G1202" s="748" t="s">
        <v>2310</v>
      </c>
      <c r="H1202" s="810">
        <v>1277187</v>
      </c>
      <c r="I1202" s="764">
        <v>42430</v>
      </c>
      <c r="J1202" s="766">
        <v>42447</v>
      </c>
    </row>
    <row r="1203" spans="2:10" hidden="1">
      <c r="B1203" s="1052" t="s">
        <v>2309</v>
      </c>
      <c r="C1203" s="760">
        <v>112120612110</v>
      </c>
      <c r="D1203" s="571"/>
      <c r="E1203" s="768"/>
      <c r="F1203" s="471" t="s">
        <v>2306</v>
      </c>
      <c r="G1203" s="748" t="s">
        <v>2310</v>
      </c>
      <c r="H1203" s="810">
        <v>1276392</v>
      </c>
      <c r="I1203" s="764">
        <v>42430</v>
      </c>
      <c r="J1203" s="766">
        <v>42447</v>
      </c>
    </row>
    <row r="1204" spans="2:10" hidden="1">
      <c r="B1204" s="1052" t="s">
        <v>2308</v>
      </c>
      <c r="C1204" s="760">
        <v>112120612110</v>
      </c>
      <c r="D1204" s="571"/>
      <c r="E1204" s="768"/>
      <c r="F1204" s="471" t="s">
        <v>2306</v>
      </c>
      <c r="G1204" s="748" t="s">
        <v>2307</v>
      </c>
      <c r="H1204" s="810">
        <v>1266330</v>
      </c>
      <c r="I1204" s="764">
        <v>42430</v>
      </c>
      <c r="J1204" s="766">
        <v>42436</v>
      </c>
    </row>
    <row r="1205" spans="2:10" hidden="1">
      <c r="B1205" s="1052" t="s">
        <v>2308</v>
      </c>
      <c r="C1205" s="760">
        <v>112120612010</v>
      </c>
      <c r="D1205" s="571"/>
      <c r="E1205" s="768"/>
      <c r="F1205" s="471" t="s">
        <v>2306</v>
      </c>
      <c r="G1205" s="748" t="s">
        <v>2307</v>
      </c>
      <c r="H1205" s="810">
        <v>1261770</v>
      </c>
      <c r="I1205" s="764">
        <v>42430</v>
      </c>
      <c r="J1205" s="766">
        <v>42430</v>
      </c>
    </row>
    <row r="1206" spans="2:10" hidden="1">
      <c r="B1206" s="1052" t="s">
        <v>2309</v>
      </c>
      <c r="C1206" s="760">
        <v>112120612010</v>
      </c>
      <c r="D1206" s="571"/>
      <c r="E1206" s="768"/>
      <c r="F1206" s="471" t="s">
        <v>2306</v>
      </c>
      <c r="G1206" s="748" t="s">
        <v>2310</v>
      </c>
      <c r="H1206" s="810">
        <v>1261774</v>
      </c>
      <c r="I1206" s="764">
        <v>42430</v>
      </c>
      <c r="J1206" s="766">
        <v>42430</v>
      </c>
    </row>
    <row r="1207" spans="2:10" hidden="1">
      <c r="B1207" s="1052" t="s">
        <v>2308</v>
      </c>
      <c r="C1207" s="760">
        <v>112120612110</v>
      </c>
      <c r="D1207" s="571"/>
      <c r="E1207" s="768"/>
      <c r="F1207" s="471" t="s">
        <v>2306</v>
      </c>
      <c r="G1207" s="748" t="s">
        <v>2307</v>
      </c>
      <c r="H1207" s="810">
        <v>1261778</v>
      </c>
      <c r="I1207" s="764">
        <v>42430</v>
      </c>
      <c r="J1207" s="766">
        <v>42430</v>
      </c>
    </row>
    <row r="1208" spans="2:10" hidden="1">
      <c r="B1208" s="1052" t="s">
        <v>2311</v>
      </c>
      <c r="C1208" s="760">
        <v>112120612010</v>
      </c>
      <c r="D1208" s="571"/>
      <c r="E1208" s="768"/>
      <c r="F1208" s="471" t="s">
        <v>2306</v>
      </c>
      <c r="G1208" s="748" t="s">
        <v>2312</v>
      </c>
      <c r="H1208" s="810">
        <v>1281111</v>
      </c>
      <c r="I1208" s="764">
        <v>42430</v>
      </c>
      <c r="J1208" s="766">
        <v>42457</v>
      </c>
    </row>
    <row r="1209" spans="2:10" hidden="1">
      <c r="B1209" s="1052" t="s">
        <v>2309</v>
      </c>
      <c r="C1209" s="760">
        <v>112120101090</v>
      </c>
      <c r="D1209" s="571"/>
      <c r="E1209" s="768"/>
      <c r="F1209" s="471" t="s">
        <v>2306</v>
      </c>
      <c r="G1209" s="748" t="s">
        <v>2310</v>
      </c>
      <c r="H1209" s="810">
        <v>1267260</v>
      </c>
      <c r="I1209" s="764">
        <v>42430</v>
      </c>
      <c r="J1209" s="766">
        <v>42436</v>
      </c>
    </row>
    <row r="1210" spans="2:10" hidden="1">
      <c r="B1210" s="1052" t="s">
        <v>2308</v>
      </c>
      <c r="C1210" s="760">
        <v>112120612110</v>
      </c>
      <c r="D1210" s="571"/>
      <c r="E1210" s="768"/>
      <c r="F1210" s="471" t="s">
        <v>2306</v>
      </c>
      <c r="G1210" s="748" t="s">
        <v>2307</v>
      </c>
      <c r="H1210" s="810">
        <v>1261780</v>
      </c>
      <c r="I1210" s="764">
        <v>42430</v>
      </c>
      <c r="J1210" s="766">
        <v>42430</v>
      </c>
    </row>
    <row r="1211" spans="2:10" hidden="1">
      <c r="B1211" s="1052" t="s">
        <v>2314</v>
      </c>
      <c r="C1211" s="760">
        <v>112120612180</v>
      </c>
      <c r="D1211" s="571"/>
      <c r="E1211" s="768"/>
      <c r="F1211" s="471" t="s">
        <v>2306</v>
      </c>
      <c r="G1211" s="748" t="s">
        <v>2312</v>
      </c>
      <c r="H1211" s="810">
        <v>1276399</v>
      </c>
      <c r="I1211" s="764">
        <v>42430</v>
      </c>
      <c r="J1211" s="766">
        <v>42447</v>
      </c>
    </row>
    <row r="1212" spans="2:10" hidden="1">
      <c r="B1212" s="1052" t="s">
        <v>2315</v>
      </c>
      <c r="C1212" s="760">
        <v>112120101090</v>
      </c>
      <c r="D1212" s="571"/>
      <c r="E1212" s="768"/>
      <c r="F1212" s="471" t="s">
        <v>2306</v>
      </c>
      <c r="G1212" s="748" t="s">
        <v>2310</v>
      </c>
      <c r="H1212" s="810">
        <v>1266339</v>
      </c>
      <c r="I1212" s="764">
        <v>42430</v>
      </c>
      <c r="J1212" s="766">
        <v>42436</v>
      </c>
    </row>
    <row r="1213" spans="2:10" hidden="1">
      <c r="B1213" s="1052" t="s">
        <v>2315</v>
      </c>
      <c r="C1213" s="760">
        <v>112120612110</v>
      </c>
      <c r="D1213" s="571"/>
      <c r="E1213" s="768"/>
      <c r="F1213" s="471" t="s">
        <v>2306</v>
      </c>
      <c r="G1213" s="748" t="s">
        <v>2310</v>
      </c>
      <c r="H1213" s="810">
        <v>1262369</v>
      </c>
      <c r="I1213" s="764">
        <v>42430</v>
      </c>
      <c r="J1213" s="766">
        <v>42430</v>
      </c>
    </row>
    <row r="1214" spans="2:10" hidden="1">
      <c r="B1214" s="1052" t="s">
        <v>2315</v>
      </c>
      <c r="C1214" s="760">
        <v>112120612110</v>
      </c>
      <c r="D1214" s="571"/>
      <c r="E1214" s="768"/>
      <c r="F1214" s="471" t="s">
        <v>2306</v>
      </c>
      <c r="G1214" s="748" t="s">
        <v>2310</v>
      </c>
      <c r="H1214" s="810">
        <v>1261262</v>
      </c>
      <c r="I1214" s="764">
        <v>42430</v>
      </c>
      <c r="J1214" s="766">
        <v>42430</v>
      </c>
    </row>
    <row r="1215" spans="2:10" hidden="1">
      <c r="B1215" s="1052" t="s">
        <v>2315</v>
      </c>
      <c r="C1215" s="760">
        <v>112120612110</v>
      </c>
      <c r="D1215" s="571"/>
      <c r="E1215" s="768"/>
      <c r="F1215" s="471" t="s">
        <v>2306</v>
      </c>
      <c r="G1215" s="748" t="s">
        <v>2310</v>
      </c>
      <c r="H1215" s="810">
        <v>1266320</v>
      </c>
      <c r="I1215" s="764">
        <v>42430</v>
      </c>
      <c r="J1215" s="766">
        <v>42436</v>
      </c>
    </row>
    <row r="1216" spans="2:10" hidden="1">
      <c r="D1216" s="751"/>
      <c r="E1216" s="479"/>
      <c r="F1216" s="751"/>
      <c r="G1216" s="770"/>
      <c r="J1216" s="873"/>
    </row>
    <row r="1217" spans="4:10" hidden="1">
      <c r="D1217" s="751"/>
      <c r="E1217" s="479"/>
      <c r="F1217" s="751"/>
      <c r="G1217" s="770"/>
      <c r="J1217" s="873"/>
    </row>
    <row r="1218" spans="4:10">
      <c r="D1218" s="751"/>
      <c r="E1218" s="479"/>
      <c r="F1218" s="751"/>
      <c r="G1218" s="770"/>
      <c r="J1218" s="873"/>
    </row>
    <row r="1219" spans="4:10">
      <c r="D1219" s="751"/>
      <c r="E1219" s="479"/>
      <c r="F1219" s="751"/>
      <c r="G1219" s="770"/>
      <c r="J1219" s="873"/>
    </row>
    <row r="1220" spans="4:10">
      <c r="D1220" s="751"/>
      <c r="E1220" s="479"/>
      <c r="F1220" s="751"/>
      <c r="G1220" s="770"/>
      <c r="J1220" s="873"/>
    </row>
    <row r="1221" spans="4:10">
      <c r="D1221" s="751"/>
      <c r="E1221" s="479"/>
      <c r="F1221" s="751"/>
      <c r="G1221" s="770"/>
      <c r="J1221" s="873"/>
    </row>
    <row r="1222" spans="4:10">
      <c r="D1222" s="751"/>
      <c r="E1222" s="479"/>
      <c r="F1222" s="751"/>
      <c r="G1222" s="770"/>
      <c r="J1222" s="873"/>
    </row>
    <row r="1223" spans="4:10">
      <c r="D1223" s="751"/>
      <c r="E1223" s="479"/>
      <c r="F1223" s="751"/>
      <c r="G1223" s="770"/>
      <c r="J1223" s="873"/>
    </row>
    <row r="1224" spans="4:10">
      <c r="D1224" s="751"/>
      <c r="E1224" s="479"/>
      <c r="F1224" s="751"/>
      <c r="G1224" s="770"/>
      <c r="J1224" s="873"/>
    </row>
    <row r="1225" spans="4:10">
      <c r="D1225" s="751"/>
      <c r="E1225" s="479"/>
      <c r="F1225" s="751"/>
      <c r="G1225" s="770"/>
      <c r="J1225" s="873"/>
    </row>
    <row r="1226" spans="4:10">
      <c r="D1226" s="751"/>
      <c r="E1226" s="479"/>
      <c r="F1226" s="751"/>
      <c r="G1226" s="770"/>
      <c r="J1226" s="930">
        <v>659303.09999999974</v>
      </c>
    </row>
    <row r="1227" spans="4:10">
      <c r="D1227" s="751"/>
      <c r="E1227" s="479"/>
      <c r="F1227" s="751"/>
      <c r="G1227" s="770"/>
      <c r="J1227" s="873"/>
    </row>
    <row r="1228" spans="4:10">
      <c r="D1228" s="751"/>
      <c r="E1228" s="479"/>
      <c r="F1228" s="751"/>
      <c r="G1228" s="770"/>
      <c r="J1228" s="873"/>
    </row>
    <row r="1229" spans="4:10">
      <c r="D1229" s="751"/>
      <c r="E1229" s="479"/>
      <c r="F1229" s="751"/>
      <c r="G1229" s="770"/>
      <c r="J1229" s="873"/>
    </row>
    <row r="1230" spans="4:10">
      <c r="D1230" s="751"/>
      <c r="E1230" s="479"/>
      <c r="F1230" s="751"/>
      <c r="G1230" s="770"/>
      <c r="J1230" s="873"/>
    </row>
    <row r="1231" spans="4:10">
      <c r="D1231" s="751"/>
      <c r="E1231" s="479"/>
      <c r="F1231" s="751"/>
      <c r="G1231" s="770"/>
      <c r="J1231" s="873"/>
    </row>
    <row r="1232" spans="4:10">
      <c r="D1232" s="751"/>
      <c r="E1232" s="479"/>
      <c r="F1232" s="751"/>
      <c r="G1232" s="770"/>
      <c r="J1232" s="873"/>
    </row>
    <row r="1233" spans="4:10">
      <c r="D1233" s="751"/>
      <c r="E1233" s="479"/>
      <c r="F1233" s="751"/>
      <c r="G1233" s="770"/>
      <c r="J1233" s="873"/>
    </row>
    <row r="1234" spans="4:10">
      <c r="D1234" s="751"/>
      <c r="E1234" s="479"/>
      <c r="F1234" s="751"/>
      <c r="G1234" s="770"/>
      <c r="J1234" s="873"/>
    </row>
    <row r="1235" spans="4:10">
      <c r="D1235" s="751"/>
      <c r="E1235" s="479"/>
      <c r="F1235" s="751"/>
      <c r="G1235" s="770"/>
      <c r="J1235" s="873"/>
    </row>
    <row r="1236" spans="4:10">
      <c r="D1236" s="751"/>
      <c r="E1236" s="479"/>
      <c r="F1236" s="751"/>
      <c r="G1236" s="770"/>
      <c r="J1236" s="873"/>
    </row>
    <row r="1237" spans="4:10">
      <c r="D1237" s="751"/>
      <c r="E1237" s="479"/>
      <c r="F1237" s="751"/>
      <c r="G1237" s="770"/>
      <c r="J1237" s="873"/>
    </row>
    <row r="1238" spans="4:10">
      <c r="D1238" s="751"/>
      <c r="E1238" s="479"/>
      <c r="F1238" s="751"/>
      <c r="G1238" s="770"/>
      <c r="J1238" s="873"/>
    </row>
    <row r="1239" spans="4:10">
      <c r="D1239" s="751"/>
      <c r="E1239" s="479"/>
      <c r="F1239" s="751"/>
      <c r="G1239" s="770"/>
      <c r="J1239" s="873"/>
    </row>
    <row r="1240" spans="4:10">
      <c r="D1240" s="751"/>
      <c r="E1240" s="479"/>
      <c r="F1240" s="751"/>
      <c r="G1240" s="770"/>
      <c r="J1240" s="873"/>
    </row>
    <row r="1241" spans="4:10">
      <c r="D1241" s="751"/>
      <c r="E1241" s="479"/>
      <c r="F1241" s="751"/>
      <c r="G1241" s="770"/>
      <c r="J1241" s="873"/>
    </row>
    <row r="1242" spans="4:10">
      <c r="D1242" s="751"/>
      <c r="E1242" s="479"/>
      <c r="F1242" s="751"/>
      <c r="G1242" s="770"/>
      <c r="J1242" s="873"/>
    </row>
    <row r="1243" spans="4:10">
      <c r="D1243" s="751"/>
      <c r="E1243" s="479"/>
      <c r="F1243" s="751"/>
      <c r="G1243" s="770"/>
      <c r="J1243" s="873"/>
    </row>
    <row r="1244" spans="4:10">
      <c r="D1244" s="751"/>
      <c r="E1244" s="479"/>
      <c r="F1244" s="751"/>
      <c r="G1244" s="770"/>
      <c r="J1244" s="873"/>
    </row>
    <row r="1245" spans="4:10">
      <c r="D1245" s="751"/>
      <c r="E1245" s="479"/>
      <c r="F1245" s="751"/>
      <c r="G1245" s="770"/>
      <c r="J1245" s="873"/>
    </row>
    <row r="1246" spans="4:10">
      <c r="D1246" s="751"/>
      <c r="E1246" s="479"/>
      <c r="F1246" s="751"/>
      <c r="G1246" s="770"/>
      <c r="J1246" s="873"/>
    </row>
    <row r="1247" spans="4:10">
      <c r="D1247" s="751"/>
      <c r="E1247" s="479"/>
      <c r="F1247" s="751"/>
      <c r="G1247" s="770"/>
      <c r="J1247" s="873"/>
    </row>
    <row r="1248" spans="4:10">
      <c r="D1248" s="751"/>
      <c r="E1248" s="479"/>
      <c r="F1248" s="751"/>
      <c r="G1248" s="770"/>
      <c r="J1248" s="873"/>
    </row>
    <row r="1249" spans="4:10">
      <c r="D1249" s="751"/>
      <c r="E1249" s="479"/>
      <c r="F1249" s="751"/>
      <c r="G1249" s="770"/>
      <c r="J1249" s="873"/>
    </row>
    <row r="1250" spans="4:10">
      <c r="D1250" s="751"/>
      <c r="E1250" s="479"/>
      <c r="F1250" s="751"/>
      <c r="G1250" s="770"/>
      <c r="J1250" s="873"/>
    </row>
    <row r="1251" spans="4:10">
      <c r="D1251" s="751"/>
      <c r="E1251" s="479"/>
      <c r="F1251" s="751"/>
      <c r="G1251" s="770"/>
      <c r="J1251" s="873"/>
    </row>
    <row r="1252" spans="4:10">
      <c r="D1252" s="751"/>
      <c r="E1252" s="479"/>
      <c r="F1252" s="751"/>
      <c r="G1252" s="770"/>
      <c r="J1252" s="873"/>
    </row>
    <row r="1253" spans="4:10">
      <c r="D1253" s="751"/>
      <c r="E1253" s="479"/>
      <c r="F1253" s="751"/>
      <c r="G1253" s="770"/>
      <c r="J1253" s="873"/>
    </row>
    <row r="1254" spans="4:10">
      <c r="D1254" s="751"/>
      <c r="E1254" s="479"/>
      <c r="F1254" s="751"/>
      <c r="G1254" s="770"/>
      <c r="J1254" s="873"/>
    </row>
    <row r="1255" spans="4:10">
      <c r="D1255" s="751"/>
      <c r="E1255" s="479"/>
      <c r="F1255" s="751"/>
      <c r="G1255" s="770"/>
      <c r="J1255" s="873"/>
    </row>
    <row r="1256" spans="4:10">
      <c r="D1256" s="751"/>
      <c r="E1256" s="479"/>
      <c r="F1256" s="751"/>
      <c r="G1256" s="770"/>
      <c r="J1256" s="873"/>
    </row>
    <row r="1257" spans="4:10">
      <c r="D1257" s="751"/>
      <c r="E1257" s="479"/>
      <c r="F1257" s="751"/>
      <c r="G1257" s="770"/>
      <c r="J1257" s="873"/>
    </row>
    <row r="1258" spans="4:10">
      <c r="D1258" s="751"/>
      <c r="E1258" s="479"/>
      <c r="F1258" s="751"/>
      <c r="G1258" s="770"/>
      <c r="J1258" s="873"/>
    </row>
    <row r="1259" spans="4:10">
      <c r="D1259" s="751"/>
      <c r="E1259" s="479"/>
      <c r="F1259" s="751"/>
      <c r="G1259" s="770"/>
      <c r="J1259" s="873"/>
    </row>
    <row r="1260" spans="4:10">
      <c r="D1260" s="751"/>
      <c r="E1260" s="479"/>
      <c r="F1260" s="751"/>
      <c r="G1260" s="770"/>
      <c r="J1260" s="873"/>
    </row>
    <row r="1261" spans="4:10">
      <c r="D1261" s="751"/>
      <c r="E1261" s="479"/>
      <c r="F1261" s="751"/>
      <c r="G1261" s="770"/>
      <c r="J1261" s="873"/>
    </row>
    <row r="1262" spans="4:10">
      <c r="D1262" s="751"/>
      <c r="E1262" s="479"/>
      <c r="F1262" s="751"/>
      <c r="G1262" s="770"/>
      <c r="J1262" s="873"/>
    </row>
    <row r="1263" spans="4:10">
      <c r="D1263" s="751"/>
      <c r="E1263" s="479"/>
      <c r="F1263" s="751"/>
      <c r="G1263" s="770"/>
      <c r="J1263" s="873"/>
    </row>
    <row r="1264" spans="4:10">
      <c r="D1264" s="751"/>
      <c r="E1264" s="479"/>
      <c r="F1264" s="751"/>
      <c r="G1264" s="770"/>
      <c r="J1264" s="873"/>
    </row>
    <row r="1265" spans="4:10">
      <c r="D1265" s="751"/>
      <c r="E1265" s="479"/>
      <c r="F1265" s="751"/>
      <c r="G1265" s="770"/>
      <c r="J1265" s="873"/>
    </row>
    <row r="1266" spans="4:10">
      <c r="D1266" s="751"/>
      <c r="E1266" s="479"/>
      <c r="F1266" s="751"/>
      <c r="G1266" s="770"/>
      <c r="J1266" s="873"/>
    </row>
    <row r="1267" spans="4:10">
      <c r="D1267" s="751"/>
      <c r="E1267" s="479"/>
      <c r="F1267" s="751"/>
      <c r="G1267" s="770"/>
      <c r="J1267" s="873"/>
    </row>
    <row r="1268" spans="4:10">
      <c r="D1268" s="751"/>
      <c r="E1268" s="479"/>
      <c r="F1268" s="751"/>
      <c r="G1268" s="770"/>
      <c r="J1268" s="873"/>
    </row>
    <row r="1269" spans="4:10">
      <c r="D1269" s="751"/>
      <c r="E1269" s="479"/>
      <c r="F1269" s="751"/>
      <c r="G1269" s="770"/>
      <c r="J1269" s="873"/>
    </row>
    <row r="1270" spans="4:10">
      <c r="D1270" s="751"/>
      <c r="E1270" s="479"/>
      <c r="F1270" s="751"/>
      <c r="G1270" s="770"/>
      <c r="J1270" s="873"/>
    </row>
    <row r="1271" spans="4:10">
      <c r="D1271" s="751"/>
      <c r="E1271" s="479"/>
      <c r="F1271" s="751"/>
      <c r="G1271" s="770"/>
      <c r="J1271" s="873"/>
    </row>
    <row r="1272" spans="4:10">
      <c r="D1272" s="751"/>
      <c r="E1272" s="479"/>
      <c r="F1272" s="751"/>
      <c r="G1272" s="770"/>
      <c r="J1272" s="873"/>
    </row>
    <row r="1273" spans="4:10">
      <c r="D1273" s="751"/>
      <c r="E1273" s="479"/>
      <c r="F1273" s="751"/>
      <c r="G1273" s="770"/>
      <c r="J1273" s="873"/>
    </row>
    <row r="1274" spans="4:10">
      <c r="D1274" s="751"/>
      <c r="E1274" s="479"/>
      <c r="F1274" s="751"/>
      <c r="G1274" s="770"/>
      <c r="J1274" s="873"/>
    </row>
    <row r="1275" spans="4:10">
      <c r="D1275" s="751"/>
      <c r="E1275" s="479"/>
      <c r="F1275" s="751"/>
      <c r="G1275" s="770"/>
      <c r="J1275" s="873"/>
    </row>
    <row r="1276" spans="4:10">
      <c r="D1276" s="751"/>
      <c r="E1276" s="479"/>
      <c r="F1276" s="751"/>
      <c r="G1276" s="770"/>
      <c r="J1276" s="873"/>
    </row>
    <row r="1277" spans="4:10">
      <c r="D1277" s="751"/>
      <c r="E1277" s="479"/>
      <c r="F1277" s="751"/>
      <c r="G1277" s="770"/>
      <c r="J1277" s="873"/>
    </row>
    <row r="1278" spans="4:10">
      <c r="D1278" s="751"/>
      <c r="E1278" s="479"/>
      <c r="F1278" s="751"/>
      <c r="G1278" s="770"/>
      <c r="J1278" s="873"/>
    </row>
    <row r="1279" spans="4:10">
      <c r="D1279" s="751"/>
      <c r="E1279" s="479"/>
      <c r="F1279" s="751"/>
      <c r="G1279" s="770"/>
      <c r="J1279" s="873"/>
    </row>
    <row r="1280" spans="4:10">
      <c r="D1280" s="751"/>
      <c r="E1280" s="479"/>
      <c r="F1280" s="751"/>
      <c r="G1280" s="770"/>
      <c r="J1280" s="873"/>
    </row>
    <row r="1281" spans="4:10">
      <c r="D1281" s="751"/>
      <c r="E1281" s="479"/>
      <c r="F1281" s="751"/>
      <c r="G1281" s="770"/>
      <c r="J1281" s="873"/>
    </row>
    <row r="1282" spans="4:10">
      <c r="D1282" s="751"/>
      <c r="E1282" s="479"/>
      <c r="F1282" s="751"/>
      <c r="G1282" s="770"/>
      <c r="J1282" s="873"/>
    </row>
    <row r="1283" spans="4:10">
      <c r="D1283" s="751"/>
      <c r="E1283" s="479"/>
      <c r="F1283" s="751"/>
      <c r="G1283" s="770"/>
      <c r="J1283" s="873"/>
    </row>
    <row r="1284" spans="4:10">
      <c r="D1284" s="751"/>
      <c r="E1284" s="479"/>
      <c r="F1284" s="751"/>
      <c r="G1284" s="770"/>
      <c r="J1284" s="873"/>
    </row>
    <row r="1285" spans="4:10">
      <c r="D1285" s="751"/>
      <c r="E1285" s="479"/>
      <c r="F1285" s="751"/>
      <c r="G1285" s="770"/>
      <c r="J1285" s="873"/>
    </row>
    <row r="1286" spans="4:10">
      <c r="D1286" s="751"/>
      <c r="E1286" s="479"/>
      <c r="F1286" s="751"/>
      <c r="G1286" s="770"/>
      <c r="J1286" s="873"/>
    </row>
    <row r="1287" spans="4:10">
      <c r="D1287" s="751"/>
      <c r="E1287" s="479"/>
      <c r="F1287" s="751"/>
      <c r="G1287" s="770"/>
      <c r="J1287" s="873"/>
    </row>
    <row r="1288" spans="4:10">
      <c r="D1288" s="751"/>
      <c r="E1288" s="479"/>
      <c r="F1288" s="751"/>
      <c r="G1288" s="770"/>
      <c r="J1288" s="873"/>
    </row>
    <row r="1289" spans="4:10">
      <c r="D1289" s="751"/>
      <c r="E1289" s="479"/>
      <c r="F1289" s="751"/>
      <c r="G1289" s="770"/>
      <c r="J1289" s="873"/>
    </row>
    <row r="1290" spans="4:10">
      <c r="D1290" s="751"/>
      <c r="E1290" s="479"/>
      <c r="F1290" s="751"/>
      <c r="G1290" s="770"/>
      <c r="J1290" s="873"/>
    </row>
    <row r="1291" spans="4:10">
      <c r="D1291" s="751"/>
      <c r="E1291" s="479"/>
      <c r="F1291" s="751"/>
      <c r="G1291" s="770"/>
      <c r="J1291" s="873"/>
    </row>
    <row r="1292" spans="4:10">
      <c r="D1292" s="751"/>
      <c r="E1292" s="479"/>
      <c r="F1292" s="751"/>
      <c r="G1292" s="770"/>
      <c r="J1292" s="873"/>
    </row>
    <row r="1293" spans="4:10">
      <c r="D1293" s="751"/>
      <c r="E1293" s="479"/>
      <c r="F1293" s="751"/>
      <c r="G1293" s="770"/>
      <c r="J1293" s="873"/>
    </row>
    <row r="1294" spans="4:10">
      <c r="D1294" s="751"/>
      <c r="E1294" s="479"/>
      <c r="F1294" s="751"/>
      <c r="G1294" s="770"/>
      <c r="J1294" s="873"/>
    </row>
    <row r="1295" spans="4:10">
      <c r="D1295" s="751"/>
      <c r="E1295" s="479"/>
      <c r="F1295" s="751"/>
      <c r="G1295" s="770"/>
      <c r="J1295" s="873"/>
    </row>
    <row r="1296" spans="4:10">
      <c r="D1296" s="751"/>
      <c r="E1296" s="479"/>
      <c r="F1296" s="751"/>
      <c r="G1296" s="770"/>
      <c r="J1296" s="873"/>
    </row>
    <row r="1297" spans="4:10">
      <c r="D1297" s="751"/>
      <c r="E1297" s="479"/>
      <c r="F1297" s="751"/>
      <c r="G1297" s="770"/>
      <c r="J1297" s="873"/>
    </row>
    <row r="1298" spans="4:10">
      <c r="D1298" s="751"/>
      <c r="E1298" s="479"/>
      <c r="F1298" s="751"/>
      <c r="G1298" s="770"/>
      <c r="J1298" s="873"/>
    </row>
    <row r="1299" spans="4:10">
      <c r="D1299" s="751"/>
      <c r="E1299" s="479"/>
      <c r="F1299" s="751"/>
      <c r="G1299" s="770"/>
      <c r="J1299" s="873"/>
    </row>
    <row r="1300" spans="4:10">
      <c r="D1300" s="751"/>
      <c r="E1300" s="479"/>
      <c r="F1300" s="751"/>
      <c r="G1300" s="770"/>
      <c r="J1300" s="873"/>
    </row>
    <row r="1301" spans="4:10">
      <c r="D1301" s="751"/>
      <c r="E1301" s="479"/>
      <c r="F1301" s="751"/>
      <c r="G1301" s="770"/>
      <c r="J1301" s="873"/>
    </row>
    <row r="1302" spans="4:10">
      <c r="D1302" s="751"/>
      <c r="E1302" s="479"/>
      <c r="F1302" s="751"/>
      <c r="G1302" s="770"/>
      <c r="J1302" s="873"/>
    </row>
    <row r="1303" spans="4:10">
      <c r="D1303" s="751"/>
      <c r="E1303" s="479"/>
      <c r="F1303" s="751"/>
      <c r="G1303" s="770"/>
      <c r="J1303" s="873"/>
    </row>
    <row r="1304" spans="4:10">
      <c r="D1304" s="751"/>
      <c r="E1304" s="479"/>
      <c r="F1304" s="751"/>
      <c r="G1304" s="770"/>
      <c r="J1304" s="873"/>
    </row>
    <row r="1305" spans="4:10">
      <c r="D1305" s="751"/>
      <c r="E1305" s="479"/>
      <c r="F1305" s="751"/>
      <c r="G1305" s="770"/>
      <c r="J1305" s="873"/>
    </row>
    <row r="1306" spans="4:10">
      <c r="D1306" s="751"/>
      <c r="E1306" s="479"/>
      <c r="F1306" s="751"/>
      <c r="G1306" s="770"/>
      <c r="J1306" s="873"/>
    </row>
    <row r="1307" spans="4:10">
      <c r="D1307" s="751"/>
      <c r="E1307" s="479"/>
      <c r="F1307" s="751"/>
      <c r="G1307" s="770"/>
      <c r="J1307" s="873"/>
    </row>
    <row r="1308" spans="4:10">
      <c r="D1308" s="751"/>
      <c r="E1308" s="479"/>
      <c r="F1308" s="751"/>
      <c r="G1308" s="770"/>
      <c r="J1308" s="873"/>
    </row>
    <row r="1309" spans="4:10">
      <c r="D1309" s="751"/>
      <c r="E1309" s="479"/>
      <c r="F1309" s="751"/>
      <c r="G1309" s="770"/>
      <c r="J1309" s="873"/>
    </row>
    <row r="1310" spans="4:10">
      <c r="D1310" s="751"/>
      <c r="E1310" s="479"/>
      <c r="F1310" s="751"/>
      <c r="G1310" s="770"/>
      <c r="J1310" s="873"/>
    </row>
    <row r="1311" spans="4:10">
      <c r="D1311" s="751"/>
      <c r="E1311" s="479"/>
      <c r="F1311" s="751"/>
      <c r="G1311" s="770"/>
      <c r="J1311" s="873"/>
    </row>
    <row r="1312" spans="4:10">
      <c r="D1312" s="751"/>
      <c r="E1312" s="479"/>
      <c r="F1312" s="751"/>
      <c r="G1312" s="770"/>
      <c r="J1312" s="873"/>
    </row>
    <row r="1313" spans="4:10">
      <c r="D1313" s="751"/>
      <c r="E1313" s="479"/>
      <c r="F1313" s="751"/>
      <c r="G1313" s="770"/>
      <c r="J1313" s="873"/>
    </row>
    <row r="1314" spans="4:10">
      <c r="D1314" s="751"/>
      <c r="E1314" s="479"/>
      <c r="F1314" s="751"/>
      <c r="G1314" s="770"/>
      <c r="J1314" s="873"/>
    </row>
    <row r="1315" spans="4:10">
      <c r="D1315" s="751"/>
      <c r="E1315" s="479"/>
      <c r="F1315" s="751"/>
      <c r="G1315" s="770"/>
      <c r="J1315" s="873"/>
    </row>
    <row r="1316" spans="4:10">
      <c r="D1316" s="751"/>
      <c r="E1316" s="479"/>
      <c r="F1316" s="751"/>
      <c r="G1316" s="770"/>
      <c r="J1316" s="873"/>
    </row>
    <row r="1317" spans="4:10">
      <c r="D1317" s="751"/>
      <c r="E1317" s="479"/>
      <c r="F1317" s="751"/>
      <c r="G1317" s="770"/>
      <c r="J1317" s="873"/>
    </row>
  </sheetData>
  <sortState ref="A5:J1044">
    <sortCondition ref="C5:C1044"/>
  </sortState>
  <mergeCells count="1">
    <mergeCell ref="E1100:I1100"/>
  </mergeCells>
  <printOptions horizontalCentered="1"/>
  <pageMargins left="0.39370078740157483" right="0.39370078740157483" top="0.59055118110236227" bottom="0.78740157480314965" header="0.51181102362204722" footer="0.59055118110236227"/>
  <pageSetup paperSize="9" scale="58" firstPageNumber="183" orientation="landscape" useFirstPageNumber="1" r:id="rId1"/>
  <headerFooter>
    <oddFooter>&amp;C&amp;P</oddFooter>
  </headerFooter>
  <rowBreaks count="2" manualBreakCount="2">
    <brk id="987" max="9" man="1"/>
    <brk id="1100" max="9" man="1"/>
  </rowBreaks>
  <ignoredErrors>
    <ignoredError sqref="B116:B133 B316:B403 B243:B256 B277:B293 B297:B313 B406:B416 B420 B472:B480 B482:B499 B501:B525 B527 B538:B546 B548:B560 B562 B566:B583 B564 B649:B667 B670:B685 B693:B717 B719:B732 B734:B746 B758:B762 B764:B777 B779 B781:B792 B806:B815 B819:B827 B829 B831:B858 B817 B876:B888 B890:B912 B914:B923 B925:B947 B960:B965 B967:B974 B976:B990 B995:B1013 B1016:B1031 B1034 B1037 B1048 B1060 B1063 B1043 B1069:B1071 B1077:B1093 B1056 B9:B20 B22:B35 B37:B54 B56:B69 B71:B84 B86:B99 B101:B114 B136:B149 B151:B164 B166:B179 B181:B194 B196:B209 B211:B225 B227:B241 B258:B260 B262:B275 B295 B425 B427:B470 B529:B536 B586:B596 B598:B647 B687:B691 B748:B756 B794:B804 B860:B874 B949:B958 B992:B993 B1050 B1052 B1054 B1067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153"/>
  <sheetViews>
    <sheetView showGridLines="0" view="pageBreakPreview" topLeftCell="A412" zoomScale="80" zoomScaleNormal="50" zoomScaleSheetLayoutView="80" workbookViewId="0">
      <selection activeCell="H377" sqref="H377"/>
    </sheetView>
  </sheetViews>
  <sheetFormatPr defaultRowHeight="12.75"/>
  <cols>
    <col min="1" max="1" width="89.28515625" customWidth="1"/>
    <col min="2" max="2" width="38.5703125" customWidth="1"/>
    <col min="3" max="8" width="12.140625" customWidth="1"/>
  </cols>
  <sheetData>
    <row r="1" spans="1:6" ht="33.75">
      <c r="A1" s="92" t="s">
        <v>2097</v>
      </c>
      <c r="B1" s="92"/>
      <c r="C1" s="92"/>
      <c r="D1" s="92"/>
      <c r="E1" s="92"/>
      <c r="F1" s="92"/>
    </row>
    <row r="2" spans="1:6" ht="30">
      <c r="A2" s="74" t="s">
        <v>2098</v>
      </c>
      <c r="B2" s="74"/>
      <c r="C2" s="74"/>
      <c r="D2" s="74"/>
      <c r="E2" s="74"/>
      <c r="F2" s="74"/>
    </row>
    <row r="3" spans="1:6" ht="30">
      <c r="A3" s="91"/>
      <c r="B3" s="91" t="str">
        <f>Resumo!E3</f>
        <v>Abril-16</v>
      </c>
      <c r="C3" s="91"/>
      <c r="D3" s="91"/>
      <c r="E3" s="91"/>
      <c r="F3" s="91"/>
    </row>
    <row r="6" spans="1:6" ht="23.25" customHeight="1"/>
    <row r="22" spans="1:2" ht="66" customHeight="1">
      <c r="A22" s="1116"/>
      <c r="B22" s="1116"/>
    </row>
    <row r="72" spans="1:1">
      <c r="A72" s="12" t="s">
        <v>7858</v>
      </c>
    </row>
    <row r="153" spans="1:1">
      <c r="A153" s="12" t="s">
        <v>7858</v>
      </c>
    </row>
  </sheetData>
  <mergeCells count="1">
    <mergeCell ref="A22:B22"/>
  </mergeCells>
  <printOptions horizontalCentered="1"/>
  <pageMargins left="0.78740157480314965" right="0.78740157480314965" top="0.59055118110236227" bottom="0.78740157480314965" header="0.51181102362204722" footer="0.59055118110236227"/>
  <pageSetup paperSize="9" scale="44" firstPageNumber="202" fitToHeight="3" orientation="landscape" useFirstPageNumber="1" r:id="rId1"/>
  <headerFooter alignWithMargins="0">
    <oddFooter>&amp;C&amp;12página &amp;P</oddFooter>
  </headerFooter>
  <rowBreaks count="5" manualBreakCount="5">
    <brk id="71" max="7" man="1"/>
    <brk id="145" max="7" man="1"/>
    <brk id="219" max="7" man="1"/>
    <brk id="293" max="7" man="1"/>
    <brk id="368" max="7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142"/>
  <sheetViews>
    <sheetView showGridLines="0" view="pageBreakPreview" topLeftCell="A112" zoomScale="80" zoomScaleNormal="50" zoomScaleSheetLayoutView="80" workbookViewId="0">
      <selection activeCell="F13" sqref="F13"/>
    </sheetView>
  </sheetViews>
  <sheetFormatPr defaultRowHeight="12.75"/>
  <cols>
    <col min="1" max="1" width="101.28515625" customWidth="1"/>
    <col min="2" max="2" width="38.5703125" customWidth="1"/>
    <col min="4" max="4" width="27.42578125" customWidth="1"/>
  </cols>
  <sheetData>
    <row r="1" spans="1:2" s="5" customFormat="1" ht="33.75">
      <c r="A1" s="486" t="s">
        <v>2092</v>
      </c>
      <c r="B1" s="486"/>
    </row>
    <row r="2" spans="1:2" s="5" customFormat="1" ht="29.25" customHeight="1">
      <c r="B2" s="487" t="str">
        <f>Resumo!E3</f>
        <v>Abril-16</v>
      </c>
    </row>
    <row r="5" spans="1:2" ht="23.25" customHeight="1"/>
    <row r="142" spans="1:2" ht="26.25">
      <c r="A142" s="1116"/>
      <c r="B142" s="1116"/>
    </row>
  </sheetData>
  <mergeCells count="1">
    <mergeCell ref="A142:B142"/>
  </mergeCells>
  <printOptions horizontalCentered="1"/>
  <pageMargins left="0.78740157480314965" right="0.78740157480314965" top="0.59055118110236227" bottom="0.78740157480314965" header="0.51181102362204722" footer="0.59055118110236227"/>
  <pageSetup paperSize="9" scale="48" firstPageNumber="208" fitToHeight="2" orientation="landscape" useFirstPageNumber="1" r:id="rId1"/>
  <headerFooter alignWithMargins="0">
    <oddFooter>&amp;C&amp;12página 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22"/>
  <sheetViews>
    <sheetView showGridLines="0" view="pageBreakPreview" topLeftCell="A82" zoomScale="80" zoomScaleNormal="70" zoomScaleSheetLayoutView="80" workbookViewId="0">
      <selection activeCell="F13" sqref="F13"/>
    </sheetView>
  </sheetViews>
  <sheetFormatPr defaultRowHeight="12.75"/>
  <cols>
    <col min="1" max="1" width="86.28515625" customWidth="1"/>
    <col min="2" max="2" width="40.5703125" customWidth="1"/>
    <col min="3" max="8" width="14.85546875" customWidth="1"/>
    <col min="12" max="12" width="14.42578125" customWidth="1"/>
  </cols>
  <sheetData>
    <row r="1" spans="1:2" s="5" customFormat="1" ht="33.75">
      <c r="A1" s="486" t="s">
        <v>2096</v>
      </c>
      <c r="B1" s="486"/>
    </row>
    <row r="2" spans="1:2" s="5" customFormat="1" ht="29.25" customHeight="1">
      <c r="B2" s="487" t="str">
        <f>Resumo!E3</f>
        <v>Abril-16</v>
      </c>
    </row>
    <row r="6" spans="1:2" ht="23.25" customHeight="1"/>
    <row r="22" spans="1:3" ht="66" customHeight="1">
      <c r="A22" s="1116"/>
      <c r="B22" s="1116"/>
      <c r="C22" s="1116"/>
    </row>
  </sheetData>
  <mergeCells count="1">
    <mergeCell ref="A22:C22"/>
  </mergeCells>
  <printOptions horizontalCentered="1"/>
  <pageMargins left="0.78740157480314965" right="0.78740157480314965" top="0.59055118110236227" bottom="0.78740157480314965" header="0.51181102362204722" footer="0.59055118110236227"/>
  <pageSetup paperSize="9" scale="48" firstPageNumber="210" fitToHeight="2" orientation="landscape" useFirstPageNumber="1" r:id="rId1"/>
  <headerFooter alignWithMargins="0">
    <oddFooter>&amp;C&amp;12página &amp;P</oddFooter>
  </headerFooter>
  <rowBreaks count="1" manualBreakCount="1">
    <brk id="66" max="7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I40"/>
  <sheetViews>
    <sheetView showGridLines="0" view="pageBreakPreview" zoomScale="80" zoomScaleNormal="70" zoomScaleSheetLayoutView="80" workbookViewId="0">
      <pane ySplit="5" topLeftCell="A6" activePane="bottomLeft" state="frozen"/>
      <selection activeCell="F13" sqref="F13"/>
      <selection pane="bottomLeft" activeCell="F13" sqref="F13"/>
    </sheetView>
  </sheetViews>
  <sheetFormatPr defaultColWidth="9.28515625" defaultRowHeight="12.75"/>
  <cols>
    <col min="1" max="1" width="7" style="2" customWidth="1"/>
    <col min="2" max="2" width="3.42578125" style="154" customWidth="1"/>
    <col min="3" max="3" width="118.42578125" style="2" customWidth="1"/>
    <col min="4" max="5" width="30.5703125" style="2" customWidth="1"/>
    <col min="6" max="6" width="30.5703125" style="112" customWidth="1"/>
    <col min="7" max="7" width="16.5703125" style="2" bestFit="1" customWidth="1"/>
    <col min="8" max="8" width="17.42578125" style="2" customWidth="1"/>
    <col min="9" max="16384" width="9.28515625" style="2"/>
  </cols>
  <sheetData>
    <row r="1" spans="1:9" s="95" customFormat="1" ht="35.25">
      <c r="A1" s="93"/>
      <c r="B1" s="94"/>
      <c r="C1" s="240" t="s">
        <v>2079</v>
      </c>
      <c r="D1" s="205"/>
      <c r="E1" s="94"/>
      <c r="F1" s="798"/>
    </row>
    <row r="2" spans="1:9" ht="30">
      <c r="A2" s="12"/>
      <c r="B2" s="96"/>
      <c r="C2" s="19" t="s">
        <v>349</v>
      </c>
      <c r="D2" s="20" t="str">
        <f>Resumo!E3</f>
        <v>Abril-16</v>
      </c>
      <c r="E2" s="12"/>
      <c r="F2" s="334"/>
    </row>
    <row r="3" spans="1:9" ht="15" customHeight="1">
      <c r="A3" s="12"/>
      <c r="B3" s="96"/>
      <c r="C3" s="12"/>
      <c r="D3" s="241"/>
      <c r="E3" s="12"/>
      <c r="F3" s="334"/>
    </row>
    <row r="4" spans="1:9" ht="15.75" thickBot="1">
      <c r="A4" s="12"/>
      <c r="B4" s="96"/>
      <c r="C4" s="12"/>
      <c r="D4" s="97"/>
      <c r="E4" s="97"/>
      <c r="F4" s="668" t="s">
        <v>30</v>
      </c>
    </row>
    <row r="5" spans="1:9" s="112" customFormat="1" ht="35.1" customHeight="1">
      <c r="A5" s="951" t="s">
        <v>350</v>
      </c>
      <c r="B5" s="672" t="s">
        <v>351</v>
      </c>
      <c r="C5" s="952"/>
      <c r="D5" s="654" t="s">
        <v>41</v>
      </c>
      <c r="E5" s="674" t="s">
        <v>42</v>
      </c>
      <c r="F5" s="656" t="s">
        <v>43</v>
      </c>
    </row>
    <row r="6" spans="1:9" s="112" customFormat="1" ht="23.25" customHeight="1">
      <c r="A6" s="953"/>
      <c r="B6" s="128" t="s">
        <v>44</v>
      </c>
      <c r="C6" s="128" t="s">
        <v>45</v>
      </c>
      <c r="D6" s="107"/>
      <c r="E6" s="108"/>
      <c r="F6" s="48">
        <v>17665</v>
      </c>
    </row>
    <row r="7" spans="1:9" s="112" customFormat="1" ht="5.0999999999999996" customHeight="1">
      <c r="A7" s="109"/>
      <c r="B7" s="110"/>
      <c r="C7" s="111"/>
      <c r="D7" s="32"/>
      <c r="E7" s="33"/>
      <c r="F7" s="34"/>
      <c r="H7" s="113"/>
      <c r="I7" s="114"/>
    </row>
    <row r="8" spans="1:9" s="112" customFormat="1" ht="20.100000000000001" customHeight="1">
      <c r="A8" s="954"/>
      <c r="B8" s="128" t="s">
        <v>46</v>
      </c>
      <c r="C8" s="128" t="s">
        <v>50</v>
      </c>
      <c r="D8" s="116"/>
      <c r="E8" s="242">
        <v>0</v>
      </c>
      <c r="F8" s="30"/>
    </row>
    <row r="9" spans="1:9" s="112" customFormat="1" ht="5.0999999999999996" customHeight="1">
      <c r="A9" s="109"/>
      <c r="B9" s="110"/>
      <c r="C9" s="111"/>
      <c r="D9" s="32"/>
      <c r="E9" s="33"/>
      <c r="F9" s="34"/>
      <c r="H9" s="113"/>
      <c r="I9" s="114"/>
    </row>
    <row r="10" spans="1:9" s="112" customFormat="1" ht="20.100000000000001" customHeight="1">
      <c r="A10" s="954"/>
      <c r="B10" s="128" t="s">
        <v>47</v>
      </c>
      <c r="C10" s="128" t="s">
        <v>48</v>
      </c>
      <c r="D10" s="243">
        <v>0</v>
      </c>
      <c r="E10" s="46"/>
      <c r="F10" s="30"/>
    </row>
    <row r="11" spans="1:9" s="112" customFormat="1" ht="5.0999999999999996" customHeight="1">
      <c r="A11" s="109"/>
      <c r="B11" s="110"/>
      <c r="C11" s="111"/>
      <c r="D11" s="32"/>
      <c r="E11" s="33"/>
      <c r="F11" s="34"/>
      <c r="H11" s="113"/>
      <c r="I11" s="114"/>
    </row>
    <row r="12" spans="1:9" s="112" customFormat="1" ht="20.100000000000001" customHeight="1">
      <c r="A12" s="955"/>
      <c r="B12" s="613" t="s">
        <v>49</v>
      </c>
      <c r="C12" s="119" t="s">
        <v>352</v>
      </c>
      <c r="D12" s="120"/>
      <c r="E12" s="46">
        <v>2131</v>
      </c>
      <c r="F12" s="48"/>
    </row>
    <row r="13" spans="1:9" s="112" customFormat="1" ht="5.0999999999999996" customHeight="1">
      <c r="A13" s="109"/>
      <c r="B13" s="122"/>
      <c r="C13" s="123"/>
      <c r="D13" s="124"/>
      <c r="E13" s="125"/>
      <c r="F13" s="126"/>
      <c r="H13" s="113"/>
      <c r="I13" s="114"/>
    </row>
    <row r="14" spans="1:9" s="112" customFormat="1" ht="40.5" hidden="1">
      <c r="A14" s="955"/>
      <c r="B14" s="613" t="s">
        <v>53</v>
      </c>
      <c r="C14" s="119" t="s">
        <v>1911</v>
      </c>
      <c r="D14" s="482"/>
      <c r="E14" s="343"/>
      <c r="F14" s="296"/>
    </row>
    <row r="15" spans="1:9" s="31" customFormat="1" ht="23.25" hidden="1" customHeight="1">
      <c r="A15" s="341"/>
      <c r="B15" s="342" t="s">
        <v>54</v>
      </c>
      <c r="C15" s="45" t="s">
        <v>1908</v>
      </c>
      <c r="D15" s="36"/>
      <c r="E15" s="46"/>
      <c r="F15" s="30"/>
    </row>
    <row r="16" spans="1:9" s="31" customFormat="1" ht="20.100000000000001" hidden="1" customHeight="1">
      <c r="A16" s="35"/>
      <c r="B16" s="25"/>
      <c r="C16" s="38" t="s">
        <v>58</v>
      </c>
      <c r="D16" s="39"/>
      <c r="E16" s="338"/>
      <c r="F16" s="41"/>
    </row>
    <row r="17" spans="1:9" s="31" customFormat="1" ht="5.0999999999999996" customHeight="1" thickBot="1">
      <c r="A17" s="27"/>
      <c r="B17" s="28"/>
      <c r="C17" s="29"/>
      <c r="D17" s="32"/>
      <c r="E17" s="339"/>
      <c r="F17" s="34"/>
    </row>
    <row r="18" spans="1:9" s="112" customFormat="1" ht="35.1" customHeight="1" thickBot="1">
      <c r="A18" s="689" t="s">
        <v>81</v>
      </c>
      <c r="B18" s="690"/>
      <c r="C18" s="690"/>
      <c r="D18" s="657">
        <f>SUM(D8:D16)</f>
        <v>0</v>
      </c>
      <c r="E18" s="658">
        <f>SUM(E8:E16)</f>
        <v>2131</v>
      </c>
      <c r="F18" s="653">
        <f>F6+D18-E18</f>
        <v>15534</v>
      </c>
      <c r="G18" s="956"/>
    </row>
    <row r="19" spans="1:9" ht="15">
      <c r="A19" s="12"/>
      <c r="B19" s="133"/>
      <c r="C19" s="12"/>
      <c r="D19" s="134"/>
      <c r="E19" s="135"/>
      <c r="F19" s="207"/>
    </row>
    <row r="20" spans="1:9" ht="15">
      <c r="A20" s="12"/>
      <c r="B20" s="96"/>
      <c r="C20" s="15"/>
      <c r="D20" s="15"/>
      <c r="E20" s="15"/>
      <c r="F20" s="244">
        <f>F6-17665</f>
        <v>0</v>
      </c>
      <c r="G20" s="222"/>
      <c r="H20" s="232"/>
    </row>
    <row r="21" spans="1:9" ht="15.75">
      <c r="A21" s="12"/>
      <c r="B21" s="96"/>
      <c r="C21" s="12"/>
      <c r="D21" s="245"/>
      <c r="E21" s="97"/>
      <c r="F21" s="799"/>
      <c r="G21" s="152"/>
      <c r="H21" s="232"/>
    </row>
    <row r="22" spans="1:9" ht="35.1" hidden="1" customHeight="1">
      <c r="A22" s="100" t="s">
        <v>353</v>
      </c>
      <c r="B22" s="101" t="s">
        <v>354</v>
      </c>
      <c r="C22" s="102"/>
      <c r="D22" s="103" t="s">
        <v>41</v>
      </c>
      <c r="E22" s="104" t="s">
        <v>42</v>
      </c>
      <c r="F22" s="656" t="s">
        <v>43</v>
      </c>
    </row>
    <row r="23" spans="1:9" ht="20.100000000000001" hidden="1" customHeight="1">
      <c r="A23" s="137"/>
      <c r="B23" s="106" t="s">
        <v>147</v>
      </c>
      <c r="C23" s="106" t="s">
        <v>45</v>
      </c>
      <c r="D23" s="138"/>
      <c r="E23" s="139"/>
      <c r="F23" s="30">
        <v>0</v>
      </c>
      <c r="G23" s="140"/>
    </row>
    <row r="24" spans="1:9" s="112" customFormat="1" ht="5.0999999999999996" hidden="1" customHeight="1">
      <c r="A24" s="109"/>
      <c r="B24" s="111"/>
      <c r="C24" s="111"/>
      <c r="D24" s="32"/>
      <c r="E24" s="33"/>
      <c r="F24" s="34"/>
      <c r="H24" s="113"/>
      <c r="I24" s="114"/>
    </row>
    <row r="25" spans="1:9" ht="20.100000000000001" hidden="1" customHeight="1">
      <c r="A25" s="141"/>
      <c r="B25" s="106" t="s">
        <v>46</v>
      </c>
      <c r="C25" s="106" t="s">
        <v>65</v>
      </c>
      <c r="D25" s="138">
        <v>0</v>
      </c>
      <c r="E25" s="139"/>
      <c r="F25" s="30"/>
    </row>
    <row r="26" spans="1:9" s="112" customFormat="1" ht="5.0999999999999996" hidden="1" customHeight="1">
      <c r="A26" s="109"/>
      <c r="B26" s="110"/>
      <c r="C26" s="111"/>
      <c r="D26" s="32"/>
      <c r="E26" s="33"/>
      <c r="F26" s="34"/>
      <c r="H26" s="113"/>
      <c r="I26" s="114"/>
    </row>
    <row r="27" spans="1:9" ht="20.100000000000001" hidden="1" customHeight="1">
      <c r="A27" s="142"/>
      <c r="B27" s="106" t="s">
        <v>47</v>
      </c>
      <c r="C27" s="106" t="s">
        <v>71</v>
      </c>
      <c r="D27" s="36"/>
      <c r="E27" s="46">
        <v>0</v>
      </c>
      <c r="F27" s="30"/>
    </row>
    <row r="28" spans="1:9" s="112" customFormat="1" ht="5.0999999999999996" hidden="1" customHeight="1">
      <c r="A28" s="109"/>
      <c r="B28" s="110"/>
      <c r="C28" s="111"/>
      <c r="D28" s="32"/>
      <c r="E28" s="33"/>
      <c r="F28" s="34"/>
      <c r="H28" s="113"/>
      <c r="I28" s="114"/>
    </row>
    <row r="29" spans="1:9" ht="20.100000000000001" hidden="1" customHeight="1">
      <c r="A29" s="142"/>
      <c r="B29" s="106" t="s">
        <v>49</v>
      </c>
      <c r="C29" s="106" t="s">
        <v>68</v>
      </c>
      <c r="D29" s="120">
        <v>0</v>
      </c>
      <c r="E29" s="46"/>
      <c r="F29" s="30"/>
    </row>
    <row r="30" spans="1:9" s="112" customFormat="1" ht="5.0999999999999996" hidden="1" customHeight="1">
      <c r="A30" s="143"/>
      <c r="B30" s="144"/>
      <c r="C30" s="145"/>
      <c r="D30" s="32"/>
      <c r="E30" s="33"/>
      <c r="F30" s="34"/>
      <c r="H30" s="113"/>
      <c r="I30" s="114"/>
    </row>
    <row r="31" spans="1:9" ht="20.100000000000001" hidden="1" customHeight="1">
      <c r="A31" s="146"/>
      <c r="B31" s="106" t="s">
        <v>51</v>
      </c>
      <c r="C31" s="106" t="s">
        <v>148</v>
      </c>
      <c r="D31" s="36"/>
      <c r="E31" s="46">
        <v>0</v>
      </c>
      <c r="F31" s="30"/>
    </row>
    <row r="32" spans="1:9" ht="5.0999999999999996" hidden="1" customHeight="1" thickBot="1">
      <c r="A32" s="147"/>
      <c r="B32" s="148"/>
      <c r="C32" s="149"/>
      <c r="D32" s="150"/>
      <c r="E32" s="151"/>
      <c r="F32" s="226"/>
    </row>
    <row r="33" spans="1:8" ht="35.1" hidden="1" customHeight="1" thickBot="1">
      <c r="A33" s="130" t="s">
        <v>81</v>
      </c>
      <c r="B33" s="131"/>
      <c r="C33" s="131"/>
      <c r="D33" s="49">
        <v>0</v>
      </c>
      <c r="E33" s="47">
        <v>0</v>
      </c>
      <c r="F33" s="653">
        <v>0</v>
      </c>
      <c r="G33" s="152"/>
      <c r="H33" s="153"/>
    </row>
    <row r="34" spans="1:8" ht="15" hidden="1">
      <c r="D34" s="95"/>
      <c r="E34" s="95"/>
      <c r="F34" s="212"/>
    </row>
    <row r="35" spans="1:8" ht="15">
      <c r="D35" s="140"/>
      <c r="E35" s="140"/>
      <c r="F35" s="246"/>
    </row>
    <row r="36" spans="1:8" ht="15">
      <c r="C36" s="247"/>
      <c r="D36" s="207"/>
      <c r="E36" s="246"/>
      <c r="F36" s="246"/>
    </row>
    <row r="37" spans="1:8">
      <c r="D37" s="207"/>
      <c r="E37" s="112"/>
      <c r="F37" s="212"/>
    </row>
    <row r="38" spans="1:8">
      <c r="D38" s="207"/>
      <c r="E38" s="213"/>
      <c r="F38" s="212"/>
    </row>
    <row r="39" spans="1:8" ht="15">
      <c r="D39" s="213"/>
      <c r="E39" s="207"/>
      <c r="F39" s="246"/>
    </row>
    <row r="40" spans="1:8">
      <c r="B40" s="154" t="s">
        <v>355</v>
      </c>
      <c r="D40" s="112"/>
      <c r="E40" s="112"/>
      <c r="F40" s="213"/>
    </row>
  </sheetData>
  <printOptions horizontalCentered="1"/>
  <pageMargins left="0.39370078740157483" right="0.39370078740157483" top="0.59055118110236227" bottom="0.78740157480314965" header="0.15748031496062992" footer="0.59055118110236227"/>
  <pageSetup paperSize="9" scale="63" firstPageNumber="212" orientation="landscape" useFirstPageNumber="1" r:id="rId1"/>
  <headerFooter alignWithMargins="0">
    <oddFooter>&amp;C&amp;12página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D8"/>
  <sheetViews>
    <sheetView view="pageBreakPreview" zoomScale="80" zoomScaleNormal="80" zoomScaleSheetLayoutView="80" workbookViewId="0">
      <selection activeCell="F13" sqref="F13"/>
    </sheetView>
  </sheetViews>
  <sheetFormatPr defaultRowHeight="12.75"/>
  <cols>
    <col min="1" max="1" width="23.7109375" bestFit="1" customWidth="1"/>
    <col min="2" max="2" width="24.7109375" customWidth="1"/>
    <col min="3" max="3" width="19.5703125" customWidth="1"/>
    <col min="4" max="4" width="113" customWidth="1"/>
  </cols>
  <sheetData>
    <row r="1" spans="1:4" ht="33.75">
      <c r="A1" s="54"/>
      <c r="B1" s="55" t="s">
        <v>356</v>
      </c>
      <c r="C1" s="55"/>
      <c r="D1" s="56"/>
    </row>
    <row r="2" spans="1:4" ht="30">
      <c r="A2" s="20"/>
      <c r="B2" s="56" t="s">
        <v>357</v>
      </c>
      <c r="D2" s="56"/>
    </row>
    <row r="3" spans="1:4" ht="27.75">
      <c r="A3" s="57"/>
      <c r="B3" s="57"/>
      <c r="C3" s="58"/>
      <c r="D3" s="170" t="str">
        <f>Resumo!E3</f>
        <v>Abril-16</v>
      </c>
    </row>
    <row r="4" spans="1:4" ht="25.5">
      <c r="D4" s="59"/>
    </row>
    <row r="5" spans="1:4" ht="31.5">
      <c r="A5" s="60" t="s">
        <v>76</v>
      </c>
      <c r="B5" s="60" t="s">
        <v>77</v>
      </c>
      <c r="C5" s="60" t="s">
        <v>78</v>
      </c>
      <c r="D5" s="60" t="s">
        <v>1902</v>
      </c>
    </row>
    <row r="6" spans="1:4" ht="23.25" customHeight="1">
      <c r="A6" s="68"/>
      <c r="B6" s="62"/>
      <c r="C6" s="69"/>
      <c r="D6" s="596" t="s">
        <v>1903</v>
      </c>
    </row>
    <row r="7" spans="1:4" ht="36" customHeight="1">
      <c r="A7" s="64" t="s">
        <v>81</v>
      </c>
      <c r="B7" s="65"/>
      <c r="C7" s="66">
        <f>SUM(C6:C6)</f>
        <v>0</v>
      </c>
      <c r="D7" s="67"/>
    </row>
    <row r="8" spans="1:4" ht="42.75" customHeight="1">
      <c r="A8" s="1093" t="s">
        <v>84</v>
      </c>
      <c r="B8" s="1093"/>
      <c r="C8" s="1093"/>
      <c r="D8" s="1093"/>
    </row>
  </sheetData>
  <mergeCells count="1">
    <mergeCell ref="A8:D8"/>
  </mergeCells>
  <pageMargins left="0.78740157480314965" right="0.78740157480314965" top="0.98425196850393704" bottom="0.78740157480314965" header="0.51181102362204722" footer="0.59055118110236227"/>
  <pageSetup paperSize="9" scale="71" firstPageNumber="213" orientation="landscape" useFirstPageNumber="1" r:id="rId1"/>
  <headerFooter alignWithMargins="0">
    <oddFooter>&amp;C&amp;12página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XFC73"/>
  <sheetViews>
    <sheetView showGridLines="0" view="pageBreakPreview" topLeftCell="C1" zoomScale="80" zoomScaleNormal="100" zoomScaleSheetLayoutView="80" workbookViewId="0">
      <selection activeCell="F13" sqref="F13"/>
    </sheetView>
  </sheetViews>
  <sheetFormatPr defaultColWidth="9.140625" defaultRowHeight="12.75" outlineLevelRow="2"/>
  <cols>
    <col min="1" max="1" width="58.140625" style="334" customWidth="1"/>
    <col min="2" max="2" width="14.7109375" style="239" hidden="1" customWidth="1"/>
    <col min="3" max="3" width="15.140625" style="334" customWidth="1"/>
    <col min="4" max="4" width="16" style="334" customWidth="1"/>
    <col min="5" max="5" width="66" style="260" customWidth="1"/>
    <col min="6" max="6" width="25.85546875" style="260" customWidth="1"/>
    <col min="7" max="7" width="14" style="239" customWidth="1"/>
    <col min="8" max="8" width="12.5703125" style="334" customWidth="1"/>
    <col min="9" max="9" width="19" style="334" customWidth="1"/>
    <col min="10" max="10" width="23.85546875" style="334" customWidth="1"/>
    <col min="11" max="11" width="35.42578125" style="334" customWidth="1"/>
    <col min="12" max="12" width="3" style="334" customWidth="1"/>
    <col min="13" max="13" width="3.28515625" style="334" bestFit="1" customWidth="1"/>
    <col min="14" max="16384" width="9.140625" style="334"/>
  </cols>
  <sheetData>
    <row r="1" spans="1:13 16383:16383" s="203" customFormat="1" ht="33.75">
      <c r="B1" s="248"/>
      <c r="D1" s="249"/>
      <c r="E1" s="249"/>
      <c r="F1" s="250" t="s">
        <v>111</v>
      </c>
      <c r="G1" s="251"/>
      <c r="H1" s="252"/>
      <c r="I1" s="249"/>
    </row>
    <row r="2" spans="1:13 16383:16383" s="203" customFormat="1" ht="27.75">
      <c r="B2" s="248"/>
      <c r="C2" s="253"/>
      <c r="D2" s="253"/>
      <c r="E2" s="249"/>
      <c r="F2" s="86" t="s">
        <v>358</v>
      </c>
      <c r="G2" s="249"/>
      <c r="H2" s="249"/>
      <c r="I2" s="253"/>
    </row>
    <row r="3" spans="1:13 16383:16383" s="203" customFormat="1" ht="27.75">
      <c r="B3" s="248"/>
      <c r="C3" s="254"/>
      <c r="D3" s="254"/>
      <c r="E3" s="254"/>
      <c r="F3" s="255" t="str">
        <f>Resumo!E3</f>
        <v>Abril-16</v>
      </c>
      <c r="G3" s="234"/>
      <c r="H3" s="256"/>
      <c r="I3" s="254"/>
    </row>
    <row r="4" spans="1:13 16383:16383" s="84" customFormat="1" ht="20.25">
      <c r="B4" s="85"/>
      <c r="C4" s="87"/>
      <c r="D4" s="87"/>
      <c r="E4" s="87"/>
      <c r="F4" s="87"/>
      <c r="G4" s="257"/>
      <c r="H4" s="258"/>
      <c r="I4" s="87"/>
    </row>
    <row r="5" spans="1:13 16383:16383" s="361" customFormat="1" ht="30">
      <c r="A5" s="490" t="s">
        <v>2078</v>
      </c>
      <c r="B5" s="490" t="s">
        <v>2077</v>
      </c>
      <c r="C5" s="534" t="s">
        <v>176</v>
      </c>
      <c r="D5" s="535"/>
      <c r="E5" s="536" t="s">
        <v>114</v>
      </c>
      <c r="F5" s="535" t="s">
        <v>115</v>
      </c>
      <c r="G5" s="535" t="s">
        <v>116</v>
      </c>
      <c r="H5" s="535" t="s">
        <v>117</v>
      </c>
      <c r="I5" s="536" t="s">
        <v>118</v>
      </c>
      <c r="J5" s="537" t="s">
        <v>119</v>
      </c>
      <c r="L5" s="456"/>
    </row>
    <row r="6" spans="1:13 16383:16383" s="361" customFormat="1" ht="15" outlineLevel="1">
      <c r="A6" s="490"/>
      <c r="B6" s="490"/>
      <c r="C6" s="805"/>
      <c r="D6" s="806"/>
      <c r="E6" s="805"/>
      <c r="F6" s="806"/>
      <c r="G6" s="806"/>
      <c r="H6" s="806"/>
      <c r="I6" s="805"/>
      <c r="J6" s="806"/>
      <c r="L6" s="456"/>
    </row>
    <row r="7" spans="1:13 16383:16383" s="84" customFormat="1" ht="42.75" outlineLevel="2">
      <c r="A7" s="815" t="s">
        <v>2768</v>
      </c>
      <c r="B7" s="816">
        <v>132050100000</v>
      </c>
      <c r="C7" s="877" t="s">
        <v>371</v>
      </c>
      <c r="D7" s="817"/>
      <c r="E7" s="818" t="s">
        <v>2769</v>
      </c>
      <c r="F7" s="818" t="s">
        <v>439</v>
      </c>
      <c r="G7" s="818" t="str">
        <f>"4147"</f>
        <v>4147</v>
      </c>
      <c r="H7" s="875">
        <v>42430</v>
      </c>
      <c r="I7" s="876">
        <v>42488</v>
      </c>
      <c r="J7" s="819">
        <v>984</v>
      </c>
      <c r="XFC7" s="84">
        <f>SUM(B7:XFB7)</f>
        <v>132050185902</v>
      </c>
    </row>
    <row r="8" spans="1:13 16383:16383" s="84" customFormat="1" ht="42.75" outlineLevel="2">
      <c r="A8" s="815" t="s">
        <v>2768</v>
      </c>
      <c r="B8" s="816">
        <v>132050100000</v>
      </c>
      <c r="C8" s="877" t="s">
        <v>371</v>
      </c>
      <c r="D8" s="817"/>
      <c r="E8" s="818" t="s">
        <v>2769</v>
      </c>
      <c r="F8" s="818" t="s">
        <v>439</v>
      </c>
      <c r="G8" s="818" t="str">
        <f>"4147"</f>
        <v>4147</v>
      </c>
      <c r="H8" s="875">
        <v>42430</v>
      </c>
      <c r="I8" s="876">
        <v>42488</v>
      </c>
      <c r="J8" s="819">
        <v>984</v>
      </c>
    </row>
    <row r="9" spans="1:13 16383:16383" s="84" customFormat="1" ht="42.75" outlineLevel="2">
      <c r="A9" s="815" t="s">
        <v>2768</v>
      </c>
      <c r="B9" s="816">
        <v>132050100000</v>
      </c>
      <c r="C9" s="877" t="s">
        <v>371</v>
      </c>
      <c r="D9" s="817"/>
      <c r="E9" s="818" t="s">
        <v>2769</v>
      </c>
      <c r="F9" s="818" t="s">
        <v>439</v>
      </c>
      <c r="G9" s="818" t="str">
        <f>"4147"</f>
        <v>4147</v>
      </c>
      <c r="H9" s="875">
        <v>42430</v>
      </c>
      <c r="I9" s="876">
        <v>42488</v>
      </c>
      <c r="J9" s="819">
        <v>163</v>
      </c>
    </row>
    <row r="10" spans="1:13 16383:16383" s="763" customFormat="1" ht="14.25" outlineLevel="1">
      <c r="A10" s="758"/>
      <c r="B10" s="760"/>
      <c r="C10" s="554" t="s">
        <v>371</v>
      </c>
      <c r="D10" s="807"/>
      <c r="E10" s="554" t="str">
        <f>VLOOKUP(C10,$C$19:$D$52,2,FALSE)</f>
        <v>TOTAL POUPATEMPO RIBEIRÃO PRETO</v>
      </c>
      <c r="F10" s="807"/>
      <c r="G10" s="807"/>
      <c r="H10" s="808"/>
      <c r="I10" s="809"/>
      <c r="J10" s="762">
        <f>SUBTOTAL(9,J7:J9)</f>
        <v>2131</v>
      </c>
    </row>
    <row r="11" spans="1:13 16383:16383" s="505" customFormat="1" ht="14.25">
      <c r="A11" s="492"/>
      <c r="B11" s="491"/>
      <c r="C11" s="582"/>
      <c r="D11" s="583"/>
      <c r="E11" s="583"/>
      <c r="F11" s="584"/>
      <c r="G11" s="585"/>
      <c r="H11" s="580"/>
      <c r="I11" s="586"/>
      <c r="J11" s="586"/>
      <c r="K11" s="538"/>
      <c r="L11" s="538"/>
    </row>
    <row r="12" spans="1:13 16383:16383" s="505" customFormat="1" ht="14.25" outlineLevel="1">
      <c r="A12" s="492"/>
      <c r="B12" s="491"/>
      <c r="C12" s="811" t="s">
        <v>134</v>
      </c>
      <c r="D12" s="554"/>
      <c r="E12" s="554"/>
      <c r="F12" s="761"/>
      <c r="G12" s="812"/>
      <c r="H12" s="813"/>
      <c r="I12" s="563"/>
      <c r="J12" s="563">
        <f>J10</f>
        <v>2131</v>
      </c>
      <c r="K12" s="538"/>
      <c r="L12" s="538"/>
      <c r="M12" s="538"/>
    </row>
    <row r="15" spans="1:13 16383:16383" hidden="1"/>
    <row r="16" spans="1:13 16383:16383" ht="14.25" hidden="1">
      <c r="A16" s="261" t="s">
        <v>362</v>
      </c>
      <c r="B16" s="204"/>
      <c r="C16" s="261" t="s">
        <v>363</v>
      </c>
      <c r="D16" s="261"/>
      <c r="E16" s="262" t="s">
        <v>120</v>
      </c>
      <c r="F16" s="262" t="s">
        <v>121</v>
      </c>
      <c r="G16" s="204" t="s">
        <v>122</v>
      </c>
      <c r="H16" s="564"/>
      <c r="I16" s="858"/>
      <c r="J16" s="259"/>
    </row>
    <row r="17" spans="3:9" hidden="1"/>
    <row r="18" spans="3:9" hidden="1"/>
    <row r="19" spans="3:9" ht="15" hidden="1">
      <c r="C19" s="263" t="s">
        <v>363</v>
      </c>
      <c r="D19" s="264" t="s">
        <v>206</v>
      </c>
      <c r="E19" s="264"/>
      <c r="F19" s="264"/>
      <c r="G19" s="264"/>
      <c r="H19" s="264"/>
      <c r="I19" s="264"/>
    </row>
    <row r="20" spans="3:9" ht="15" hidden="1">
      <c r="C20" s="263" t="s">
        <v>364</v>
      </c>
      <c r="D20" s="264" t="s">
        <v>164</v>
      </c>
      <c r="E20" s="264"/>
      <c r="F20" s="264"/>
      <c r="G20" s="264"/>
      <c r="H20" s="264"/>
      <c r="I20" s="264"/>
    </row>
    <row r="21" spans="3:9" ht="15" hidden="1">
      <c r="C21" s="263" t="s">
        <v>365</v>
      </c>
      <c r="D21" s="264" t="s">
        <v>160</v>
      </c>
      <c r="E21" s="264"/>
      <c r="F21" s="264"/>
      <c r="G21" s="264"/>
      <c r="H21" s="264"/>
      <c r="I21" s="264"/>
    </row>
    <row r="22" spans="3:9" ht="15" hidden="1">
      <c r="C22" s="263" t="s">
        <v>366</v>
      </c>
      <c r="D22" s="264" t="s">
        <v>167</v>
      </c>
      <c r="E22" s="264"/>
      <c r="F22" s="264"/>
      <c r="G22" s="264"/>
      <c r="H22" s="264"/>
      <c r="I22" s="264"/>
    </row>
    <row r="23" spans="3:9" ht="15" hidden="1">
      <c r="C23" s="263" t="s">
        <v>367</v>
      </c>
      <c r="D23" s="264" t="s">
        <v>171</v>
      </c>
      <c r="E23" s="264"/>
      <c r="F23" s="264"/>
      <c r="G23" s="264"/>
      <c r="H23" s="264"/>
      <c r="I23" s="264"/>
    </row>
    <row r="24" spans="3:9" ht="15" hidden="1">
      <c r="C24" s="263" t="s">
        <v>360</v>
      </c>
      <c r="D24" s="264" t="s">
        <v>172</v>
      </c>
      <c r="E24" s="264"/>
      <c r="F24" s="264"/>
      <c r="G24" s="264"/>
      <c r="H24" s="264"/>
      <c r="I24" s="264"/>
    </row>
    <row r="25" spans="3:9" ht="15" hidden="1">
      <c r="C25" s="263" t="s">
        <v>368</v>
      </c>
      <c r="D25" s="264" t="s">
        <v>163</v>
      </c>
      <c r="E25" s="264"/>
      <c r="F25" s="264"/>
      <c r="G25" s="264"/>
      <c r="H25" s="264"/>
      <c r="I25" s="264"/>
    </row>
    <row r="26" spans="3:9" ht="15" hidden="1">
      <c r="C26" s="263" t="s">
        <v>369</v>
      </c>
      <c r="D26" s="264" t="s">
        <v>169</v>
      </c>
      <c r="E26" s="264"/>
      <c r="F26" s="264"/>
      <c r="G26" s="264"/>
      <c r="H26" s="264"/>
      <c r="I26" s="264"/>
    </row>
    <row r="27" spans="3:9" ht="15" hidden="1">
      <c r="C27" s="263" t="s">
        <v>370</v>
      </c>
      <c r="D27" s="264" t="s">
        <v>162</v>
      </c>
      <c r="E27" s="264"/>
      <c r="F27" s="264"/>
      <c r="G27" s="264"/>
      <c r="H27" s="264"/>
      <c r="I27" s="264"/>
    </row>
    <row r="28" spans="3:9" ht="15" hidden="1">
      <c r="C28" s="263" t="s">
        <v>371</v>
      </c>
      <c r="D28" s="264" t="s">
        <v>166</v>
      </c>
      <c r="E28" s="264"/>
      <c r="F28" s="264"/>
      <c r="G28" s="264"/>
      <c r="H28" s="264"/>
      <c r="I28" s="264"/>
    </row>
    <row r="29" spans="3:9" ht="15" hidden="1">
      <c r="C29" s="263" t="s">
        <v>372</v>
      </c>
      <c r="D29" s="264" t="s">
        <v>161</v>
      </c>
      <c r="E29" s="264"/>
      <c r="F29" s="264"/>
      <c r="G29" s="264"/>
      <c r="H29" s="264"/>
      <c r="I29" s="264"/>
    </row>
    <row r="30" spans="3:9" ht="15" hidden="1">
      <c r="C30" s="263" t="s">
        <v>373</v>
      </c>
      <c r="D30" s="264" t="s">
        <v>159</v>
      </c>
      <c r="E30" s="264"/>
      <c r="F30" s="264"/>
      <c r="G30" s="264"/>
      <c r="H30" s="264"/>
      <c r="I30" s="264"/>
    </row>
    <row r="31" spans="3:9" ht="15" hidden="1">
      <c r="C31" s="263" t="s">
        <v>374</v>
      </c>
      <c r="D31" s="264" t="s">
        <v>165</v>
      </c>
      <c r="E31" s="264"/>
      <c r="F31" s="264"/>
      <c r="G31" s="264"/>
      <c r="H31" s="264"/>
      <c r="I31" s="264"/>
    </row>
    <row r="32" spans="3:9" ht="15" hidden="1">
      <c r="C32" s="263" t="s">
        <v>375</v>
      </c>
      <c r="D32" s="264" t="s">
        <v>168</v>
      </c>
      <c r="E32" s="264"/>
      <c r="F32" s="264"/>
      <c r="G32" s="264"/>
      <c r="H32" s="264"/>
      <c r="I32" s="264"/>
    </row>
    <row r="33" spans="3:9" ht="15" hidden="1">
      <c r="C33" s="263" t="s">
        <v>376</v>
      </c>
      <c r="D33" s="264" t="s">
        <v>170</v>
      </c>
      <c r="E33" s="264"/>
      <c r="F33" s="264"/>
      <c r="G33" s="264"/>
      <c r="H33" s="264"/>
      <c r="I33" s="264"/>
    </row>
    <row r="34" spans="3:9" ht="15" hidden="1">
      <c r="C34" s="263" t="s">
        <v>377</v>
      </c>
      <c r="D34" s="264" t="s">
        <v>125</v>
      </c>
      <c r="E34" s="264"/>
      <c r="F34" s="264"/>
      <c r="G34" s="264"/>
      <c r="H34" s="264"/>
      <c r="I34" s="264"/>
    </row>
    <row r="35" spans="3:9" ht="15" hidden="1">
      <c r="C35" s="263" t="s">
        <v>378</v>
      </c>
      <c r="D35" s="264" t="s">
        <v>126</v>
      </c>
      <c r="E35" s="264"/>
      <c r="F35" s="264"/>
      <c r="G35" s="264"/>
      <c r="H35" s="264"/>
      <c r="I35" s="264"/>
    </row>
    <row r="36" spans="3:9" ht="15" hidden="1">
      <c r="C36" s="263" t="s">
        <v>379</v>
      </c>
      <c r="D36" s="264" t="s">
        <v>124</v>
      </c>
      <c r="E36" s="264"/>
      <c r="F36" s="264"/>
      <c r="G36" s="264"/>
      <c r="H36" s="264"/>
      <c r="I36" s="264"/>
    </row>
    <row r="37" spans="3:9" ht="15" hidden="1">
      <c r="C37" s="263" t="s">
        <v>380</v>
      </c>
      <c r="D37" s="264" t="s">
        <v>127</v>
      </c>
      <c r="E37" s="264"/>
      <c r="F37" s="264"/>
      <c r="G37" s="264"/>
      <c r="H37" s="264"/>
      <c r="I37" s="264"/>
    </row>
    <row r="38" spans="3:9" ht="15" hidden="1">
      <c r="C38" s="263" t="s">
        <v>381</v>
      </c>
      <c r="D38" s="264" t="s">
        <v>128</v>
      </c>
      <c r="E38" s="264"/>
      <c r="F38" s="264"/>
      <c r="G38" s="264"/>
      <c r="H38" s="264"/>
      <c r="I38" s="264"/>
    </row>
    <row r="39" spans="3:9" ht="15" hidden="1">
      <c r="C39" s="263" t="s">
        <v>382</v>
      </c>
      <c r="D39" s="264" t="s">
        <v>129</v>
      </c>
      <c r="E39" s="264"/>
      <c r="F39" s="264"/>
      <c r="G39" s="264"/>
      <c r="H39" s="264"/>
      <c r="I39" s="264"/>
    </row>
    <row r="40" spans="3:9" ht="15" hidden="1">
      <c r="C40" s="263" t="s">
        <v>383</v>
      </c>
      <c r="D40" s="264" t="s">
        <v>130</v>
      </c>
      <c r="E40" s="264"/>
      <c r="F40" s="264"/>
      <c r="G40" s="264"/>
      <c r="H40" s="264"/>
      <c r="I40" s="264"/>
    </row>
    <row r="41" spans="3:9" ht="15" hidden="1">
      <c r="C41" s="263" t="s">
        <v>384</v>
      </c>
      <c r="D41" s="264" t="s">
        <v>131</v>
      </c>
      <c r="E41" s="264"/>
      <c r="F41" s="264"/>
      <c r="G41" s="264"/>
      <c r="H41" s="264"/>
      <c r="I41" s="264"/>
    </row>
    <row r="42" spans="3:9" ht="15" hidden="1">
      <c r="C42" s="263" t="s">
        <v>385</v>
      </c>
      <c r="D42" s="264" t="s">
        <v>132</v>
      </c>
      <c r="E42" s="264"/>
      <c r="F42" s="264"/>
      <c r="G42" s="264"/>
      <c r="H42" s="264"/>
      <c r="I42" s="264"/>
    </row>
    <row r="43" spans="3:9" ht="15" hidden="1">
      <c r="C43" s="263" t="s">
        <v>386</v>
      </c>
      <c r="D43" s="264" t="s">
        <v>133</v>
      </c>
      <c r="E43" s="264"/>
      <c r="F43" s="264"/>
      <c r="G43" s="264"/>
      <c r="H43" s="264"/>
      <c r="I43" s="264"/>
    </row>
    <row r="44" spans="3:9" ht="15" hidden="1">
      <c r="C44" s="263" t="s">
        <v>387</v>
      </c>
      <c r="D44" s="264" t="s">
        <v>185</v>
      </c>
      <c r="E44" s="264"/>
      <c r="F44" s="264"/>
      <c r="G44" s="264"/>
      <c r="H44" s="264"/>
      <c r="I44" s="264"/>
    </row>
    <row r="45" spans="3:9" ht="15" hidden="1">
      <c r="C45" s="263" t="s">
        <v>388</v>
      </c>
      <c r="D45" s="264" t="s">
        <v>187</v>
      </c>
      <c r="E45" s="264"/>
      <c r="F45" s="264"/>
      <c r="G45" s="264"/>
      <c r="H45" s="264"/>
      <c r="I45" s="264"/>
    </row>
    <row r="46" spans="3:9" ht="15" hidden="1">
      <c r="C46" s="263" t="s">
        <v>389</v>
      </c>
      <c r="D46" s="264" t="s">
        <v>189</v>
      </c>
      <c r="E46" s="264"/>
      <c r="F46" s="264"/>
      <c r="G46" s="264"/>
      <c r="H46" s="264"/>
      <c r="I46" s="264"/>
    </row>
    <row r="47" spans="3:9" ht="15" hidden="1">
      <c r="C47" s="263" t="s">
        <v>390</v>
      </c>
      <c r="D47" s="264" t="s">
        <v>191</v>
      </c>
      <c r="E47" s="264"/>
      <c r="F47" s="264"/>
      <c r="G47" s="264"/>
      <c r="H47" s="264"/>
      <c r="I47" s="264"/>
    </row>
    <row r="48" spans="3:9" ht="15" hidden="1">
      <c r="C48" s="263" t="s">
        <v>391</v>
      </c>
      <c r="D48" s="264" t="s">
        <v>193</v>
      </c>
      <c r="E48" s="264"/>
      <c r="F48" s="264"/>
      <c r="G48" s="264"/>
      <c r="H48" s="264"/>
      <c r="I48" s="264"/>
    </row>
    <row r="49" spans="3:9" ht="15" hidden="1">
      <c r="C49" s="263" t="s">
        <v>392</v>
      </c>
      <c r="D49" s="264" t="s">
        <v>195</v>
      </c>
      <c r="E49" s="264"/>
      <c r="F49" s="264"/>
      <c r="G49" s="264"/>
      <c r="H49" s="264"/>
      <c r="I49" s="264"/>
    </row>
    <row r="50" spans="3:9" ht="15" hidden="1">
      <c r="C50" s="263" t="s">
        <v>393</v>
      </c>
      <c r="D50" s="264" t="s">
        <v>197</v>
      </c>
      <c r="E50" s="264"/>
      <c r="F50" s="264"/>
      <c r="G50" s="264"/>
      <c r="H50" s="264"/>
      <c r="I50" s="264"/>
    </row>
    <row r="51" spans="3:9" ht="15" hidden="1">
      <c r="C51" s="263" t="s">
        <v>394</v>
      </c>
      <c r="D51" s="264" t="s">
        <v>218</v>
      </c>
      <c r="E51" s="264"/>
      <c r="F51" s="264"/>
      <c r="G51" s="264"/>
      <c r="H51" s="264"/>
      <c r="I51" s="264"/>
    </row>
    <row r="52" spans="3:9" ht="15" hidden="1">
      <c r="C52" s="263" t="s">
        <v>442</v>
      </c>
      <c r="D52" s="264" t="s">
        <v>315</v>
      </c>
      <c r="E52" s="264"/>
      <c r="F52" s="264"/>
      <c r="G52" s="264"/>
      <c r="H52" s="264"/>
      <c r="I52" s="264"/>
    </row>
    <row r="53" spans="3:9" hidden="1"/>
    <row r="65" spans="2:6">
      <c r="B65" s="334"/>
    </row>
    <row r="73" spans="2:6" ht="38.25">
      <c r="F73" s="260" t="s">
        <v>7857</v>
      </c>
    </row>
  </sheetData>
  <sortState ref="A6:N7">
    <sortCondition ref="I6:I7"/>
    <sortCondition ref="E6:E7"/>
    <sortCondition ref="G6:G7"/>
  </sortState>
  <printOptions horizontalCentered="1"/>
  <pageMargins left="0.39370078740157483" right="0.39370078740157483" top="0.59055118110236227" bottom="0.78740157480314965" header="0.51181102362204722" footer="0.59055118110236227"/>
  <pageSetup paperSize="9" scale="65" firstPageNumber="214" orientation="landscape" useFirstPageNumber="1" r:id="rId1"/>
  <headerFooter alignWithMargins="0">
    <oddFooter>&amp;C&amp;12página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4:A11"/>
  <sheetViews>
    <sheetView showGridLines="0" view="pageBreakPreview" zoomScale="80" zoomScaleNormal="90" zoomScaleSheetLayoutView="80" workbookViewId="0">
      <selection activeCell="F13" sqref="F13"/>
    </sheetView>
  </sheetViews>
  <sheetFormatPr defaultRowHeight="12.75"/>
  <cols>
    <col min="1" max="1" width="138" customWidth="1"/>
  </cols>
  <sheetData>
    <row r="4" spans="1:1" ht="46.5">
      <c r="A4" s="6" t="s">
        <v>23</v>
      </c>
    </row>
    <row r="6" spans="1:1" ht="48.75" customHeight="1">
      <c r="A6" s="7" t="s">
        <v>24</v>
      </c>
    </row>
    <row r="7" spans="1:1" s="9" customFormat="1" ht="138.75" customHeight="1">
      <c r="A7" s="8" t="s">
        <v>25</v>
      </c>
    </row>
    <row r="8" spans="1:1" s="9" customFormat="1" ht="57">
      <c r="A8" s="10" t="s">
        <v>26</v>
      </c>
    </row>
    <row r="9" spans="1:1" ht="72" customHeight="1">
      <c r="A9" s="11" t="s">
        <v>2763</v>
      </c>
    </row>
    <row r="10" spans="1:1" ht="74.25" customHeight="1">
      <c r="A10" s="11" t="s">
        <v>27</v>
      </c>
    </row>
    <row r="11" spans="1:1" ht="79.5" customHeight="1">
      <c r="A11" s="11" t="s">
        <v>28</v>
      </c>
    </row>
  </sheetData>
  <printOptions horizontalCentered="1"/>
  <pageMargins left="0.59055118110236227" right="0.59055118110236227" top="0.59055118110236227" bottom="0.78740157480314965" header="0.51181102362204722" footer="0.59055118110236227"/>
  <pageSetup paperSize="9" scale="86" firstPageNumber="3" orientation="landscape" useFirstPageNumber="1" r:id="rId1"/>
  <headerFooter alignWithMargins="0">
    <oddFooter>&amp;C&amp;12página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15"/>
  <sheetViews>
    <sheetView showGridLines="0" tabSelected="1" view="pageBreakPreview" zoomScale="80" zoomScaleNormal="60" zoomScaleSheetLayoutView="80" workbookViewId="0">
      <selection activeCell="F13" sqref="F13"/>
    </sheetView>
  </sheetViews>
  <sheetFormatPr defaultRowHeight="12.75"/>
  <cols>
    <col min="1" max="1" width="89" customWidth="1"/>
    <col min="2" max="2" width="38.5703125" customWidth="1"/>
    <col min="3" max="8" width="11.42578125" customWidth="1"/>
  </cols>
  <sheetData>
    <row r="1" spans="1:7" ht="33.75">
      <c r="A1" s="92" t="s">
        <v>2099</v>
      </c>
      <c r="B1" s="92"/>
      <c r="C1" s="92"/>
      <c r="D1" s="362"/>
      <c r="E1" s="362"/>
      <c r="F1" s="362"/>
    </row>
    <row r="2" spans="1:7" ht="30">
      <c r="A2" s="74" t="s">
        <v>2100</v>
      </c>
      <c r="B2" s="74"/>
      <c r="C2" s="74"/>
      <c r="D2" s="363"/>
      <c r="E2" s="363"/>
      <c r="F2" s="363"/>
    </row>
    <row r="3" spans="1:7" ht="30">
      <c r="A3" s="91"/>
      <c r="B3" s="91" t="str">
        <f>Resumo!E3</f>
        <v>Abril-16</v>
      </c>
      <c r="C3" s="91"/>
      <c r="D3" s="364"/>
      <c r="E3" s="364"/>
      <c r="F3" s="364"/>
    </row>
    <row r="6" spans="1:7" ht="23.25" customHeight="1"/>
    <row r="8" spans="1:7" ht="26.25">
      <c r="A8" s="1116"/>
      <c r="B8" s="1116"/>
    </row>
    <row r="11" spans="1:7" ht="26.25">
      <c r="A11" s="488"/>
      <c r="B11" s="488"/>
    </row>
    <row r="15" spans="1:7" ht="20.25">
      <c r="A15" s="1128"/>
      <c r="B15" s="1128"/>
      <c r="C15" s="1128"/>
      <c r="D15" s="1128"/>
      <c r="E15" s="1128"/>
      <c r="F15" s="1128"/>
      <c r="G15" s="1128"/>
    </row>
  </sheetData>
  <mergeCells count="2">
    <mergeCell ref="A8:B8"/>
    <mergeCell ref="A15:G15"/>
  </mergeCells>
  <printOptions horizontalCentered="1"/>
  <pageMargins left="0.78740157480314965" right="0.78740157480314965" top="0.59055118110236227" bottom="0.78740157480314965" header="0.51181102362204722" footer="0.59055118110236227"/>
  <pageSetup paperSize="9" scale="55" firstPageNumber="215" orientation="landscape" useFirstPageNumber="1" r:id="rId1"/>
  <headerFooter alignWithMargins="0">
    <oddFooter>&amp;C&amp;12página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28"/>
  <sheetViews>
    <sheetView showGridLines="0" view="pageBreakPreview" topLeftCell="A3" zoomScale="80" zoomScaleNormal="100" zoomScaleSheetLayoutView="80" workbookViewId="0">
      <selection activeCell="F13" sqref="F13"/>
    </sheetView>
  </sheetViews>
  <sheetFormatPr defaultRowHeight="12.75"/>
  <cols>
    <col min="1" max="1" width="82.7109375" style="5" customWidth="1"/>
    <col min="2" max="2" width="9.140625" style="5"/>
    <col min="3" max="3" width="23.28515625" style="5" customWidth="1"/>
    <col min="4" max="4" width="25" style="5" customWidth="1"/>
    <col min="5" max="6" width="25.42578125" style="5" bestFit="1" customWidth="1"/>
    <col min="7" max="7" width="9.140625" style="5"/>
    <col min="8" max="8" width="23.28515625" style="5" customWidth="1"/>
    <col min="9" max="9" width="20.5703125" style="5" customWidth="1"/>
    <col min="10" max="16384" width="9.140625" style="5"/>
  </cols>
  <sheetData>
    <row r="1" spans="1:6">
      <c r="A1" s="334"/>
      <c r="B1" s="334"/>
      <c r="C1" s="334"/>
      <c r="D1" s="334"/>
      <c r="E1" s="334"/>
      <c r="F1" s="334"/>
    </row>
    <row r="2" spans="1:6">
      <c r="A2" s="334"/>
      <c r="B2" s="334"/>
      <c r="C2" s="334"/>
      <c r="D2" s="334"/>
      <c r="E2" s="334"/>
      <c r="F2" s="334"/>
    </row>
    <row r="3" spans="1:6" ht="33.75">
      <c r="A3" s="1092" t="s">
        <v>29</v>
      </c>
      <c r="B3" s="1092"/>
      <c r="C3" s="1092"/>
      <c r="D3" s="1092"/>
      <c r="E3" s="1021" t="s">
        <v>2766</v>
      </c>
      <c r="F3" s="1022"/>
    </row>
    <row r="4" spans="1:6" ht="20.25">
      <c r="A4" s="1023"/>
      <c r="B4" s="1023"/>
      <c r="C4" s="1023"/>
      <c r="D4" s="1023"/>
      <c r="E4" s="1023"/>
      <c r="F4" s="1023"/>
    </row>
    <row r="5" spans="1:6" ht="20.25">
      <c r="A5" s="334"/>
      <c r="B5" s="1024"/>
      <c r="C5" s="1024"/>
      <c r="D5" s="1024"/>
      <c r="E5" s="334"/>
      <c r="F5" s="112"/>
    </row>
    <row r="6" spans="1:6" ht="20.25">
      <c r="A6" s="334"/>
      <c r="B6" s="1024"/>
      <c r="C6" s="1024"/>
      <c r="D6" s="1024"/>
      <c r="E6" s="334"/>
      <c r="F6" s="1025" t="s">
        <v>30</v>
      </c>
    </row>
    <row r="7" spans="1:6" ht="23.25" customHeight="1">
      <c r="A7" s="1024" t="s">
        <v>31</v>
      </c>
      <c r="B7" s="1024"/>
      <c r="C7" s="1024" t="s">
        <v>2075</v>
      </c>
      <c r="D7" s="1024" t="s">
        <v>32</v>
      </c>
      <c r="E7" s="1024" t="s">
        <v>33</v>
      </c>
      <c r="F7" s="1024" t="s">
        <v>2076</v>
      </c>
    </row>
    <row r="8" spans="1:6" ht="20.25">
      <c r="A8" s="334"/>
      <c r="B8" s="1024"/>
      <c r="C8" s="1026"/>
      <c r="D8" s="1026"/>
      <c r="E8" s="1026"/>
      <c r="F8" s="1026"/>
    </row>
    <row r="9" spans="1:6" ht="20.25">
      <c r="A9" s="1027" t="s">
        <v>2068</v>
      </c>
      <c r="B9" s="162"/>
      <c r="C9" s="1028">
        <f>SUM(C10:C12)</f>
        <v>92420708.710000008</v>
      </c>
      <c r="D9" s="1028">
        <f>SUM(D10:D12)</f>
        <v>52055388.770000003</v>
      </c>
      <c r="E9" s="1028">
        <f>SUM(E10:E12)</f>
        <v>60320481.399999961</v>
      </c>
      <c r="F9" s="1028">
        <f>SUM(F10:F12)</f>
        <v>84155616.080000043</v>
      </c>
    </row>
    <row r="10" spans="1:6" ht="14.25">
      <c r="A10" s="1029" t="s">
        <v>2072</v>
      </c>
      <c r="B10" s="550"/>
      <c r="C10" s="1030">
        <f>'CAPA - NV'!F20</f>
        <v>78705.070000000007</v>
      </c>
      <c r="D10" s="1030">
        <f>'CAPA - NV'!D56</f>
        <v>32894487.140000004</v>
      </c>
      <c r="E10" s="1030">
        <f>'CAPA - NV'!E56</f>
        <v>32830481.399999961</v>
      </c>
      <c r="F10" s="1031">
        <f>C10+D10-E10</f>
        <v>142710.81000004336</v>
      </c>
    </row>
    <row r="11" spans="1:6" ht="14.25">
      <c r="A11" s="1029" t="s">
        <v>2064</v>
      </c>
      <c r="B11" s="1032"/>
      <c r="C11" s="1030">
        <f>'CAPA - NV'!F60</f>
        <v>30123472.289999999</v>
      </c>
      <c r="D11" s="1030">
        <f>'CAPA - NV'!D68</f>
        <v>338506.36</v>
      </c>
      <c r="E11" s="1030">
        <f>'CAPA - NV'!E68</f>
        <v>0</v>
      </c>
      <c r="F11" s="1031">
        <f>C11+D11-E11</f>
        <v>30461978.649999999</v>
      </c>
    </row>
    <row r="12" spans="1:6" ht="14.25">
      <c r="A12" s="1029" t="s">
        <v>2066</v>
      </c>
      <c r="B12" s="1032"/>
      <c r="C12" s="1030">
        <f>'CAPA - NV'!F71</f>
        <v>62218531.350000001</v>
      </c>
      <c r="D12" s="1030">
        <f>'CAPA - NV'!D79</f>
        <v>18822395.27</v>
      </c>
      <c r="E12" s="1030">
        <f>'CAPA - NV'!E79</f>
        <v>27490000</v>
      </c>
      <c r="F12" s="1031">
        <f>C12+D12-E12</f>
        <v>53550926.620000005</v>
      </c>
    </row>
    <row r="13" spans="1:6" ht="15.75">
      <c r="A13" s="1033"/>
      <c r="B13" s="1034"/>
      <c r="C13" s="1035"/>
      <c r="D13" s="1035"/>
      <c r="E13" s="1036"/>
      <c r="F13" s="1037"/>
    </row>
    <row r="14" spans="1:6" ht="20.25">
      <c r="A14" s="1027" t="s">
        <v>2069</v>
      </c>
      <c r="B14" s="162"/>
      <c r="C14" s="1028">
        <f>SUM(C15:C17)</f>
        <v>75519036.150000006</v>
      </c>
      <c r="D14" s="1028">
        <f>SUM(D15:D17)</f>
        <v>4921182.9929999998</v>
      </c>
      <c r="E14" s="1028">
        <f>SUM(E15:E17)</f>
        <v>3162828.0999999996</v>
      </c>
      <c r="F14" s="1028">
        <f>SUM(F15:F17)</f>
        <v>77277391.042999998</v>
      </c>
    </row>
    <row r="15" spans="1:6" s="261" customFormat="1" ht="14.25">
      <c r="A15" s="1029" t="s">
        <v>2073</v>
      </c>
      <c r="B15" s="550"/>
      <c r="C15" s="1030">
        <f>'CAPA - IN'!F6</f>
        <v>17851.900000000001</v>
      </c>
      <c r="D15" s="1030">
        <f>'CAPA - IN'!D39</f>
        <v>2486508.0629999996</v>
      </c>
      <c r="E15" s="1030">
        <f>'CAPA - IN'!E39</f>
        <v>2482828.0999999996</v>
      </c>
      <c r="F15" s="1031">
        <f>C15+D15-E15</f>
        <v>21531.862999999896</v>
      </c>
    </row>
    <row r="16" spans="1:6" s="261" customFormat="1" ht="14.25">
      <c r="A16" s="1029" t="s">
        <v>2065</v>
      </c>
      <c r="B16" s="550"/>
      <c r="C16" s="1030">
        <f>'CAPA - IN'!F42</f>
        <v>72089985.909999996</v>
      </c>
      <c r="D16" s="1030">
        <f>'CAPA - IN'!D52</f>
        <v>810096.47</v>
      </c>
      <c r="E16" s="1030">
        <f>'CAPA - IN'!E52</f>
        <v>0</v>
      </c>
      <c r="F16" s="1031">
        <f>C16+D16-E16</f>
        <v>72900082.379999995</v>
      </c>
    </row>
    <row r="17" spans="1:6" s="261" customFormat="1" ht="14.25">
      <c r="A17" s="1029" t="s">
        <v>2062</v>
      </c>
      <c r="B17" s="1032"/>
      <c r="C17" s="1030">
        <f>'CAPA - IN'!F55</f>
        <v>3411198.34</v>
      </c>
      <c r="D17" s="1030">
        <f>'CAPA - IN'!D63</f>
        <v>1624578.46</v>
      </c>
      <c r="E17" s="1030">
        <f>'CAPA - IN'!E63</f>
        <v>680000</v>
      </c>
      <c r="F17" s="1031">
        <f>C17+D17-E17</f>
        <v>4355776.8</v>
      </c>
    </row>
    <row r="18" spans="1:6">
      <c r="A18" s="334"/>
      <c r="B18" s="1038"/>
      <c r="C18" s="1039"/>
      <c r="D18" s="1039"/>
      <c r="E18" s="1036"/>
      <c r="F18" s="1037"/>
    </row>
    <row r="19" spans="1:6" ht="20.25">
      <c r="A19" s="1027" t="s">
        <v>2070</v>
      </c>
      <c r="B19" s="162"/>
      <c r="C19" s="1028">
        <f>SUM(C20:C22)</f>
        <v>58445915.520000003</v>
      </c>
      <c r="D19" s="1028">
        <f>SUM(D20:D22)</f>
        <v>3460358.0318300058</v>
      </c>
      <c r="E19" s="1028">
        <f>SUM(E20:E22)</f>
        <v>2256289.38</v>
      </c>
      <c r="F19" s="1028">
        <f>SUM(F20:F22)</f>
        <v>59649984.171830006</v>
      </c>
    </row>
    <row r="20" spans="1:6" s="261" customFormat="1" ht="14.25">
      <c r="A20" s="1029" t="s">
        <v>2074</v>
      </c>
      <c r="B20" s="550"/>
      <c r="C20" s="1030">
        <f>'CAPA - CD'!F6</f>
        <v>525682.19999999995</v>
      </c>
      <c r="D20" s="1030">
        <f>'CAPA - CD'!D43</f>
        <v>1767906.5318300058</v>
      </c>
      <c r="E20" s="1030">
        <f>'CAPA - CD'!E43</f>
        <v>1820289.3799999997</v>
      </c>
      <c r="F20" s="1031">
        <f>C20+D20-E20</f>
        <v>473299.35183000588</v>
      </c>
    </row>
    <row r="21" spans="1:6" s="261" customFormat="1" ht="14.25">
      <c r="A21" s="1029" t="s">
        <v>2067</v>
      </c>
      <c r="B21" s="550"/>
      <c r="C21" s="1030">
        <f>'CAPA - CD'!F47</f>
        <v>54878618.600000001</v>
      </c>
      <c r="D21" s="1030">
        <f>'CAPA - CD'!D57</f>
        <v>616687.25</v>
      </c>
      <c r="E21" s="1030">
        <f>'CAPA - CD'!E57</f>
        <v>0</v>
      </c>
      <c r="F21" s="1031">
        <f>C21+D21-E21</f>
        <v>55495305.850000001</v>
      </c>
    </row>
    <row r="22" spans="1:6" s="261" customFormat="1" ht="14.25">
      <c r="A22" s="1029" t="s">
        <v>2063</v>
      </c>
      <c r="B22" s="1032"/>
      <c r="C22" s="1030">
        <f>'CAPA - CD'!F60</f>
        <v>3041614.72</v>
      </c>
      <c r="D22" s="1030">
        <f>'CAPA - CD'!D68</f>
        <v>1075764.25</v>
      </c>
      <c r="E22" s="1030">
        <f>'CAPA - CD'!E68</f>
        <v>436000</v>
      </c>
      <c r="F22" s="1031">
        <f>C22+D22-E22</f>
        <v>3681378.97</v>
      </c>
    </row>
    <row r="23" spans="1:6">
      <c r="A23" s="334"/>
      <c r="B23" s="334"/>
      <c r="C23" s="1039"/>
      <c r="D23" s="1039"/>
      <c r="E23" s="1039"/>
      <c r="F23" s="1039"/>
    </row>
    <row r="24" spans="1:6" ht="20.25">
      <c r="A24" s="1027" t="s">
        <v>2071</v>
      </c>
      <c r="B24" s="162"/>
      <c r="C24" s="1028">
        <f>SUM(C25:C27)</f>
        <v>17665</v>
      </c>
      <c r="D24" s="1028">
        <f>SUM(D25:D27)</f>
        <v>0</v>
      </c>
      <c r="E24" s="1028">
        <f>SUM(E25:E27)</f>
        <v>2131</v>
      </c>
      <c r="F24" s="1028">
        <f>SUM(F25:F27)</f>
        <v>15534</v>
      </c>
    </row>
    <row r="25" spans="1:6" s="261" customFormat="1" ht="14.25">
      <c r="A25" s="1029" t="s">
        <v>34</v>
      </c>
      <c r="B25" s="550"/>
      <c r="C25" s="1030">
        <f>'CAPA - GE'!F6</f>
        <v>17665</v>
      </c>
      <c r="D25" s="1030">
        <f>'CAPA - GE'!D18+'CAPA - GE'!D33</f>
        <v>0</v>
      </c>
      <c r="E25" s="1030">
        <f>'CAPA - GE'!E18+'CAPA - GE'!E33</f>
        <v>2131</v>
      </c>
      <c r="F25" s="1031">
        <f>C25+D25-E25</f>
        <v>15534</v>
      </c>
    </row>
    <row r="26" spans="1:6" ht="20.25" hidden="1">
      <c r="A26" s="1027" t="s">
        <v>35</v>
      </c>
      <c r="B26" s="162"/>
      <c r="C26" s="1028">
        <f>'CAPA - GE'!E23+'CAPA - GE'!C33</f>
        <v>0</v>
      </c>
      <c r="D26" s="1028">
        <f>'CAPA - GE'!F23+'CAPA - GE'!D33</f>
        <v>0</v>
      </c>
      <c r="E26" s="1028">
        <f>'CAPA - GE'!E33</f>
        <v>0</v>
      </c>
      <c r="F26" s="1040">
        <f>D26-E26</f>
        <v>0</v>
      </c>
    </row>
    <row r="27" spans="1:6">
      <c r="A27" s="334"/>
      <c r="B27" s="334"/>
      <c r="C27" s="1039"/>
      <c r="D27" s="1039"/>
      <c r="E27" s="1039"/>
      <c r="F27" s="1039"/>
    </row>
    <row r="28" spans="1:6" ht="30.75" customHeight="1">
      <c r="A28" s="1041" t="s">
        <v>36</v>
      </c>
      <c r="B28" s="1042"/>
      <c r="C28" s="1043">
        <f>C9+C14+C19+C24</f>
        <v>226403325.38000003</v>
      </c>
      <c r="D28" s="1043">
        <f>D9+D14+D19+D24</f>
        <v>60436929.794830009</v>
      </c>
      <c r="E28" s="1043">
        <f>E9+E14+E19+E24</f>
        <v>65741729.879999965</v>
      </c>
      <c r="F28" s="1043">
        <f>F9+F14+F19+F24</f>
        <v>221098525.29483002</v>
      </c>
    </row>
  </sheetData>
  <mergeCells count="1">
    <mergeCell ref="A3:D3"/>
  </mergeCells>
  <printOptions horizontalCentered="1"/>
  <pageMargins left="0.59055118110236227" right="0.59055118110236227" top="0.59055118110236227" bottom="0.78740157480314965" header="0.51181102362204722" footer="0.59055118110236227"/>
  <pageSetup paperSize="9" scale="70" firstPageNumber="4" orientation="landscape" useFirstPageNumber="1" r:id="rId1"/>
  <headerFooter alignWithMargins="0">
    <oddFooter>&amp;C&amp;12página 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3840"/>
  <sheetViews>
    <sheetView showGridLines="0" view="pageBreakPreview" topLeftCell="A50" zoomScale="80" zoomScaleNormal="70" zoomScaleSheetLayoutView="80" workbookViewId="0">
      <selection activeCell="F13" sqref="F13"/>
    </sheetView>
  </sheetViews>
  <sheetFormatPr defaultColWidth="9.28515625" defaultRowHeight="12.75"/>
  <cols>
    <col min="1" max="1" width="7" style="21" customWidth="1"/>
    <col min="2" max="2" width="4.42578125" style="50" customWidth="1"/>
    <col min="3" max="3" width="120.42578125" style="26" customWidth="1"/>
    <col min="4" max="4" width="30.5703125" style="26" customWidth="1"/>
    <col min="5" max="5" width="30.5703125" style="989" customWidth="1"/>
    <col min="6" max="6" width="30.5703125" style="26" customWidth="1"/>
    <col min="7" max="7" width="26.42578125" style="21" customWidth="1"/>
    <col min="8" max="8" width="30.28515625" style="21" bestFit="1" customWidth="1"/>
    <col min="9" max="9" width="9.28515625" style="21"/>
    <col min="10" max="10" width="16.28515625" style="21" customWidth="1"/>
    <col min="11" max="11" width="9.28515625" style="21"/>
    <col min="12" max="18" width="0" style="21" hidden="1" customWidth="1"/>
    <col min="19" max="16384" width="9.28515625" style="21"/>
  </cols>
  <sheetData>
    <row r="1" spans="1:12" s="17" customFormat="1" ht="35.25">
      <c r="A1" s="16"/>
      <c r="B1" s="16"/>
      <c r="C1" s="569"/>
      <c r="D1" s="968" t="s">
        <v>37</v>
      </c>
      <c r="E1" s="979"/>
      <c r="F1" s="980"/>
    </row>
    <row r="2" spans="1:12" s="17" customFormat="1" ht="45">
      <c r="A2" s="18"/>
      <c r="B2" s="18"/>
      <c r="C2" s="969" t="s">
        <v>38</v>
      </c>
      <c r="D2" s="970" t="str">
        <f>Resumo!E3</f>
        <v>Abril-16</v>
      </c>
      <c r="E2" s="981"/>
      <c r="F2" s="982"/>
    </row>
    <row r="3" spans="1:12" s="17" customFormat="1" ht="9" customHeight="1" thickBot="1">
      <c r="A3" s="18"/>
      <c r="B3" s="18"/>
      <c r="C3" s="969"/>
      <c r="D3" s="970"/>
      <c r="E3" s="981"/>
      <c r="F3" s="982"/>
    </row>
    <row r="4" spans="1:12" ht="35.1" customHeight="1">
      <c r="A4" s="23"/>
      <c r="B4" s="24" t="s">
        <v>2511</v>
      </c>
      <c r="C4" s="983"/>
      <c r="D4" s="984" t="s">
        <v>41</v>
      </c>
      <c r="E4" s="655" t="s">
        <v>42</v>
      </c>
      <c r="F4" s="985" t="s">
        <v>43</v>
      </c>
    </row>
    <row r="5" spans="1:12" s="26" customFormat="1" ht="5.0999999999999996" customHeight="1">
      <c r="A5" s="300"/>
      <c r="B5" s="301"/>
      <c r="C5" s="29"/>
      <c r="D5" s="32"/>
      <c r="E5" s="33"/>
      <c r="F5" s="34"/>
      <c r="G5" s="299"/>
      <c r="H5" s="299"/>
      <c r="I5" s="299"/>
      <c r="J5" s="299"/>
      <c r="K5" s="299"/>
      <c r="L5" s="299"/>
    </row>
    <row r="6" spans="1:12" s="31" customFormat="1" ht="23.25" customHeight="1">
      <c r="A6" s="302"/>
      <c r="B6" s="298" t="s">
        <v>147</v>
      </c>
      <c r="C6" s="990" t="s">
        <v>7844</v>
      </c>
      <c r="D6" s="120">
        <f>4450000+787981.56+18254977.34</f>
        <v>23492958.899999999</v>
      </c>
      <c r="E6" s="991"/>
      <c r="F6" s="30"/>
      <c r="G6" s="299"/>
      <c r="H6" s="299"/>
      <c r="I6" s="299"/>
      <c r="J6" s="299"/>
      <c r="K6" s="299"/>
      <c r="L6" s="299"/>
    </row>
    <row r="7" spans="1:12" s="483" customFormat="1" ht="5.0999999999999996" customHeight="1">
      <c r="A7" s="513"/>
      <c r="B7" s="514"/>
      <c r="C7" s="29"/>
      <c r="D7" s="32"/>
      <c r="E7" s="33"/>
      <c r="F7" s="34"/>
    </row>
    <row r="8" spans="1:12" s="31" customFormat="1" ht="25.5" customHeight="1">
      <c r="A8" s="302"/>
      <c r="B8" s="298" t="s">
        <v>46</v>
      </c>
      <c r="C8" s="990" t="s">
        <v>7851</v>
      </c>
      <c r="D8" s="120"/>
      <c r="E8" s="46">
        <v>18254977.34</v>
      </c>
      <c r="F8" s="30"/>
      <c r="G8" s="299"/>
      <c r="H8" s="299"/>
      <c r="I8" s="299"/>
      <c r="J8" s="299"/>
      <c r="K8" s="299"/>
      <c r="L8" s="299"/>
    </row>
    <row r="9" spans="1:12" s="31" customFormat="1" ht="5.0999999999999996" customHeight="1">
      <c r="A9" s="300"/>
      <c r="B9" s="301"/>
      <c r="C9" s="29"/>
      <c r="D9" s="32"/>
      <c r="E9" s="33"/>
      <c r="F9" s="34"/>
      <c r="G9" s="299"/>
      <c r="H9" s="299"/>
      <c r="I9" s="299"/>
      <c r="J9" s="299"/>
      <c r="K9" s="299"/>
      <c r="L9" s="299"/>
    </row>
    <row r="10" spans="1:12" s="483" customFormat="1" ht="5.0999999999999996" customHeight="1">
      <c r="A10" s="513"/>
      <c r="B10" s="514"/>
      <c r="C10" s="29"/>
      <c r="D10" s="32"/>
      <c r="E10" s="33"/>
      <c r="F10" s="34"/>
    </row>
    <row r="11" spans="1:12" s="31" customFormat="1" ht="20.25">
      <c r="A11" s="302"/>
      <c r="B11" s="298" t="s">
        <v>47</v>
      </c>
      <c r="C11" s="990" t="s">
        <v>7852</v>
      </c>
      <c r="D11" s="120"/>
      <c r="E11" s="46">
        <v>0</v>
      </c>
      <c r="F11" s="30"/>
      <c r="G11" s="299"/>
      <c r="H11" s="299"/>
      <c r="I11" s="299"/>
      <c r="J11" s="299"/>
      <c r="K11" s="299"/>
      <c r="L11" s="299"/>
    </row>
    <row r="12" spans="1:12" s="31" customFormat="1" ht="5.0999999999999996" customHeight="1">
      <c r="A12" s="300"/>
      <c r="B12" s="301"/>
      <c r="C12" s="29"/>
      <c r="D12" s="32"/>
      <c r="E12" s="33"/>
      <c r="F12" s="34"/>
      <c r="G12" s="299"/>
      <c r="H12" s="299"/>
      <c r="I12" s="299"/>
      <c r="J12" s="299"/>
      <c r="K12" s="299"/>
      <c r="L12" s="299"/>
    </row>
    <row r="13" spans="1:12" s="31" customFormat="1" ht="5.0999999999999996" customHeight="1">
      <c r="A13" s="300"/>
      <c r="B13" s="301"/>
      <c r="C13" s="29"/>
      <c r="D13" s="32"/>
      <c r="E13" s="33"/>
      <c r="F13" s="34"/>
      <c r="G13" s="299"/>
      <c r="H13" s="299"/>
      <c r="I13" s="299"/>
      <c r="J13" s="299"/>
      <c r="K13" s="299"/>
      <c r="L13" s="299"/>
    </row>
    <row r="14" spans="1:12" s="31" customFormat="1" ht="40.5">
      <c r="A14" s="302"/>
      <c r="B14" s="298" t="s">
        <v>49</v>
      </c>
      <c r="C14" s="990" t="s">
        <v>7843</v>
      </c>
      <c r="D14" s="120"/>
      <c r="E14" s="46">
        <f>4450000+787981.56</f>
        <v>5237981.5600000005</v>
      </c>
      <c r="F14" s="30"/>
      <c r="G14" s="299"/>
      <c r="H14" s="299"/>
      <c r="I14" s="299"/>
      <c r="J14" s="299"/>
      <c r="K14" s="299"/>
      <c r="L14" s="299"/>
    </row>
    <row r="15" spans="1:12" s="31" customFormat="1" ht="5.0999999999999996" customHeight="1">
      <c r="A15" s="300"/>
      <c r="B15" s="301"/>
      <c r="C15" s="29"/>
      <c r="D15" s="32"/>
      <c r="E15" s="33"/>
      <c r="F15" s="34"/>
      <c r="G15" s="299"/>
      <c r="H15" s="299"/>
      <c r="I15" s="299"/>
      <c r="J15" s="299"/>
      <c r="K15" s="299"/>
      <c r="L15" s="299"/>
    </row>
    <row r="16" spans="1:12" s="31" customFormat="1" ht="5.0999999999999996" customHeight="1" thickBot="1">
      <c r="A16" s="300"/>
      <c r="B16" s="301"/>
      <c r="C16" s="29"/>
      <c r="D16" s="32"/>
      <c r="E16" s="33"/>
      <c r="F16" s="34"/>
      <c r="G16" s="299"/>
      <c r="H16" s="299"/>
      <c r="I16" s="299"/>
      <c r="J16" s="299"/>
      <c r="K16" s="299"/>
      <c r="L16" s="299"/>
    </row>
    <row r="17" spans="1:12" s="26" customFormat="1" ht="35.1" customHeight="1" thickBot="1">
      <c r="A17" s="317"/>
      <c r="B17" s="318" t="s">
        <v>2510</v>
      </c>
      <c r="C17" s="992"/>
      <c r="D17" s="657">
        <f>SUM(D6:D15)</f>
        <v>23492958.899999999</v>
      </c>
      <c r="E17" s="657">
        <f>SUM(E6:E15)</f>
        <v>23492958.899999999</v>
      </c>
      <c r="F17" s="653">
        <f>D17-E17</f>
        <v>0</v>
      </c>
      <c r="G17" s="359"/>
      <c r="H17" s="358"/>
      <c r="I17" s="299"/>
      <c r="J17" s="299"/>
      <c r="K17" s="299"/>
      <c r="L17" s="299"/>
    </row>
    <row r="18" spans="1:12" s="22" customFormat="1" ht="18.75" thickBot="1">
      <c r="A18" s="773"/>
      <c r="B18" s="774"/>
      <c r="C18" s="775"/>
      <c r="D18" s="776"/>
      <c r="E18" s="229"/>
      <c r="F18" s="986" t="s">
        <v>30</v>
      </c>
    </row>
    <row r="19" spans="1:12" ht="35.1" customHeight="1">
      <c r="A19" s="23" t="s">
        <v>39</v>
      </c>
      <c r="B19" s="24" t="s">
        <v>40</v>
      </c>
      <c r="C19" s="983"/>
      <c r="D19" s="984" t="s">
        <v>41</v>
      </c>
      <c r="E19" s="655" t="s">
        <v>42</v>
      </c>
      <c r="F19" s="985" t="s">
        <v>43</v>
      </c>
    </row>
    <row r="20" spans="1:12" s="26" customFormat="1" ht="20.25">
      <c r="A20" s="297"/>
      <c r="B20" s="298" t="s">
        <v>44</v>
      </c>
      <c r="C20" s="25" t="s">
        <v>45</v>
      </c>
      <c r="D20" s="36"/>
      <c r="E20" s="46"/>
      <c r="F20" s="30">
        <v>78705.070000000007</v>
      </c>
      <c r="G20" s="299"/>
      <c r="H20" s="299"/>
      <c r="I20" s="299"/>
      <c r="J20" s="299"/>
      <c r="K20" s="299"/>
      <c r="L20" s="299"/>
    </row>
    <row r="21" spans="1:12" s="26" customFormat="1" ht="5.0999999999999996" customHeight="1">
      <c r="A21" s="300"/>
      <c r="B21" s="301"/>
      <c r="C21" s="29"/>
      <c r="D21" s="32"/>
      <c r="E21" s="33"/>
      <c r="F21" s="34"/>
      <c r="G21" s="299"/>
      <c r="H21" s="299"/>
      <c r="I21" s="299"/>
      <c r="J21" s="299"/>
      <c r="K21" s="299"/>
      <c r="L21" s="299"/>
    </row>
    <row r="22" spans="1:12" s="26" customFormat="1" ht="21" customHeight="1">
      <c r="A22" s="35"/>
      <c r="B22" s="527" t="s">
        <v>46</v>
      </c>
      <c r="C22" s="342" t="s">
        <v>2509</v>
      </c>
      <c r="D22" s="36">
        <f>+E14</f>
        <v>5237981.5600000005</v>
      </c>
      <c r="E22" s="46"/>
      <c r="F22" s="30"/>
      <c r="H22" s="530"/>
    </row>
    <row r="23" spans="1:12" s="483" customFormat="1" ht="5.0999999999999996" customHeight="1">
      <c r="A23" s="513"/>
      <c r="B23" s="514"/>
      <c r="C23" s="29"/>
      <c r="D23" s="32"/>
      <c r="E23" s="33"/>
      <c r="F23" s="34"/>
    </row>
    <row r="24" spans="1:12" s="26" customFormat="1" ht="20.25">
      <c r="A24" s="35"/>
      <c r="B24" s="527" t="s">
        <v>47</v>
      </c>
      <c r="C24" s="527" t="s">
        <v>50</v>
      </c>
      <c r="D24" s="120"/>
      <c r="E24" s="993"/>
      <c r="F24" s="30"/>
      <c r="G24" s="531"/>
    </row>
    <row r="25" spans="1:12" s="26" customFormat="1" ht="5.0999999999999996" customHeight="1">
      <c r="A25" s="300"/>
      <c r="B25" s="301"/>
      <c r="C25" s="29"/>
      <c r="D25" s="32"/>
      <c r="E25" s="33"/>
      <c r="F25" s="34"/>
      <c r="G25" s="299"/>
      <c r="H25" s="299"/>
      <c r="I25" s="299"/>
      <c r="J25" s="299"/>
      <c r="K25" s="299"/>
      <c r="L25" s="299"/>
    </row>
    <row r="26" spans="1:12" s="26" customFormat="1" ht="20.25">
      <c r="A26" s="35"/>
      <c r="B26" s="527" t="s">
        <v>49</v>
      </c>
      <c r="C26" s="527" t="s">
        <v>48</v>
      </c>
      <c r="D26" s="120">
        <f>E75</f>
        <v>27490000</v>
      </c>
      <c r="E26" s="242"/>
      <c r="F26" s="30"/>
      <c r="G26" s="531"/>
    </row>
    <row r="27" spans="1:12" s="26" customFormat="1" ht="5.0999999999999996" customHeight="1">
      <c r="A27" s="300"/>
      <c r="B27" s="301"/>
      <c r="C27" s="29"/>
      <c r="D27" s="32"/>
      <c r="E27" s="33"/>
      <c r="F27" s="34"/>
      <c r="G27" s="299"/>
      <c r="H27" s="299"/>
      <c r="I27" s="299"/>
      <c r="J27" s="299"/>
      <c r="K27" s="299"/>
      <c r="L27" s="299"/>
    </row>
    <row r="28" spans="1:12" s="26" customFormat="1" ht="40.5">
      <c r="A28" s="305"/>
      <c r="B28" s="304" t="s">
        <v>51</v>
      </c>
      <c r="C28" s="605" t="s">
        <v>52</v>
      </c>
      <c r="D28" s="606"/>
      <c r="E28" s="108">
        <v>32551788.819999963</v>
      </c>
      <c r="F28" s="48"/>
      <c r="G28" s="299"/>
      <c r="H28" s="356"/>
      <c r="I28" s="299"/>
      <c r="J28" s="299"/>
      <c r="K28" s="299"/>
      <c r="L28" s="299"/>
    </row>
    <row r="29" spans="1:12" s="112" customFormat="1" ht="20.25" hidden="1">
      <c r="A29" s="306"/>
      <c r="B29" s="307" t="s">
        <v>53</v>
      </c>
      <c r="C29" s="119" t="s">
        <v>1898</v>
      </c>
      <c r="D29" s="120"/>
      <c r="E29" s="37"/>
      <c r="F29" s="30"/>
      <c r="G29" s="360"/>
      <c r="H29" s="299"/>
      <c r="I29" s="316"/>
      <c r="J29" s="316"/>
      <c r="K29" s="315"/>
      <c r="L29" s="315"/>
    </row>
    <row r="30" spans="1:12" s="112" customFormat="1" ht="5.0999999999999996" hidden="1" customHeight="1">
      <c r="A30" s="308"/>
      <c r="B30" s="309"/>
      <c r="C30" s="111"/>
      <c r="D30" s="209"/>
      <c r="E30" s="33"/>
      <c r="F30" s="34"/>
      <c r="G30" s="315"/>
      <c r="H30" s="299"/>
      <c r="I30" s="311"/>
      <c r="J30" s="315"/>
      <c r="K30" s="315"/>
      <c r="L30" s="315"/>
    </row>
    <row r="31" spans="1:12" s="112" customFormat="1" ht="20.25" hidden="1">
      <c r="A31" s="306"/>
      <c r="B31" s="307" t="s">
        <v>54</v>
      </c>
      <c r="C31" s="119" t="s">
        <v>1935</v>
      </c>
      <c r="D31" s="120"/>
      <c r="E31" s="37"/>
      <c r="F31" s="30"/>
      <c r="G31" s="315"/>
      <c r="H31" s="299"/>
      <c r="I31" s="316"/>
      <c r="J31" s="316"/>
      <c r="K31" s="315"/>
      <c r="L31" s="315"/>
    </row>
    <row r="32" spans="1:12" s="112" customFormat="1" ht="5.0999999999999996" hidden="1" customHeight="1">
      <c r="A32" s="308"/>
      <c r="B32" s="309"/>
      <c r="C32" s="111"/>
      <c r="D32" s="209"/>
      <c r="E32" s="33"/>
      <c r="F32" s="34"/>
      <c r="G32" s="315"/>
      <c r="H32" s="299"/>
      <c r="I32" s="311"/>
      <c r="J32" s="315"/>
      <c r="K32" s="315"/>
      <c r="L32" s="315"/>
    </row>
    <row r="33" spans="1:12" s="112" customFormat="1" ht="40.5" hidden="1">
      <c r="A33" s="306"/>
      <c r="B33" s="307" t="s">
        <v>57</v>
      </c>
      <c r="C33" s="119" t="s">
        <v>1899</v>
      </c>
      <c r="D33" s="120"/>
      <c r="E33" s="37"/>
      <c r="F33" s="30"/>
      <c r="G33" s="315"/>
      <c r="H33" s="299"/>
      <c r="I33" s="316"/>
      <c r="J33" s="316"/>
      <c r="K33" s="315"/>
      <c r="L33" s="315"/>
    </row>
    <row r="34" spans="1:12" s="112" customFormat="1" ht="5.0999999999999996" customHeight="1">
      <c r="A34" s="308"/>
      <c r="B34" s="309"/>
      <c r="C34" s="111"/>
      <c r="D34" s="209"/>
      <c r="E34" s="33"/>
      <c r="F34" s="34"/>
      <c r="G34" s="315"/>
      <c r="H34" s="310"/>
      <c r="I34" s="316"/>
      <c r="J34" s="316"/>
      <c r="K34" s="315"/>
      <c r="L34" s="315"/>
    </row>
    <row r="35" spans="1:12" s="464" customFormat="1" ht="40.5">
      <c r="A35" s="461"/>
      <c r="B35" s="342" t="s">
        <v>2056</v>
      </c>
      <c r="C35" s="119" t="s">
        <v>7854</v>
      </c>
      <c r="D35" s="120">
        <v>697.57</v>
      </c>
      <c r="E35" s="37"/>
      <c r="F35" s="30"/>
      <c r="G35" s="462"/>
      <c r="H35" s="463"/>
      <c r="I35" s="463"/>
      <c r="J35" s="463"/>
      <c r="K35" s="462"/>
      <c r="L35" s="462"/>
    </row>
    <row r="36" spans="1:12" s="112" customFormat="1" ht="9" customHeight="1">
      <c r="A36" s="109"/>
      <c r="B36" s="110"/>
      <c r="C36" s="111"/>
      <c r="D36" s="209"/>
      <c r="E36" s="33"/>
      <c r="F36" s="34"/>
      <c r="G36" s="315"/>
      <c r="H36" s="310"/>
      <c r="I36" s="316"/>
      <c r="J36" s="316"/>
      <c r="K36" s="315"/>
      <c r="L36" s="315"/>
    </row>
    <row r="37" spans="1:12" s="484" customFormat="1" ht="20.25">
      <c r="A37" s="341"/>
      <c r="B37" s="342" t="s">
        <v>54</v>
      </c>
      <c r="C37" s="602" t="s">
        <v>7845</v>
      </c>
      <c r="D37" s="607"/>
      <c r="E37" s="604"/>
      <c r="F37" s="48"/>
      <c r="G37" s="569"/>
      <c r="H37" s="483"/>
      <c r="I37" s="483"/>
      <c r="J37" s="483"/>
      <c r="K37" s="483"/>
      <c r="L37" s="483"/>
    </row>
    <row r="38" spans="1:12" s="484" customFormat="1" ht="20.25">
      <c r="A38" s="35"/>
      <c r="B38" s="527"/>
      <c r="C38" s="603" t="s">
        <v>56</v>
      </c>
      <c r="D38" s="606"/>
      <c r="E38" s="987">
        <v>61868.32</v>
      </c>
      <c r="F38" s="30"/>
      <c r="G38" s="569"/>
      <c r="H38" s="483"/>
      <c r="I38" s="483"/>
      <c r="J38" s="483"/>
      <c r="K38" s="483"/>
      <c r="L38" s="483"/>
    </row>
    <row r="39" spans="1:12" s="484" customFormat="1" ht="20.25">
      <c r="A39" s="35"/>
      <c r="B39" s="527"/>
      <c r="C39" s="603" t="s">
        <v>55</v>
      </c>
      <c r="D39" s="601"/>
      <c r="E39" s="46">
        <v>6821.06</v>
      </c>
      <c r="F39" s="30"/>
      <c r="G39" s="569"/>
      <c r="H39" s="483"/>
      <c r="I39" s="483"/>
      <c r="J39" s="483"/>
      <c r="K39" s="483"/>
      <c r="L39" s="483"/>
    </row>
    <row r="40" spans="1:12" s="484" customFormat="1" ht="4.5" customHeight="1">
      <c r="A40" s="777"/>
      <c r="B40" s="600"/>
      <c r="C40" s="600"/>
      <c r="D40" s="599"/>
      <c r="E40" s="33"/>
      <c r="F40" s="34"/>
      <c r="G40" s="483"/>
      <c r="H40" s="483"/>
      <c r="I40" s="483"/>
      <c r="J40" s="483"/>
      <c r="K40" s="483"/>
      <c r="L40" s="483"/>
    </row>
    <row r="41" spans="1:12" s="484" customFormat="1" ht="20.25">
      <c r="A41" s="35"/>
      <c r="B41" s="527" t="s">
        <v>57</v>
      </c>
      <c r="C41" s="602" t="s">
        <v>7846</v>
      </c>
      <c r="D41" s="608"/>
      <c r="E41" s="108"/>
      <c r="F41" s="30"/>
      <c r="G41" s="483"/>
      <c r="H41" s="483"/>
      <c r="I41" s="483"/>
      <c r="J41" s="483"/>
      <c r="K41" s="483"/>
      <c r="L41" s="483"/>
    </row>
    <row r="42" spans="1:12" s="484" customFormat="1" ht="20.25">
      <c r="A42" s="35"/>
      <c r="B42" s="25"/>
      <c r="C42" s="38" t="s">
        <v>1936</v>
      </c>
      <c r="D42" s="601">
        <v>3928.72</v>
      </c>
      <c r="E42" s="46"/>
      <c r="F42" s="30"/>
      <c r="G42" s="569"/>
      <c r="H42" s="483"/>
      <c r="I42" s="483"/>
      <c r="J42" s="483"/>
      <c r="K42" s="483"/>
      <c r="L42" s="483"/>
    </row>
    <row r="43" spans="1:12" s="484" customFormat="1" ht="19.5" customHeight="1">
      <c r="A43" s="35"/>
      <c r="B43" s="25"/>
      <c r="C43" s="38" t="s">
        <v>7847</v>
      </c>
      <c r="D43" s="601">
        <v>56435.47</v>
      </c>
      <c r="E43" s="46"/>
      <c r="F43" s="30"/>
      <c r="G43" s="483"/>
      <c r="I43" s="483"/>
      <c r="J43" s="483"/>
      <c r="K43" s="483"/>
      <c r="L43" s="483"/>
    </row>
    <row r="44" spans="1:12" s="484" customFormat="1" ht="20.25">
      <c r="A44" s="341"/>
      <c r="B44" s="342" t="s">
        <v>59</v>
      </c>
      <c r="C44" s="602" t="s">
        <v>7784</v>
      </c>
      <c r="D44" s="609"/>
      <c r="E44" s="108"/>
      <c r="F44" s="48"/>
      <c r="G44" s="483"/>
      <c r="H44" s="483"/>
      <c r="I44" s="483"/>
      <c r="J44" s="483"/>
      <c r="K44" s="483"/>
      <c r="L44" s="483"/>
    </row>
    <row r="45" spans="1:12" s="484" customFormat="1" ht="20.25">
      <c r="A45" s="35"/>
      <c r="B45" s="527"/>
      <c r="C45" s="38" t="s">
        <v>56</v>
      </c>
      <c r="D45" s="40">
        <v>38073.26</v>
      </c>
      <c r="E45" s="40"/>
      <c r="F45" s="41"/>
      <c r="G45" s="483"/>
      <c r="H45" s="483"/>
      <c r="I45" s="483"/>
      <c r="J45" s="483"/>
      <c r="K45" s="483"/>
      <c r="L45" s="483"/>
    </row>
    <row r="46" spans="1:12" s="484" customFormat="1" ht="20.25">
      <c r="A46" s="35"/>
      <c r="B46" s="527"/>
      <c r="C46" s="38" t="s">
        <v>55</v>
      </c>
      <c r="D46" s="40">
        <v>67082.14</v>
      </c>
      <c r="E46" s="40"/>
      <c r="F46" s="41"/>
      <c r="G46" s="483"/>
      <c r="H46" s="483"/>
      <c r="I46" s="483"/>
      <c r="J46" s="483"/>
      <c r="K46" s="483"/>
      <c r="L46" s="483"/>
    </row>
    <row r="47" spans="1:12" s="484" customFormat="1" ht="20.25" hidden="1">
      <c r="A47" s="35"/>
      <c r="B47" s="527"/>
      <c r="C47" s="38" t="s">
        <v>1900</v>
      </c>
      <c r="D47" s="598"/>
      <c r="E47" s="40"/>
      <c r="F47" s="41"/>
      <c r="G47" s="483"/>
      <c r="H47" s="483"/>
      <c r="I47" s="483"/>
      <c r="J47" s="483"/>
      <c r="K47" s="483"/>
      <c r="L47" s="483"/>
    </row>
    <row r="48" spans="1:12" s="484" customFormat="1" ht="20.25">
      <c r="A48" s="35"/>
      <c r="B48" s="527"/>
      <c r="C48" s="38" t="s">
        <v>1900</v>
      </c>
      <c r="D48" s="598">
        <v>288.42</v>
      </c>
      <c r="E48" s="40"/>
      <c r="F48" s="41"/>
      <c r="G48" s="483"/>
      <c r="H48" s="483"/>
      <c r="I48" s="483"/>
      <c r="J48" s="483"/>
      <c r="K48" s="483"/>
      <c r="L48" s="483"/>
    </row>
    <row r="49" spans="1:12" s="484" customFormat="1" ht="20.25" hidden="1">
      <c r="A49" s="35"/>
      <c r="B49" s="527"/>
      <c r="C49" s="38" t="s">
        <v>1900</v>
      </c>
      <c r="D49" s="598"/>
      <c r="E49" s="40"/>
      <c r="F49" s="41"/>
      <c r="G49" s="483"/>
      <c r="H49" s="483"/>
      <c r="I49" s="483"/>
      <c r="J49" s="483"/>
      <c r="K49" s="483"/>
      <c r="L49" s="483"/>
    </row>
    <row r="50" spans="1:12" s="484" customFormat="1" ht="5.0999999999999996" customHeight="1">
      <c r="A50" s="27"/>
      <c r="B50" s="28"/>
      <c r="C50" s="29"/>
      <c r="D50" s="599"/>
      <c r="E50" s="33"/>
      <c r="F50" s="34"/>
      <c r="G50" s="483"/>
      <c r="H50" s="483"/>
      <c r="I50" s="483"/>
      <c r="J50" s="483"/>
      <c r="K50" s="483"/>
      <c r="L50" s="483"/>
    </row>
    <row r="51" spans="1:12" s="484" customFormat="1" ht="20.25">
      <c r="A51" s="35"/>
      <c r="B51" s="527" t="s">
        <v>60</v>
      </c>
      <c r="C51" s="602" t="s">
        <v>7785</v>
      </c>
      <c r="D51" s="606"/>
      <c r="E51" s="46"/>
      <c r="F51" s="30"/>
      <c r="G51" s="483"/>
      <c r="H51" s="483"/>
      <c r="I51" s="483"/>
      <c r="J51" s="483"/>
      <c r="K51" s="483"/>
      <c r="L51" s="483"/>
    </row>
    <row r="52" spans="1:12" s="484" customFormat="1" ht="20.25">
      <c r="A52" s="35"/>
      <c r="B52" s="527"/>
      <c r="C52" s="38" t="s">
        <v>7856</v>
      </c>
      <c r="D52" s="606"/>
      <c r="E52" s="46">
        <v>89.8</v>
      </c>
      <c r="F52" s="30"/>
      <c r="G52" s="483"/>
      <c r="H52" s="483"/>
      <c r="I52" s="483"/>
      <c r="J52" s="483"/>
      <c r="K52" s="483"/>
      <c r="L52" s="483"/>
    </row>
    <row r="53" spans="1:12" s="484" customFormat="1" ht="20.25">
      <c r="A53" s="35"/>
      <c r="B53" s="25"/>
      <c r="C53" s="38" t="s">
        <v>61</v>
      </c>
      <c r="D53" s="39"/>
      <c r="E53" s="40">
        <v>26.88</v>
      </c>
      <c r="F53" s="41"/>
      <c r="G53" s="483"/>
      <c r="H53" s="483"/>
      <c r="I53" s="483"/>
      <c r="J53" s="483"/>
      <c r="K53" s="483"/>
      <c r="L53" s="483"/>
    </row>
    <row r="54" spans="1:12" s="484" customFormat="1" ht="20.25">
      <c r="A54" s="35"/>
      <c r="B54" s="25"/>
      <c r="C54" s="38" t="s">
        <v>2762</v>
      </c>
      <c r="D54" s="39"/>
      <c r="E54" s="40">
        <v>209886.52</v>
      </c>
      <c r="F54" s="41"/>
      <c r="G54" s="483"/>
      <c r="I54" s="483"/>
      <c r="J54" s="483"/>
      <c r="K54" s="483"/>
      <c r="L54" s="483"/>
    </row>
    <row r="55" spans="1:12" s="31" customFormat="1" ht="5.0999999999999996" customHeight="1" thickBot="1">
      <c r="A55" s="314"/>
      <c r="B55" s="301"/>
      <c r="C55" s="29"/>
      <c r="D55" s="32"/>
      <c r="E55" s="33"/>
      <c r="F55" s="34"/>
      <c r="G55" s="299"/>
      <c r="H55" s="299"/>
      <c r="I55" s="299"/>
      <c r="J55" s="299"/>
      <c r="K55" s="299"/>
      <c r="L55" s="299"/>
    </row>
    <row r="56" spans="1:12" s="26" customFormat="1" ht="35.1" customHeight="1" thickBot="1">
      <c r="A56" s="317" t="s">
        <v>62</v>
      </c>
      <c r="B56" s="318"/>
      <c r="C56" s="992"/>
      <c r="D56" s="657">
        <f>SUM(D20:D55)</f>
        <v>32894487.140000004</v>
      </c>
      <c r="E56" s="657">
        <f>SUM(E20:E55)</f>
        <v>32830481.399999961</v>
      </c>
      <c r="F56" s="653">
        <f>F20+D56-E56</f>
        <v>142710.81000004336</v>
      </c>
      <c r="G56" s="359"/>
      <c r="H56" s="358"/>
      <c r="I56" s="299"/>
      <c r="J56" s="299"/>
      <c r="K56" s="299"/>
      <c r="L56" s="299"/>
    </row>
    <row r="57" spans="1:12" s="26" customFormat="1" ht="12.75" customHeight="1">
      <c r="A57" s="778"/>
      <c r="B57" s="552"/>
      <c r="C57" s="994"/>
      <c r="D57" s="994"/>
      <c r="E57" s="994"/>
      <c r="F57" s="779"/>
      <c r="G57" s="359"/>
      <c r="H57" s="358"/>
      <c r="I57" s="299"/>
      <c r="J57" s="299"/>
      <c r="K57" s="299"/>
      <c r="L57" s="299"/>
    </row>
    <row r="58" spans="1:12" ht="24" thickBot="1">
      <c r="A58" s="780"/>
      <c r="B58" s="553"/>
      <c r="C58" s="995"/>
      <c r="D58" s="996"/>
      <c r="E58" s="996"/>
      <c r="F58" s="950">
        <f>F56-142710.81</f>
        <v>4.3364707380533218E-8</v>
      </c>
      <c r="G58" s="323"/>
      <c r="H58" s="356"/>
      <c r="I58" s="299"/>
      <c r="J58" s="299"/>
      <c r="K58" s="299"/>
      <c r="L58" s="299"/>
    </row>
    <row r="59" spans="1:12" ht="35.1" customHeight="1">
      <c r="A59" s="319" t="s">
        <v>63</v>
      </c>
      <c r="B59" s="320" t="s">
        <v>2058</v>
      </c>
      <c r="C59" s="988"/>
      <c r="D59" s="997" t="s">
        <v>41</v>
      </c>
      <c r="E59" s="655" t="s">
        <v>42</v>
      </c>
      <c r="F59" s="985" t="s">
        <v>43</v>
      </c>
      <c r="G59" s="299"/>
      <c r="H59" s="299"/>
      <c r="I59" s="299"/>
      <c r="J59" s="299"/>
      <c r="K59" s="299"/>
      <c r="L59" s="299"/>
    </row>
    <row r="60" spans="1:12" ht="20.25">
      <c r="A60" s="303"/>
      <c r="B60" s="298" t="s">
        <v>44</v>
      </c>
      <c r="C60" s="998" t="s">
        <v>45</v>
      </c>
      <c r="D60" s="999"/>
      <c r="E60" s="46"/>
      <c r="F60" s="48">
        <v>30123472.289999999</v>
      </c>
      <c r="G60" s="299"/>
      <c r="I60" s="299"/>
      <c r="J60" s="299"/>
      <c r="K60" s="299"/>
      <c r="L60" s="299"/>
    </row>
    <row r="61" spans="1:12" s="26" customFormat="1" ht="5.0999999999999996" customHeight="1">
      <c r="A61" s="300"/>
      <c r="B61" s="301"/>
      <c r="C61" s="1000"/>
      <c r="D61" s="339"/>
      <c r="E61" s="33"/>
      <c r="F61" s="34"/>
      <c r="G61" s="299"/>
      <c r="I61" s="299"/>
      <c r="J61" s="299"/>
      <c r="K61" s="299"/>
      <c r="L61" s="299"/>
    </row>
    <row r="62" spans="1:12" ht="20.25">
      <c r="A62" s="303"/>
      <c r="B62" s="298" t="s">
        <v>64</v>
      </c>
      <c r="C62" s="998" t="s">
        <v>65</v>
      </c>
      <c r="D62" s="999">
        <v>0</v>
      </c>
      <c r="E62" s="46"/>
      <c r="F62" s="30"/>
      <c r="G62" s="299"/>
      <c r="I62" s="299"/>
      <c r="J62" s="299"/>
      <c r="K62" s="299"/>
      <c r="L62" s="299"/>
    </row>
    <row r="63" spans="1:12" s="26" customFormat="1" ht="5.0999999999999996" customHeight="1">
      <c r="A63" s="300"/>
      <c r="B63" s="301"/>
      <c r="C63" s="1000"/>
      <c r="D63" s="339"/>
      <c r="E63" s="33"/>
      <c r="F63" s="34"/>
      <c r="G63" s="299"/>
      <c r="H63" s="299"/>
      <c r="I63" s="299"/>
      <c r="J63" s="299"/>
      <c r="K63" s="299"/>
      <c r="L63" s="299"/>
    </row>
    <row r="64" spans="1:12" ht="20.25">
      <c r="A64" s="303"/>
      <c r="B64" s="298" t="s">
        <v>66</v>
      </c>
      <c r="C64" s="1001" t="s">
        <v>71</v>
      </c>
      <c r="D64" s="1002"/>
      <c r="E64" s="1003">
        <v>0</v>
      </c>
      <c r="F64" s="1004"/>
      <c r="G64" s="356"/>
      <c r="H64" s="299"/>
      <c r="I64" s="299"/>
      <c r="J64" s="299"/>
      <c r="K64" s="299"/>
      <c r="L64" s="299"/>
    </row>
    <row r="65" spans="1:12" s="26" customFormat="1" ht="5.0999999999999996" customHeight="1">
      <c r="A65" s="300"/>
      <c r="B65" s="301"/>
      <c r="C65" s="1000"/>
      <c r="D65" s="339"/>
      <c r="E65" s="33"/>
      <c r="F65" s="34"/>
      <c r="G65" s="299"/>
      <c r="H65" s="299"/>
      <c r="I65" s="299"/>
      <c r="J65" s="299"/>
      <c r="K65" s="299"/>
      <c r="L65" s="299"/>
    </row>
    <row r="66" spans="1:12" ht="20.25">
      <c r="A66" s="303"/>
      <c r="B66" s="298" t="s">
        <v>49</v>
      </c>
      <c r="C66" s="998" t="s">
        <v>72</v>
      </c>
      <c r="D66" s="999">
        <v>338506.36</v>
      </c>
      <c r="E66" s="46"/>
      <c r="F66" s="30"/>
      <c r="G66" s="299"/>
      <c r="H66" s="299"/>
      <c r="I66" s="299"/>
      <c r="J66" s="299"/>
      <c r="K66" s="299"/>
      <c r="L66" s="299"/>
    </row>
    <row r="67" spans="1:12" ht="5.0999999999999996" customHeight="1" thickBot="1">
      <c r="A67" s="321"/>
      <c r="B67" s="298"/>
      <c r="C67" s="998"/>
      <c r="D67" s="999"/>
      <c r="E67" s="46"/>
      <c r="F67" s="30"/>
      <c r="G67" s="299"/>
      <c r="H67" s="299"/>
      <c r="I67" s="299"/>
      <c r="J67" s="299"/>
      <c r="K67" s="299"/>
      <c r="L67" s="299"/>
    </row>
    <row r="68" spans="1:12" ht="35.1" customHeight="1" thickBot="1">
      <c r="A68" s="317" t="s">
        <v>69</v>
      </c>
      <c r="B68" s="318"/>
      <c r="C68" s="1005"/>
      <c r="D68" s="658">
        <f>SUM(D62:D67)</f>
        <v>338506.36</v>
      </c>
      <c r="E68" s="658">
        <f>SUM(E62:E67)</f>
        <v>0</v>
      </c>
      <c r="F68" s="653">
        <f>F60+D68-E68</f>
        <v>30461978.649999999</v>
      </c>
      <c r="G68" s="299"/>
      <c r="H68" s="299"/>
      <c r="I68" s="299"/>
      <c r="J68" s="299"/>
      <c r="K68" s="299"/>
      <c r="L68" s="299"/>
    </row>
    <row r="69" spans="1:12" ht="15.75" thickBot="1">
      <c r="A69" s="781"/>
      <c r="B69" s="782"/>
      <c r="C69" s="1006"/>
      <c r="D69" s="1007"/>
      <c r="E69" s="1008"/>
      <c r="F69" s="1009">
        <f>F68-30461978.65</f>
        <v>0</v>
      </c>
      <c r="G69" s="299"/>
      <c r="H69" s="299"/>
      <c r="I69" s="299"/>
      <c r="J69" s="299"/>
      <c r="K69" s="299"/>
      <c r="L69" s="299"/>
    </row>
    <row r="70" spans="1:12" ht="35.1" customHeight="1">
      <c r="A70" s="319" t="s">
        <v>70</v>
      </c>
      <c r="B70" s="156" t="s">
        <v>2059</v>
      </c>
      <c r="C70" s="983"/>
      <c r="D70" s="984" t="s">
        <v>41</v>
      </c>
      <c r="E70" s="655" t="s">
        <v>42</v>
      </c>
      <c r="F70" s="985" t="s">
        <v>43</v>
      </c>
      <c r="G70" s="299"/>
      <c r="H70" s="299"/>
      <c r="I70" s="299"/>
      <c r="J70" s="299"/>
      <c r="K70" s="299"/>
      <c r="L70" s="299"/>
    </row>
    <row r="71" spans="1:12" ht="20.25">
      <c r="A71" s="305"/>
      <c r="B71" s="298" t="s">
        <v>44</v>
      </c>
      <c r="C71" s="25" t="s">
        <v>45</v>
      </c>
      <c r="D71" s="36"/>
      <c r="E71" s="46"/>
      <c r="F71" s="48">
        <v>62218531.350000001</v>
      </c>
      <c r="G71" s="299"/>
      <c r="I71" s="299"/>
      <c r="J71" s="299"/>
      <c r="K71" s="299"/>
      <c r="L71" s="299"/>
    </row>
    <row r="72" spans="1:12" s="26" customFormat="1" ht="5.0999999999999996" customHeight="1">
      <c r="A72" s="300"/>
      <c r="B72" s="301"/>
      <c r="C72" s="29"/>
      <c r="D72" s="32"/>
      <c r="E72" s="33"/>
      <c r="F72" s="34"/>
      <c r="G72" s="299"/>
      <c r="I72" s="299"/>
      <c r="J72" s="299"/>
      <c r="K72" s="299"/>
      <c r="L72" s="299"/>
    </row>
    <row r="73" spans="1:12" ht="20.25">
      <c r="A73" s="303"/>
      <c r="B73" s="298" t="s">
        <v>64</v>
      </c>
      <c r="C73" s="25" t="s">
        <v>65</v>
      </c>
      <c r="D73" s="36">
        <v>18254977.34</v>
      </c>
      <c r="E73" s="46"/>
      <c r="F73" s="30"/>
      <c r="G73" s="299"/>
      <c r="I73" s="299"/>
      <c r="J73" s="299"/>
      <c r="K73" s="299"/>
      <c r="L73" s="299"/>
    </row>
    <row r="74" spans="1:12" s="26" customFormat="1" ht="5.0999999999999996" customHeight="1">
      <c r="A74" s="300"/>
      <c r="B74" s="301"/>
      <c r="C74" s="29"/>
      <c r="D74" s="32"/>
      <c r="E74" s="33"/>
      <c r="F74" s="34"/>
      <c r="G74" s="299"/>
      <c r="H74" s="299"/>
      <c r="I74" s="299"/>
      <c r="J74" s="299"/>
      <c r="K74" s="299"/>
      <c r="L74" s="299"/>
    </row>
    <row r="75" spans="1:12" ht="20.25">
      <c r="A75" s="303"/>
      <c r="B75" s="298" t="s">
        <v>66</v>
      </c>
      <c r="C75" s="1010" t="s">
        <v>67</v>
      </c>
      <c r="D75" s="1011"/>
      <c r="E75" s="1003">
        <v>27490000</v>
      </c>
      <c r="F75" s="1004"/>
      <c r="G75" s="356"/>
      <c r="H75" s="299"/>
      <c r="I75" s="299"/>
      <c r="J75" s="299"/>
      <c r="K75" s="299"/>
      <c r="L75" s="299"/>
    </row>
    <row r="76" spans="1:12" s="26" customFormat="1" ht="5.0999999999999996" customHeight="1">
      <c r="A76" s="300"/>
      <c r="B76" s="301"/>
      <c r="C76" s="29"/>
      <c r="D76" s="32"/>
      <c r="E76" s="33"/>
      <c r="F76" s="34"/>
      <c r="G76" s="299"/>
      <c r="H76" s="299"/>
      <c r="I76" s="299"/>
      <c r="J76" s="299"/>
      <c r="K76" s="299"/>
      <c r="L76" s="299"/>
    </row>
    <row r="77" spans="1:12" ht="20.25">
      <c r="A77" s="303"/>
      <c r="B77" s="298" t="s">
        <v>49</v>
      </c>
      <c r="C77" s="25" t="s">
        <v>72</v>
      </c>
      <c r="D77" s="36">
        <v>567417.93000000005</v>
      </c>
      <c r="E77" s="46"/>
      <c r="F77" s="30"/>
      <c r="G77" s="299"/>
      <c r="H77" s="299"/>
      <c r="I77" s="299"/>
      <c r="J77" s="299"/>
      <c r="K77" s="299"/>
      <c r="L77" s="299"/>
    </row>
    <row r="78" spans="1:12" s="26" customFormat="1" ht="5.0999999999999996" customHeight="1" thickBot="1">
      <c r="A78" s="300"/>
      <c r="B78" s="301"/>
      <c r="C78" s="29"/>
      <c r="D78" s="32"/>
      <c r="E78" s="33"/>
      <c r="F78" s="34"/>
      <c r="G78" s="299"/>
      <c r="H78" s="299"/>
      <c r="I78" s="299"/>
      <c r="J78" s="299"/>
      <c r="K78" s="299"/>
      <c r="L78" s="299"/>
    </row>
    <row r="79" spans="1:12" s="26" customFormat="1" ht="35.1" customHeight="1" thickBot="1">
      <c r="A79" s="317" t="s">
        <v>73</v>
      </c>
      <c r="B79" s="318"/>
      <c r="C79" s="992"/>
      <c r="D79" s="657">
        <f>SUM(D73:D78)</f>
        <v>18822395.27</v>
      </c>
      <c r="E79" s="658">
        <f>SUM(E73:E78)</f>
        <v>27490000</v>
      </c>
      <c r="F79" s="653">
        <f>F71+D79-E79</f>
        <v>53550926.620000005</v>
      </c>
      <c r="G79" s="299"/>
      <c r="H79" s="357"/>
      <c r="I79" s="299"/>
      <c r="J79" s="299"/>
      <c r="K79" s="299"/>
      <c r="L79" s="299"/>
    </row>
    <row r="80" spans="1:12" s="26" customFormat="1" ht="21" thickBot="1">
      <c r="A80" s="303"/>
      <c r="B80" s="298"/>
      <c r="C80" s="527"/>
      <c r="D80" s="987"/>
      <c r="E80" s="52"/>
      <c r="F80" s="1009">
        <f>F79-53550926.62</f>
        <v>0</v>
      </c>
      <c r="G80" s="299"/>
      <c r="H80" s="299"/>
      <c r="I80" s="299"/>
      <c r="J80" s="299"/>
      <c r="K80" s="299"/>
      <c r="L80" s="299"/>
    </row>
    <row r="81" spans="1:12" s="26" customFormat="1" ht="35.1" customHeight="1" thickBot="1">
      <c r="A81" s="317" t="s">
        <v>2512</v>
      </c>
      <c r="B81" s="318"/>
      <c r="C81" s="992"/>
      <c r="D81" s="651">
        <f>D79+D68+D56</f>
        <v>52055388.770000003</v>
      </c>
      <c r="E81" s="651">
        <f>E79+E68+E56</f>
        <v>60320481.399999961</v>
      </c>
      <c r="F81" s="1012">
        <f>F79+F68+F56</f>
        <v>84155616.080000058</v>
      </c>
      <c r="G81" s="299"/>
      <c r="H81" s="365"/>
      <c r="I81" s="299"/>
      <c r="J81" s="299"/>
      <c r="K81" s="299"/>
      <c r="L81" s="299"/>
    </row>
    <row r="82" spans="1:12" s="26" customFormat="1" ht="20.25">
      <c r="A82" s="303"/>
      <c r="B82" s="298"/>
      <c r="C82" s="1006"/>
      <c r="D82" s="1013"/>
      <c r="E82" s="1006"/>
      <c r="F82" s="1014"/>
      <c r="G82" s="299"/>
      <c r="H82" s="299"/>
      <c r="I82" s="299"/>
      <c r="J82" s="299"/>
      <c r="K82" s="299"/>
      <c r="L82" s="299"/>
    </row>
    <row r="83" spans="1:12">
      <c r="A83" s="781"/>
      <c r="B83" s="782"/>
      <c r="C83" s="1006"/>
      <c r="D83" s="1013"/>
      <c r="E83" s="1013"/>
      <c r="F83" s="1014"/>
      <c r="G83" s="299"/>
      <c r="H83" s="299"/>
      <c r="I83" s="299"/>
      <c r="J83" s="299"/>
      <c r="K83" s="299"/>
      <c r="L83" s="299"/>
    </row>
    <row r="84" spans="1:12" ht="11.25" customHeight="1">
      <c r="A84" s="783"/>
      <c r="B84" s="333"/>
      <c r="C84" s="1015"/>
      <c r="D84" s="1015"/>
      <c r="E84" s="1016"/>
      <c r="F84" s="1017"/>
      <c r="G84" s="299"/>
      <c r="H84" s="299"/>
      <c r="I84" s="299"/>
      <c r="J84" s="299"/>
      <c r="K84" s="299"/>
      <c r="L84" s="299"/>
    </row>
    <row r="85" spans="1:12" ht="13.5" thickBot="1">
      <c r="A85" s="784"/>
      <c r="B85" s="785"/>
      <c r="C85" s="1018"/>
      <c r="D85" s="1018"/>
      <c r="E85" s="1019"/>
      <c r="F85" s="1020"/>
      <c r="G85" s="299"/>
      <c r="H85" s="299"/>
      <c r="I85" s="299"/>
      <c r="J85" s="299"/>
      <c r="K85" s="299"/>
      <c r="L85" s="299"/>
    </row>
    <row r="86" spans="1:12">
      <c r="A86" s="299"/>
      <c r="B86" s="322"/>
      <c r="G86" s="299"/>
      <c r="H86" s="299"/>
      <c r="I86" s="299"/>
      <c r="J86" s="299"/>
      <c r="K86" s="299"/>
      <c r="L86" s="299"/>
    </row>
    <row r="87" spans="1:12">
      <c r="A87" s="299"/>
      <c r="B87" s="322"/>
      <c r="G87" s="299"/>
      <c r="H87" s="299"/>
      <c r="I87" s="299"/>
      <c r="J87" s="299"/>
      <c r="K87" s="299"/>
      <c r="L87" s="299"/>
    </row>
    <row r="88" spans="1:12">
      <c r="A88" s="299"/>
      <c r="B88" s="322"/>
      <c r="G88" s="299"/>
      <c r="H88" s="299"/>
      <c r="I88" s="299"/>
      <c r="J88" s="299"/>
      <c r="K88" s="299"/>
      <c r="L88" s="299"/>
    </row>
    <row r="89" spans="1:12">
      <c r="A89" s="299"/>
      <c r="B89" s="322"/>
      <c r="G89" s="299"/>
      <c r="H89" s="299"/>
      <c r="I89" s="299"/>
      <c r="J89" s="299"/>
      <c r="K89" s="299"/>
      <c r="L89" s="299"/>
    </row>
    <row r="90" spans="1:12">
      <c r="A90" s="299"/>
      <c r="B90" s="322"/>
      <c r="G90" s="299"/>
      <c r="H90" s="299"/>
      <c r="I90" s="299"/>
      <c r="J90" s="299"/>
      <c r="K90" s="299"/>
      <c r="L90" s="299"/>
    </row>
    <row r="91" spans="1:12">
      <c r="A91" s="299"/>
      <c r="B91" s="322"/>
      <c r="G91" s="299"/>
      <c r="H91" s="299"/>
      <c r="I91" s="299"/>
      <c r="J91" s="299"/>
      <c r="K91" s="299"/>
      <c r="L91" s="299"/>
    </row>
    <row r="92" spans="1:12">
      <c r="A92" s="299"/>
      <c r="B92" s="322"/>
      <c r="G92" s="299"/>
      <c r="H92" s="299"/>
      <c r="I92" s="299"/>
      <c r="J92" s="299"/>
      <c r="K92" s="299"/>
      <c r="L92" s="299"/>
    </row>
    <row r="93" spans="1:12">
      <c r="A93" s="299"/>
      <c r="B93" s="322"/>
      <c r="G93" s="299"/>
      <c r="H93" s="299"/>
      <c r="I93" s="299"/>
      <c r="J93" s="299"/>
      <c r="K93" s="299"/>
      <c r="L93" s="299"/>
    </row>
    <row r="94" spans="1:12">
      <c r="A94" s="299"/>
      <c r="B94" s="322"/>
      <c r="G94" s="299"/>
      <c r="H94" s="299"/>
      <c r="I94" s="299"/>
      <c r="J94" s="299"/>
      <c r="K94" s="299"/>
      <c r="L94" s="299"/>
    </row>
    <row r="95" spans="1:12">
      <c r="A95" s="299"/>
      <c r="B95" s="322"/>
      <c r="G95" s="299"/>
      <c r="H95" s="299"/>
      <c r="I95" s="299"/>
      <c r="J95" s="299"/>
      <c r="K95" s="299"/>
      <c r="L95" s="299"/>
    </row>
    <row r="96" spans="1:12">
      <c r="A96" s="299"/>
      <c r="B96" s="322"/>
      <c r="G96" s="299"/>
      <c r="H96" s="299"/>
      <c r="I96" s="299"/>
      <c r="J96" s="299"/>
      <c r="K96" s="299"/>
      <c r="L96" s="299"/>
    </row>
    <row r="97" spans="1:12">
      <c r="A97" s="299"/>
      <c r="B97" s="322"/>
      <c r="G97" s="299"/>
      <c r="H97" s="299"/>
      <c r="I97" s="299"/>
      <c r="J97" s="299"/>
      <c r="K97" s="299"/>
      <c r="L97" s="299"/>
    </row>
    <row r="98" spans="1:12">
      <c r="A98" s="299"/>
      <c r="B98" s="322"/>
      <c r="G98" s="299"/>
      <c r="H98" s="299"/>
      <c r="I98" s="299"/>
      <c r="J98" s="299"/>
      <c r="K98" s="299"/>
      <c r="L98" s="299"/>
    </row>
    <row r="99" spans="1:12">
      <c r="A99" s="299"/>
      <c r="B99" s="322"/>
      <c r="G99" s="299"/>
      <c r="H99" s="299"/>
      <c r="I99" s="299"/>
      <c r="J99" s="299"/>
      <c r="K99" s="299"/>
      <c r="L99" s="299"/>
    </row>
    <row r="100" spans="1:12">
      <c r="A100" s="299"/>
      <c r="B100" s="322"/>
      <c r="G100" s="299"/>
      <c r="H100" s="299"/>
      <c r="I100" s="299"/>
      <c r="J100" s="299"/>
      <c r="K100" s="299"/>
      <c r="L100" s="299"/>
    </row>
    <row r="101" spans="1:12">
      <c r="A101" s="299"/>
      <c r="B101" s="322"/>
      <c r="G101" s="299"/>
      <c r="H101" s="299"/>
      <c r="I101" s="299"/>
      <c r="J101" s="299"/>
      <c r="K101" s="299"/>
      <c r="L101" s="299"/>
    </row>
    <row r="102" spans="1:12">
      <c r="A102" s="299"/>
      <c r="B102" s="322"/>
      <c r="G102" s="299"/>
      <c r="H102" s="299"/>
      <c r="I102" s="299"/>
      <c r="J102" s="299"/>
      <c r="K102" s="299"/>
      <c r="L102" s="299"/>
    </row>
    <row r="103" spans="1:12">
      <c r="A103" s="299"/>
      <c r="B103" s="322"/>
      <c r="G103" s="299"/>
      <c r="H103" s="299"/>
      <c r="I103" s="299"/>
      <c r="J103" s="299"/>
      <c r="K103" s="299"/>
      <c r="L103" s="299"/>
    </row>
    <row r="104" spans="1:12">
      <c r="A104" s="299"/>
      <c r="B104" s="322"/>
      <c r="G104" s="299"/>
      <c r="H104" s="299"/>
      <c r="I104" s="299"/>
      <c r="J104" s="299"/>
      <c r="K104" s="299"/>
      <c r="L104" s="299"/>
    </row>
    <row r="105" spans="1:12">
      <c r="A105" s="299"/>
      <c r="B105" s="322"/>
      <c r="G105" s="299"/>
      <c r="H105" s="299"/>
      <c r="I105" s="299"/>
      <c r="J105" s="299"/>
      <c r="K105" s="299"/>
      <c r="L105" s="299"/>
    </row>
    <row r="106" spans="1:12">
      <c r="A106" s="299"/>
      <c r="B106" s="322"/>
      <c r="G106" s="299"/>
      <c r="H106" s="299"/>
      <c r="I106" s="299"/>
      <c r="J106" s="299"/>
      <c r="K106" s="299"/>
      <c r="L106" s="299"/>
    </row>
    <row r="107" spans="1:12">
      <c r="A107" s="299"/>
      <c r="B107" s="322"/>
      <c r="G107" s="299"/>
      <c r="H107" s="299"/>
      <c r="I107" s="299"/>
      <c r="J107" s="299"/>
      <c r="K107" s="299"/>
      <c r="L107" s="299"/>
    </row>
    <row r="108" spans="1:12">
      <c r="A108" s="299"/>
      <c r="B108" s="322"/>
      <c r="G108" s="299"/>
      <c r="H108" s="299"/>
      <c r="I108" s="299"/>
      <c r="J108" s="299"/>
      <c r="K108" s="299"/>
      <c r="L108" s="299"/>
    </row>
    <row r="109" spans="1:12">
      <c r="A109" s="299"/>
      <c r="B109" s="322"/>
      <c r="G109" s="299"/>
      <c r="H109" s="299"/>
      <c r="I109" s="299"/>
      <c r="J109" s="299"/>
      <c r="K109" s="299"/>
      <c r="L109" s="299"/>
    </row>
    <row r="110" spans="1:12">
      <c r="A110" s="299"/>
      <c r="B110" s="322"/>
      <c r="G110" s="299"/>
      <c r="H110" s="299"/>
      <c r="I110" s="299"/>
      <c r="J110" s="299"/>
      <c r="K110" s="299"/>
      <c r="L110" s="299"/>
    </row>
    <row r="111" spans="1:12">
      <c r="A111" s="299"/>
      <c r="B111" s="322"/>
      <c r="G111" s="299"/>
      <c r="H111" s="299"/>
      <c r="I111" s="299"/>
      <c r="J111" s="299"/>
      <c r="K111" s="299"/>
      <c r="L111" s="299"/>
    </row>
    <row r="112" spans="1:12">
      <c r="A112" s="299"/>
      <c r="B112" s="322"/>
      <c r="G112" s="299"/>
      <c r="H112" s="299"/>
      <c r="I112" s="299"/>
      <c r="J112" s="299"/>
      <c r="K112" s="299"/>
      <c r="L112" s="299"/>
    </row>
    <row r="113" spans="1:12">
      <c r="A113" s="299"/>
      <c r="B113" s="322"/>
      <c r="G113" s="299"/>
      <c r="H113" s="299"/>
      <c r="I113" s="299"/>
      <c r="J113" s="299"/>
      <c r="K113" s="299"/>
      <c r="L113" s="299"/>
    </row>
    <row r="114" spans="1:12">
      <c r="A114" s="299"/>
      <c r="B114" s="322"/>
      <c r="G114" s="299"/>
      <c r="H114" s="299"/>
      <c r="I114" s="299"/>
      <c r="J114" s="299"/>
      <c r="K114" s="299"/>
      <c r="L114" s="299"/>
    </row>
    <row r="115" spans="1:12">
      <c r="A115" s="299"/>
      <c r="B115" s="322"/>
      <c r="G115" s="299"/>
      <c r="H115" s="299"/>
      <c r="I115" s="299"/>
      <c r="J115" s="299"/>
      <c r="K115" s="299"/>
      <c r="L115" s="299"/>
    </row>
    <row r="116" spans="1:12">
      <c r="A116" s="299"/>
      <c r="B116" s="322"/>
      <c r="G116" s="299"/>
      <c r="H116" s="299"/>
      <c r="I116" s="299"/>
      <c r="J116" s="299"/>
      <c r="K116" s="299"/>
      <c r="L116" s="299"/>
    </row>
    <row r="117" spans="1:12">
      <c r="A117" s="299"/>
      <c r="B117" s="322"/>
      <c r="G117" s="299"/>
      <c r="H117" s="299"/>
      <c r="I117" s="299"/>
      <c r="J117" s="299"/>
      <c r="K117" s="299"/>
      <c r="L117" s="299"/>
    </row>
    <row r="118" spans="1:12">
      <c r="A118" s="299"/>
      <c r="B118" s="322"/>
      <c r="G118" s="299"/>
      <c r="H118" s="299"/>
      <c r="I118" s="299"/>
      <c r="J118" s="299"/>
      <c r="K118" s="299"/>
      <c r="L118" s="299"/>
    </row>
    <row r="119" spans="1:12">
      <c r="A119" s="299"/>
      <c r="B119" s="322"/>
      <c r="G119" s="299"/>
      <c r="H119" s="299"/>
      <c r="I119" s="299"/>
      <c r="J119" s="299"/>
      <c r="K119" s="299"/>
      <c r="L119" s="299"/>
    </row>
    <row r="120" spans="1:12">
      <c r="A120" s="299"/>
      <c r="B120" s="322"/>
      <c r="G120" s="299"/>
      <c r="H120" s="299"/>
      <c r="I120" s="299"/>
      <c r="J120" s="299"/>
      <c r="K120" s="299"/>
      <c r="L120" s="299"/>
    </row>
    <row r="121" spans="1:12">
      <c r="A121" s="299"/>
      <c r="B121" s="322"/>
      <c r="G121" s="299"/>
      <c r="H121" s="299"/>
      <c r="I121" s="299"/>
      <c r="J121" s="299"/>
      <c r="K121" s="299"/>
      <c r="L121" s="299"/>
    </row>
    <row r="122" spans="1:12">
      <c r="A122" s="299"/>
      <c r="B122" s="322"/>
      <c r="G122" s="299"/>
      <c r="H122" s="299"/>
      <c r="I122" s="299"/>
      <c r="J122" s="299"/>
      <c r="K122" s="299"/>
      <c r="L122" s="299"/>
    </row>
    <row r="123" spans="1:12">
      <c r="A123" s="299"/>
      <c r="B123" s="322"/>
      <c r="G123" s="299"/>
      <c r="H123" s="299"/>
      <c r="I123" s="299"/>
      <c r="J123" s="299"/>
      <c r="K123" s="299"/>
      <c r="L123" s="299"/>
    </row>
    <row r="124" spans="1:12">
      <c r="A124" s="299"/>
      <c r="B124" s="322"/>
      <c r="G124" s="299"/>
      <c r="H124" s="299"/>
      <c r="I124" s="299"/>
      <c r="J124" s="299"/>
      <c r="K124" s="299"/>
      <c r="L124" s="299"/>
    </row>
    <row r="125" spans="1:12">
      <c r="A125" s="299"/>
      <c r="B125" s="322"/>
      <c r="G125" s="299"/>
      <c r="H125" s="299"/>
      <c r="I125" s="299"/>
      <c r="J125" s="299"/>
      <c r="K125" s="299"/>
      <c r="L125" s="299"/>
    </row>
    <row r="126" spans="1:12">
      <c r="A126" s="299"/>
      <c r="B126" s="322"/>
      <c r="G126" s="299"/>
      <c r="H126" s="299"/>
      <c r="I126" s="299"/>
      <c r="J126" s="299"/>
      <c r="K126" s="299"/>
      <c r="L126" s="299"/>
    </row>
    <row r="127" spans="1:12">
      <c r="A127" s="299"/>
      <c r="B127" s="322"/>
      <c r="G127" s="299"/>
      <c r="H127" s="299"/>
      <c r="I127" s="299"/>
      <c r="J127" s="299"/>
      <c r="K127" s="299"/>
      <c r="L127" s="299"/>
    </row>
    <row r="128" spans="1:12">
      <c r="A128" s="299"/>
      <c r="B128" s="322"/>
      <c r="G128" s="299"/>
      <c r="H128" s="299"/>
      <c r="I128" s="299"/>
      <c r="J128" s="299"/>
      <c r="K128" s="299"/>
      <c r="L128" s="299"/>
    </row>
    <row r="129" spans="1:12">
      <c r="A129" s="299"/>
      <c r="B129" s="322"/>
      <c r="G129" s="299"/>
      <c r="H129" s="299"/>
      <c r="I129" s="299"/>
      <c r="J129" s="299"/>
      <c r="K129" s="299"/>
      <c r="L129" s="299"/>
    </row>
    <row r="130" spans="1:12">
      <c r="A130" s="299"/>
      <c r="B130" s="322"/>
      <c r="G130" s="299"/>
      <c r="H130" s="299"/>
      <c r="I130" s="299"/>
      <c r="J130" s="299"/>
      <c r="K130" s="299"/>
      <c r="L130" s="299"/>
    </row>
    <row r="131" spans="1:12">
      <c r="A131" s="299"/>
      <c r="B131" s="322"/>
      <c r="G131" s="299"/>
      <c r="H131" s="299"/>
      <c r="I131" s="299"/>
      <c r="J131" s="299"/>
      <c r="K131" s="299"/>
      <c r="L131" s="299"/>
    </row>
    <row r="132" spans="1:12">
      <c r="A132" s="299"/>
      <c r="B132" s="322"/>
      <c r="G132" s="299"/>
      <c r="H132" s="299"/>
      <c r="I132" s="299"/>
      <c r="J132" s="299"/>
      <c r="K132" s="299"/>
      <c r="L132" s="299"/>
    </row>
    <row r="133" spans="1:12">
      <c r="A133" s="299"/>
      <c r="B133" s="322"/>
      <c r="G133" s="299"/>
      <c r="H133" s="299"/>
      <c r="I133" s="299"/>
      <c r="J133" s="299"/>
      <c r="K133" s="299"/>
      <c r="L133" s="299"/>
    </row>
    <row r="134" spans="1:12">
      <c r="A134" s="299"/>
      <c r="B134" s="322"/>
      <c r="G134" s="299"/>
      <c r="H134" s="299"/>
      <c r="I134" s="299"/>
      <c r="J134" s="299"/>
      <c r="K134" s="299"/>
      <c r="L134" s="299"/>
    </row>
    <row r="135" spans="1:12">
      <c r="A135" s="299"/>
      <c r="B135" s="322"/>
      <c r="G135" s="299"/>
      <c r="H135" s="299"/>
      <c r="I135" s="299"/>
      <c r="J135" s="299"/>
      <c r="K135" s="299"/>
      <c r="L135" s="299"/>
    </row>
    <row r="136" spans="1:12">
      <c r="A136" s="299"/>
      <c r="B136" s="322"/>
      <c r="G136" s="299"/>
      <c r="H136" s="299"/>
      <c r="I136" s="299"/>
      <c r="J136" s="299"/>
      <c r="K136" s="299"/>
      <c r="L136" s="299"/>
    </row>
    <row r="137" spans="1:12">
      <c r="A137" s="299"/>
      <c r="B137" s="322"/>
      <c r="G137" s="299"/>
      <c r="H137" s="299"/>
      <c r="I137" s="299"/>
      <c r="J137" s="299"/>
      <c r="K137" s="299"/>
      <c r="L137" s="299"/>
    </row>
    <row r="138" spans="1:12">
      <c r="A138" s="299"/>
      <c r="B138" s="322"/>
      <c r="G138" s="299"/>
      <c r="H138" s="299"/>
      <c r="I138" s="299"/>
      <c r="J138" s="299"/>
      <c r="K138" s="299"/>
      <c r="L138" s="299"/>
    </row>
    <row r="139" spans="1:12">
      <c r="A139" s="299"/>
      <c r="B139" s="322"/>
      <c r="G139" s="299"/>
      <c r="H139" s="299"/>
      <c r="I139" s="299"/>
      <c r="J139" s="299"/>
      <c r="K139" s="299"/>
      <c r="L139" s="299"/>
    </row>
    <row r="140" spans="1:12">
      <c r="A140" s="299"/>
      <c r="B140" s="322"/>
      <c r="G140" s="299"/>
      <c r="H140" s="299"/>
      <c r="I140" s="299"/>
      <c r="J140" s="299"/>
      <c r="K140" s="299"/>
      <c r="L140" s="299"/>
    </row>
    <row r="141" spans="1:12">
      <c r="A141" s="299"/>
      <c r="B141" s="322"/>
      <c r="G141" s="299"/>
      <c r="H141" s="299"/>
      <c r="I141" s="299"/>
      <c r="J141" s="299"/>
      <c r="K141" s="299"/>
      <c r="L141" s="299"/>
    </row>
    <row r="142" spans="1:12">
      <c r="A142" s="299"/>
      <c r="B142" s="322"/>
      <c r="G142" s="299"/>
      <c r="H142" s="299"/>
      <c r="I142" s="299"/>
      <c r="J142" s="299"/>
      <c r="K142" s="299"/>
      <c r="L142" s="299"/>
    </row>
    <row r="143" spans="1:12">
      <c r="A143" s="299"/>
      <c r="B143" s="322"/>
      <c r="G143" s="299"/>
      <c r="H143" s="299"/>
      <c r="I143" s="299"/>
      <c r="J143" s="299"/>
      <c r="K143" s="299"/>
      <c r="L143" s="299"/>
    </row>
    <row r="144" spans="1:12">
      <c r="A144" s="299"/>
      <c r="B144" s="322"/>
      <c r="G144" s="299"/>
      <c r="H144" s="299"/>
      <c r="I144" s="299"/>
      <c r="J144" s="299"/>
      <c r="K144" s="299"/>
      <c r="L144" s="299"/>
    </row>
    <row r="145" spans="1:12">
      <c r="A145" s="299"/>
      <c r="B145" s="322"/>
      <c r="G145" s="299"/>
      <c r="H145" s="299"/>
      <c r="I145" s="299"/>
      <c r="J145" s="299"/>
      <c r="K145" s="299"/>
      <c r="L145" s="299"/>
    </row>
    <row r="146" spans="1:12">
      <c r="A146" s="299"/>
      <c r="B146" s="322"/>
      <c r="G146" s="299"/>
      <c r="H146" s="299"/>
      <c r="I146" s="299"/>
      <c r="J146" s="299"/>
      <c r="K146" s="299"/>
      <c r="L146" s="299"/>
    </row>
    <row r="147" spans="1:12">
      <c r="A147" s="299"/>
      <c r="B147" s="322"/>
      <c r="G147" s="299"/>
      <c r="H147" s="299"/>
      <c r="I147" s="299"/>
      <c r="J147" s="299"/>
      <c r="K147" s="299"/>
      <c r="L147" s="299"/>
    </row>
    <row r="148" spans="1:12">
      <c r="A148" s="299"/>
      <c r="B148" s="322"/>
      <c r="G148" s="299"/>
      <c r="H148" s="299"/>
      <c r="I148" s="299"/>
      <c r="J148" s="299"/>
      <c r="K148" s="299"/>
      <c r="L148" s="299"/>
    </row>
    <row r="149" spans="1:12">
      <c r="A149" s="299"/>
      <c r="B149" s="322"/>
      <c r="G149" s="299"/>
      <c r="H149" s="299"/>
      <c r="I149" s="299"/>
      <c r="J149" s="299"/>
      <c r="K149" s="299"/>
      <c r="L149" s="299"/>
    </row>
    <row r="150" spans="1:12">
      <c r="A150" s="299"/>
      <c r="B150" s="322"/>
      <c r="G150" s="299"/>
      <c r="H150" s="299"/>
      <c r="I150" s="299"/>
      <c r="J150" s="299"/>
      <c r="K150" s="299"/>
      <c r="L150" s="299"/>
    </row>
    <row r="151" spans="1:12">
      <c r="A151" s="299"/>
      <c r="B151" s="322"/>
      <c r="G151" s="299"/>
      <c r="H151" s="299"/>
      <c r="I151" s="299"/>
      <c r="J151" s="299"/>
      <c r="K151" s="299"/>
      <c r="L151" s="299"/>
    </row>
    <row r="152" spans="1:12">
      <c r="A152" s="299"/>
      <c r="B152" s="322"/>
      <c r="G152" s="299"/>
      <c r="H152" s="299"/>
      <c r="I152" s="299"/>
      <c r="J152" s="299"/>
      <c r="K152" s="299"/>
      <c r="L152" s="299"/>
    </row>
    <row r="153" spans="1:12">
      <c r="A153" s="299"/>
      <c r="B153" s="322"/>
      <c r="G153" s="299"/>
      <c r="H153" s="299"/>
      <c r="I153" s="299"/>
      <c r="J153" s="299"/>
      <c r="K153" s="299"/>
      <c r="L153" s="299"/>
    </row>
    <row r="154" spans="1:12">
      <c r="A154" s="299"/>
      <c r="B154" s="322"/>
      <c r="G154" s="299"/>
      <c r="H154" s="299"/>
      <c r="I154" s="299"/>
      <c r="J154" s="299"/>
      <c r="K154" s="299"/>
      <c r="L154" s="299"/>
    </row>
    <row r="155" spans="1:12">
      <c r="A155" s="299"/>
      <c r="B155" s="322"/>
      <c r="G155" s="299"/>
      <c r="H155" s="299"/>
      <c r="I155" s="299"/>
      <c r="J155" s="299"/>
      <c r="K155" s="299"/>
      <c r="L155" s="299"/>
    </row>
    <row r="156" spans="1:12">
      <c r="A156" s="299"/>
      <c r="B156" s="322"/>
      <c r="G156" s="299"/>
      <c r="H156" s="299"/>
      <c r="I156" s="299"/>
      <c r="J156" s="299"/>
      <c r="K156" s="299"/>
      <c r="L156" s="299"/>
    </row>
    <row r="157" spans="1:12">
      <c r="A157" s="299"/>
      <c r="B157" s="322"/>
      <c r="G157" s="299"/>
      <c r="H157" s="299"/>
      <c r="I157" s="299"/>
      <c r="J157" s="299"/>
      <c r="K157" s="299"/>
      <c r="L157" s="299"/>
    </row>
    <row r="158" spans="1:12">
      <c r="A158" s="299"/>
      <c r="B158" s="322"/>
      <c r="G158" s="299"/>
      <c r="H158" s="299"/>
      <c r="I158" s="299"/>
      <c r="J158" s="299"/>
      <c r="K158" s="299"/>
      <c r="L158" s="299"/>
    </row>
    <row r="159" spans="1:12">
      <c r="A159" s="299"/>
      <c r="B159" s="322"/>
      <c r="G159" s="299"/>
      <c r="H159" s="299"/>
      <c r="I159" s="299"/>
      <c r="J159" s="299"/>
      <c r="K159" s="299"/>
      <c r="L159" s="299"/>
    </row>
    <row r="160" spans="1:12">
      <c r="A160" s="299"/>
      <c r="B160" s="322"/>
      <c r="G160" s="299"/>
      <c r="H160" s="299"/>
      <c r="I160" s="299"/>
      <c r="J160" s="299"/>
      <c r="K160" s="299"/>
      <c r="L160" s="299"/>
    </row>
    <row r="161" spans="1:12">
      <c r="A161" s="299"/>
      <c r="B161" s="322"/>
      <c r="G161" s="299"/>
      <c r="H161" s="299"/>
      <c r="I161" s="299"/>
      <c r="J161" s="299"/>
      <c r="K161" s="299"/>
      <c r="L161" s="299"/>
    </row>
    <row r="162" spans="1:12">
      <c r="A162" s="299"/>
      <c r="B162" s="322"/>
      <c r="G162" s="299"/>
      <c r="H162" s="299"/>
      <c r="I162" s="299"/>
      <c r="J162" s="299"/>
      <c r="K162" s="299"/>
      <c r="L162" s="299"/>
    </row>
    <row r="163" spans="1:12">
      <c r="A163" s="299"/>
      <c r="B163" s="322"/>
      <c r="G163" s="299"/>
      <c r="H163" s="299"/>
      <c r="I163" s="299"/>
      <c r="J163" s="299"/>
      <c r="K163" s="299"/>
      <c r="L163" s="299"/>
    </row>
    <row r="164" spans="1:12">
      <c r="A164" s="299"/>
      <c r="B164" s="322"/>
      <c r="G164" s="299"/>
      <c r="H164" s="299"/>
      <c r="I164" s="299"/>
      <c r="J164" s="299"/>
      <c r="K164" s="299"/>
      <c r="L164" s="299"/>
    </row>
    <row r="165" spans="1:12">
      <c r="A165" s="299"/>
      <c r="B165" s="322"/>
      <c r="G165" s="299"/>
      <c r="H165" s="299"/>
      <c r="I165" s="299"/>
      <c r="J165" s="299"/>
      <c r="K165" s="299"/>
      <c r="L165" s="299"/>
    </row>
    <row r="166" spans="1:12">
      <c r="A166" s="299"/>
      <c r="B166" s="322"/>
      <c r="G166" s="299"/>
      <c r="H166" s="299"/>
      <c r="I166" s="299"/>
      <c r="J166" s="299"/>
      <c r="K166" s="299"/>
      <c r="L166" s="299"/>
    </row>
    <row r="167" spans="1:12">
      <c r="A167" s="299"/>
      <c r="B167" s="322"/>
      <c r="G167" s="299"/>
      <c r="H167" s="299"/>
      <c r="I167" s="299"/>
      <c r="J167" s="299"/>
      <c r="K167" s="299"/>
      <c r="L167" s="299"/>
    </row>
    <row r="168" spans="1:12">
      <c r="A168" s="299"/>
      <c r="B168" s="322"/>
      <c r="G168" s="299"/>
      <c r="H168" s="299"/>
      <c r="I168" s="299"/>
      <c r="J168" s="299"/>
      <c r="K168" s="299"/>
      <c r="L168" s="299"/>
    </row>
    <row r="169" spans="1:12">
      <c r="A169" s="299"/>
      <c r="B169" s="322"/>
      <c r="G169" s="299"/>
      <c r="H169" s="299"/>
      <c r="I169" s="299"/>
      <c r="J169" s="299"/>
      <c r="K169" s="299"/>
      <c r="L169" s="299"/>
    </row>
    <row r="170" spans="1:12">
      <c r="A170" s="299"/>
      <c r="B170" s="322"/>
      <c r="G170" s="299"/>
      <c r="H170" s="299"/>
      <c r="I170" s="299"/>
      <c r="J170" s="299"/>
      <c r="K170" s="299"/>
      <c r="L170" s="299"/>
    </row>
    <row r="171" spans="1:12">
      <c r="A171" s="299"/>
      <c r="B171" s="322"/>
      <c r="G171" s="299"/>
      <c r="H171" s="299"/>
      <c r="I171" s="299"/>
      <c r="J171" s="299"/>
      <c r="K171" s="299"/>
      <c r="L171" s="299"/>
    </row>
    <row r="172" spans="1:12">
      <c r="A172" s="299"/>
      <c r="B172" s="322"/>
      <c r="G172" s="299"/>
      <c r="H172" s="299"/>
      <c r="I172" s="299"/>
      <c r="J172" s="299"/>
      <c r="K172" s="299"/>
      <c r="L172" s="299"/>
    </row>
    <row r="173" spans="1:12">
      <c r="A173" s="299"/>
      <c r="B173" s="322"/>
      <c r="G173" s="299"/>
      <c r="H173" s="299"/>
      <c r="I173" s="299"/>
      <c r="J173" s="299"/>
      <c r="K173" s="299"/>
      <c r="L173" s="299"/>
    </row>
    <row r="174" spans="1:12">
      <c r="A174" s="299"/>
      <c r="B174" s="322"/>
      <c r="G174" s="299"/>
      <c r="H174" s="299"/>
      <c r="I174" s="299"/>
      <c r="J174" s="299"/>
      <c r="K174" s="299"/>
      <c r="L174" s="299"/>
    </row>
    <row r="175" spans="1:12">
      <c r="A175" s="299"/>
      <c r="B175" s="322"/>
      <c r="G175" s="299"/>
      <c r="H175" s="299"/>
      <c r="I175" s="299"/>
      <c r="J175" s="299"/>
      <c r="K175" s="299"/>
      <c r="L175" s="299"/>
    </row>
    <row r="176" spans="1:12">
      <c r="A176" s="299"/>
      <c r="B176" s="322"/>
      <c r="G176" s="299"/>
      <c r="H176" s="299"/>
      <c r="I176" s="299"/>
      <c r="J176" s="299"/>
      <c r="K176" s="299"/>
      <c r="L176" s="299"/>
    </row>
    <row r="177" spans="1:12">
      <c r="A177" s="299"/>
      <c r="B177" s="322"/>
      <c r="G177" s="299"/>
      <c r="H177" s="299"/>
      <c r="I177" s="299"/>
      <c r="J177" s="299"/>
      <c r="K177" s="299"/>
      <c r="L177" s="299"/>
    </row>
    <row r="178" spans="1:12">
      <c r="A178" s="299"/>
      <c r="B178" s="322"/>
      <c r="G178" s="299"/>
      <c r="H178" s="299"/>
      <c r="I178" s="299"/>
      <c r="J178" s="299"/>
      <c r="K178" s="299"/>
      <c r="L178" s="299"/>
    </row>
    <row r="179" spans="1:12">
      <c r="A179" s="299"/>
      <c r="B179" s="322"/>
      <c r="G179" s="299"/>
      <c r="H179" s="299"/>
      <c r="I179" s="299"/>
      <c r="J179" s="299"/>
      <c r="K179" s="299"/>
      <c r="L179" s="299"/>
    </row>
    <row r="180" spans="1:12">
      <c r="A180" s="299"/>
      <c r="B180" s="322"/>
      <c r="G180" s="299"/>
      <c r="H180" s="299"/>
      <c r="I180" s="299"/>
      <c r="J180" s="299"/>
      <c r="K180" s="299"/>
      <c r="L180" s="299"/>
    </row>
    <row r="181" spans="1:12">
      <c r="A181" s="299"/>
      <c r="B181" s="322"/>
      <c r="G181" s="299"/>
      <c r="H181" s="299"/>
      <c r="I181" s="299"/>
      <c r="J181" s="299"/>
      <c r="K181" s="299"/>
      <c r="L181" s="299"/>
    </row>
    <row r="182" spans="1:12">
      <c r="A182" s="299"/>
      <c r="B182" s="322"/>
      <c r="G182" s="299"/>
      <c r="H182" s="299"/>
      <c r="I182" s="299"/>
      <c r="J182" s="299"/>
      <c r="K182" s="299"/>
      <c r="L182" s="299"/>
    </row>
    <row r="183" spans="1:12">
      <c r="A183" s="299"/>
      <c r="B183" s="322"/>
      <c r="G183" s="299"/>
      <c r="H183" s="299"/>
      <c r="I183" s="299"/>
      <c r="J183" s="299"/>
      <c r="K183" s="299"/>
      <c r="L183" s="299"/>
    </row>
    <row r="184" spans="1:12">
      <c r="A184" s="299"/>
      <c r="B184" s="322"/>
      <c r="G184" s="299"/>
      <c r="H184" s="299"/>
      <c r="I184" s="299"/>
      <c r="J184" s="299"/>
      <c r="K184" s="299"/>
      <c r="L184" s="299"/>
    </row>
    <row r="185" spans="1:12">
      <c r="A185" s="299"/>
      <c r="B185" s="322"/>
      <c r="G185" s="299"/>
      <c r="H185" s="299"/>
      <c r="I185" s="299"/>
      <c r="J185" s="299"/>
      <c r="K185" s="299"/>
      <c r="L185" s="299"/>
    </row>
    <row r="186" spans="1:12">
      <c r="A186" s="299"/>
      <c r="B186" s="322"/>
      <c r="G186" s="299"/>
      <c r="H186" s="299"/>
      <c r="I186" s="299"/>
      <c r="J186" s="299"/>
      <c r="K186" s="299"/>
      <c r="L186" s="299"/>
    </row>
    <row r="187" spans="1:12">
      <c r="A187" s="299"/>
      <c r="B187" s="322"/>
      <c r="G187" s="299"/>
      <c r="H187" s="299"/>
      <c r="I187" s="299"/>
      <c r="J187" s="299"/>
      <c r="K187" s="299"/>
      <c r="L187" s="299"/>
    </row>
    <row r="188" spans="1:12">
      <c r="A188" s="299"/>
      <c r="B188" s="322"/>
      <c r="G188" s="299"/>
      <c r="H188" s="299"/>
      <c r="I188" s="299"/>
      <c r="J188" s="299"/>
      <c r="K188" s="299"/>
      <c r="L188" s="299"/>
    </row>
    <row r="189" spans="1:12">
      <c r="A189" s="299"/>
      <c r="B189" s="322"/>
      <c r="G189" s="299"/>
      <c r="H189" s="299"/>
      <c r="I189" s="299"/>
      <c r="J189" s="299"/>
      <c r="K189" s="299"/>
      <c r="L189" s="299"/>
    </row>
    <row r="190" spans="1:12">
      <c r="A190" s="299"/>
      <c r="B190" s="322"/>
      <c r="G190" s="299"/>
      <c r="H190" s="299"/>
      <c r="I190" s="299"/>
      <c r="J190" s="299"/>
      <c r="K190" s="299"/>
      <c r="L190" s="299"/>
    </row>
    <row r="191" spans="1:12">
      <c r="A191" s="299"/>
      <c r="B191" s="322"/>
      <c r="G191" s="299"/>
      <c r="H191" s="299"/>
      <c r="I191" s="299"/>
      <c r="J191" s="299"/>
      <c r="K191" s="299"/>
      <c r="L191" s="299"/>
    </row>
    <row r="192" spans="1:12">
      <c r="A192" s="299"/>
      <c r="B192" s="322"/>
      <c r="G192" s="299"/>
      <c r="H192" s="299"/>
      <c r="I192" s="299"/>
      <c r="J192" s="299"/>
      <c r="K192" s="299"/>
      <c r="L192" s="299"/>
    </row>
    <row r="193" spans="1:12">
      <c r="A193" s="299"/>
      <c r="B193" s="322"/>
      <c r="G193" s="299"/>
      <c r="H193" s="299"/>
      <c r="I193" s="299"/>
      <c r="J193" s="299"/>
      <c r="K193" s="299"/>
      <c r="L193" s="299"/>
    </row>
    <row r="194" spans="1:12">
      <c r="A194" s="299"/>
      <c r="B194" s="322"/>
      <c r="G194" s="299"/>
      <c r="H194" s="299"/>
      <c r="I194" s="299"/>
      <c r="J194" s="299"/>
      <c r="K194" s="299"/>
      <c r="L194" s="299"/>
    </row>
    <row r="195" spans="1:12">
      <c r="A195" s="299"/>
      <c r="B195" s="322"/>
      <c r="G195" s="299"/>
      <c r="H195" s="299"/>
      <c r="I195" s="299"/>
      <c r="J195" s="299"/>
      <c r="K195" s="299"/>
      <c r="L195" s="299"/>
    </row>
    <row r="196" spans="1:12">
      <c r="A196" s="299"/>
      <c r="B196" s="322"/>
      <c r="G196" s="299"/>
      <c r="H196" s="299"/>
      <c r="I196" s="299"/>
      <c r="J196" s="299"/>
      <c r="K196" s="299"/>
      <c r="L196" s="299"/>
    </row>
    <row r="197" spans="1:12">
      <c r="A197" s="299"/>
      <c r="B197" s="322"/>
      <c r="G197" s="299"/>
      <c r="H197" s="299"/>
      <c r="I197" s="299"/>
      <c r="J197" s="299"/>
      <c r="K197" s="299"/>
      <c r="L197" s="299"/>
    </row>
    <row r="198" spans="1:12">
      <c r="A198" s="299"/>
      <c r="B198" s="322"/>
      <c r="G198" s="299"/>
      <c r="H198" s="299"/>
      <c r="I198" s="299"/>
      <c r="J198" s="299"/>
      <c r="K198" s="299"/>
      <c r="L198" s="299"/>
    </row>
    <row r="199" spans="1:12">
      <c r="A199" s="299"/>
      <c r="B199" s="322"/>
      <c r="G199" s="299"/>
      <c r="H199" s="299"/>
      <c r="I199" s="299"/>
      <c r="J199" s="299"/>
      <c r="K199" s="299"/>
      <c r="L199" s="299"/>
    </row>
    <row r="200" spans="1:12">
      <c r="A200" s="299"/>
      <c r="B200" s="322"/>
      <c r="G200" s="299"/>
      <c r="H200" s="299"/>
      <c r="I200" s="299"/>
      <c r="J200" s="299"/>
      <c r="K200" s="299"/>
      <c r="L200" s="299"/>
    </row>
    <row r="201" spans="1:12">
      <c r="A201" s="299"/>
      <c r="B201" s="322"/>
      <c r="G201" s="299"/>
      <c r="H201" s="299"/>
      <c r="I201" s="299"/>
      <c r="J201" s="299"/>
      <c r="K201" s="299"/>
      <c r="L201" s="299"/>
    </row>
    <row r="202" spans="1:12">
      <c r="A202" s="299"/>
      <c r="B202" s="322"/>
      <c r="G202" s="299"/>
      <c r="H202" s="299"/>
      <c r="I202" s="299"/>
      <c r="J202" s="299"/>
      <c r="K202" s="299"/>
      <c r="L202" s="299"/>
    </row>
    <row r="203" spans="1:12">
      <c r="A203" s="299"/>
      <c r="B203" s="322"/>
      <c r="G203" s="299"/>
      <c r="H203" s="299"/>
      <c r="I203" s="299"/>
      <c r="J203" s="299"/>
      <c r="K203" s="299"/>
      <c r="L203" s="299"/>
    </row>
    <row r="204" spans="1:12">
      <c r="A204" s="299"/>
      <c r="B204" s="322"/>
      <c r="G204" s="299"/>
      <c r="H204" s="299"/>
      <c r="I204" s="299"/>
      <c r="J204" s="299"/>
      <c r="K204" s="299"/>
      <c r="L204" s="299"/>
    </row>
    <row r="205" spans="1:12">
      <c r="A205" s="299"/>
      <c r="B205" s="322"/>
      <c r="G205" s="299"/>
      <c r="H205" s="299"/>
      <c r="I205" s="299"/>
      <c r="J205" s="299"/>
      <c r="K205" s="299"/>
      <c r="L205" s="299"/>
    </row>
    <row r="206" spans="1:12">
      <c r="A206" s="299"/>
      <c r="B206" s="322"/>
      <c r="G206" s="299"/>
      <c r="H206" s="299"/>
      <c r="I206" s="299"/>
      <c r="J206" s="299"/>
      <c r="K206" s="299"/>
      <c r="L206" s="299"/>
    </row>
    <row r="207" spans="1:12">
      <c r="A207" s="299"/>
      <c r="B207" s="322"/>
      <c r="G207" s="299"/>
      <c r="H207" s="299"/>
      <c r="I207" s="299"/>
      <c r="J207" s="299"/>
      <c r="K207" s="299"/>
      <c r="L207" s="299"/>
    </row>
    <row r="208" spans="1:12">
      <c r="A208" s="299"/>
      <c r="B208" s="322"/>
      <c r="G208" s="299"/>
      <c r="H208" s="299"/>
      <c r="I208" s="299"/>
      <c r="J208" s="299"/>
      <c r="K208" s="299"/>
      <c r="L208" s="299"/>
    </row>
    <row r="209" spans="1:12">
      <c r="A209" s="299"/>
      <c r="B209" s="322"/>
      <c r="G209" s="299"/>
      <c r="H209" s="299"/>
      <c r="I209" s="299"/>
      <c r="J209" s="299"/>
      <c r="K209" s="299"/>
      <c r="L209" s="299"/>
    </row>
    <row r="210" spans="1:12">
      <c r="A210" s="299"/>
      <c r="B210" s="322"/>
      <c r="G210" s="299"/>
      <c r="H210" s="299"/>
      <c r="I210" s="299"/>
      <c r="J210" s="299"/>
      <c r="K210" s="299"/>
      <c r="L210" s="299"/>
    </row>
    <row r="211" spans="1:12">
      <c r="A211" s="299"/>
      <c r="B211" s="322"/>
      <c r="G211" s="299"/>
      <c r="H211" s="299"/>
      <c r="I211" s="299"/>
      <c r="J211" s="299"/>
      <c r="K211" s="299"/>
      <c r="L211" s="299"/>
    </row>
    <row r="212" spans="1:12">
      <c r="A212" s="299"/>
      <c r="B212" s="322"/>
      <c r="G212" s="299"/>
      <c r="H212" s="299"/>
      <c r="I212" s="299"/>
      <c r="J212" s="299"/>
      <c r="K212" s="299"/>
      <c r="L212" s="299"/>
    </row>
    <row r="213" spans="1:12">
      <c r="A213" s="299"/>
      <c r="B213" s="322"/>
      <c r="G213" s="299"/>
      <c r="H213" s="299"/>
      <c r="I213" s="299"/>
      <c r="J213" s="299"/>
      <c r="K213" s="299"/>
      <c r="L213" s="299"/>
    </row>
    <row r="214" spans="1:12">
      <c r="A214" s="299"/>
      <c r="B214" s="322"/>
      <c r="G214" s="299"/>
      <c r="H214" s="299"/>
      <c r="I214" s="299"/>
      <c r="J214" s="299"/>
      <c r="K214" s="299"/>
      <c r="L214" s="299"/>
    </row>
    <row r="215" spans="1:12">
      <c r="A215" s="299"/>
      <c r="B215" s="322"/>
      <c r="G215" s="299"/>
      <c r="H215" s="299"/>
      <c r="I215" s="299"/>
      <c r="J215" s="299"/>
      <c r="K215" s="299"/>
      <c r="L215" s="299"/>
    </row>
    <row r="216" spans="1:12">
      <c r="A216" s="299"/>
      <c r="B216" s="322"/>
      <c r="G216" s="299"/>
      <c r="H216" s="299"/>
      <c r="I216" s="299"/>
      <c r="J216" s="299"/>
      <c r="K216" s="299"/>
      <c r="L216" s="299"/>
    </row>
    <row r="217" spans="1:12">
      <c r="A217" s="299"/>
      <c r="B217" s="322"/>
      <c r="G217" s="299"/>
      <c r="H217" s="299"/>
      <c r="I217" s="299"/>
      <c r="J217" s="299"/>
      <c r="K217" s="299"/>
      <c r="L217" s="299"/>
    </row>
    <row r="218" spans="1:12">
      <c r="A218" s="299"/>
      <c r="B218" s="322"/>
      <c r="G218" s="299"/>
      <c r="H218" s="299"/>
      <c r="I218" s="299"/>
      <c r="J218" s="299"/>
      <c r="K218" s="299"/>
      <c r="L218" s="299"/>
    </row>
    <row r="219" spans="1:12">
      <c r="A219" s="299"/>
      <c r="B219" s="322"/>
      <c r="G219" s="299"/>
      <c r="H219" s="299"/>
      <c r="I219" s="299"/>
      <c r="J219" s="299"/>
      <c r="K219" s="299"/>
      <c r="L219" s="299"/>
    </row>
    <row r="220" spans="1:12">
      <c r="A220" s="299"/>
      <c r="B220" s="322"/>
      <c r="G220" s="299"/>
      <c r="H220" s="299"/>
      <c r="I220" s="299"/>
      <c r="J220" s="299"/>
      <c r="K220" s="299"/>
      <c r="L220" s="299"/>
    </row>
    <row r="221" spans="1:12">
      <c r="A221" s="299"/>
      <c r="B221" s="322"/>
      <c r="G221" s="299"/>
      <c r="H221" s="299"/>
      <c r="I221" s="299"/>
      <c r="J221" s="299"/>
      <c r="K221" s="299"/>
      <c r="L221" s="299"/>
    </row>
    <row r="222" spans="1:12">
      <c r="A222" s="299"/>
      <c r="B222" s="322"/>
      <c r="G222" s="299"/>
      <c r="H222" s="299"/>
      <c r="I222" s="299"/>
      <c r="J222" s="299"/>
      <c r="K222" s="299"/>
      <c r="L222" s="299"/>
    </row>
    <row r="223" spans="1:12">
      <c r="A223" s="299"/>
      <c r="B223" s="322"/>
      <c r="G223" s="299"/>
      <c r="H223" s="299"/>
      <c r="I223" s="299"/>
      <c r="J223" s="299"/>
      <c r="K223" s="299"/>
      <c r="L223" s="299"/>
    </row>
    <row r="224" spans="1:12">
      <c r="A224" s="299"/>
      <c r="B224" s="322"/>
      <c r="G224" s="299"/>
      <c r="H224" s="299"/>
      <c r="I224" s="299"/>
      <c r="J224" s="299"/>
      <c r="K224" s="299"/>
      <c r="L224" s="299"/>
    </row>
    <row r="225" spans="1:12">
      <c r="A225" s="299"/>
      <c r="B225" s="322"/>
      <c r="G225" s="299"/>
      <c r="H225" s="299"/>
      <c r="I225" s="299"/>
      <c r="J225" s="299"/>
      <c r="K225" s="299"/>
      <c r="L225" s="299"/>
    </row>
    <row r="226" spans="1:12">
      <c r="A226" s="299"/>
      <c r="B226" s="322"/>
      <c r="G226" s="299"/>
      <c r="H226" s="299"/>
      <c r="I226" s="299"/>
      <c r="J226" s="299"/>
      <c r="K226" s="299"/>
      <c r="L226" s="299"/>
    </row>
    <row r="227" spans="1:12">
      <c r="A227" s="299"/>
      <c r="B227" s="322"/>
      <c r="G227" s="299"/>
      <c r="H227" s="299"/>
      <c r="I227" s="299"/>
      <c r="J227" s="299"/>
      <c r="K227" s="299"/>
      <c r="L227" s="299"/>
    </row>
    <row r="228" spans="1:12">
      <c r="A228" s="299"/>
      <c r="B228" s="322"/>
      <c r="G228" s="299"/>
      <c r="H228" s="299"/>
      <c r="I228" s="299"/>
      <c r="J228" s="299"/>
      <c r="K228" s="299"/>
      <c r="L228" s="299"/>
    </row>
    <row r="229" spans="1:12">
      <c r="A229" s="299"/>
      <c r="B229" s="322"/>
      <c r="G229" s="299"/>
      <c r="H229" s="299"/>
      <c r="I229" s="299"/>
      <c r="J229" s="299"/>
      <c r="K229" s="299"/>
      <c r="L229" s="299"/>
    </row>
    <row r="230" spans="1:12">
      <c r="A230" s="299"/>
      <c r="B230" s="322"/>
      <c r="G230" s="299"/>
      <c r="H230" s="299"/>
      <c r="I230" s="299"/>
      <c r="J230" s="299"/>
      <c r="K230" s="299"/>
      <c r="L230" s="299"/>
    </row>
    <row r="231" spans="1:12">
      <c r="A231" s="299"/>
      <c r="B231" s="322"/>
      <c r="G231" s="299"/>
      <c r="H231" s="299"/>
      <c r="I231" s="299"/>
      <c r="J231" s="299"/>
      <c r="K231" s="299"/>
      <c r="L231" s="299"/>
    </row>
    <row r="232" spans="1:12">
      <c r="A232" s="299"/>
      <c r="B232" s="322"/>
      <c r="G232" s="299"/>
      <c r="H232" s="299"/>
      <c r="I232" s="299"/>
      <c r="J232" s="299"/>
      <c r="K232" s="299"/>
      <c r="L232" s="299"/>
    </row>
    <row r="233" spans="1:12">
      <c r="A233" s="299"/>
      <c r="B233" s="322"/>
      <c r="G233" s="299"/>
      <c r="H233" s="299"/>
      <c r="I233" s="299"/>
      <c r="J233" s="299"/>
      <c r="K233" s="299"/>
      <c r="L233" s="299"/>
    </row>
    <row r="234" spans="1:12">
      <c r="A234" s="299"/>
      <c r="B234" s="322"/>
      <c r="G234" s="299"/>
      <c r="H234" s="299"/>
      <c r="I234" s="299"/>
      <c r="J234" s="299"/>
      <c r="K234" s="299"/>
      <c r="L234" s="299"/>
    </row>
    <row r="235" spans="1:12">
      <c r="A235" s="299"/>
      <c r="B235" s="322"/>
      <c r="G235" s="299"/>
      <c r="H235" s="299"/>
      <c r="I235" s="299"/>
      <c r="J235" s="299"/>
      <c r="K235" s="299"/>
      <c r="L235" s="299"/>
    </row>
    <row r="236" spans="1:12">
      <c r="A236" s="299"/>
      <c r="B236" s="322"/>
      <c r="G236" s="299"/>
      <c r="H236" s="299"/>
      <c r="I236" s="299"/>
      <c r="J236" s="299"/>
      <c r="K236" s="299"/>
      <c r="L236" s="299"/>
    </row>
    <row r="237" spans="1:12">
      <c r="A237" s="299"/>
      <c r="B237" s="322"/>
      <c r="G237" s="299"/>
      <c r="H237" s="299"/>
      <c r="I237" s="299"/>
      <c r="J237" s="299"/>
      <c r="K237" s="299"/>
      <c r="L237" s="299"/>
    </row>
    <row r="238" spans="1:12">
      <c r="A238" s="299"/>
      <c r="B238" s="322"/>
      <c r="G238" s="299"/>
      <c r="H238" s="299"/>
      <c r="I238" s="299"/>
      <c r="J238" s="299"/>
      <c r="K238" s="299"/>
      <c r="L238" s="299"/>
    </row>
    <row r="239" spans="1:12">
      <c r="A239" s="299"/>
      <c r="B239" s="322"/>
      <c r="G239" s="299"/>
      <c r="H239" s="299"/>
      <c r="I239" s="299"/>
      <c r="J239" s="299"/>
      <c r="K239" s="299"/>
      <c r="L239" s="299"/>
    </row>
    <row r="240" spans="1:12">
      <c r="A240" s="299"/>
      <c r="B240" s="322"/>
      <c r="G240" s="299"/>
      <c r="H240" s="299"/>
      <c r="I240" s="299"/>
      <c r="J240" s="299"/>
      <c r="K240" s="299"/>
      <c r="L240" s="299"/>
    </row>
    <row r="241" spans="1:12">
      <c r="A241" s="299"/>
      <c r="B241" s="322"/>
      <c r="G241" s="299"/>
      <c r="H241" s="299"/>
      <c r="I241" s="299"/>
      <c r="J241" s="299"/>
      <c r="K241" s="299"/>
      <c r="L241" s="299"/>
    </row>
    <row r="242" spans="1:12">
      <c r="A242" s="299"/>
      <c r="B242" s="322"/>
      <c r="G242" s="299"/>
      <c r="H242" s="299"/>
      <c r="I242" s="299"/>
      <c r="J242" s="299"/>
      <c r="K242" s="299"/>
      <c r="L242" s="299"/>
    </row>
    <row r="243" spans="1:12">
      <c r="A243" s="299"/>
      <c r="B243" s="322"/>
      <c r="G243" s="299"/>
      <c r="H243" s="299"/>
      <c r="I243" s="299"/>
      <c r="J243" s="299"/>
      <c r="K243" s="299"/>
      <c r="L243" s="299"/>
    </row>
    <row r="244" spans="1:12">
      <c r="A244" s="299"/>
      <c r="B244" s="322"/>
      <c r="G244" s="299"/>
      <c r="H244" s="299"/>
      <c r="I244" s="299"/>
      <c r="J244" s="299"/>
      <c r="K244" s="299"/>
      <c r="L244" s="299"/>
    </row>
    <row r="245" spans="1:12">
      <c r="A245" s="299"/>
      <c r="B245" s="322"/>
      <c r="G245" s="299"/>
      <c r="H245" s="299"/>
      <c r="I245" s="299"/>
      <c r="J245" s="299"/>
      <c r="K245" s="299"/>
      <c r="L245" s="299"/>
    </row>
    <row r="246" spans="1:12">
      <c r="A246" s="299"/>
      <c r="B246" s="322"/>
      <c r="G246" s="299"/>
      <c r="H246" s="299"/>
      <c r="I246" s="299"/>
      <c r="J246" s="299"/>
      <c r="K246" s="299"/>
      <c r="L246" s="299"/>
    </row>
    <row r="247" spans="1:12">
      <c r="A247" s="299"/>
      <c r="B247" s="322"/>
      <c r="G247" s="299"/>
      <c r="H247" s="299"/>
      <c r="I247" s="299"/>
      <c r="J247" s="299"/>
      <c r="K247" s="299"/>
      <c r="L247" s="299"/>
    </row>
    <row r="248" spans="1:12">
      <c r="A248" s="299"/>
      <c r="B248" s="322"/>
      <c r="G248" s="299"/>
      <c r="H248" s="299"/>
      <c r="I248" s="299"/>
      <c r="J248" s="299"/>
      <c r="K248" s="299"/>
      <c r="L248" s="299"/>
    </row>
    <row r="249" spans="1:12">
      <c r="A249" s="299"/>
      <c r="B249" s="322"/>
      <c r="G249" s="299"/>
      <c r="H249" s="299"/>
      <c r="I249" s="299"/>
      <c r="J249" s="299"/>
      <c r="K249" s="299"/>
      <c r="L249" s="299"/>
    </row>
    <row r="250" spans="1:12">
      <c r="A250" s="299"/>
      <c r="B250" s="322"/>
      <c r="G250" s="299"/>
      <c r="H250" s="299"/>
      <c r="I250" s="299"/>
      <c r="J250" s="299"/>
      <c r="K250" s="299"/>
      <c r="L250" s="299"/>
    </row>
    <row r="251" spans="1:12">
      <c r="A251" s="299"/>
      <c r="B251" s="322"/>
      <c r="G251" s="299"/>
      <c r="H251" s="299"/>
      <c r="I251" s="299"/>
      <c r="J251" s="299"/>
      <c r="K251" s="299"/>
      <c r="L251" s="299"/>
    </row>
    <row r="252" spans="1:12">
      <c r="A252" s="299"/>
      <c r="B252" s="322"/>
      <c r="G252" s="299"/>
      <c r="H252" s="299"/>
      <c r="I252" s="299"/>
      <c r="J252" s="299"/>
      <c r="K252" s="299"/>
      <c r="L252" s="299"/>
    </row>
    <row r="253" spans="1:12">
      <c r="A253" s="299"/>
      <c r="B253" s="322"/>
      <c r="G253" s="299"/>
      <c r="H253" s="299"/>
      <c r="I253" s="299"/>
      <c r="J253" s="299"/>
      <c r="K253" s="299"/>
      <c r="L253" s="299"/>
    </row>
    <row r="254" spans="1:12">
      <c r="A254" s="299"/>
      <c r="B254" s="322"/>
      <c r="G254" s="299"/>
      <c r="H254" s="299"/>
      <c r="I254" s="299"/>
      <c r="J254" s="299"/>
      <c r="K254" s="299"/>
      <c r="L254" s="299"/>
    </row>
    <row r="255" spans="1:12">
      <c r="A255" s="299"/>
      <c r="B255" s="322"/>
      <c r="G255" s="299"/>
      <c r="H255" s="299"/>
      <c r="I255" s="299"/>
      <c r="J255" s="299"/>
      <c r="K255" s="299"/>
      <c r="L255" s="299"/>
    </row>
    <row r="256" spans="1:12">
      <c r="A256" s="299"/>
      <c r="B256" s="322"/>
      <c r="G256" s="299"/>
      <c r="H256" s="299"/>
      <c r="I256" s="299"/>
      <c r="J256" s="299"/>
      <c r="K256" s="299"/>
      <c r="L256" s="299"/>
    </row>
    <row r="257" spans="1:12">
      <c r="A257" s="299"/>
      <c r="B257" s="322"/>
      <c r="G257" s="299"/>
      <c r="H257" s="299"/>
      <c r="I257" s="299"/>
      <c r="J257" s="299"/>
      <c r="K257" s="299"/>
      <c r="L257" s="299"/>
    </row>
    <row r="258" spans="1:12">
      <c r="A258" s="299"/>
      <c r="B258" s="322"/>
      <c r="G258" s="299"/>
      <c r="H258" s="299"/>
      <c r="I258" s="299"/>
      <c r="J258" s="299"/>
      <c r="K258" s="299"/>
      <c r="L258" s="299"/>
    </row>
    <row r="259" spans="1:12">
      <c r="A259" s="299"/>
      <c r="B259" s="322"/>
      <c r="G259" s="299"/>
      <c r="H259" s="299"/>
      <c r="I259" s="299"/>
      <c r="J259" s="299"/>
      <c r="K259" s="299"/>
      <c r="L259" s="299"/>
    </row>
    <row r="260" spans="1:12">
      <c r="A260" s="299"/>
      <c r="B260" s="322"/>
      <c r="G260" s="299"/>
      <c r="H260" s="299"/>
      <c r="I260" s="299"/>
      <c r="J260" s="299"/>
      <c r="K260" s="299"/>
      <c r="L260" s="299"/>
    </row>
    <row r="261" spans="1:12">
      <c r="A261" s="299"/>
      <c r="B261" s="322"/>
      <c r="G261" s="299"/>
      <c r="H261" s="299"/>
      <c r="I261" s="299"/>
      <c r="J261" s="299"/>
      <c r="K261" s="299"/>
      <c r="L261" s="299"/>
    </row>
    <row r="262" spans="1:12">
      <c r="A262" s="299"/>
      <c r="B262" s="322"/>
      <c r="G262" s="299"/>
      <c r="H262" s="299"/>
      <c r="I262" s="299"/>
      <c r="J262" s="299"/>
      <c r="K262" s="299"/>
      <c r="L262" s="299"/>
    </row>
    <row r="263" spans="1:12">
      <c r="A263" s="299"/>
      <c r="B263" s="322"/>
      <c r="G263" s="299"/>
      <c r="H263" s="299"/>
      <c r="I263" s="299"/>
      <c r="J263" s="299"/>
      <c r="K263" s="299"/>
      <c r="L263" s="299"/>
    </row>
    <row r="264" spans="1:12">
      <c r="A264" s="299"/>
      <c r="B264" s="322"/>
      <c r="G264" s="299"/>
      <c r="H264" s="299"/>
      <c r="I264" s="299"/>
      <c r="J264" s="299"/>
      <c r="K264" s="299"/>
      <c r="L264" s="299"/>
    </row>
    <row r="265" spans="1:12">
      <c r="A265" s="299"/>
      <c r="B265" s="322"/>
      <c r="G265" s="299"/>
      <c r="H265" s="299"/>
      <c r="I265" s="299"/>
      <c r="J265" s="299"/>
      <c r="K265" s="299"/>
      <c r="L265" s="299"/>
    </row>
    <row r="266" spans="1:12">
      <c r="A266" s="299"/>
      <c r="B266" s="322"/>
      <c r="G266" s="299"/>
      <c r="H266" s="299"/>
      <c r="I266" s="299"/>
      <c r="J266" s="299"/>
      <c r="K266" s="299"/>
      <c r="L266" s="299"/>
    </row>
    <row r="267" spans="1:12">
      <c r="A267" s="299"/>
      <c r="B267" s="322"/>
      <c r="G267" s="299"/>
      <c r="H267" s="299"/>
      <c r="I267" s="299"/>
      <c r="J267" s="299"/>
      <c r="K267" s="299"/>
      <c r="L267" s="299"/>
    </row>
    <row r="268" spans="1:12">
      <c r="A268" s="299"/>
      <c r="B268" s="322"/>
      <c r="G268" s="299"/>
      <c r="H268" s="299"/>
      <c r="I268" s="299"/>
      <c r="J268" s="299"/>
      <c r="K268" s="299"/>
      <c r="L268" s="299"/>
    </row>
    <row r="269" spans="1:12">
      <c r="A269" s="299"/>
      <c r="B269" s="322"/>
      <c r="G269" s="299"/>
      <c r="H269" s="299"/>
      <c r="I269" s="299"/>
      <c r="J269" s="299"/>
      <c r="K269" s="299"/>
      <c r="L269" s="299"/>
    </row>
    <row r="270" spans="1:12">
      <c r="A270" s="299"/>
      <c r="B270" s="322"/>
      <c r="G270" s="299"/>
      <c r="H270" s="299"/>
      <c r="I270" s="299"/>
      <c r="J270" s="299"/>
      <c r="K270" s="299"/>
      <c r="L270" s="299"/>
    </row>
    <row r="271" spans="1:12">
      <c r="A271" s="299"/>
      <c r="B271" s="322"/>
      <c r="G271" s="299"/>
      <c r="H271" s="299"/>
      <c r="I271" s="299"/>
      <c r="J271" s="299"/>
      <c r="K271" s="299"/>
      <c r="L271" s="299"/>
    </row>
    <row r="272" spans="1:12">
      <c r="A272" s="299"/>
      <c r="B272" s="322"/>
      <c r="G272" s="299"/>
      <c r="H272" s="299"/>
      <c r="I272" s="299"/>
      <c r="J272" s="299"/>
      <c r="K272" s="299"/>
      <c r="L272" s="299"/>
    </row>
    <row r="273" spans="1:12">
      <c r="A273" s="299"/>
      <c r="B273" s="322"/>
      <c r="G273" s="299"/>
      <c r="H273" s="299"/>
      <c r="I273" s="299"/>
      <c r="J273" s="299"/>
      <c r="K273" s="299"/>
      <c r="L273" s="299"/>
    </row>
    <row r="274" spans="1:12">
      <c r="A274" s="299"/>
      <c r="B274" s="322"/>
      <c r="G274" s="299"/>
      <c r="H274" s="299"/>
      <c r="I274" s="299"/>
      <c r="J274" s="299"/>
      <c r="K274" s="299"/>
      <c r="L274" s="299"/>
    </row>
    <row r="275" spans="1:12">
      <c r="A275" s="299"/>
      <c r="B275" s="322"/>
      <c r="G275" s="299"/>
      <c r="H275" s="299"/>
      <c r="I275" s="299"/>
      <c r="J275" s="299"/>
      <c r="K275" s="299"/>
      <c r="L275" s="299"/>
    </row>
    <row r="276" spans="1:12">
      <c r="A276" s="299"/>
      <c r="B276" s="322"/>
      <c r="G276" s="299"/>
      <c r="H276" s="299"/>
      <c r="I276" s="299"/>
      <c r="J276" s="299"/>
      <c r="K276" s="299"/>
      <c r="L276" s="299"/>
    </row>
    <row r="277" spans="1:12">
      <c r="A277" s="299"/>
      <c r="B277" s="322"/>
      <c r="G277" s="299"/>
      <c r="H277" s="299"/>
      <c r="I277" s="299"/>
      <c r="J277" s="299"/>
      <c r="K277" s="299"/>
      <c r="L277" s="299"/>
    </row>
    <row r="278" spans="1:12">
      <c r="A278" s="299"/>
      <c r="B278" s="322"/>
      <c r="G278" s="299"/>
      <c r="H278" s="299"/>
      <c r="I278" s="299"/>
      <c r="J278" s="299"/>
      <c r="K278" s="299"/>
      <c r="L278" s="299"/>
    </row>
    <row r="279" spans="1:12">
      <c r="A279" s="299"/>
      <c r="B279" s="322"/>
      <c r="G279" s="299"/>
      <c r="H279" s="299"/>
      <c r="I279" s="299"/>
      <c r="J279" s="299"/>
      <c r="K279" s="299"/>
      <c r="L279" s="299"/>
    </row>
    <row r="280" spans="1:12">
      <c r="A280" s="299"/>
      <c r="B280" s="322"/>
      <c r="G280" s="299"/>
      <c r="H280" s="299"/>
      <c r="I280" s="299"/>
      <c r="J280" s="299"/>
      <c r="K280" s="299"/>
      <c r="L280" s="299"/>
    </row>
    <row r="281" spans="1:12">
      <c r="A281" s="299"/>
      <c r="B281" s="322"/>
      <c r="G281" s="299"/>
      <c r="H281" s="299"/>
      <c r="I281" s="299"/>
      <c r="J281" s="299"/>
      <c r="K281" s="299"/>
      <c r="L281" s="299"/>
    </row>
    <row r="282" spans="1:12">
      <c r="A282" s="299"/>
      <c r="B282" s="322"/>
      <c r="G282" s="299"/>
      <c r="H282" s="299"/>
      <c r="I282" s="299"/>
      <c r="J282" s="299"/>
      <c r="K282" s="299"/>
      <c r="L282" s="299"/>
    </row>
    <row r="283" spans="1:12">
      <c r="A283" s="299"/>
      <c r="B283" s="322"/>
      <c r="G283" s="299"/>
      <c r="H283" s="299"/>
      <c r="I283" s="299"/>
      <c r="J283" s="299"/>
      <c r="K283" s="299"/>
      <c r="L283" s="299"/>
    </row>
    <row r="284" spans="1:12">
      <c r="A284" s="299"/>
      <c r="B284" s="322"/>
      <c r="G284" s="299"/>
      <c r="H284" s="299"/>
      <c r="I284" s="299"/>
      <c r="J284" s="299"/>
      <c r="K284" s="299"/>
      <c r="L284" s="299"/>
    </row>
    <row r="285" spans="1:12">
      <c r="A285" s="299"/>
      <c r="B285" s="322"/>
      <c r="G285" s="299"/>
      <c r="H285" s="299"/>
      <c r="I285" s="299"/>
      <c r="J285" s="299"/>
      <c r="K285" s="299"/>
      <c r="L285" s="299"/>
    </row>
    <row r="286" spans="1:12">
      <c r="A286" s="299"/>
      <c r="B286" s="322"/>
      <c r="G286" s="299"/>
      <c r="H286" s="299"/>
      <c r="I286" s="299"/>
      <c r="J286" s="299"/>
      <c r="K286" s="299"/>
      <c r="L286" s="299"/>
    </row>
    <row r="287" spans="1:12">
      <c r="A287" s="299"/>
      <c r="B287" s="322"/>
      <c r="G287" s="299"/>
      <c r="H287" s="299"/>
      <c r="I287" s="299"/>
      <c r="J287" s="299"/>
      <c r="K287" s="299"/>
      <c r="L287" s="299"/>
    </row>
    <row r="288" spans="1:12">
      <c r="A288" s="299"/>
      <c r="B288" s="322"/>
      <c r="G288" s="299"/>
      <c r="H288" s="299"/>
      <c r="I288" s="299"/>
      <c r="J288" s="299"/>
      <c r="K288" s="299"/>
      <c r="L288" s="299"/>
    </row>
    <row r="289" spans="1:12">
      <c r="A289" s="299"/>
      <c r="B289" s="322"/>
      <c r="G289" s="299"/>
      <c r="H289" s="299"/>
      <c r="I289" s="299"/>
      <c r="J289" s="299"/>
      <c r="K289" s="299"/>
      <c r="L289" s="299"/>
    </row>
    <row r="290" spans="1:12">
      <c r="A290" s="299"/>
      <c r="B290" s="322"/>
      <c r="G290" s="299"/>
      <c r="H290" s="299"/>
      <c r="I290" s="299"/>
      <c r="J290" s="299"/>
      <c r="K290" s="299"/>
      <c r="L290" s="299"/>
    </row>
    <row r="291" spans="1:12">
      <c r="A291" s="299"/>
      <c r="B291" s="322"/>
      <c r="G291" s="299"/>
      <c r="H291" s="299"/>
      <c r="I291" s="299"/>
      <c r="J291" s="299"/>
      <c r="K291" s="299"/>
      <c r="L291" s="299"/>
    </row>
    <row r="292" spans="1:12">
      <c r="A292" s="299"/>
      <c r="B292" s="322"/>
      <c r="G292" s="299"/>
      <c r="H292" s="299"/>
      <c r="I292" s="299"/>
      <c r="J292" s="299"/>
      <c r="K292" s="299"/>
      <c r="L292" s="299"/>
    </row>
    <row r="293" spans="1:12">
      <c r="A293" s="299"/>
      <c r="B293" s="322"/>
      <c r="G293" s="299"/>
      <c r="H293" s="299"/>
      <c r="I293" s="299"/>
      <c r="J293" s="299"/>
      <c r="K293" s="299"/>
      <c r="L293" s="299"/>
    </row>
    <row r="294" spans="1:12">
      <c r="A294" s="299"/>
      <c r="B294" s="322"/>
      <c r="G294" s="299"/>
      <c r="H294" s="299"/>
      <c r="I294" s="299"/>
      <c r="J294" s="299"/>
      <c r="K294" s="299"/>
      <c r="L294" s="299"/>
    </row>
    <row r="295" spans="1:12">
      <c r="A295" s="299"/>
      <c r="B295" s="322"/>
      <c r="G295" s="299"/>
      <c r="H295" s="299"/>
      <c r="I295" s="299"/>
      <c r="J295" s="299"/>
      <c r="K295" s="299"/>
      <c r="L295" s="299"/>
    </row>
    <row r="296" spans="1:12">
      <c r="A296" s="299"/>
      <c r="B296" s="322"/>
      <c r="G296" s="299"/>
      <c r="H296" s="299"/>
      <c r="I296" s="299"/>
      <c r="J296" s="299"/>
      <c r="K296" s="299"/>
      <c r="L296" s="299"/>
    </row>
    <row r="297" spans="1:12">
      <c r="A297" s="299"/>
      <c r="B297" s="322"/>
      <c r="G297" s="299"/>
      <c r="H297" s="299"/>
      <c r="I297" s="299"/>
      <c r="J297" s="299"/>
      <c r="K297" s="299"/>
      <c r="L297" s="299"/>
    </row>
    <row r="298" spans="1:12">
      <c r="A298" s="299"/>
      <c r="B298" s="322"/>
      <c r="G298" s="299"/>
      <c r="H298" s="299"/>
      <c r="I298" s="299"/>
      <c r="J298" s="299"/>
      <c r="K298" s="299"/>
      <c r="L298" s="299"/>
    </row>
    <row r="299" spans="1:12">
      <c r="A299" s="299"/>
      <c r="B299" s="322"/>
      <c r="G299" s="299"/>
      <c r="H299" s="299"/>
      <c r="I299" s="299"/>
      <c r="J299" s="299"/>
      <c r="K299" s="299"/>
      <c r="L299" s="299"/>
    </row>
    <row r="300" spans="1:12">
      <c r="A300" s="299"/>
      <c r="B300" s="322"/>
      <c r="G300" s="299"/>
      <c r="H300" s="299"/>
      <c r="I300" s="299"/>
      <c r="J300" s="299"/>
      <c r="K300" s="299"/>
      <c r="L300" s="299"/>
    </row>
    <row r="301" spans="1:12">
      <c r="A301" s="299"/>
      <c r="B301" s="322"/>
      <c r="G301" s="299"/>
      <c r="H301" s="299"/>
      <c r="I301" s="299"/>
      <c r="J301" s="299"/>
      <c r="K301" s="299"/>
      <c r="L301" s="299"/>
    </row>
    <row r="302" spans="1:12">
      <c r="A302" s="299"/>
      <c r="B302" s="322"/>
      <c r="G302" s="299"/>
      <c r="H302" s="299"/>
      <c r="I302" s="299"/>
      <c r="J302" s="299"/>
      <c r="K302" s="299"/>
      <c r="L302" s="299"/>
    </row>
    <row r="303" spans="1:12">
      <c r="A303" s="299"/>
      <c r="B303" s="322"/>
      <c r="G303" s="299"/>
      <c r="H303" s="299"/>
      <c r="I303" s="299"/>
      <c r="J303" s="299"/>
      <c r="K303" s="299"/>
      <c r="L303" s="299"/>
    </row>
    <row r="304" spans="1:12">
      <c r="A304" s="299"/>
      <c r="B304" s="322"/>
      <c r="G304" s="299"/>
      <c r="H304" s="299"/>
      <c r="I304" s="299"/>
      <c r="J304" s="299"/>
      <c r="K304" s="299"/>
      <c r="L304" s="299"/>
    </row>
    <row r="305" spans="1:12">
      <c r="A305" s="299"/>
      <c r="B305" s="322"/>
      <c r="G305" s="299"/>
      <c r="H305" s="299"/>
      <c r="I305" s="299"/>
      <c r="J305" s="299"/>
      <c r="K305" s="299"/>
      <c r="L305" s="299"/>
    </row>
    <row r="306" spans="1:12">
      <c r="A306" s="299"/>
      <c r="B306" s="322"/>
      <c r="G306" s="299"/>
      <c r="H306" s="299"/>
      <c r="I306" s="299"/>
      <c r="J306" s="299"/>
      <c r="K306" s="299"/>
      <c r="L306" s="299"/>
    </row>
    <row r="307" spans="1:12">
      <c r="A307" s="299"/>
      <c r="B307" s="322"/>
      <c r="G307" s="299"/>
      <c r="H307" s="299"/>
      <c r="I307" s="299"/>
      <c r="J307" s="299"/>
      <c r="K307" s="299"/>
      <c r="L307" s="299"/>
    </row>
    <row r="308" spans="1:12">
      <c r="A308" s="299"/>
      <c r="B308" s="322"/>
      <c r="G308" s="299"/>
      <c r="H308" s="299"/>
      <c r="I308" s="299"/>
      <c r="J308" s="299"/>
      <c r="K308" s="299"/>
      <c r="L308" s="299"/>
    </row>
    <row r="309" spans="1:12">
      <c r="A309" s="299"/>
      <c r="B309" s="322"/>
      <c r="G309" s="299"/>
      <c r="H309" s="299"/>
      <c r="I309" s="299"/>
      <c r="J309" s="299"/>
      <c r="K309" s="299"/>
      <c r="L309" s="299"/>
    </row>
    <row r="310" spans="1:12">
      <c r="A310" s="299"/>
      <c r="B310" s="322"/>
      <c r="G310" s="299"/>
      <c r="H310" s="299"/>
      <c r="I310" s="299"/>
      <c r="J310" s="299"/>
      <c r="K310" s="299"/>
      <c r="L310" s="299"/>
    </row>
    <row r="311" spans="1:12">
      <c r="A311" s="299"/>
      <c r="B311" s="322"/>
      <c r="G311" s="299"/>
      <c r="H311" s="299"/>
      <c r="I311" s="299"/>
      <c r="J311" s="299"/>
      <c r="K311" s="299"/>
      <c r="L311" s="299"/>
    </row>
    <row r="312" spans="1:12">
      <c r="A312" s="299"/>
      <c r="B312" s="322"/>
      <c r="G312" s="299"/>
      <c r="H312" s="299"/>
      <c r="I312" s="299"/>
      <c r="J312" s="299"/>
      <c r="K312" s="299"/>
      <c r="L312" s="299"/>
    </row>
    <row r="313" spans="1:12">
      <c r="A313" s="299"/>
      <c r="B313" s="322"/>
      <c r="G313" s="299"/>
      <c r="H313" s="299"/>
      <c r="I313" s="299"/>
      <c r="J313" s="299"/>
      <c r="K313" s="299"/>
      <c r="L313" s="299"/>
    </row>
    <row r="314" spans="1:12">
      <c r="A314" s="299"/>
      <c r="B314" s="322"/>
      <c r="G314" s="299"/>
      <c r="H314" s="299"/>
      <c r="I314" s="299"/>
      <c r="J314" s="299"/>
      <c r="K314" s="299"/>
      <c r="L314" s="299"/>
    </row>
    <row r="315" spans="1:12">
      <c r="A315" s="299"/>
      <c r="B315" s="322"/>
      <c r="G315" s="299"/>
      <c r="H315" s="299"/>
      <c r="I315" s="299"/>
      <c r="J315" s="299"/>
      <c r="K315" s="299"/>
      <c r="L315" s="299"/>
    </row>
    <row r="316" spans="1:12">
      <c r="A316" s="299"/>
      <c r="B316" s="322"/>
      <c r="G316" s="299"/>
      <c r="H316" s="299"/>
      <c r="I316" s="299"/>
      <c r="J316" s="299"/>
      <c r="K316" s="299"/>
      <c r="L316" s="299"/>
    </row>
    <row r="317" spans="1:12">
      <c r="A317" s="299"/>
      <c r="B317" s="322"/>
      <c r="G317" s="299"/>
      <c r="H317" s="299"/>
      <c r="I317" s="299"/>
      <c r="J317" s="299"/>
      <c r="K317" s="299"/>
      <c r="L317" s="299"/>
    </row>
    <row r="318" spans="1:12">
      <c r="A318" s="299"/>
      <c r="B318" s="322"/>
      <c r="G318" s="299"/>
      <c r="H318" s="299"/>
      <c r="I318" s="299"/>
      <c r="J318" s="299"/>
      <c r="K318" s="299"/>
      <c r="L318" s="299"/>
    </row>
    <row r="319" spans="1:12">
      <c r="A319" s="299"/>
      <c r="B319" s="322"/>
      <c r="G319" s="299"/>
      <c r="H319" s="299"/>
      <c r="I319" s="299"/>
      <c r="J319" s="299"/>
      <c r="K319" s="299"/>
      <c r="L319" s="299"/>
    </row>
    <row r="320" spans="1:12">
      <c r="A320" s="299"/>
      <c r="B320" s="322"/>
      <c r="G320" s="299"/>
      <c r="H320" s="299"/>
      <c r="I320" s="299"/>
      <c r="J320" s="299"/>
      <c r="K320" s="299"/>
      <c r="L320" s="299"/>
    </row>
    <row r="321" spans="1:12">
      <c r="A321" s="299"/>
      <c r="B321" s="322"/>
      <c r="G321" s="299"/>
      <c r="H321" s="299"/>
      <c r="I321" s="299"/>
      <c r="J321" s="299"/>
      <c r="K321" s="299"/>
      <c r="L321" s="299"/>
    </row>
    <row r="322" spans="1:12">
      <c r="A322" s="299"/>
      <c r="B322" s="322"/>
      <c r="G322" s="299"/>
      <c r="H322" s="299"/>
      <c r="I322" s="299"/>
      <c r="J322" s="299"/>
      <c r="K322" s="299"/>
      <c r="L322" s="299"/>
    </row>
    <row r="323" spans="1:12">
      <c r="A323" s="299"/>
      <c r="B323" s="322"/>
      <c r="G323" s="299"/>
      <c r="H323" s="299"/>
      <c r="I323" s="299"/>
      <c r="J323" s="299"/>
      <c r="K323" s="299"/>
      <c r="L323" s="299"/>
    </row>
    <row r="324" spans="1:12">
      <c r="A324" s="299"/>
      <c r="B324" s="322"/>
      <c r="G324" s="299"/>
      <c r="H324" s="299"/>
      <c r="I324" s="299"/>
      <c r="J324" s="299"/>
      <c r="K324" s="299"/>
      <c r="L324" s="299"/>
    </row>
    <row r="325" spans="1:12">
      <c r="A325" s="299"/>
      <c r="B325" s="322"/>
      <c r="G325" s="299"/>
      <c r="H325" s="299"/>
      <c r="I325" s="299"/>
      <c r="J325" s="299"/>
      <c r="K325" s="299"/>
      <c r="L325" s="299"/>
    </row>
    <row r="326" spans="1:12">
      <c r="A326" s="299"/>
      <c r="B326" s="322"/>
      <c r="G326" s="299"/>
      <c r="H326" s="299"/>
      <c r="I326" s="299"/>
      <c r="J326" s="299"/>
      <c r="K326" s="299"/>
      <c r="L326" s="299"/>
    </row>
    <row r="327" spans="1:12">
      <c r="A327" s="299"/>
      <c r="B327" s="322"/>
      <c r="G327" s="299"/>
      <c r="H327" s="299"/>
      <c r="I327" s="299"/>
      <c r="J327" s="299"/>
      <c r="K327" s="299"/>
      <c r="L327" s="299"/>
    </row>
    <row r="328" spans="1:12">
      <c r="A328" s="299"/>
      <c r="B328" s="322"/>
      <c r="G328" s="299"/>
      <c r="H328" s="299"/>
      <c r="I328" s="299"/>
      <c r="J328" s="299"/>
      <c r="K328" s="299"/>
      <c r="L328" s="299"/>
    </row>
    <row r="329" spans="1:12">
      <c r="A329" s="299"/>
      <c r="B329" s="322"/>
      <c r="G329" s="299"/>
      <c r="H329" s="299"/>
      <c r="I329" s="299"/>
      <c r="J329" s="299"/>
      <c r="K329" s="299"/>
      <c r="L329" s="299"/>
    </row>
    <row r="330" spans="1:12">
      <c r="A330" s="299"/>
      <c r="B330" s="322"/>
      <c r="G330" s="299"/>
      <c r="H330" s="299"/>
      <c r="I330" s="299"/>
      <c r="J330" s="299"/>
      <c r="K330" s="299"/>
      <c r="L330" s="299"/>
    </row>
    <row r="331" spans="1:12">
      <c r="A331" s="299"/>
      <c r="B331" s="322"/>
      <c r="G331" s="299"/>
      <c r="H331" s="299"/>
      <c r="I331" s="299"/>
      <c r="J331" s="299"/>
      <c r="K331" s="299"/>
      <c r="L331" s="299"/>
    </row>
    <row r="332" spans="1:12">
      <c r="A332" s="299"/>
      <c r="B332" s="322"/>
      <c r="G332" s="299"/>
      <c r="H332" s="299"/>
      <c r="I332" s="299"/>
      <c r="J332" s="299"/>
      <c r="K332" s="299"/>
      <c r="L332" s="299"/>
    </row>
    <row r="333" spans="1:12">
      <c r="A333" s="299"/>
      <c r="B333" s="322"/>
      <c r="G333" s="299"/>
      <c r="H333" s="299"/>
      <c r="I333" s="299"/>
      <c r="J333" s="299"/>
      <c r="K333" s="299"/>
      <c r="L333" s="299"/>
    </row>
    <row r="334" spans="1:12">
      <c r="A334" s="299"/>
      <c r="B334" s="322"/>
      <c r="G334" s="299"/>
      <c r="H334" s="299"/>
      <c r="I334" s="299"/>
      <c r="J334" s="299"/>
      <c r="K334" s="299"/>
      <c r="L334" s="299"/>
    </row>
    <row r="335" spans="1:12">
      <c r="A335" s="299"/>
      <c r="B335" s="322"/>
      <c r="G335" s="299"/>
      <c r="H335" s="299"/>
      <c r="I335" s="299"/>
      <c r="J335" s="299"/>
      <c r="K335" s="299"/>
      <c r="L335" s="299"/>
    </row>
    <row r="336" spans="1:12">
      <c r="A336" s="299"/>
      <c r="B336" s="322"/>
      <c r="G336" s="299"/>
      <c r="H336" s="299"/>
      <c r="I336" s="299"/>
      <c r="J336" s="299"/>
      <c r="K336" s="299"/>
      <c r="L336" s="299"/>
    </row>
    <row r="337" spans="1:12">
      <c r="A337" s="299"/>
      <c r="B337" s="322"/>
      <c r="G337" s="299"/>
      <c r="H337" s="299"/>
      <c r="I337" s="299"/>
      <c r="J337" s="299"/>
      <c r="K337" s="299"/>
      <c r="L337" s="299"/>
    </row>
    <row r="338" spans="1:12">
      <c r="A338" s="299"/>
      <c r="B338" s="322"/>
      <c r="G338" s="299"/>
      <c r="H338" s="299"/>
      <c r="I338" s="299"/>
      <c r="J338" s="299"/>
      <c r="K338" s="299"/>
      <c r="L338" s="299"/>
    </row>
    <row r="339" spans="1:12">
      <c r="A339" s="299"/>
      <c r="B339" s="322"/>
      <c r="G339" s="299"/>
      <c r="H339" s="299"/>
      <c r="I339" s="299"/>
      <c r="J339" s="299"/>
      <c r="K339" s="299"/>
      <c r="L339" s="299"/>
    </row>
    <row r="340" spans="1:12">
      <c r="A340" s="299"/>
      <c r="B340" s="322"/>
      <c r="G340" s="299"/>
      <c r="H340" s="299"/>
      <c r="I340" s="299"/>
      <c r="J340" s="299"/>
      <c r="K340" s="299"/>
      <c r="L340" s="299"/>
    </row>
    <row r="341" spans="1:12">
      <c r="A341" s="299"/>
      <c r="B341" s="322"/>
      <c r="G341" s="299"/>
      <c r="H341" s="299"/>
      <c r="I341" s="299"/>
      <c r="J341" s="299"/>
      <c r="K341" s="299"/>
      <c r="L341" s="299"/>
    </row>
    <row r="342" spans="1:12">
      <c r="A342" s="299"/>
      <c r="B342" s="322"/>
      <c r="G342" s="299"/>
      <c r="H342" s="299"/>
      <c r="I342" s="299"/>
      <c r="J342" s="299"/>
      <c r="K342" s="299"/>
      <c r="L342" s="299"/>
    </row>
    <row r="343" spans="1:12">
      <c r="A343" s="299"/>
      <c r="B343" s="322"/>
      <c r="G343" s="299"/>
      <c r="H343" s="299"/>
      <c r="I343" s="299"/>
      <c r="J343" s="299"/>
      <c r="K343" s="299"/>
      <c r="L343" s="299"/>
    </row>
    <row r="344" spans="1:12">
      <c r="A344" s="299"/>
      <c r="B344" s="322"/>
      <c r="G344" s="299"/>
      <c r="H344" s="299"/>
      <c r="I344" s="299"/>
      <c r="J344" s="299"/>
      <c r="K344" s="299"/>
      <c r="L344" s="299"/>
    </row>
    <row r="345" spans="1:12">
      <c r="A345" s="299"/>
      <c r="B345" s="322"/>
      <c r="G345" s="299"/>
      <c r="H345" s="299"/>
      <c r="I345" s="299"/>
      <c r="J345" s="299"/>
      <c r="K345" s="299"/>
      <c r="L345" s="299"/>
    </row>
    <row r="346" spans="1:12">
      <c r="A346" s="299"/>
      <c r="B346" s="322"/>
      <c r="G346" s="299"/>
      <c r="H346" s="299"/>
      <c r="I346" s="299"/>
      <c r="J346" s="299"/>
      <c r="K346" s="299"/>
      <c r="L346" s="299"/>
    </row>
    <row r="347" spans="1:12">
      <c r="A347" s="299"/>
      <c r="B347" s="322"/>
      <c r="G347" s="299"/>
      <c r="H347" s="299"/>
      <c r="I347" s="299"/>
      <c r="J347" s="299"/>
      <c r="K347" s="299"/>
      <c r="L347" s="299"/>
    </row>
    <row r="348" spans="1:12">
      <c r="A348" s="299"/>
      <c r="B348" s="322"/>
      <c r="G348" s="299"/>
      <c r="H348" s="299"/>
      <c r="I348" s="299"/>
      <c r="J348" s="299"/>
      <c r="K348" s="299"/>
      <c r="L348" s="299"/>
    </row>
    <row r="349" spans="1:12">
      <c r="A349" s="299"/>
      <c r="B349" s="322"/>
      <c r="G349" s="299"/>
      <c r="H349" s="299"/>
      <c r="I349" s="299"/>
      <c r="J349" s="299"/>
      <c r="K349" s="299"/>
      <c r="L349" s="299"/>
    </row>
    <row r="350" spans="1:12">
      <c r="A350" s="299"/>
      <c r="B350" s="322"/>
      <c r="G350" s="299"/>
      <c r="H350" s="299"/>
      <c r="I350" s="299"/>
      <c r="J350" s="299"/>
      <c r="K350" s="299"/>
      <c r="L350" s="299"/>
    </row>
    <row r="351" spans="1:12">
      <c r="A351" s="299"/>
      <c r="B351" s="322"/>
      <c r="G351" s="299"/>
      <c r="H351" s="299"/>
      <c r="I351" s="299"/>
      <c r="J351" s="299"/>
      <c r="K351" s="299"/>
      <c r="L351" s="299"/>
    </row>
    <row r="352" spans="1:12">
      <c r="A352" s="299"/>
      <c r="B352" s="322"/>
      <c r="G352" s="299"/>
      <c r="H352" s="299"/>
      <c r="I352" s="299"/>
      <c r="J352" s="299"/>
      <c r="K352" s="299"/>
      <c r="L352" s="299"/>
    </row>
    <row r="353" spans="1:12">
      <c r="A353" s="299"/>
      <c r="B353" s="322"/>
      <c r="G353" s="299"/>
      <c r="H353" s="299"/>
      <c r="I353" s="299"/>
      <c r="J353" s="299"/>
      <c r="K353" s="299"/>
      <c r="L353" s="299"/>
    </row>
    <row r="354" spans="1:12">
      <c r="A354" s="299"/>
      <c r="B354" s="322"/>
      <c r="G354" s="299"/>
      <c r="H354" s="299"/>
      <c r="I354" s="299"/>
      <c r="J354" s="299"/>
      <c r="K354" s="299"/>
      <c r="L354" s="299"/>
    </row>
    <row r="355" spans="1:12">
      <c r="A355" s="299"/>
      <c r="B355" s="322"/>
      <c r="G355" s="299"/>
      <c r="H355" s="299"/>
      <c r="I355" s="299"/>
      <c r="J355" s="299"/>
      <c r="K355" s="299"/>
      <c r="L355" s="299"/>
    </row>
    <row r="356" spans="1:12">
      <c r="A356" s="299"/>
      <c r="B356" s="322"/>
      <c r="G356" s="299"/>
      <c r="H356" s="299"/>
      <c r="I356" s="299"/>
      <c r="J356" s="299"/>
      <c r="K356" s="299"/>
      <c r="L356" s="299"/>
    </row>
    <row r="357" spans="1:12">
      <c r="A357" s="299"/>
      <c r="B357" s="322"/>
      <c r="G357" s="299"/>
      <c r="H357" s="299"/>
      <c r="I357" s="299"/>
      <c r="J357" s="299"/>
      <c r="K357" s="299"/>
      <c r="L357" s="299"/>
    </row>
    <row r="358" spans="1:12">
      <c r="A358" s="299"/>
      <c r="B358" s="322"/>
      <c r="G358" s="299"/>
      <c r="H358" s="299"/>
      <c r="I358" s="299"/>
      <c r="J358" s="299"/>
      <c r="K358" s="299"/>
      <c r="L358" s="299"/>
    </row>
    <row r="359" spans="1:12">
      <c r="A359" s="299"/>
      <c r="B359" s="322"/>
      <c r="G359" s="299"/>
      <c r="H359" s="299"/>
      <c r="I359" s="299"/>
      <c r="J359" s="299"/>
      <c r="K359" s="299"/>
      <c r="L359" s="299"/>
    </row>
    <row r="360" spans="1:12">
      <c r="A360" s="299"/>
      <c r="B360" s="322"/>
      <c r="G360" s="299"/>
      <c r="H360" s="299"/>
      <c r="I360" s="299"/>
      <c r="J360" s="299"/>
      <c r="K360" s="299"/>
      <c r="L360" s="299"/>
    </row>
    <row r="361" spans="1:12">
      <c r="A361" s="299"/>
      <c r="B361" s="322"/>
      <c r="G361" s="299"/>
      <c r="H361" s="299"/>
      <c r="I361" s="299"/>
      <c r="J361" s="299"/>
      <c r="K361" s="299"/>
      <c r="L361" s="299"/>
    </row>
    <row r="362" spans="1:12">
      <c r="A362" s="299"/>
      <c r="B362" s="322"/>
      <c r="G362" s="299"/>
      <c r="H362" s="299"/>
      <c r="I362" s="299"/>
      <c r="J362" s="299"/>
      <c r="K362" s="299"/>
      <c r="L362" s="299"/>
    </row>
    <row r="363" spans="1:12">
      <c r="A363" s="299"/>
      <c r="B363" s="322"/>
      <c r="G363" s="299"/>
      <c r="H363" s="299"/>
      <c r="I363" s="299"/>
      <c r="J363" s="299"/>
      <c r="K363" s="299"/>
      <c r="L363" s="299"/>
    </row>
    <row r="364" spans="1:12">
      <c r="A364" s="299"/>
      <c r="B364" s="322"/>
      <c r="G364" s="299"/>
      <c r="H364" s="299"/>
      <c r="I364" s="299"/>
      <c r="J364" s="299"/>
      <c r="K364" s="299"/>
      <c r="L364" s="299"/>
    </row>
    <row r="365" spans="1:12">
      <c r="A365" s="299"/>
      <c r="B365" s="322"/>
      <c r="G365" s="299"/>
      <c r="H365" s="299"/>
      <c r="I365" s="299"/>
      <c r="J365" s="299"/>
      <c r="K365" s="299"/>
      <c r="L365" s="299"/>
    </row>
    <row r="366" spans="1:12">
      <c r="A366" s="299"/>
      <c r="B366" s="322"/>
      <c r="G366" s="299"/>
      <c r="H366" s="299"/>
      <c r="I366" s="299"/>
      <c r="J366" s="299"/>
      <c r="K366" s="299"/>
      <c r="L366" s="299"/>
    </row>
    <row r="367" spans="1:12">
      <c r="A367" s="299"/>
      <c r="B367" s="322"/>
      <c r="G367" s="299"/>
      <c r="H367" s="299"/>
      <c r="I367" s="299"/>
      <c r="J367" s="299"/>
      <c r="K367" s="299"/>
      <c r="L367" s="299"/>
    </row>
    <row r="368" spans="1:12">
      <c r="A368" s="299"/>
      <c r="B368" s="322"/>
      <c r="G368" s="299"/>
      <c r="H368" s="299"/>
      <c r="I368" s="299"/>
      <c r="J368" s="299"/>
      <c r="K368" s="299"/>
      <c r="L368" s="299"/>
    </row>
    <row r="369" spans="1:12">
      <c r="A369" s="299"/>
      <c r="B369" s="322"/>
      <c r="G369" s="299"/>
      <c r="H369" s="299"/>
      <c r="I369" s="299"/>
      <c r="J369" s="299"/>
      <c r="K369" s="299"/>
      <c r="L369" s="299"/>
    </row>
    <row r="370" spans="1:12">
      <c r="A370" s="299"/>
      <c r="B370" s="322"/>
      <c r="G370" s="299"/>
      <c r="H370" s="299"/>
      <c r="I370" s="299"/>
      <c r="J370" s="299"/>
      <c r="K370" s="299"/>
      <c r="L370" s="299"/>
    </row>
    <row r="371" spans="1:12">
      <c r="A371" s="299"/>
      <c r="B371" s="322"/>
      <c r="G371" s="299"/>
      <c r="H371" s="299"/>
      <c r="I371" s="299"/>
      <c r="J371" s="299"/>
      <c r="K371" s="299"/>
      <c r="L371" s="299"/>
    </row>
    <row r="372" spans="1:12">
      <c r="A372" s="299"/>
      <c r="B372" s="322"/>
      <c r="G372" s="299"/>
      <c r="H372" s="299"/>
      <c r="I372" s="299"/>
      <c r="J372" s="299"/>
      <c r="K372" s="299"/>
      <c r="L372" s="299"/>
    </row>
    <row r="373" spans="1:12">
      <c r="A373" s="299"/>
      <c r="B373" s="322"/>
      <c r="G373" s="299"/>
      <c r="H373" s="299"/>
      <c r="I373" s="299"/>
      <c r="J373" s="299"/>
      <c r="K373" s="299"/>
      <c r="L373" s="299"/>
    </row>
    <row r="374" spans="1:12">
      <c r="A374" s="299"/>
      <c r="B374" s="322"/>
      <c r="G374" s="299"/>
      <c r="H374" s="299"/>
      <c r="I374" s="299"/>
      <c r="J374" s="299"/>
      <c r="K374" s="299"/>
      <c r="L374" s="299"/>
    </row>
    <row r="375" spans="1:12">
      <c r="A375" s="299"/>
      <c r="B375" s="322"/>
      <c r="G375" s="299"/>
      <c r="H375" s="299"/>
      <c r="I375" s="299"/>
      <c r="J375" s="299"/>
      <c r="K375" s="299"/>
      <c r="L375" s="299"/>
    </row>
    <row r="376" spans="1:12">
      <c r="A376" s="299"/>
      <c r="B376" s="322"/>
      <c r="G376" s="299"/>
      <c r="H376" s="299"/>
      <c r="I376" s="299"/>
      <c r="J376" s="299"/>
      <c r="K376" s="299"/>
      <c r="L376" s="299"/>
    </row>
    <row r="377" spans="1:12">
      <c r="A377" s="299"/>
      <c r="B377" s="322"/>
      <c r="G377" s="299"/>
      <c r="H377" s="299"/>
      <c r="I377" s="299"/>
      <c r="J377" s="299"/>
      <c r="K377" s="299"/>
      <c r="L377" s="299"/>
    </row>
    <row r="378" spans="1:12">
      <c r="A378" s="299"/>
      <c r="B378" s="322"/>
      <c r="G378" s="299"/>
      <c r="H378" s="299"/>
      <c r="I378" s="299"/>
      <c r="J378" s="299"/>
      <c r="K378" s="299"/>
      <c r="L378" s="299"/>
    </row>
    <row r="379" spans="1:12">
      <c r="A379" s="299"/>
      <c r="B379" s="322"/>
      <c r="G379" s="299"/>
      <c r="H379" s="299"/>
      <c r="I379" s="299"/>
      <c r="J379" s="299"/>
      <c r="K379" s="299"/>
      <c r="L379" s="299"/>
    </row>
    <row r="380" spans="1:12">
      <c r="A380" s="299"/>
      <c r="B380" s="322"/>
      <c r="G380" s="299"/>
      <c r="H380" s="299"/>
      <c r="I380" s="299"/>
      <c r="J380" s="299"/>
      <c r="K380" s="299"/>
      <c r="L380" s="299"/>
    </row>
    <row r="381" spans="1:12">
      <c r="A381" s="299"/>
      <c r="B381" s="322"/>
      <c r="G381" s="299"/>
      <c r="H381" s="299"/>
      <c r="I381" s="299"/>
      <c r="J381" s="299"/>
      <c r="K381" s="299"/>
      <c r="L381" s="299"/>
    </row>
    <row r="382" spans="1:12">
      <c r="A382" s="299"/>
      <c r="B382" s="322"/>
      <c r="G382" s="299"/>
      <c r="H382" s="299"/>
      <c r="I382" s="299"/>
      <c r="J382" s="299"/>
      <c r="K382" s="299"/>
      <c r="L382" s="299"/>
    </row>
    <row r="383" spans="1:12">
      <c r="A383" s="299"/>
      <c r="B383" s="322"/>
      <c r="G383" s="299"/>
      <c r="H383" s="299"/>
      <c r="I383" s="299"/>
      <c r="J383" s="299"/>
      <c r="K383" s="299"/>
      <c r="L383" s="299"/>
    </row>
    <row r="384" spans="1:12">
      <c r="A384" s="299"/>
      <c r="B384" s="322"/>
      <c r="G384" s="299"/>
      <c r="H384" s="299"/>
      <c r="I384" s="299"/>
      <c r="J384" s="299"/>
      <c r="K384" s="299"/>
      <c r="L384" s="299"/>
    </row>
    <row r="385" spans="1:12">
      <c r="A385" s="299"/>
      <c r="B385" s="322"/>
      <c r="G385" s="299"/>
      <c r="H385" s="299"/>
      <c r="I385" s="299"/>
      <c r="J385" s="299"/>
      <c r="K385" s="299"/>
      <c r="L385" s="299"/>
    </row>
    <row r="386" spans="1:12">
      <c r="A386" s="299"/>
      <c r="B386" s="322"/>
      <c r="G386" s="299"/>
      <c r="H386" s="299"/>
      <c r="I386" s="299"/>
      <c r="J386" s="299"/>
      <c r="K386" s="299"/>
      <c r="L386" s="299"/>
    </row>
    <row r="387" spans="1:12">
      <c r="A387" s="299"/>
      <c r="B387" s="322"/>
      <c r="G387" s="299"/>
      <c r="H387" s="299"/>
      <c r="I387" s="299"/>
      <c r="J387" s="299"/>
      <c r="K387" s="299"/>
      <c r="L387" s="299"/>
    </row>
    <row r="388" spans="1:12">
      <c r="A388" s="299"/>
      <c r="B388" s="322"/>
      <c r="G388" s="299"/>
      <c r="H388" s="299"/>
      <c r="I388" s="299"/>
      <c r="J388" s="299"/>
      <c r="K388" s="299"/>
      <c r="L388" s="299"/>
    </row>
    <row r="389" spans="1:12">
      <c r="A389" s="299"/>
      <c r="B389" s="322"/>
      <c r="G389" s="299"/>
      <c r="H389" s="299"/>
      <c r="I389" s="299"/>
      <c r="J389" s="299"/>
      <c r="K389" s="299"/>
      <c r="L389" s="299"/>
    </row>
    <row r="390" spans="1:12">
      <c r="A390" s="299"/>
      <c r="B390" s="322"/>
      <c r="G390" s="299"/>
      <c r="H390" s="299"/>
      <c r="I390" s="299"/>
      <c r="J390" s="299"/>
      <c r="K390" s="299"/>
      <c r="L390" s="299"/>
    </row>
    <row r="391" spans="1:12">
      <c r="A391" s="299"/>
      <c r="B391" s="322"/>
      <c r="G391" s="299"/>
      <c r="H391" s="299"/>
      <c r="I391" s="299"/>
      <c r="J391" s="299"/>
      <c r="K391" s="299"/>
      <c r="L391" s="299"/>
    </row>
    <row r="392" spans="1:12">
      <c r="A392" s="299"/>
      <c r="B392" s="322"/>
      <c r="G392" s="299"/>
      <c r="H392" s="299"/>
      <c r="I392" s="299"/>
      <c r="J392" s="299"/>
      <c r="K392" s="299"/>
      <c r="L392" s="299"/>
    </row>
    <row r="393" spans="1:12">
      <c r="A393" s="299"/>
      <c r="B393" s="322"/>
      <c r="G393" s="299"/>
      <c r="H393" s="299"/>
      <c r="I393" s="299"/>
      <c r="J393" s="299"/>
      <c r="K393" s="299"/>
      <c r="L393" s="299"/>
    </row>
    <row r="394" spans="1:12">
      <c r="A394" s="299"/>
      <c r="B394" s="322"/>
      <c r="G394" s="299"/>
      <c r="H394" s="299"/>
      <c r="I394" s="299"/>
      <c r="J394" s="299"/>
      <c r="K394" s="299"/>
      <c r="L394" s="299"/>
    </row>
    <row r="395" spans="1:12">
      <c r="A395" s="299"/>
      <c r="B395" s="322"/>
      <c r="G395" s="299"/>
      <c r="H395" s="299"/>
      <c r="I395" s="299"/>
      <c r="J395" s="299"/>
      <c r="K395" s="299"/>
      <c r="L395" s="299"/>
    </row>
    <row r="396" spans="1:12">
      <c r="A396" s="299"/>
      <c r="B396" s="322"/>
      <c r="G396" s="299"/>
      <c r="H396" s="299"/>
      <c r="I396" s="299"/>
      <c r="J396" s="299"/>
      <c r="K396" s="299"/>
      <c r="L396" s="299"/>
    </row>
    <row r="397" spans="1:12">
      <c r="A397" s="299"/>
      <c r="B397" s="322"/>
      <c r="G397" s="299"/>
      <c r="H397" s="299"/>
      <c r="I397" s="299"/>
      <c r="J397" s="299"/>
      <c r="K397" s="299"/>
      <c r="L397" s="299"/>
    </row>
    <row r="398" spans="1:12">
      <c r="A398" s="299"/>
      <c r="B398" s="322"/>
      <c r="G398" s="299"/>
      <c r="H398" s="299"/>
      <c r="I398" s="299"/>
      <c r="J398" s="299"/>
      <c r="K398" s="299"/>
      <c r="L398" s="299"/>
    </row>
    <row r="399" spans="1:12">
      <c r="A399" s="299"/>
      <c r="B399" s="322"/>
      <c r="G399" s="299"/>
      <c r="H399" s="299"/>
      <c r="I399" s="299"/>
      <c r="J399" s="299"/>
      <c r="K399" s="299"/>
      <c r="L399" s="299"/>
    </row>
    <row r="400" spans="1:12">
      <c r="A400" s="299"/>
      <c r="B400" s="322"/>
      <c r="G400" s="299"/>
      <c r="H400" s="299"/>
      <c r="I400" s="299"/>
      <c r="J400" s="299"/>
      <c r="K400" s="299"/>
      <c r="L400" s="299"/>
    </row>
    <row r="401" spans="1:12">
      <c r="A401" s="299"/>
      <c r="B401" s="322"/>
      <c r="G401" s="299"/>
      <c r="H401" s="299"/>
      <c r="I401" s="299"/>
      <c r="J401" s="299"/>
      <c r="K401" s="299"/>
      <c r="L401" s="299"/>
    </row>
    <row r="402" spans="1:12">
      <c r="A402" s="299"/>
      <c r="B402" s="322"/>
      <c r="G402" s="299"/>
      <c r="H402" s="299"/>
      <c r="I402" s="299"/>
      <c r="J402" s="299"/>
      <c r="K402" s="299"/>
      <c r="L402" s="299"/>
    </row>
    <row r="403" spans="1:12">
      <c r="A403" s="299"/>
      <c r="B403" s="322"/>
      <c r="G403" s="299"/>
      <c r="H403" s="299"/>
      <c r="I403" s="299"/>
      <c r="J403" s="299"/>
      <c r="K403" s="299"/>
      <c r="L403" s="299"/>
    </row>
    <row r="404" spans="1:12">
      <c r="A404" s="299"/>
      <c r="B404" s="322"/>
      <c r="G404" s="299"/>
      <c r="H404" s="299"/>
      <c r="I404" s="299"/>
      <c r="J404" s="299"/>
      <c r="K404" s="299"/>
      <c r="L404" s="299"/>
    </row>
    <row r="405" spans="1:12">
      <c r="A405" s="299"/>
      <c r="B405" s="322"/>
      <c r="G405" s="299"/>
      <c r="H405" s="299"/>
      <c r="I405" s="299"/>
      <c r="J405" s="299"/>
      <c r="K405" s="299"/>
      <c r="L405" s="299"/>
    </row>
    <row r="406" spans="1:12">
      <c r="A406" s="299"/>
      <c r="B406" s="322"/>
      <c r="G406" s="299"/>
      <c r="H406" s="299"/>
      <c r="I406" s="299"/>
      <c r="J406" s="299"/>
      <c r="K406" s="299"/>
      <c r="L406" s="299"/>
    </row>
    <row r="407" spans="1:12">
      <c r="A407" s="299"/>
      <c r="B407" s="322"/>
      <c r="G407" s="299"/>
      <c r="H407" s="299"/>
      <c r="I407" s="299"/>
      <c r="J407" s="299"/>
      <c r="K407" s="299"/>
      <c r="L407" s="299"/>
    </row>
    <row r="408" spans="1:12">
      <c r="A408" s="299"/>
      <c r="B408" s="322"/>
      <c r="G408" s="299"/>
      <c r="H408" s="299"/>
      <c r="I408" s="299"/>
      <c r="J408" s="299"/>
      <c r="K408" s="299"/>
      <c r="L408" s="299"/>
    </row>
    <row r="409" spans="1:12">
      <c r="A409" s="299"/>
      <c r="B409" s="322"/>
      <c r="G409" s="299"/>
      <c r="H409" s="299"/>
      <c r="I409" s="299"/>
      <c r="J409" s="299"/>
      <c r="K409" s="299"/>
      <c r="L409" s="299"/>
    </row>
    <row r="410" spans="1:12">
      <c r="A410" s="299"/>
      <c r="B410" s="322"/>
      <c r="G410" s="299"/>
      <c r="H410" s="299"/>
      <c r="I410" s="299"/>
      <c r="J410" s="299"/>
      <c r="K410" s="299"/>
      <c r="L410" s="299"/>
    </row>
    <row r="411" spans="1:12">
      <c r="A411" s="299"/>
      <c r="B411" s="322"/>
      <c r="G411" s="299"/>
      <c r="H411" s="299"/>
      <c r="I411" s="299"/>
      <c r="J411" s="299"/>
      <c r="K411" s="299"/>
      <c r="L411" s="299"/>
    </row>
    <row r="412" spans="1:12">
      <c r="A412" s="299"/>
      <c r="B412" s="322"/>
      <c r="G412" s="299"/>
      <c r="H412" s="299"/>
      <c r="I412" s="299"/>
      <c r="J412" s="299"/>
      <c r="K412" s="299"/>
      <c r="L412" s="299"/>
    </row>
    <row r="413" spans="1:12">
      <c r="A413" s="299"/>
      <c r="B413" s="322"/>
      <c r="G413" s="299"/>
      <c r="H413" s="299"/>
      <c r="I413" s="299"/>
      <c r="J413" s="299"/>
      <c r="K413" s="299"/>
      <c r="L413" s="299"/>
    </row>
    <row r="414" spans="1:12">
      <c r="A414" s="299"/>
      <c r="B414" s="322"/>
      <c r="G414" s="299"/>
      <c r="H414" s="299"/>
      <c r="I414" s="299"/>
      <c r="J414" s="299"/>
      <c r="K414" s="299"/>
      <c r="L414" s="299"/>
    </row>
    <row r="415" spans="1:12">
      <c r="A415" s="299"/>
      <c r="B415" s="322"/>
      <c r="G415" s="299"/>
      <c r="H415" s="299"/>
      <c r="I415" s="299"/>
      <c r="J415" s="299"/>
      <c r="K415" s="299"/>
      <c r="L415" s="299"/>
    </row>
    <row r="416" spans="1:12">
      <c r="A416" s="299"/>
      <c r="B416" s="322"/>
      <c r="G416" s="299"/>
      <c r="H416" s="299"/>
      <c r="I416" s="299"/>
      <c r="J416" s="299"/>
      <c r="K416" s="299"/>
      <c r="L416" s="299"/>
    </row>
    <row r="417" spans="1:12">
      <c r="A417" s="299"/>
      <c r="B417" s="322"/>
      <c r="G417" s="299"/>
      <c r="H417" s="299"/>
      <c r="I417" s="299"/>
      <c r="J417" s="299"/>
      <c r="K417" s="299"/>
      <c r="L417" s="299"/>
    </row>
    <row r="418" spans="1:12">
      <c r="A418" s="299"/>
      <c r="B418" s="322"/>
      <c r="G418" s="299"/>
      <c r="H418" s="299"/>
      <c r="I418" s="299"/>
      <c r="J418" s="299"/>
      <c r="K418" s="299"/>
      <c r="L418" s="299"/>
    </row>
    <row r="419" spans="1:12">
      <c r="A419" s="299"/>
      <c r="B419" s="322"/>
      <c r="G419" s="299"/>
      <c r="H419" s="299"/>
      <c r="I419" s="299"/>
      <c r="J419" s="299"/>
      <c r="K419" s="299"/>
      <c r="L419" s="299"/>
    </row>
    <row r="420" spans="1:12">
      <c r="A420" s="299"/>
      <c r="B420" s="322"/>
      <c r="G420" s="299"/>
      <c r="H420" s="299"/>
      <c r="I420" s="299"/>
      <c r="J420" s="299"/>
      <c r="K420" s="299"/>
      <c r="L420" s="299"/>
    </row>
    <row r="421" spans="1:12">
      <c r="A421" s="299"/>
      <c r="B421" s="322"/>
      <c r="G421" s="299"/>
      <c r="H421" s="299"/>
      <c r="I421" s="299"/>
      <c r="J421" s="299"/>
      <c r="K421" s="299"/>
      <c r="L421" s="299"/>
    </row>
    <row r="422" spans="1:12">
      <c r="A422" s="299"/>
      <c r="B422" s="322"/>
      <c r="G422" s="299"/>
      <c r="H422" s="299"/>
      <c r="I422" s="299"/>
      <c r="J422" s="299"/>
      <c r="K422" s="299"/>
      <c r="L422" s="299"/>
    </row>
    <row r="423" spans="1:12">
      <c r="A423" s="299"/>
      <c r="B423" s="322"/>
      <c r="G423" s="299"/>
      <c r="H423" s="299"/>
      <c r="I423" s="299"/>
      <c r="J423" s="299"/>
      <c r="K423" s="299"/>
      <c r="L423" s="299"/>
    </row>
    <row r="424" spans="1:12">
      <c r="A424" s="299"/>
      <c r="B424" s="322"/>
      <c r="G424" s="299"/>
      <c r="H424" s="299"/>
      <c r="I424" s="299"/>
      <c r="J424" s="299"/>
      <c r="K424" s="299"/>
      <c r="L424" s="299"/>
    </row>
    <row r="425" spans="1:12">
      <c r="A425" s="299"/>
      <c r="B425" s="322"/>
      <c r="G425" s="299"/>
      <c r="H425" s="299"/>
      <c r="I425" s="299"/>
      <c r="J425" s="299"/>
      <c r="K425" s="299"/>
      <c r="L425" s="299"/>
    </row>
    <row r="426" spans="1:12">
      <c r="A426" s="299"/>
      <c r="B426" s="322"/>
      <c r="G426" s="299"/>
      <c r="H426" s="299"/>
      <c r="I426" s="299"/>
      <c r="J426" s="299"/>
      <c r="K426" s="299"/>
      <c r="L426" s="299"/>
    </row>
    <row r="427" spans="1:12">
      <c r="A427" s="299"/>
      <c r="B427" s="322"/>
      <c r="G427" s="299"/>
      <c r="H427" s="299"/>
      <c r="I427" s="299"/>
      <c r="J427" s="299"/>
      <c r="K427" s="299"/>
      <c r="L427" s="299"/>
    </row>
    <row r="428" spans="1:12">
      <c r="A428" s="299"/>
      <c r="B428" s="322"/>
      <c r="G428" s="299"/>
      <c r="H428" s="299"/>
      <c r="I428" s="299"/>
      <c r="J428" s="299"/>
      <c r="K428" s="299"/>
      <c r="L428" s="299"/>
    </row>
    <row r="429" spans="1:12">
      <c r="A429" s="299"/>
      <c r="B429" s="322"/>
      <c r="G429" s="299"/>
      <c r="H429" s="299"/>
      <c r="I429" s="299"/>
      <c r="J429" s="299"/>
      <c r="K429" s="299"/>
      <c r="L429" s="299"/>
    </row>
    <row r="430" spans="1:12">
      <c r="A430" s="299"/>
      <c r="B430" s="322"/>
      <c r="G430" s="299"/>
      <c r="H430" s="299"/>
      <c r="I430" s="299"/>
      <c r="J430" s="299"/>
      <c r="K430" s="299"/>
      <c r="L430" s="299"/>
    </row>
    <row r="431" spans="1:12">
      <c r="A431" s="299"/>
      <c r="B431" s="322"/>
      <c r="G431" s="299"/>
      <c r="H431" s="299"/>
      <c r="I431" s="299"/>
      <c r="J431" s="299"/>
      <c r="K431" s="299"/>
      <c r="L431" s="299"/>
    </row>
    <row r="432" spans="1:12">
      <c r="A432" s="299"/>
      <c r="B432" s="322"/>
      <c r="G432" s="299"/>
      <c r="H432" s="299"/>
      <c r="I432" s="299"/>
      <c r="J432" s="299"/>
      <c r="K432" s="299"/>
      <c r="L432" s="299"/>
    </row>
    <row r="433" spans="1:12">
      <c r="A433" s="299"/>
      <c r="B433" s="322"/>
      <c r="G433" s="299"/>
      <c r="H433" s="299"/>
      <c r="I433" s="299"/>
      <c r="J433" s="299"/>
      <c r="K433" s="299"/>
      <c r="L433" s="299"/>
    </row>
    <row r="434" spans="1:12">
      <c r="A434" s="299"/>
      <c r="B434" s="322"/>
      <c r="G434" s="299"/>
      <c r="H434" s="299"/>
      <c r="I434" s="299"/>
      <c r="J434" s="299"/>
      <c r="K434" s="299"/>
      <c r="L434" s="299"/>
    </row>
    <row r="435" spans="1:12">
      <c r="A435" s="299"/>
      <c r="B435" s="322"/>
      <c r="G435" s="299"/>
      <c r="H435" s="299"/>
      <c r="I435" s="299"/>
      <c r="J435" s="299"/>
      <c r="K435" s="299"/>
      <c r="L435" s="299"/>
    </row>
    <row r="436" spans="1:12">
      <c r="A436" s="299"/>
      <c r="B436" s="322"/>
      <c r="G436" s="299"/>
      <c r="H436" s="299"/>
      <c r="I436" s="299"/>
      <c r="J436" s="299"/>
      <c r="K436" s="299"/>
      <c r="L436" s="299"/>
    </row>
    <row r="437" spans="1:12">
      <c r="A437" s="299"/>
      <c r="B437" s="322"/>
      <c r="G437" s="299"/>
      <c r="H437" s="299"/>
      <c r="I437" s="299"/>
      <c r="J437" s="299"/>
      <c r="K437" s="299"/>
      <c r="L437" s="299"/>
    </row>
    <row r="438" spans="1:12">
      <c r="A438" s="299"/>
      <c r="B438" s="322"/>
      <c r="G438" s="299"/>
      <c r="H438" s="299"/>
      <c r="I438" s="299"/>
      <c r="J438" s="299"/>
      <c r="K438" s="299"/>
      <c r="L438" s="299"/>
    </row>
    <row r="439" spans="1:12">
      <c r="A439" s="299"/>
      <c r="B439" s="322"/>
      <c r="G439" s="299"/>
      <c r="H439" s="299"/>
      <c r="I439" s="299"/>
      <c r="J439" s="299"/>
      <c r="K439" s="299"/>
      <c r="L439" s="299"/>
    </row>
    <row r="440" spans="1:12">
      <c r="A440" s="299"/>
      <c r="B440" s="322"/>
      <c r="G440" s="299"/>
      <c r="H440" s="299"/>
      <c r="I440" s="299"/>
      <c r="J440" s="299"/>
      <c r="K440" s="299"/>
      <c r="L440" s="299"/>
    </row>
    <row r="441" spans="1:12">
      <c r="A441" s="299"/>
      <c r="B441" s="322"/>
      <c r="G441" s="299"/>
      <c r="H441" s="299"/>
      <c r="I441" s="299"/>
      <c r="J441" s="299"/>
      <c r="K441" s="299"/>
      <c r="L441" s="299"/>
    </row>
    <row r="442" spans="1:12">
      <c r="A442" s="299"/>
      <c r="B442" s="322"/>
      <c r="G442" s="299"/>
      <c r="H442" s="299"/>
      <c r="I442" s="299"/>
      <c r="J442" s="299"/>
      <c r="K442" s="299"/>
      <c r="L442" s="299"/>
    </row>
    <row r="443" spans="1:12">
      <c r="A443" s="299"/>
      <c r="B443" s="322"/>
      <c r="G443" s="299"/>
      <c r="H443" s="299"/>
      <c r="I443" s="299"/>
      <c r="J443" s="299"/>
      <c r="K443" s="299"/>
      <c r="L443" s="299"/>
    </row>
    <row r="444" spans="1:12">
      <c r="A444" s="299"/>
      <c r="B444" s="322"/>
      <c r="G444" s="299"/>
      <c r="H444" s="299"/>
      <c r="I444" s="299"/>
      <c r="J444" s="299"/>
      <c r="K444" s="299"/>
      <c r="L444" s="299"/>
    </row>
    <row r="445" spans="1:12">
      <c r="A445" s="299"/>
      <c r="B445" s="322"/>
      <c r="G445" s="299"/>
      <c r="H445" s="299"/>
      <c r="I445" s="299"/>
      <c r="J445" s="299"/>
      <c r="K445" s="299"/>
      <c r="L445" s="299"/>
    </row>
    <row r="446" spans="1:12">
      <c r="A446" s="299"/>
      <c r="B446" s="322"/>
      <c r="G446" s="299"/>
      <c r="H446" s="299"/>
      <c r="I446" s="299"/>
      <c r="J446" s="299"/>
      <c r="K446" s="299"/>
      <c r="L446" s="299"/>
    </row>
    <row r="447" spans="1:12">
      <c r="A447" s="299"/>
      <c r="B447" s="322"/>
      <c r="G447" s="299"/>
      <c r="H447" s="299"/>
      <c r="I447" s="299"/>
      <c r="J447" s="299"/>
      <c r="K447" s="299"/>
      <c r="L447" s="299"/>
    </row>
    <row r="448" spans="1:12">
      <c r="A448" s="299"/>
      <c r="B448" s="322"/>
      <c r="G448" s="299"/>
      <c r="H448" s="299"/>
      <c r="I448" s="299"/>
      <c r="J448" s="299"/>
      <c r="K448" s="299"/>
      <c r="L448" s="299"/>
    </row>
    <row r="449" spans="1:12">
      <c r="A449" s="299"/>
      <c r="B449" s="322"/>
      <c r="G449" s="299"/>
      <c r="H449" s="299"/>
      <c r="I449" s="299"/>
      <c r="J449" s="299"/>
      <c r="K449" s="299"/>
      <c r="L449" s="299"/>
    </row>
    <row r="450" spans="1:12">
      <c r="A450" s="299"/>
      <c r="B450" s="322"/>
      <c r="G450" s="299"/>
      <c r="H450" s="299"/>
      <c r="I450" s="299"/>
      <c r="J450" s="299"/>
      <c r="K450" s="299"/>
      <c r="L450" s="299"/>
    </row>
    <row r="451" spans="1:12">
      <c r="A451" s="299"/>
      <c r="B451" s="322"/>
      <c r="G451" s="299"/>
      <c r="H451" s="299"/>
      <c r="I451" s="299"/>
      <c r="J451" s="299"/>
      <c r="K451" s="299"/>
      <c r="L451" s="299"/>
    </row>
    <row r="452" spans="1:12">
      <c r="A452" s="299"/>
      <c r="B452" s="322"/>
      <c r="G452" s="299"/>
      <c r="H452" s="299"/>
      <c r="I452" s="299"/>
      <c r="J452" s="299"/>
      <c r="K452" s="299"/>
      <c r="L452" s="299"/>
    </row>
    <row r="453" spans="1:12">
      <c r="A453" s="299"/>
      <c r="B453" s="322"/>
      <c r="G453" s="299"/>
      <c r="H453" s="299"/>
      <c r="I453" s="299"/>
      <c r="J453" s="299"/>
      <c r="K453" s="299"/>
      <c r="L453" s="299"/>
    </row>
    <row r="454" spans="1:12">
      <c r="A454" s="299"/>
      <c r="B454" s="322"/>
      <c r="G454" s="299"/>
      <c r="H454" s="299"/>
      <c r="I454" s="299"/>
      <c r="J454" s="299"/>
      <c r="K454" s="299"/>
      <c r="L454" s="299"/>
    </row>
    <row r="455" spans="1:12">
      <c r="A455" s="299"/>
      <c r="B455" s="322"/>
      <c r="G455" s="299"/>
      <c r="H455" s="299"/>
      <c r="I455" s="299"/>
      <c r="J455" s="299"/>
      <c r="K455" s="299"/>
      <c r="L455" s="299"/>
    </row>
    <row r="456" spans="1:12">
      <c r="A456" s="299"/>
      <c r="B456" s="322"/>
      <c r="G456" s="299"/>
      <c r="H456" s="299"/>
      <c r="I456" s="299"/>
      <c r="J456" s="299"/>
      <c r="K456" s="299"/>
      <c r="L456" s="299"/>
    </row>
    <row r="457" spans="1:12">
      <c r="A457" s="299"/>
      <c r="B457" s="322"/>
      <c r="G457" s="299"/>
      <c r="H457" s="299"/>
      <c r="I457" s="299"/>
      <c r="J457" s="299"/>
      <c r="K457" s="299"/>
      <c r="L457" s="299"/>
    </row>
    <row r="458" spans="1:12">
      <c r="A458" s="299"/>
      <c r="B458" s="322"/>
      <c r="G458" s="299"/>
      <c r="H458" s="299"/>
      <c r="I458" s="299"/>
      <c r="J458" s="299"/>
      <c r="K458" s="299"/>
      <c r="L458" s="299"/>
    </row>
    <row r="459" spans="1:12">
      <c r="A459" s="299"/>
      <c r="B459" s="322"/>
      <c r="G459" s="299"/>
      <c r="H459" s="299"/>
      <c r="I459" s="299"/>
      <c r="J459" s="299"/>
      <c r="K459" s="299"/>
      <c r="L459" s="299"/>
    </row>
    <row r="460" spans="1:12">
      <c r="A460" s="299"/>
      <c r="B460" s="322"/>
      <c r="G460" s="299"/>
      <c r="H460" s="299"/>
      <c r="I460" s="299"/>
      <c r="J460" s="299"/>
      <c r="K460" s="299"/>
      <c r="L460" s="299"/>
    </row>
    <row r="461" spans="1:12">
      <c r="A461" s="299"/>
      <c r="B461" s="322"/>
      <c r="G461" s="299"/>
      <c r="H461" s="299"/>
      <c r="I461" s="299"/>
      <c r="J461" s="299"/>
      <c r="K461" s="299"/>
      <c r="L461" s="299"/>
    </row>
    <row r="462" spans="1:12">
      <c r="A462" s="299"/>
      <c r="B462" s="322"/>
      <c r="G462" s="299"/>
      <c r="H462" s="299"/>
      <c r="I462" s="299"/>
      <c r="J462" s="299"/>
      <c r="K462" s="299"/>
      <c r="L462" s="299"/>
    </row>
    <row r="463" spans="1:12">
      <c r="A463" s="299"/>
      <c r="B463" s="322"/>
      <c r="G463" s="299"/>
      <c r="H463" s="299"/>
      <c r="I463" s="299"/>
      <c r="J463" s="299"/>
      <c r="K463" s="299"/>
      <c r="L463" s="299"/>
    </row>
    <row r="464" spans="1:12">
      <c r="A464" s="299"/>
      <c r="B464" s="322"/>
      <c r="G464" s="299"/>
      <c r="H464" s="299"/>
      <c r="I464" s="299"/>
      <c r="J464" s="299"/>
      <c r="K464" s="299"/>
      <c r="L464" s="299"/>
    </row>
    <row r="465" spans="1:12">
      <c r="A465" s="299"/>
      <c r="B465" s="322"/>
      <c r="G465" s="299"/>
      <c r="H465" s="299"/>
      <c r="I465" s="299"/>
      <c r="J465" s="299"/>
      <c r="K465" s="299"/>
      <c r="L465" s="299"/>
    </row>
    <row r="466" spans="1:12">
      <c r="A466" s="299"/>
      <c r="B466" s="322"/>
      <c r="G466" s="299"/>
      <c r="H466" s="299"/>
      <c r="I466" s="299"/>
      <c r="J466" s="299"/>
      <c r="K466" s="299"/>
      <c r="L466" s="299"/>
    </row>
    <row r="467" spans="1:12">
      <c r="A467" s="299"/>
      <c r="B467" s="322"/>
      <c r="G467" s="299"/>
      <c r="H467" s="299"/>
      <c r="I467" s="299"/>
      <c r="J467" s="299"/>
      <c r="K467" s="299"/>
      <c r="L467" s="299"/>
    </row>
    <row r="468" spans="1:12">
      <c r="A468" s="299"/>
      <c r="B468" s="322"/>
      <c r="G468" s="299"/>
      <c r="H468" s="299"/>
      <c r="I468" s="299"/>
      <c r="J468" s="299"/>
      <c r="K468" s="299"/>
      <c r="L468" s="299"/>
    </row>
    <row r="469" spans="1:12">
      <c r="A469" s="299"/>
      <c r="B469" s="322"/>
      <c r="G469" s="299"/>
      <c r="H469" s="299"/>
      <c r="I469" s="299"/>
      <c r="J469" s="299"/>
      <c r="K469" s="299"/>
      <c r="L469" s="299"/>
    </row>
    <row r="470" spans="1:12">
      <c r="A470" s="299"/>
      <c r="B470" s="322"/>
      <c r="G470" s="299"/>
      <c r="H470" s="299"/>
      <c r="I470" s="299"/>
      <c r="J470" s="299"/>
      <c r="K470" s="299"/>
      <c r="L470" s="299"/>
    </row>
    <row r="471" spans="1:12">
      <c r="A471" s="299"/>
      <c r="B471" s="322"/>
      <c r="G471" s="299"/>
      <c r="H471" s="299"/>
      <c r="I471" s="299"/>
      <c r="J471" s="299"/>
      <c r="K471" s="299"/>
      <c r="L471" s="299"/>
    </row>
    <row r="472" spans="1:12">
      <c r="A472" s="299"/>
      <c r="B472" s="322"/>
      <c r="G472" s="299"/>
      <c r="H472" s="299"/>
      <c r="I472" s="299"/>
      <c r="J472" s="299"/>
      <c r="K472" s="299"/>
      <c r="L472" s="299"/>
    </row>
    <row r="473" spans="1:12">
      <c r="A473" s="299"/>
      <c r="B473" s="322"/>
      <c r="G473" s="299"/>
      <c r="H473" s="299"/>
      <c r="I473" s="299"/>
      <c r="J473" s="299"/>
      <c r="K473" s="299"/>
      <c r="L473" s="299"/>
    </row>
    <row r="474" spans="1:12">
      <c r="A474" s="299"/>
      <c r="B474" s="322"/>
      <c r="G474" s="299"/>
      <c r="H474" s="299"/>
      <c r="I474" s="299"/>
      <c r="J474" s="299"/>
      <c r="K474" s="299"/>
      <c r="L474" s="299"/>
    </row>
    <row r="475" spans="1:12">
      <c r="A475" s="299"/>
      <c r="B475" s="322"/>
      <c r="G475" s="299"/>
      <c r="H475" s="299"/>
      <c r="I475" s="299"/>
      <c r="J475" s="299"/>
      <c r="K475" s="299"/>
      <c r="L475" s="299"/>
    </row>
    <row r="476" spans="1:12">
      <c r="A476" s="299"/>
      <c r="B476" s="322"/>
      <c r="G476" s="299"/>
      <c r="H476" s="299"/>
      <c r="I476" s="299"/>
      <c r="J476" s="299"/>
      <c r="K476" s="299"/>
      <c r="L476" s="299"/>
    </row>
    <row r="477" spans="1:12">
      <c r="A477" s="299"/>
      <c r="B477" s="322"/>
      <c r="G477" s="299"/>
      <c r="H477" s="299"/>
      <c r="I477" s="299"/>
      <c r="J477" s="299"/>
      <c r="K477" s="299"/>
      <c r="L477" s="299"/>
    </row>
    <row r="478" spans="1:12">
      <c r="A478" s="299"/>
      <c r="B478" s="322"/>
      <c r="G478" s="299"/>
      <c r="H478" s="299"/>
      <c r="I478" s="299"/>
      <c r="J478" s="299"/>
      <c r="K478" s="299"/>
      <c r="L478" s="299"/>
    </row>
    <row r="479" spans="1:12">
      <c r="A479" s="299"/>
      <c r="B479" s="322"/>
      <c r="G479" s="299"/>
      <c r="H479" s="299"/>
      <c r="I479" s="299"/>
      <c r="J479" s="299"/>
      <c r="K479" s="299"/>
      <c r="L479" s="299"/>
    </row>
    <row r="480" spans="1:12">
      <c r="A480" s="299"/>
      <c r="B480" s="322"/>
      <c r="G480" s="299"/>
      <c r="H480" s="299"/>
      <c r="I480" s="299"/>
      <c r="J480" s="299"/>
      <c r="K480" s="299"/>
      <c r="L480" s="299"/>
    </row>
    <row r="481" spans="1:12">
      <c r="A481" s="299"/>
      <c r="B481" s="322"/>
      <c r="G481" s="299"/>
      <c r="H481" s="299"/>
      <c r="I481" s="299"/>
      <c r="J481" s="299"/>
      <c r="K481" s="299"/>
      <c r="L481" s="299"/>
    </row>
    <row r="482" spans="1:12">
      <c r="A482" s="299"/>
      <c r="B482" s="322"/>
      <c r="G482" s="299"/>
      <c r="H482" s="299"/>
      <c r="I482" s="299"/>
      <c r="J482" s="299"/>
      <c r="K482" s="299"/>
      <c r="L482" s="299"/>
    </row>
    <row r="483" spans="1:12">
      <c r="A483" s="299"/>
      <c r="B483" s="322"/>
      <c r="G483" s="299"/>
      <c r="H483" s="299"/>
      <c r="I483" s="299"/>
      <c r="J483" s="299"/>
      <c r="K483" s="299"/>
      <c r="L483" s="299"/>
    </row>
    <row r="484" spans="1:12">
      <c r="A484" s="299"/>
      <c r="B484" s="322"/>
      <c r="G484" s="299"/>
      <c r="H484" s="299"/>
      <c r="I484" s="299"/>
      <c r="J484" s="299"/>
      <c r="K484" s="299"/>
      <c r="L484" s="299"/>
    </row>
    <row r="485" spans="1:12">
      <c r="A485" s="299"/>
      <c r="B485" s="322"/>
      <c r="G485" s="299"/>
      <c r="H485" s="299"/>
      <c r="I485" s="299"/>
      <c r="J485" s="299"/>
      <c r="K485" s="299"/>
      <c r="L485" s="299"/>
    </row>
    <row r="486" spans="1:12">
      <c r="A486" s="299"/>
      <c r="B486" s="322"/>
      <c r="G486" s="299"/>
      <c r="H486" s="299"/>
      <c r="I486" s="299"/>
      <c r="J486" s="299"/>
      <c r="K486" s="299"/>
      <c r="L486" s="299"/>
    </row>
    <row r="487" spans="1:12">
      <c r="A487" s="299"/>
      <c r="B487" s="322"/>
      <c r="G487" s="299"/>
      <c r="H487" s="299"/>
      <c r="I487" s="299"/>
      <c r="J487" s="299"/>
      <c r="K487" s="299"/>
      <c r="L487" s="299"/>
    </row>
    <row r="488" spans="1:12">
      <c r="A488" s="299"/>
      <c r="B488" s="322"/>
      <c r="G488" s="299"/>
      <c r="H488" s="299"/>
      <c r="I488" s="299"/>
      <c r="J488" s="299"/>
      <c r="K488" s="299"/>
      <c r="L488" s="299"/>
    </row>
    <row r="489" spans="1:12">
      <c r="A489" s="299"/>
      <c r="B489" s="322"/>
      <c r="G489" s="299"/>
      <c r="H489" s="299"/>
      <c r="I489" s="299"/>
      <c r="J489" s="299"/>
      <c r="K489" s="299"/>
      <c r="L489" s="299"/>
    </row>
    <row r="490" spans="1:12">
      <c r="A490" s="299"/>
      <c r="B490" s="322"/>
      <c r="G490" s="299"/>
      <c r="H490" s="299"/>
      <c r="I490" s="299"/>
      <c r="J490" s="299"/>
      <c r="K490" s="299"/>
      <c r="L490" s="299"/>
    </row>
    <row r="491" spans="1:12">
      <c r="A491" s="299"/>
      <c r="B491" s="322"/>
      <c r="G491" s="299"/>
      <c r="H491" s="299"/>
      <c r="I491" s="299"/>
      <c r="J491" s="299"/>
      <c r="K491" s="299"/>
      <c r="L491" s="299"/>
    </row>
    <row r="492" spans="1:12">
      <c r="A492" s="299"/>
      <c r="B492" s="322"/>
      <c r="G492" s="299"/>
      <c r="H492" s="299"/>
      <c r="I492" s="299"/>
      <c r="J492" s="299"/>
      <c r="K492" s="299"/>
      <c r="L492" s="299"/>
    </row>
    <row r="493" spans="1:12">
      <c r="A493" s="299"/>
      <c r="B493" s="322"/>
      <c r="G493" s="299"/>
      <c r="H493" s="299"/>
      <c r="I493" s="299"/>
      <c r="J493" s="299"/>
      <c r="K493" s="299"/>
      <c r="L493" s="299"/>
    </row>
    <row r="494" spans="1:12">
      <c r="A494" s="299"/>
      <c r="B494" s="322"/>
      <c r="G494" s="299"/>
      <c r="H494" s="299"/>
      <c r="I494" s="299"/>
      <c r="J494" s="299"/>
      <c r="K494" s="299"/>
      <c r="L494" s="299"/>
    </row>
    <row r="495" spans="1:12">
      <c r="A495" s="299"/>
      <c r="B495" s="322"/>
      <c r="G495" s="299"/>
      <c r="H495" s="299"/>
      <c r="I495" s="299"/>
      <c r="J495" s="299"/>
      <c r="K495" s="299"/>
      <c r="L495" s="299"/>
    </row>
    <row r="496" spans="1:12">
      <c r="A496" s="299"/>
      <c r="B496" s="322"/>
      <c r="G496" s="299"/>
      <c r="H496" s="299"/>
      <c r="I496" s="299"/>
      <c r="J496" s="299"/>
      <c r="K496" s="299"/>
      <c r="L496" s="299"/>
    </row>
    <row r="497" spans="1:12">
      <c r="A497" s="299"/>
      <c r="B497" s="322"/>
      <c r="G497" s="299"/>
      <c r="H497" s="299"/>
      <c r="I497" s="299"/>
      <c r="J497" s="299"/>
      <c r="K497" s="299"/>
      <c r="L497" s="299"/>
    </row>
    <row r="498" spans="1:12">
      <c r="A498" s="299"/>
      <c r="B498" s="322"/>
      <c r="G498" s="299"/>
      <c r="H498" s="299"/>
      <c r="I498" s="299"/>
      <c r="J498" s="299"/>
      <c r="K498" s="299"/>
      <c r="L498" s="299"/>
    </row>
    <row r="499" spans="1:12">
      <c r="A499" s="299"/>
      <c r="B499" s="322"/>
      <c r="G499" s="299"/>
      <c r="H499" s="299"/>
      <c r="I499" s="299"/>
      <c r="J499" s="299"/>
      <c r="K499" s="299"/>
      <c r="L499" s="299"/>
    </row>
    <row r="500" spans="1:12">
      <c r="A500" s="299"/>
      <c r="B500" s="322"/>
      <c r="G500" s="299"/>
      <c r="H500" s="299"/>
      <c r="I500" s="299"/>
      <c r="J500" s="299"/>
      <c r="K500" s="299"/>
      <c r="L500" s="299"/>
    </row>
    <row r="501" spans="1:12">
      <c r="A501" s="299"/>
      <c r="B501" s="322"/>
      <c r="G501" s="299"/>
      <c r="H501" s="299"/>
      <c r="I501" s="299"/>
      <c r="J501" s="299"/>
      <c r="K501" s="299"/>
      <c r="L501" s="299"/>
    </row>
    <row r="502" spans="1:12">
      <c r="A502" s="299"/>
      <c r="B502" s="322"/>
      <c r="G502" s="299"/>
      <c r="H502" s="299"/>
      <c r="I502" s="299"/>
      <c r="J502" s="299"/>
      <c r="K502" s="299"/>
      <c r="L502" s="299"/>
    </row>
    <row r="503" spans="1:12">
      <c r="A503" s="299"/>
      <c r="B503" s="322"/>
      <c r="G503" s="299"/>
      <c r="H503" s="299"/>
      <c r="I503" s="299"/>
      <c r="J503" s="299"/>
      <c r="K503" s="299"/>
      <c r="L503" s="299"/>
    </row>
    <row r="504" spans="1:12">
      <c r="A504" s="299"/>
      <c r="B504" s="322"/>
      <c r="G504" s="299"/>
      <c r="H504" s="299"/>
      <c r="I504" s="299"/>
      <c r="J504" s="299"/>
      <c r="K504" s="299"/>
      <c r="L504" s="299"/>
    </row>
    <row r="505" spans="1:12">
      <c r="A505" s="299"/>
      <c r="B505" s="322"/>
      <c r="G505" s="299"/>
      <c r="H505" s="299"/>
      <c r="I505" s="299"/>
      <c r="J505" s="299"/>
      <c r="K505" s="299"/>
      <c r="L505" s="299"/>
    </row>
    <row r="506" spans="1:12">
      <c r="A506" s="299"/>
      <c r="B506" s="322"/>
      <c r="G506" s="299"/>
      <c r="H506" s="299"/>
      <c r="I506" s="299"/>
      <c r="J506" s="299"/>
      <c r="K506" s="299"/>
      <c r="L506" s="299"/>
    </row>
    <row r="507" spans="1:12">
      <c r="A507" s="299"/>
      <c r="B507" s="322"/>
      <c r="G507" s="299"/>
      <c r="H507" s="299"/>
      <c r="I507" s="299"/>
      <c r="J507" s="299"/>
      <c r="K507" s="299"/>
      <c r="L507" s="299"/>
    </row>
    <row r="508" spans="1:12">
      <c r="A508" s="299"/>
      <c r="B508" s="322"/>
      <c r="G508" s="299"/>
      <c r="H508" s="299"/>
      <c r="I508" s="299"/>
      <c r="J508" s="299"/>
      <c r="K508" s="299"/>
      <c r="L508" s="299"/>
    </row>
    <row r="509" spans="1:12">
      <c r="A509" s="299"/>
      <c r="B509" s="322"/>
      <c r="G509" s="299"/>
      <c r="H509" s="299"/>
      <c r="I509" s="299"/>
      <c r="J509" s="299"/>
      <c r="K509" s="299"/>
      <c r="L509" s="299"/>
    </row>
    <row r="510" spans="1:12">
      <c r="A510" s="299"/>
      <c r="B510" s="322"/>
      <c r="G510" s="299"/>
      <c r="H510" s="299"/>
      <c r="I510" s="299"/>
      <c r="J510" s="299"/>
      <c r="K510" s="299"/>
      <c r="L510" s="299"/>
    </row>
    <row r="511" spans="1:12">
      <c r="A511" s="299"/>
      <c r="B511" s="322"/>
      <c r="G511" s="299"/>
      <c r="H511" s="299"/>
      <c r="I511" s="299"/>
      <c r="J511" s="299"/>
      <c r="K511" s="299"/>
      <c r="L511" s="299"/>
    </row>
    <row r="512" spans="1:12">
      <c r="A512" s="299"/>
      <c r="B512" s="322"/>
      <c r="G512" s="299"/>
      <c r="H512" s="299"/>
      <c r="I512" s="299"/>
      <c r="J512" s="299"/>
      <c r="K512" s="299"/>
      <c r="L512" s="299"/>
    </row>
    <row r="513" spans="1:12">
      <c r="A513" s="299"/>
      <c r="B513" s="322"/>
      <c r="G513" s="299"/>
      <c r="H513" s="299"/>
      <c r="I513" s="299"/>
      <c r="J513" s="299"/>
      <c r="K513" s="299"/>
      <c r="L513" s="299"/>
    </row>
    <row r="514" spans="1:12">
      <c r="A514" s="299"/>
      <c r="B514" s="322"/>
      <c r="G514" s="299"/>
      <c r="H514" s="299"/>
      <c r="I514" s="299"/>
      <c r="J514" s="299"/>
      <c r="K514" s="299"/>
      <c r="L514" s="299"/>
    </row>
    <row r="515" spans="1:12">
      <c r="A515" s="299"/>
      <c r="B515" s="322"/>
      <c r="G515" s="299"/>
      <c r="H515" s="299"/>
      <c r="I515" s="299"/>
      <c r="J515" s="299"/>
      <c r="K515" s="299"/>
      <c r="L515" s="299"/>
    </row>
    <row r="516" spans="1:12">
      <c r="A516" s="299"/>
      <c r="B516" s="322"/>
      <c r="G516" s="299"/>
      <c r="H516" s="299"/>
      <c r="I516" s="299"/>
      <c r="J516" s="299"/>
      <c r="K516" s="299"/>
      <c r="L516" s="299"/>
    </row>
    <row r="517" spans="1:12">
      <c r="A517" s="299"/>
      <c r="B517" s="322"/>
      <c r="G517" s="299"/>
      <c r="H517" s="299"/>
      <c r="I517" s="299"/>
      <c r="J517" s="299"/>
      <c r="K517" s="299"/>
      <c r="L517" s="299"/>
    </row>
    <row r="518" spans="1:12">
      <c r="A518" s="299"/>
      <c r="B518" s="322"/>
      <c r="G518" s="299"/>
      <c r="H518" s="299"/>
      <c r="I518" s="299"/>
      <c r="J518" s="299"/>
      <c r="K518" s="299"/>
      <c r="L518" s="299"/>
    </row>
    <row r="519" spans="1:12">
      <c r="A519" s="299"/>
      <c r="B519" s="322"/>
      <c r="G519" s="299"/>
      <c r="H519" s="299"/>
      <c r="I519" s="299"/>
      <c r="J519" s="299"/>
      <c r="K519" s="299"/>
      <c r="L519" s="299"/>
    </row>
    <row r="520" spans="1:12">
      <c r="A520" s="299"/>
      <c r="B520" s="322"/>
      <c r="G520" s="299"/>
      <c r="H520" s="299"/>
      <c r="I520" s="299"/>
      <c r="J520" s="299"/>
      <c r="K520" s="299"/>
      <c r="L520" s="299"/>
    </row>
    <row r="521" spans="1:12">
      <c r="A521" s="299"/>
      <c r="B521" s="322"/>
      <c r="G521" s="299"/>
      <c r="H521" s="299"/>
      <c r="I521" s="299"/>
      <c r="J521" s="299"/>
      <c r="K521" s="299"/>
      <c r="L521" s="299"/>
    </row>
    <row r="522" spans="1:12">
      <c r="A522" s="299"/>
      <c r="B522" s="322"/>
      <c r="G522" s="299"/>
      <c r="H522" s="299"/>
      <c r="I522" s="299"/>
      <c r="J522" s="299"/>
      <c r="K522" s="299"/>
      <c r="L522" s="299"/>
    </row>
    <row r="523" spans="1:12">
      <c r="A523" s="299"/>
      <c r="B523" s="322"/>
      <c r="G523" s="299"/>
      <c r="H523" s="299"/>
      <c r="I523" s="299"/>
      <c r="J523" s="299"/>
      <c r="K523" s="299"/>
      <c r="L523" s="299"/>
    </row>
    <row r="524" spans="1:12">
      <c r="A524" s="299"/>
      <c r="B524" s="322"/>
      <c r="G524" s="299"/>
      <c r="H524" s="299"/>
      <c r="I524" s="299"/>
      <c r="J524" s="299"/>
      <c r="K524" s="299"/>
      <c r="L524" s="299"/>
    </row>
    <row r="525" spans="1:12">
      <c r="A525" s="299"/>
      <c r="B525" s="322"/>
      <c r="G525" s="299"/>
      <c r="H525" s="299"/>
      <c r="I525" s="299"/>
      <c r="J525" s="299"/>
      <c r="K525" s="299"/>
      <c r="L525" s="299"/>
    </row>
    <row r="526" spans="1:12">
      <c r="A526" s="299"/>
      <c r="B526" s="322"/>
      <c r="G526" s="299"/>
      <c r="H526" s="299"/>
      <c r="I526" s="299"/>
      <c r="J526" s="299"/>
      <c r="K526" s="299"/>
      <c r="L526" s="299"/>
    </row>
    <row r="527" spans="1:12">
      <c r="A527" s="299"/>
      <c r="B527" s="322"/>
      <c r="G527" s="299"/>
      <c r="H527" s="299"/>
      <c r="I527" s="299"/>
      <c r="J527" s="299"/>
      <c r="K527" s="299"/>
      <c r="L527" s="299"/>
    </row>
    <row r="528" spans="1:12">
      <c r="A528" s="299"/>
      <c r="B528" s="322"/>
      <c r="G528" s="299"/>
      <c r="H528" s="299"/>
      <c r="I528" s="299"/>
      <c r="J528" s="299"/>
      <c r="K528" s="299"/>
      <c r="L528" s="299"/>
    </row>
    <row r="529" spans="1:12">
      <c r="A529" s="299"/>
      <c r="B529" s="322"/>
      <c r="G529" s="299"/>
      <c r="H529" s="299"/>
      <c r="I529" s="299"/>
      <c r="J529" s="299"/>
      <c r="K529" s="299"/>
      <c r="L529" s="299"/>
    </row>
    <row r="530" spans="1:12">
      <c r="A530" s="299"/>
      <c r="B530" s="322"/>
      <c r="G530" s="299"/>
      <c r="H530" s="299"/>
      <c r="I530" s="299"/>
      <c r="J530" s="299"/>
      <c r="K530" s="299"/>
      <c r="L530" s="299"/>
    </row>
    <row r="531" spans="1:12">
      <c r="A531" s="299"/>
      <c r="B531" s="322"/>
      <c r="G531" s="299"/>
      <c r="H531" s="299"/>
      <c r="I531" s="299"/>
      <c r="J531" s="299"/>
      <c r="K531" s="299"/>
      <c r="L531" s="299"/>
    </row>
    <row r="532" spans="1:12">
      <c r="A532" s="299"/>
      <c r="B532" s="322"/>
      <c r="G532" s="299"/>
      <c r="H532" s="299"/>
      <c r="I532" s="299"/>
      <c r="J532" s="299"/>
      <c r="K532" s="299"/>
      <c r="L532" s="299"/>
    </row>
    <row r="533" spans="1:12">
      <c r="A533" s="299"/>
      <c r="B533" s="322"/>
      <c r="G533" s="299"/>
      <c r="H533" s="299"/>
      <c r="I533" s="299"/>
      <c r="J533" s="299"/>
      <c r="K533" s="299"/>
      <c r="L533" s="299"/>
    </row>
    <row r="534" spans="1:12">
      <c r="A534" s="299"/>
      <c r="B534" s="322"/>
      <c r="G534" s="299"/>
      <c r="H534" s="299"/>
      <c r="I534" s="299"/>
      <c r="J534" s="299"/>
      <c r="K534" s="299"/>
      <c r="L534" s="299"/>
    </row>
    <row r="535" spans="1:12">
      <c r="A535" s="299"/>
      <c r="B535" s="322"/>
      <c r="G535" s="299"/>
      <c r="H535" s="299"/>
      <c r="I535" s="299"/>
      <c r="J535" s="299"/>
      <c r="K535" s="299"/>
      <c r="L535" s="299"/>
    </row>
    <row r="536" spans="1:12">
      <c r="A536" s="299"/>
      <c r="B536" s="322"/>
      <c r="G536" s="299"/>
      <c r="H536" s="299"/>
      <c r="I536" s="299"/>
      <c r="J536" s="299"/>
      <c r="K536" s="299"/>
      <c r="L536" s="299"/>
    </row>
    <row r="537" spans="1:12">
      <c r="A537" s="299"/>
      <c r="B537" s="322"/>
      <c r="G537" s="299"/>
      <c r="H537" s="299"/>
      <c r="I537" s="299"/>
      <c r="J537" s="299"/>
      <c r="K537" s="299"/>
      <c r="L537" s="299"/>
    </row>
    <row r="538" spans="1:12">
      <c r="A538" s="299"/>
      <c r="B538" s="322"/>
      <c r="G538" s="299"/>
      <c r="H538" s="299"/>
      <c r="I538" s="299"/>
      <c r="J538" s="299"/>
      <c r="K538" s="299"/>
      <c r="L538" s="299"/>
    </row>
    <row r="539" spans="1:12">
      <c r="A539" s="299"/>
      <c r="B539" s="322"/>
      <c r="G539" s="299"/>
      <c r="H539" s="299"/>
      <c r="I539" s="299"/>
      <c r="J539" s="299"/>
      <c r="K539" s="299"/>
      <c r="L539" s="299"/>
    </row>
    <row r="540" spans="1:12">
      <c r="A540" s="299"/>
      <c r="B540" s="322"/>
      <c r="G540" s="299"/>
      <c r="H540" s="299"/>
      <c r="I540" s="299"/>
      <c r="J540" s="299"/>
      <c r="K540" s="299"/>
      <c r="L540" s="299"/>
    </row>
    <row r="541" spans="1:12">
      <c r="A541" s="299"/>
      <c r="B541" s="322"/>
      <c r="G541" s="299"/>
      <c r="H541" s="299"/>
      <c r="I541" s="299"/>
      <c r="J541" s="299"/>
      <c r="K541" s="299"/>
      <c r="L541" s="299"/>
    </row>
    <row r="542" spans="1:12">
      <c r="A542" s="299"/>
      <c r="B542" s="322"/>
      <c r="G542" s="299"/>
      <c r="H542" s="299"/>
      <c r="I542" s="299"/>
      <c r="J542" s="299"/>
      <c r="K542" s="299"/>
      <c r="L542" s="299"/>
    </row>
    <row r="543" spans="1:12">
      <c r="A543" s="299"/>
      <c r="B543" s="322"/>
      <c r="G543" s="299"/>
      <c r="H543" s="299"/>
      <c r="I543" s="299"/>
      <c r="J543" s="299"/>
      <c r="K543" s="299"/>
      <c r="L543" s="299"/>
    </row>
    <row r="544" spans="1:12">
      <c r="A544" s="299"/>
      <c r="B544" s="322"/>
      <c r="G544" s="299"/>
      <c r="H544" s="299"/>
      <c r="I544" s="299"/>
      <c r="J544" s="299"/>
      <c r="K544" s="299"/>
      <c r="L544" s="299"/>
    </row>
    <row r="545" spans="1:12">
      <c r="A545" s="299"/>
      <c r="B545" s="322"/>
      <c r="G545" s="299"/>
      <c r="H545" s="299"/>
      <c r="I545" s="299"/>
      <c r="J545" s="299"/>
      <c r="K545" s="299"/>
      <c r="L545" s="299"/>
    </row>
    <row r="546" spans="1:12">
      <c r="A546" s="299"/>
      <c r="B546" s="322"/>
      <c r="G546" s="299"/>
      <c r="H546" s="299"/>
      <c r="I546" s="299"/>
      <c r="J546" s="299"/>
      <c r="K546" s="299"/>
      <c r="L546" s="299"/>
    </row>
    <row r="547" spans="1:12">
      <c r="A547" s="299"/>
      <c r="B547" s="322"/>
      <c r="G547" s="299"/>
      <c r="H547" s="299"/>
      <c r="I547" s="299"/>
      <c r="J547" s="299"/>
      <c r="K547" s="299"/>
      <c r="L547" s="299"/>
    </row>
    <row r="548" spans="1:12">
      <c r="A548" s="299"/>
      <c r="B548" s="322"/>
      <c r="G548" s="299"/>
      <c r="H548" s="299"/>
      <c r="I548" s="299"/>
      <c r="J548" s="299"/>
      <c r="K548" s="299"/>
      <c r="L548" s="299"/>
    </row>
    <row r="549" spans="1:12">
      <c r="A549" s="299"/>
      <c r="B549" s="322"/>
      <c r="G549" s="299"/>
      <c r="H549" s="299"/>
      <c r="I549" s="299"/>
      <c r="J549" s="299"/>
      <c r="K549" s="299"/>
      <c r="L549" s="299"/>
    </row>
    <row r="550" spans="1:12">
      <c r="A550" s="299"/>
      <c r="B550" s="322"/>
      <c r="G550" s="299"/>
      <c r="H550" s="299"/>
      <c r="I550" s="299"/>
      <c r="J550" s="299"/>
      <c r="K550" s="299"/>
      <c r="L550" s="299"/>
    </row>
    <row r="551" spans="1:12">
      <c r="A551" s="299"/>
      <c r="B551" s="322"/>
      <c r="G551" s="299"/>
      <c r="H551" s="299"/>
      <c r="I551" s="299"/>
      <c r="J551" s="299"/>
      <c r="K551" s="299"/>
      <c r="L551" s="299"/>
    </row>
    <row r="552" spans="1:12">
      <c r="A552" s="299"/>
      <c r="B552" s="322"/>
      <c r="G552" s="299"/>
      <c r="H552" s="299"/>
      <c r="I552" s="299"/>
      <c r="J552" s="299"/>
      <c r="K552" s="299"/>
      <c r="L552" s="299"/>
    </row>
    <row r="553" spans="1:12">
      <c r="A553" s="299"/>
      <c r="B553" s="322"/>
      <c r="G553" s="299"/>
      <c r="H553" s="299"/>
      <c r="I553" s="299"/>
      <c r="J553" s="299"/>
      <c r="K553" s="299"/>
      <c r="L553" s="299"/>
    </row>
    <row r="554" spans="1:12">
      <c r="A554" s="299"/>
      <c r="B554" s="322"/>
      <c r="G554" s="299"/>
      <c r="H554" s="299"/>
      <c r="I554" s="299"/>
      <c r="J554" s="299"/>
      <c r="K554" s="299"/>
      <c r="L554" s="299"/>
    </row>
    <row r="555" spans="1:12">
      <c r="A555" s="299"/>
      <c r="B555" s="322"/>
      <c r="G555" s="299"/>
      <c r="H555" s="299"/>
      <c r="I555" s="299"/>
      <c r="J555" s="299"/>
      <c r="K555" s="299"/>
      <c r="L555" s="299"/>
    </row>
    <row r="556" spans="1:12">
      <c r="A556" s="299"/>
      <c r="B556" s="322"/>
      <c r="G556" s="299"/>
      <c r="H556" s="299"/>
      <c r="I556" s="299"/>
      <c r="J556" s="299"/>
      <c r="K556" s="299"/>
      <c r="L556" s="299"/>
    </row>
    <row r="557" spans="1:12">
      <c r="A557" s="299"/>
      <c r="B557" s="322"/>
      <c r="G557" s="299"/>
      <c r="H557" s="299"/>
      <c r="I557" s="299"/>
      <c r="J557" s="299"/>
      <c r="K557" s="299"/>
      <c r="L557" s="299"/>
    </row>
    <row r="558" spans="1:12">
      <c r="A558" s="299"/>
      <c r="B558" s="322"/>
      <c r="G558" s="299"/>
      <c r="H558" s="299"/>
      <c r="I558" s="299"/>
      <c r="J558" s="299"/>
      <c r="K558" s="299"/>
      <c r="L558" s="299"/>
    </row>
    <row r="559" spans="1:12">
      <c r="A559" s="299"/>
      <c r="B559" s="322"/>
      <c r="G559" s="299"/>
      <c r="H559" s="299"/>
      <c r="I559" s="299"/>
      <c r="J559" s="299"/>
      <c r="K559" s="299"/>
      <c r="L559" s="299"/>
    </row>
    <row r="560" spans="1:12">
      <c r="A560" s="299"/>
      <c r="B560" s="322"/>
      <c r="G560" s="299"/>
      <c r="H560" s="299"/>
      <c r="I560" s="299"/>
      <c r="J560" s="299"/>
      <c r="K560" s="299"/>
      <c r="L560" s="299"/>
    </row>
    <row r="561" spans="1:12">
      <c r="A561" s="299"/>
      <c r="B561" s="322"/>
      <c r="G561" s="299"/>
      <c r="H561" s="299"/>
      <c r="I561" s="299"/>
      <c r="J561" s="299"/>
      <c r="K561" s="299"/>
      <c r="L561" s="299"/>
    </row>
    <row r="562" spans="1:12">
      <c r="A562" s="299"/>
      <c r="B562" s="322"/>
      <c r="G562" s="299"/>
      <c r="H562" s="299"/>
      <c r="I562" s="299"/>
      <c r="J562" s="299"/>
      <c r="K562" s="299"/>
      <c r="L562" s="299"/>
    </row>
    <row r="563" spans="1:12">
      <c r="A563" s="299"/>
      <c r="B563" s="322"/>
      <c r="G563" s="299"/>
      <c r="H563" s="299"/>
      <c r="I563" s="299"/>
      <c r="J563" s="299"/>
      <c r="K563" s="299"/>
      <c r="L563" s="299"/>
    </row>
    <row r="564" spans="1:12">
      <c r="A564" s="299"/>
      <c r="B564" s="322"/>
      <c r="G564" s="299"/>
      <c r="H564" s="299"/>
      <c r="I564" s="299"/>
      <c r="J564" s="299"/>
      <c r="K564" s="299"/>
      <c r="L564" s="299"/>
    </row>
    <row r="565" spans="1:12">
      <c r="A565" s="299"/>
      <c r="B565" s="322"/>
      <c r="G565" s="299"/>
      <c r="H565" s="299"/>
      <c r="I565" s="299"/>
      <c r="J565" s="299"/>
      <c r="K565" s="299"/>
      <c r="L565" s="299"/>
    </row>
    <row r="566" spans="1:12">
      <c r="A566" s="299"/>
      <c r="B566" s="322"/>
      <c r="G566" s="299"/>
      <c r="H566" s="299"/>
      <c r="I566" s="299"/>
      <c r="J566" s="299"/>
      <c r="K566" s="299"/>
      <c r="L566" s="299"/>
    </row>
    <row r="567" spans="1:12">
      <c r="A567" s="299"/>
      <c r="B567" s="322"/>
      <c r="G567" s="299"/>
      <c r="H567" s="299"/>
      <c r="I567" s="299"/>
      <c r="J567" s="299"/>
      <c r="K567" s="299"/>
      <c r="L567" s="299"/>
    </row>
    <row r="568" spans="1:12">
      <c r="A568" s="299"/>
      <c r="B568" s="322"/>
      <c r="G568" s="299"/>
      <c r="H568" s="299"/>
      <c r="I568" s="299"/>
      <c r="J568" s="299"/>
      <c r="K568" s="299"/>
      <c r="L568" s="299"/>
    </row>
    <row r="569" spans="1:12">
      <c r="A569" s="299"/>
      <c r="B569" s="322"/>
      <c r="G569" s="299"/>
      <c r="H569" s="299"/>
      <c r="I569" s="299"/>
      <c r="J569" s="299"/>
      <c r="K569" s="299"/>
      <c r="L569" s="299"/>
    </row>
    <row r="570" spans="1:12">
      <c r="A570" s="299"/>
      <c r="B570" s="322"/>
      <c r="G570" s="299"/>
      <c r="H570" s="299"/>
      <c r="I570" s="299"/>
      <c r="J570" s="299"/>
      <c r="K570" s="299"/>
      <c r="L570" s="299"/>
    </row>
    <row r="571" spans="1:12">
      <c r="A571" s="299"/>
      <c r="B571" s="322"/>
      <c r="G571" s="299"/>
      <c r="H571" s="299"/>
      <c r="I571" s="299"/>
      <c r="J571" s="299"/>
      <c r="K571" s="299"/>
      <c r="L571" s="299"/>
    </row>
    <row r="572" spans="1:12">
      <c r="A572" s="299"/>
      <c r="B572" s="322"/>
      <c r="G572" s="299"/>
      <c r="H572" s="299"/>
      <c r="I572" s="299"/>
      <c r="J572" s="299"/>
      <c r="K572" s="299"/>
      <c r="L572" s="299"/>
    </row>
    <row r="573" spans="1:12">
      <c r="A573" s="299"/>
      <c r="B573" s="322"/>
      <c r="G573" s="299"/>
      <c r="H573" s="299"/>
      <c r="I573" s="299"/>
      <c r="J573" s="299"/>
      <c r="K573" s="299"/>
      <c r="L573" s="299"/>
    </row>
    <row r="574" spans="1:12">
      <c r="A574" s="299"/>
      <c r="B574" s="322"/>
      <c r="G574" s="299"/>
      <c r="H574" s="299"/>
      <c r="I574" s="299"/>
      <c r="J574" s="299"/>
      <c r="K574" s="299"/>
      <c r="L574" s="299"/>
    </row>
    <row r="575" spans="1:12">
      <c r="A575" s="299"/>
      <c r="B575" s="322"/>
      <c r="G575" s="299"/>
      <c r="H575" s="299"/>
      <c r="I575" s="299"/>
      <c r="J575" s="299"/>
      <c r="K575" s="299"/>
      <c r="L575" s="299"/>
    </row>
    <row r="576" spans="1:12">
      <c r="A576" s="299"/>
      <c r="B576" s="322"/>
      <c r="G576" s="299"/>
      <c r="H576" s="299"/>
      <c r="I576" s="299"/>
      <c r="J576" s="299"/>
      <c r="K576" s="299"/>
      <c r="L576" s="299"/>
    </row>
    <row r="577" spans="1:12">
      <c r="A577" s="299"/>
      <c r="B577" s="322"/>
      <c r="G577" s="299"/>
      <c r="H577" s="299"/>
      <c r="I577" s="299"/>
      <c r="J577" s="299"/>
      <c r="K577" s="299"/>
      <c r="L577" s="299"/>
    </row>
    <row r="578" spans="1:12">
      <c r="A578" s="299"/>
      <c r="B578" s="322"/>
      <c r="G578" s="299"/>
      <c r="H578" s="299"/>
      <c r="I578" s="299"/>
      <c r="J578" s="299"/>
      <c r="K578" s="299"/>
      <c r="L578" s="299"/>
    </row>
    <row r="579" spans="1:12">
      <c r="A579" s="299"/>
      <c r="B579" s="322"/>
      <c r="G579" s="299"/>
      <c r="H579" s="299"/>
      <c r="I579" s="299"/>
      <c r="J579" s="299"/>
      <c r="K579" s="299"/>
      <c r="L579" s="299"/>
    </row>
    <row r="580" spans="1:12">
      <c r="A580" s="299"/>
      <c r="B580" s="322"/>
      <c r="G580" s="299"/>
      <c r="H580" s="299"/>
      <c r="I580" s="299"/>
      <c r="J580" s="299"/>
      <c r="K580" s="299"/>
      <c r="L580" s="299"/>
    </row>
    <row r="581" spans="1:12">
      <c r="A581" s="299"/>
      <c r="B581" s="322"/>
      <c r="G581" s="299"/>
      <c r="H581" s="299"/>
      <c r="I581" s="299"/>
      <c r="J581" s="299"/>
      <c r="K581" s="299"/>
      <c r="L581" s="299"/>
    </row>
    <row r="582" spans="1:12">
      <c r="A582" s="299"/>
      <c r="B582" s="322"/>
      <c r="G582" s="299"/>
      <c r="H582" s="299"/>
      <c r="I582" s="299"/>
      <c r="J582" s="299"/>
      <c r="K582" s="299"/>
      <c r="L582" s="299"/>
    </row>
    <row r="583" spans="1:12">
      <c r="A583" s="299"/>
      <c r="B583" s="322"/>
      <c r="G583" s="299"/>
      <c r="H583" s="299"/>
      <c r="I583" s="299"/>
      <c r="J583" s="299"/>
      <c r="K583" s="299"/>
      <c r="L583" s="299"/>
    </row>
    <row r="584" spans="1:12">
      <c r="A584" s="299"/>
      <c r="B584" s="322"/>
      <c r="G584" s="299"/>
      <c r="H584" s="299"/>
      <c r="I584" s="299"/>
      <c r="J584" s="299"/>
      <c r="K584" s="299"/>
      <c r="L584" s="299"/>
    </row>
    <row r="585" spans="1:12">
      <c r="A585" s="299"/>
      <c r="B585" s="322"/>
      <c r="G585" s="299"/>
      <c r="H585" s="299"/>
      <c r="I585" s="299"/>
      <c r="J585" s="299"/>
      <c r="K585" s="299"/>
      <c r="L585" s="299"/>
    </row>
    <row r="586" spans="1:12">
      <c r="A586" s="299"/>
      <c r="B586" s="322"/>
      <c r="G586" s="299"/>
      <c r="H586" s="299"/>
      <c r="I586" s="299"/>
      <c r="J586" s="299"/>
      <c r="K586" s="299"/>
      <c r="L586" s="299"/>
    </row>
    <row r="587" spans="1:12">
      <c r="A587" s="299"/>
      <c r="B587" s="322"/>
      <c r="G587" s="299"/>
      <c r="H587" s="299"/>
      <c r="I587" s="299"/>
      <c r="J587" s="299"/>
      <c r="K587" s="299"/>
      <c r="L587" s="299"/>
    </row>
    <row r="588" spans="1:12">
      <c r="A588" s="299"/>
      <c r="B588" s="322"/>
      <c r="G588" s="299"/>
      <c r="H588" s="299"/>
      <c r="I588" s="299"/>
      <c r="J588" s="299"/>
      <c r="K588" s="299"/>
      <c r="L588" s="299"/>
    </row>
    <row r="589" spans="1:12">
      <c r="A589" s="299"/>
      <c r="B589" s="322"/>
      <c r="G589" s="299"/>
      <c r="H589" s="299"/>
      <c r="I589" s="299"/>
      <c r="J589" s="299"/>
      <c r="K589" s="299"/>
      <c r="L589" s="299"/>
    </row>
    <row r="590" spans="1:12">
      <c r="A590" s="299"/>
      <c r="B590" s="322"/>
      <c r="G590" s="299"/>
      <c r="H590" s="299"/>
      <c r="I590" s="299"/>
      <c r="J590" s="299"/>
      <c r="K590" s="299"/>
      <c r="L590" s="299"/>
    </row>
    <row r="591" spans="1:12">
      <c r="A591" s="299"/>
      <c r="B591" s="322"/>
      <c r="G591" s="299"/>
      <c r="H591" s="299"/>
      <c r="I591" s="299"/>
      <c r="J591" s="299"/>
      <c r="K591" s="299"/>
      <c r="L591" s="299"/>
    </row>
    <row r="592" spans="1:12">
      <c r="A592" s="299"/>
      <c r="B592" s="322"/>
      <c r="G592" s="299"/>
      <c r="H592" s="299"/>
      <c r="I592" s="299"/>
      <c r="J592" s="299"/>
      <c r="K592" s="299"/>
      <c r="L592" s="299"/>
    </row>
    <row r="593" spans="1:12">
      <c r="A593" s="299"/>
      <c r="B593" s="322"/>
      <c r="G593" s="299"/>
      <c r="H593" s="299"/>
      <c r="I593" s="299"/>
      <c r="J593" s="299"/>
      <c r="K593" s="299"/>
      <c r="L593" s="299"/>
    </row>
    <row r="594" spans="1:12">
      <c r="A594" s="299"/>
      <c r="B594" s="322"/>
      <c r="G594" s="299"/>
      <c r="H594" s="299"/>
      <c r="I594" s="299"/>
      <c r="J594" s="299"/>
      <c r="K594" s="299"/>
      <c r="L594" s="299"/>
    </row>
    <row r="595" spans="1:12">
      <c r="A595" s="299"/>
      <c r="B595" s="322"/>
      <c r="G595" s="299"/>
      <c r="H595" s="299"/>
      <c r="I595" s="299"/>
      <c r="J595" s="299"/>
      <c r="K595" s="299"/>
      <c r="L595" s="299"/>
    </row>
    <row r="596" spans="1:12">
      <c r="A596" s="299"/>
      <c r="B596" s="322"/>
      <c r="G596" s="299"/>
      <c r="H596" s="299"/>
      <c r="I596" s="299"/>
      <c r="J596" s="299"/>
      <c r="K596" s="299"/>
      <c r="L596" s="299"/>
    </row>
    <row r="597" spans="1:12">
      <c r="A597" s="299"/>
      <c r="B597" s="322"/>
      <c r="G597" s="299"/>
      <c r="H597" s="299"/>
      <c r="I597" s="299"/>
      <c r="J597" s="299"/>
      <c r="K597" s="299"/>
      <c r="L597" s="299"/>
    </row>
    <row r="598" spans="1:12">
      <c r="A598" s="299"/>
      <c r="B598" s="322"/>
      <c r="G598" s="299"/>
      <c r="H598" s="299"/>
      <c r="I598" s="299"/>
      <c r="J598" s="299"/>
      <c r="K598" s="299"/>
      <c r="L598" s="299"/>
    </row>
    <row r="599" spans="1:12">
      <c r="A599" s="299"/>
      <c r="B599" s="322"/>
      <c r="G599" s="299"/>
      <c r="H599" s="299"/>
      <c r="I599" s="299"/>
      <c r="J599" s="299"/>
      <c r="K599" s="299"/>
      <c r="L599" s="299"/>
    </row>
    <row r="600" spans="1:12">
      <c r="A600" s="299"/>
      <c r="B600" s="322"/>
      <c r="G600" s="299"/>
      <c r="H600" s="299"/>
      <c r="I600" s="299"/>
      <c r="J600" s="299"/>
      <c r="K600" s="299"/>
      <c r="L600" s="299"/>
    </row>
    <row r="601" spans="1:12">
      <c r="A601" s="299"/>
      <c r="B601" s="322"/>
      <c r="G601" s="299"/>
      <c r="H601" s="299"/>
      <c r="I601" s="299"/>
      <c r="J601" s="299"/>
      <c r="K601" s="299"/>
      <c r="L601" s="299"/>
    </row>
    <row r="602" spans="1:12">
      <c r="A602" s="299"/>
      <c r="B602" s="322"/>
      <c r="G602" s="299"/>
      <c r="H602" s="299"/>
      <c r="I602" s="299"/>
      <c r="J602" s="299"/>
      <c r="K602" s="299"/>
      <c r="L602" s="299"/>
    </row>
    <row r="603" spans="1:12">
      <c r="A603" s="299"/>
      <c r="B603" s="322"/>
      <c r="G603" s="299"/>
      <c r="H603" s="299"/>
      <c r="I603" s="299"/>
      <c r="J603" s="299"/>
      <c r="K603" s="299"/>
      <c r="L603" s="299"/>
    </row>
    <row r="604" spans="1:12">
      <c r="A604" s="299"/>
      <c r="B604" s="322"/>
      <c r="G604" s="299"/>
      <c r="H604" s="299"/>
      <c r="I604" s="299"/>
      <c r="J604" s="299"/>
      <c r="K604" s="299"/>
      <c r="L604" s="299"/>
    </row>
    <row r="605" spans="1:12">
      <c r="A605" s="299"/>
      <c r="B605" s="322"/>
      <c r="G605" s="299"/>
      <c r="H605" s="299"/>
      <c r="I605" s="299"/>
      <c r="J605" s="299"/>
      <c r="K605" s="299"/>
      <c r="L605" s="299"/>
    </row>
    <row r="606" spans="1:12">
      <c r="A606" s="299"/>
      <c r="B606" s="322"/>
      <c r="G606" s="299"/>
      <c r="H606" s="299"/>
      <c r="I606" s="299"/>
      <c r="J606" s="299"/>
      <c r="K606" s="299"/>
      <c r="L606" s="299"/>
    </row>
    <row r="607" spans="1:12">
      <c r="A607" s="299"/>
      <c r="B607" s="322"/>
      <c r="G607" s="299"/>
      <c r="H607" s="299"/>
      <c r="I607" s="299"/>
      <c r="J607" s="299"/>
      <c r="K607" s="299"/>
      <c r="L607" s="299"/>
    </row>
    <row r="608" spans="1:12">
      <c r="A608" s="299"/>
      <c r="B608" s="322"/>
      <c r="G608" s="299"/>
      <c r="H608" s="299"/>
      <c r="I608" s="299"/>
      <c r="J608" s="299"/>
      <c r="K608" s="299"/>
      <c r="L608" s="299"/>
    </row>
    <row r="609" spans="1:12">
      <c r="A609" s="299"/>
      <c r="B609" s="322"/>
      <c r="G609" s="299"/>
      <c r="H609" s="299"/>
      <c r="I609" s="299"/>
      <c r="J609" s="299"/>
      <c r="K609" s="299"/>
      <c r="L609" s="299"/>
    </row>
    <row r="610" spans="1:12">
      <c r="A610" s="299"/>
      <c r="B610" s="322"/>
      <c r="G610" s="299"/>
      <c r="H610" s="299"/>
      <c r="I610" s="299"/>
      <c r="J610" s="299"/>
      <c r="K610" s="299"/>
      <c r="L610" s="299"/>
    </row>
    <row r="611" spans="1:12">
      <c r="A611" s="299"/>
      <c r="B611" s="322"/>
      <c r="G611" s="299"/>
      <c r="H611" s="299"/>
      <c r="I611" s="299"/>
      <c r="J611" s="299"/>
      <c r="K611" s="299"/>
      <c r="L611" s="299"/>
    </row>
    <row r="612" spans="1:12">
      <c r="A612" s="299"/>
      <c r="B612" s="322"/>
      <c r="G612" s="299"/>
      <c r="H612" s="299"/>
      <c r="I612" s="299"/>
      <c r="J612" s="299"/>
      <c r="K612" s="299"/>
      <c r="L612" s="299"/>
    </row>
    <row r="613" spans="1:12">
      <c r="A613" s="299"/>
      <c r="B613" s="322"/>
      <c r="G613" s="299"/>
      <c r="H613" s="299"/>
      <c r="I613" s="299"/>
      <c r="J613" s="299"/>
      <c r="K613" s="299"/>
      <c r="L613" s="299"/>
    </row>
    <row r="614" spans="1:12">
      <c r="A614" s="299"/>
      <c r="B614" s="322"/>
      <c r="G614" s="299"/>
      <c r="H614" s="299"/>
      <c r="I614" s="299"/>
      <c r="J614" s="299"/>
      <c r="K614" s="299"/>
      <c r="L614" s="299"/>
    </row>
    <row r="615" spans="1:12">
      <c r="A615" s="299"/>
      <c r="B615" s="322"/>
      <c r="G615" s="299"/>
      <c r="H615" s="299"/>
      <c r="I615" s="299"/>
      <c r="J615" s="299"/>
      <c r="K615" s="299"/>
      <c r="L615" s="299"/>
    </row>
    <row r="616" spans="1:12">
      <c r="A616" s="299"/>
      <c r="B616" s="322"/>
      <c r="G616" s="299"/>
      <c r="H616" s="299"/>
      <c r="I616" s="299"/>
      <c r="J616" s="299"/>
      <c r="K616" s="299"/>
      <c r="L616" s="299"/>
    </row>
    <row r="617" spans="1:12">
      <c r="A617" s="299"/>
      <c r="B617" s="322"/>
      <c r="G617" s="299"/>
      <c r="H617" s="299"/>
      <c r="I617" s="299"/>
      <c r="J617" s="299"/>
      <c r="K617" s="299"/>
      <c r="L617" s="299"/>
    </row>
    <row r="618" spans="1:12">
      <c r="A618" s="299"/>
      <c r="B618" s="322"/>
      <c r="G618" s="299"/>
      <c r="H618" s="299"/>
      <c r="I618" s="299"/>
      <c r="J618" s="299"/>
      <c r="K618" s="299"/>
      <c r="L618" s="299"/>
    </row>
    <row r="619" spans="1:12">
      <c r="A619" s="299"/>
      <c r="B619" s="322"/>
      <c r="G619" s="299"/>
      <c r="H619" s="299"/>
      <c r="I619" s="299"/>
      <c r="J619" s="299"/>
      <c r="K619" s="299"/>
      <c r="L619" s="299"/>
    </row>
    <row r="620" spans="1:12">
      <c r="A620" s="299"/>
      <c r="B620" s="322"/>
      <c r="G620" s="299"/>
      <c r="H620" s="299"/>
      <c r="I620" s="299"/>
      <c r="J620" s="299"/>
      <c r="K620" s="299"/>
      <c r="L620" s="299"/>
    </row>
    <row r="621" spans="1:12">
      <c r="A621" s="299"/>
      <c r="B621" s="322"/>
      <c r="G621" s="299"/>
      <c r="H621" s="299"/>
      <c r="I621" s="299"/>
      <c r="J621" s="299"/>
      <c r="K621" s="299"/>
      <c r="L621" s="299"/>
    </row>
    <row r="622" spans="1:12">
      <c r="A622" s="299"/>
      <c r="B622" s="322"/>
      <c r="G622" s="299"/>
      <c r="H622" s="299"/>
      <c r="I622" s="299"/>
      <c r="J622" s="299"/>
      <c r="K622" s="299"/>
      <c r="L622" s="299"/>
    </row>
    <row r="623" spans="1:12">
      <c r="A623" s="299"/>
      <c r="B623" s="322"/>
      <c r="G623" s="299"/>
      <c r="H623" s="299"/>
      <c r="I623" s="299"/>
      <c r="J623" s="299"/>
      <c r="K623" s="299"/>
      <c r="L623" s="299"/>
    </row>
    <row r="624" spans="1:12">
      <c r="A624" s="299"/>
      <c r="B624" s="322"/>
      <c r="G624" s="299"/>
      <c r="H624" s="299"/>
      <c r="I624" s="299"/>
      <c r="J624" s="299"/>
      <c r="K624" s="299"/>
      <c r="L624" s="299"/>
    </row>
    <row r="625" spans="1:12">
      <c r="A625" s="299"/>
      <c r="B625" s="322"/>
      <c r="G625" s="299"/>
      <c r="H625" s="299"/>
      <c r="I625" s="299"/>
      <c r="J625" s="299"/>
      <c r="K625" s="299"/>
      <c r="L625" s="299"/>
    </row>
    <row r="626" spans="1:12">
      <c r="A626" s="299"/>
      <c r="B626" s="322"/>
      <c r="G626" s="299"/>
      <c r="H626" s="299"/>
      <c r="I626" s="299"/>
      <c r="J626" s="299"/>
      <c r="K626" s="299"/>
      <c r="L626" s="299"/>
    </row>
    <row r="627" spans="1:12">
      <c r="A627" s="299"/>
      <c r="B627" s="322"/>
      <c r="G627" s="299"/>
      <c r="H627" s="299"/>
      <c r="I627" s="299"/>
      <c r="J627" s="299"/>
      <c r="K627" s="299"/>
      <c r="L627" s="299"/>
    </row>
    <row r="628" spans="1:12">
      <c r="A628" s="299"/>
      <c r="B628" s="322"/>
      <c r="G628" s="299"/>
      <c r="H628" s="299"/>
      <c r="I628" s="299"/>
      <c r="J628" s="299"/>
      <c r="K628" s="299"/>
      <c r="L628" s="299"/>
    </row>
    <row r="629" spans="1:12">
      <c r="A629" s="299"/>
      <c r="B629" s="322"/>
      <c r="G629" s="299"/>
      <c r="H629" s="299"/>
      <c r="I629" s="299"/>
      <c r="J629" s="299"/>
      <c r="K629" s="299"/>
      <c r="L629" s="299"/>
    </row>
    <row r="630" spans="1:12">
      <c r="A630" s="299"/>
      <c r="B630" s="322"/>
      <c r="G630" s="299"/>
      <c r="H630" s="299"/>
      <c r="I630" s="299"/>
      <c r="J630" s="299"/>
      <c r="K630" s="299"/>
      <c r="L630" s="299"/>
    </row>
    <row r="631" spans="1:12">
      <c r="A631" s="299"/>
      <c r="B631" s="322"/>
      <c r="G631" s="299"/>
      <c r="H631" s="299"/>
      <c r="I631" s="299"/>
      <c r="J631" s="299"/>
      <c r="K631" s="299"/>
      <c r="L631" s="299"/>
    </row>
    <row r="632" spans="1:12">
      <c r="A632" s="299"/>
      <c r="B632" s="322"/>
      <c r="G632" s="299"/>
      <c r="H632" s="299"/>
      <c r="I632" s="299"/>
      <c r="J632" s="299"/>
      <c r="K632" s="299"/>
      <c r="L632" s="299"/>
    </row>
    <row r="633" spans="1:12">
      <c r="A633" s="299"/>
      <c r="B633" s="322"/>
      <c r="G633" s="299"/>
      <c r="H633" s="299"/>
      <c r="I633" s="299"/>
      <c r="J633" s="299"/>
      <c r="K633" s="299"/>
      <c r="L633" s="299"/>
    </row>
    <row r="634" spans="1:12">
      <c r="A634" s="299"/>
      <c r="B634" s="322"/>
      <c r="G634" s="299"/>
      <c r="H634" s="299"/>
      <c r="I634" s="299"/>
      <c r="J634" s="299"/>
      <c r="K634" s="299"/>
      <c r="L634" s="299"/>
    </row>
    <row r="635" spans="1:12">
      <c r="A635" s="299"/>
      <c r="B635" s="322"/>
      <c r="G635" s="299"/>
      <c r="H635" s="299"/>
      <c r="I635" s="299"/>
      <c r="J635" s="299"/>
      <c r="K635" s="299"/>
      <c r="L635" s="299"/>
    </row>
    <row r="636" spans="1:12">
      <c r="A636" s="299"/>
      <c r="B636" s="322"/>
      <c r="G636" s="299"/>
      <c r="H636" s="299"/>
      <c r="I636" s="299"/>
      <c r="J636" s="299"/>
      <c r="K636" s="299"/>
      <c r="L636" s="299"/>
    </row>
    <row r="637" spans="1:12">
      <c r="A637" s="299"/>
      <c r="B637" s="322"/>
      <c r="G637" s="299"/>
      <c r="H637" s="299"/>
      <c r="I637" s="299"/>
      <c r="J637" s="299"/>
      <c r="K637" s="299"/>
      <c r="L637" s="299"/>
    </row>
    <row r="638" spans="1:12">
      <c r="A638" s="299"/>
      <c r="B638" s="322"/>
      <c r="G638" s="299"/>
      <c r="H638" s="299"/>
      <c r="I638" s="299"/>
      <c r="J638" s="299"/>
      <c r="K638" s="299"/>
      <c r="L638" s="299"/>
    </row>
    <row r="639" spans="1:12">
      <c r="A639" s="299"/>
      <c r="B639" s="322"/>
      <c r="G639" s="299"/>
      <c r="H639" s="299"/>
      <c r="I639" s="299"/>
      <c r="J639" s="299"/>
      <c r="K639" s="299"/>
      <c r="L639" s="299"/>
    </row>
    <row r="640" spans="1:12">
      <c r="A640" s="299"/>
      <c r="B640" s="322"/>
      <c r="G640" s="299"/>
      <c r="H640" s="299"/>
      <c r="I640" s="299"/>
      <c r="J640" s="299"/>
      <c r="K640" s="299"/>
      <c r="L640" s="299"/>
    </row>
    <row r="641" spans="1:12">
      <c r="A641" s="299"/>
      <c r="B641" s="322"/>
      <c r="G641" s="299"/>
      <c r="H641" s="299"/>
      <c r="I641" s="299"/>
      <c r="J641" s="299"/>
      <c r="K641" s="299"/>
      <c r="L641" s="299"/>
    </row>
    <row r="642" spans="1:12">
      <c r="A642" s="299"/>
      <c r="B642" s="322"/>
      <c r="G642" s="299"/>
      <c r="H642" s="299"/>
      <c r="I642" s="299"/>
      <c r="J642" s="299"/>
      <c r="K642" s="299"/>
      <c r="L642" s="299"/>
    </row>
    <row r="643" spans="1:12">
      <c r="A643" s="299"/>
      <c r="B643" s="322"/>
      <c r="G643" s="299"/>
      <c r="H643" s="299"/>
      <c r="I643" s="299"/>
      <c r="J643" s="299"/>
      <c r="K643" s="299"/>
      <c r="L643" s="299"/>
    </row>
    <row r="644" spans="1:12">
      <c r="A644" s="299"/>
      <c r="B644" s="322"/>
      <c r="G644" s="299"/>
      <c r="H644" s="299"/>
      <c r="I644" s="299"/>
      <c r="J644" s="299"/>
      <c r="K644" s="299"/>
      <c r="L644" s="299"/>
    </row>
    <row r="645" spans="1:12">
      <c r="A645" s="299"/>
      <c r="B645" s="322"/>
      <c r="G645" s="299"/>
      <c r="H645" s="299"/>
      <c r="I645" s="299"/>
      <c r="J645" s="299"/>
      <c r="K645" s="299"/>
      <c r="L645" s="299"/>
    </row>
    <row r="646" spans="1:12">
      <c r="A646" s="299"/>
      <c r="B646" s="322"/>
      <c r="G646" s="299"/>
      <c r="H646" s="299"/>
      <c r="I646" s="299"/>
      <c r="J646" s="299"/>
      <c r="K646" s="299"/>
      <c r="L646" s="299"/>
    </row>
    <row r="647" spans="1:12">
      <c r="A647" s="299"/>
      <c r="B647" s="322"/>
      <c r="G647" s="299"/>
      <c r="H647" s="299"/>
      <c r="I647" s="299"/>
      <c r="J647" s="299"/>
      <c r="K647" s="299"/>
      <c r="L647" s="299"/>
    </row>
    <row r="648" spans="1:12">
      <c r="A648" s="299"/>
      <c r="B648" s="322"/>
      <c r="G648" s="299"/>
      <c r="H648" s="299"/>
      <c r="I648" s="299"/>
      <c r="J648" s="299"/>
      <c r="K648" s="299"/>
      <c r="L648" s="299"/>
    </row>
    <row r="649" spans="1:12">
      <c r="A649" s="299"/>
      <c r="B649" s="322"/>
      <c r="G649" s="299"/>
      <c r="H649" s="299"/>
      <c r="I649" s="299"/>
      <c r="J649" s="299"/>
      <c r="K649" s="299"/>
      <c r="L649" s="299"/>
    </row>
    <row r="650" spans="1:12">
      <c r="A650" s="299"/>
      <c r="B650" s="322"/>
      <c r="G650" s="299"/>
      <c r="H650" s="299"/>
      <c r="I650" s="299"/>
      <c r="J650" s="299"/>
      <c r="K650" s="299"/>
      <c r="L650" s="299"/>
    </row>
    <row r="651" spans="1:12">
      <c r="A651" s="299"/>
      <c r="B651" s="322"/>
      <c r="G651" s="299"/>
      <c r="H651" s="299"/>
      <c r="I651" s="299"/>
      <c r="J651" s="299"/>
      <c r="K651" s="299"/>
      <c r="L651" s="299"/>
    </row>
    <row r="652" spans="1:12">
      <c r="A652" s="299"/>
      <c r="B652" s="322"/>
      <c r="G652" s="299"/>
      <c r="H652" s="299"/>
      <c r="I652" s="299"/>
      <c r="J652" s="299"/>
      <c r="K652" s="299"/>
      <c r="L652" s="299"/>
    </row>
    <row r="653" spans="1:12">
      <c r="A653" s="299"/>
      <c r="B653" s="322"/>
      <c r="G653" s="299"/>
      <c r="H653" s="299"/>
      <c r="I653" s="299"/>
      <c r="J653" s="299"/>
      <c r="K653" s="299"/>
      <c r="L653" s="299"/>
    </row>
    <row r="654" spans="1:12">
      <c r="A654" s="299"/>
      <c r="B654" s="322"/>
      <c r="G654" s="299"/>
      <c r="H654" s="299"/>
      <c r="I654" s="299"/>
      <c r="J654" s="299"/>
      <c r="K654" s="299"/>
      <c r="L654" s="299"/>
    </row>
    <row r="655" spans="1:12">
      <c r="A655" s="299"/>
      <c r="B655" s="322"/>
      <c r="G655" s="299"/>
      <c r="H655" s="299"/>
      <c r="I655" s="299"/>
      <c r="J655" s="299"/>
      <c r="K655" s="299"/>
      <c r="L655" s="299"/>
    </row>
    <row r="656" spans="1:12">
      <c r="A656" s="299"/>
      <c r="B656" s="322"/>
      <c r="G656" s="299"/>
      <c r="H656" s="299"/>
      <c r="I656" s="299"/>
      <c r="J656" s="299"/>
      <c r="K656" s="299"/>
      <c r="L656" s="299"/>
    </row>
    <row r="657" spans="1:12">
      <c r="A657" s="299"/>
      <c r="B657" s="322"/>
      <c r="G657" s="299"/>
      <c r="H657" s="299"/>
      <c r="I657" s="299"/>
      <c r="J657" s="299"/>
      <c r="K657" s="299"/>
      <c r="L657" s="299"/>
    </row>
    <row r="658" spans="1:12">
      <c r="A658" s="299"/>
      <c r="B658" s="322"/>
      <c r="G658" s="299"/>
      <c r="H658" s="299"/>
      <c r="I658" s="299"/>
      <c r="J658" s="299"/>
      <c r="K658" s="299"/>
      <c r="L658" s="299"/>
    </row>
    <row r="659" spans="1:12">
      <c r="A659" s="299"/>
      <c r="B659" s="322"/>
      <c r="G659" s="299"/>
      <c r="H659" s="299"/>
      <c r="I659" s="299"/>
      <c r="J659" s="299"/>
      <c r="K659" s="299"/>
      <c r="L659" s="299"/>
    </row>
    <row r="660" spans="1:12">
      <c r="A660" s="299"/>
      <c r="B660" s="322"/>
      <c r="G660" s="299"/>
      <c r="H660" s="299"/>
      <c r="I660" s="299"/>
      <c r="J660" s="299"/>
      <c r="K660" s="299"/>
      <c r="L660" s="299"/>
    </row>
    <row r="661" spans="1:12">
      <c r="A661" s="299"/>
      <c r="B661" s="322"/>
      <c r="G661" s="299"/>
      <c r="H661" s="299"/>
      <c r="I661" s="299"/>
      <c r="J661" s="299"/>
      <c r="K661" s="299"/>
      <c r="L661" s="299"/>
    </row>
    <row r="662" spans="1:12">
      <c r="A662" s="299"/>
      <c r="B662" s="322"/>
      <c r="G662" s="299"/>
      <c r="H662" s="299"/>
      <c r="I662" s="299"/>
      <c r="J662" s="299"/>
      <c r="K662" s="299"/>
      <c r="L662" s="299"/>
    </row>
    <row r="663" spans="1:12">
      <c r="A663" s="299"/>
      <c r="B663" s="322"/>
      <c r="G663" s="299"/>
      <c r="H663" s="299"/>
      <c r="I663" s="299"/>
      <c r="J663" s="299"/>
      <c r="K663" s="299"/>
      <c r="L663" s="299"/>
    </row>
    <row r="664" spans="1:12">
      <c r="A664" s="299"/>
      <c r="B664" s="322"/>
      <c r="G664" s="299"/>
      <c r="H664" s="299"/>
      <c r="I664" s="299"/>
      <c r="J664" s="299"/>
      <c r="K664" s="299"/>
      <c r="L664" s="299"/>
    </row>
    <row r="665" spans="1:12">
      <c r="A665" s="299"/>
      <c r="B665" s="322"/>
      <c r="G665" s="299"/>
      <c r="H665" s="299"/>
      <c r="I665" s="299"/>
      <c r="J665" s="299"/>
      <c r="K665" s="299"/>
      <c r="L665" s="299"/>
    </row>
    <row r="666" spans="1:12">
      <c r="A666" s="299"/>
      <c r="B666" s="322"/>
      <c r="G666" s="299"/>
      <c r="H666" s="299"/>
      <c r="I666" s="299"/>
      <c r="J666" s="299"/>
      <c r="K666" s="299"/>
      <c r="L666" s="299"/>
    </row>
    <row r="667" spans="1:12">
      <c r="A667" s="299"/>
      <c r="B667" s="322"/>
      <c r="G667" s="299"/>
      <c r="H667" s="299"/>
      <c r="I667" s="299"/>
      <c r="J667" s="299"/>
      <c r="K667" s="299"/>
      <c r="L667" s="299"/>
    </row>
    <row r="668" spans="1:12">
      <c r="A668" s="299"/>
      <c r="B668" s="322"/>
      <c r="G668" s="299"/>
      <c r="H668" s="299"/>
      <c r="I668" s="299"/>
      <c r="J668" s="299"/>
      <c r="K668" s="299"/>
      <c r="L668" s="299"/>
    </row>
    <row r="669" spans="1:12">
      <c r="A669" s="299"/>
      <c r="B669" s="322"/>
      <c r="G669" s="299"/>
      <c r="H669" s="299"/>
      <c r="I669" s="299"/>
      <c r="J669" s="299"/>
      <c r="K669" s="299"/>
      <c r="L669" s="299"/>
    </row>
    <row r="670" spans="1:12">
      <c r="A670" s="299"/>
      <c r="B670" s="322"/>
      <c r="G670" s="299"/>
      <c r="H670" s="299"/>
      <c r="I670" s="299"/>
      <c r="J670" s="299"/>
      <c r="K670" s="299"/>
      <c r="L670" s="299"/>
    </row>
    <row r="671" spans="1:12">
      <c r="A671" s="299"/>
      <c r="B671" s="322"/>
      <c r="G671" s="299"/>
      <c r="H671" s="299"/>
      <c r="I671" s="299"/>
      <c r="J671" s="299"/>
      <c r="K671" s="299"/>
      <c r="L671" s="299"/>
    </row>
    <row r="672" spans="1:12">
      <c r="A672" s="299"/>
      <c r="B672" s="322"/>
      <c r="G672" s="299"/>
      <c r="H672" s="299"/>
      <c r="I672" s="299"/>
      <c r="J672" s="299"/>
      <c r="K672" s="299"/>
      <c r="L672" s="299"/>
    </row>
    <row r="673" spans="1:12">
      <c r="A673" s="299"/>
      <c r="B673" s="322"/>
      <c r="G673" s="299"/>
      <c r="H673" s="299"/>
      <c r="I673" s="299"/>
      <c r="J673" s="299"/>
      <c r="K673" s="299"/>
      <c r="L673" s="299"/>
    </row>
    <row r="674" spans="1:12">
      <c r="A674" s="299"/>
      <c r="B674" s="322"/>
      <c r="G674" s="299"/>
      <c r="H674" s="299"/>
      <c r="I674" s="299"/>
      <c r="J674" s="299"/>
      <c r="K674" s="299"/>
      <c r="L674" s="299"/>
    </row>
    <row r="675" spans="1:12">
      <c r="A675" s="299"/>
      <c r="B675" s="322"/>
      <c r="G675" s="299"/>
      <c r="H675" s="299"/>
      <c r="I675" s="299"/>
      <c r="J675" s="299"/>
      <c r="K675" s="299"/>
      <c r="L675" s="299"/>
    </row>
    <row r="676" spans="1:12">
      <c r="A676" s="299"/>
      <c r="B676" s="322"/>
      <c r="G676" s="299"/>
      <c r="H676" s="299"/>
      <c r="I676" s="299"/>
      <c r="J676" s="299"/>
      <c r="K676" s="299"/>
      <c r="L676" s="299"/>
    </row>
    <row r="677" spans="1:12">
      <c r="A677" s="299"/>
      <c r="B677" s="322"/>
      <c r="G677" s="299"/>
      <c r="H677" s="299"/>
      <c r="I677" s="299"/>
      <c r="J677" s="299"/>
      <c r="K677" s="299"/>
      <c r="L677" s="299"/>
    </row>
    <row r="678" spans="1:12">
      <c r="A678" s="299"/>
      <c r="B678" s="322"/>
      <c r="G678" s="299"/>
      <c r="H678" s="299"/>
      <c r="I678" s="299"/>
      <c r="J678" s="299"/>
      <c r="K678" s="299"/>
      <c r="L678" s="299"/>
    </row>
    <row r="679" spans="1:12">
      <c r="A679" s="299"/>
      <c r="B679" s="322"/>
      <c r="G679" s="299"/>
      <c r="H679" s="299"/>
      <c r="I679" s="299"/>
      <c r="J679" s="299"/>
      <c r="K679" s="299"/>
      <c r="L679" s="299"/>
    </row>
    <row r="680" spans="1:12">
      <c r="A680" s="299"/>
      <c r="B680" s="322"/>
      <c r="G680" s="299"/>
      <c r="H680" s="299"/>
      <c r="I680" s="299"/>
      <c r="J680" s="299"/>
      <c r="K680" s="299"/>
      <c r="L680" s="299"/>
    </row>
    <row r="681" spans="1:12">
      <c r="A681" s="299"/>
      <c r="B681" s="322"/>
      <c r="G681" s="299"/>
      <c r="H681" s="299"/>
      <c r="I681" s="299"/>
      <c r="J681" s="299"/>
      <c r="K681" s="299"/>
      <c r="L681" s="299"/>
    </row>
    <row r="682" spans="1:12">
      <c r="A682" s="299"/>
      <c r="B682" s="322"/>
      <c r="G682" s="299"/>
      <c r="H682" s="299"/>
      <c r="I682" s="299"/>
      <c r="J682" s="299"/>
      <c r="K682" s="299"/>
      <c r="L682" s="299"/>
    </row>
    <row r="683" spans="1:12">
      <c r="A683" s="299"/>
      <c r="B683" s="322"/>
      <c r="G683" s="299"/>
      <c r="H683" s="299"/>
      <c r="I683" s="299"/>
      <c r="J683" s="299"/>
      <c r="K683" s="299"/>
      <c r="L683" s="299"/>
    </row>
    <row r="684" spans="1:12">
      <c r="A684" s="299"/>
      <c r="B684" s="322"/>
      <c r="G684" s="299"/>
      <c r="H684" s="299"/>
      <c r="I684" s="299"/>
      <c r="J684" s="299"/>
      <c r="K684" s="299"/>
      <c r="L684" s="299"/>
    </row>
    <row r="685" spans="1:12">
      <c r="A685" s="299"/>
      <c r="B685" s="322"/>
      <c r="G685" s="299"/>
      <c r="H685" s="299"/>
      <c r="I685" s="299"/>
      <c r="J685" s="299"/>
      <c r="K685" s="299"/>
      <c r="L685" s="299"/>
    </row>
    <row r="686" spans="1:12">
      <c r="A686" s="299"/>
      <c r="B686" s="322"/>
      <c r="G686" s="299"/>
      <c r="H686" s="299"/>
      <c r="I686" s="299"/>
      <c r="J686" s="299"/>
      <c r="K686" s="299"/>
      <c r="L686" s="299"/>
    </row>
    <row r="687" spans="1:12">
      <c r="A687" s="299"/>
      <c r="B687" s="322"/>
      <c r="G687" s="299"/>
      <c r="H687" s="299"/>
      <c r="I687" s="299"/>
      <c r="J687" s="299"/>
      <c r="K687" s="299"/>
      <c r="L687" s="299"/>
    </row>
    <row r="688" spans="1:12">
      <c r="A688" s="299"/>
      <c r="B688" s="322"/>
      <c r="G688" s="299"/>
      <c r="H688" s="299"/>
      <c r="I688" s="299"/>
      <c r="J688" s="299"/>
      <c r="K688" s="299"/>
      <c r="L688" s="299"/>
    </row>
    <row r="689" spans="1:12">
      <c r="A689" s="299"/>
      <c r="B689" s="322"/>
      <c r="G689" s="299"/>
      <c r="H689" s="299"/>
      <c r="I689" s="299"/>
      <c r="J689" s="299"/>
      <c r="K689" s="299"/>
      <c r="L689" s="299"/>
    </row>
    <row r="690" spans="1:12">
      <c r="A690" s="299"/>
      <c r="B690" s="322"/>
      <c r="G690" s="299"/>
      <c r="H690" s="299"/>
      <c r="I690" s="299"/>
      <c r="J690" s="299"/>
      <c r="K690" s="299"/>
      <c r="L690" s="299"/>
    </row>
    <row r="691" spans="1:12">
      <c r="A691" s="299"/>
      <c r="B691" s="322"/>
      <c r="G691" s="299"/>
      <c r="H691" s="299"/>
      <c r="I691" s="299"/>
      <c r="J691" s="299"/>
      <c r="K691" s="299"/>
      <c r="L691" s="299"/>
    </row>
    <row r="692" spans="1:12">
      <c r="A692" s="299"/>
      <c r="B692" s="322"/>
      <c r="G692" s="299"/>
      <c r="H692" s="299"/>
      <c r="I692" s="299"/>
      <c r="J692" s="299"/>
      <c r="K692" s="299"/>
      <c r="L692" s="299"/>
    </row>
    <row r="693" spans="1:12">
      <c r="A693" s="299"/>
      <c r="B693" s="322"/>
      <c r="G693" s="299"/>
      <c r="H693" s="299"/>
      <c r="I693" s="299"/>
      <c r="J693" s="299"/>
      <c r="K693" s="299"/>
      <c r="L693" s="299"/>
    </row>
    <row r="694" spans="1:12">
      <c r="A694" s="299"/>
      <c r="B694" s="322"/>
      <c r="G694" s="299"/>
      <c r="H694" s="299"/>
      <c r="I694" s="299"/>
      <c r="J694" s="299"/>
      <c r="K694" s="299"/>
      <c r="L694" s="299"/>
    </row>
    <row r="695" spans="1:12">
      <c r="A695" s="299"/>
      <c r="B695" s="322"/>
      <c r="G695" s="299"/>
      <c r="H695" s="299"/>
      <c r="I695" s="299"/>
      <c r="J695" s="299"/>
      <c r="K695" s="299"/>
      <c r="L695" s="299"/>
    </row>
    <row r="696" spans="1:12">
      <c r="A696" s="299"/>
      <c r="B696" s="322"/>
      <c r="G696" s="299"/>
      <c r="H696" s="299"/>
      <c r="I696" s="299"/>
      <c r="J696" s="299"/>
      <c r="K696" s="299"/>
      <c r="L696" s="299"/>
    </row>
    <row r="697" spans="1:12">
      <c r="A697" s="299"/>
      <c r="B697" s="322"/>
      <c r="G697" s="299"/>
      <c r="H697" s="299"/>
      <c r="I697" s="299"/>
      <c r="J697" s="299"/>
      <c r="K697" s="299"/>
      <c r="L697" s="299"/>
    </row>
    <row r="698" spans="1:12">
      <c r="A698" s="299"/>
      <c r="B698" s="322"/>
      <c r="G698" s="299"/>
      <c r="H698" s="299"/>
      <c r="I698" s="299"/>
      <c r="J698" s="299"/>
      <c r="K698" s="299"/>
      <c r="L698" s="299"/>
    </row>
    <row r="699" spans="1:12">
      <c r="A699" s="299"/>
      <c r="B699" s="322"/>
      <c r="G699" s="299"/>
      <c r="H699" s="299"/>
      <c r="I699" s="299"/>
      <c r="J699" s="299"/>
      <c r="K699" s="299"/>
      <c r="L699" s="299"/>
    </row>
    <row r="700" spans="1:12">
      <c r="A700" s="299"/>
      <c r="B700" s="322"/>
      <c r="G700" s="299"/>
      <c r="H700" s="299"/>
      <c r="I700" s="299"/>
      <c r="J700" s="299"/>
      <c r="K700" s="299"/>
      <c r="L700" s="299"/>
    </row>
    <row r="701" spans="1:12">
      <c r="A701" s="299"/>
      <c r="B701" s="322"/>
      <c r="G701" s="299"/>
      <c r="H701" s="299"/>
      <c r="I701" s="299"/>
      <c r="J701" s="299"/>
      <c r="K701" s="299"/>
      <c r="L701" s="299"/>
    </row>
    <row r="702" spans="1:12">
      <c r="A702" s="299"/>
      <c r="B702" s="322"/>
      <c r="G702" s="299"/>
      <c r="H702" s="299"/>
      <c r="I702" s="299"/>
      <c r="J702" s="299"/>
      <c r="K702" s="299"/>
      <c r="L702" s="299"/>
    </row>
    <row r="703" spans="1:12">
      <c r="A703" s="299"/>
      <c r="B703" s="322"/>
      <c r="G703" s="299"/>
      <c r="H703" s="299"/>
      <c r="I703" s="299"/>
      <c r="J703" s="299"/>
      <c r="K703" s="299"/>
      <c r="L703" s="299"/>
    </row>
    <row r="704" spans="1:12">
      <c r="A704" s="299"/>
      <c r="B704" s="322"/>
      <c r="G704" s="299"/>
      <c r="H704" s="299"/>
      <c r="I704" s="299"/>
      <c r="J704" s="299"/>
      <c r="K704" s="299"/>
      <c r="L704" s="299"/>
    </row>
    <row r="705" spans="1:12">
      <c r="A705" s="299"/>
      <c r="B705" s="322"/>
      <c r="G705" s="299"/>
      <c r="H705" s="299"/>
      <c r="I705" s="299"/>
      <c r="J705" s="299"/>
      <c r="K705" s="299"/>
      <c r="L705" s="299"/>
    </row>
    <row r="706" spans="1:12">
      <c r="A706" s="299"/>
      <c r="B706" s="322"/>
      <c r="G706" s="299"/>
      <c r="H706" s="299"/>
      <c r="I706" s="299"/>
      <c r="J706" s="299"/>
      <c r="K706" s="299"/>
      <c r="L706" s="299"/>
    </row>
    <row r="707" spans="1:12">
      <c r="A707" s="299"/>
      <c r="B707" s="322"/>
      <c r="G707" s="299"/>
      <c r="H707" s="299"/>
      <c r="I707" s="299"/>
      <c r="J707" s="299"/>
      <c r="K707" s="299"/>
      <c r="L707" s="299"/>
    </row>
    <row r="708" spans="1:12">
      <c r="A708" s="299"/>
      <c r="B708" s="322"/>
      <c r="G708" s="299"/>
      <c r="H708" s="299"/>
      <c r="I708" s="299"/>
      <c r="J708" s="299"/>
      <c r="K708" s="299"/>
      <c r="L708" s="299"/>
    </row>
    <row r="709" spans="1:12">
      <c r="A709" s="299"/>
      <c r="B709" s="322"/>
      <c r="G709" s="299"/>
      <c r="H709" s="299"/>
      <c r="I709" s="299"/>
      <c r="J709" s="299"/>
      <c r="K709" s="299"/>
      <c r="L709" s="299"/>
    </row>
    <row r="710" spans="1:12">
      <c r="A710" s="299"/>
      <c r="B710" s="322"/>
      <c r="G710" s="299"/>
      <c r="H710" s="299"/>
      <c r="I710" s="299"/>
      <c r="J710" s="299"/>
      <c r="K710" s="299"/>
      <c r="L710" s="299"/>
    </row>
    <row r="711" spans="1:12">
      <c r="A711" s="299"/>
      <c r="B711" s="322"/>
      <c r="G711" s="299"/>
      <c r="H711" s="299"/>
      <c r="I711" s="299"/>
      <c r="J711" s="299"/>
      <c r="K711" s="299"/>
      <c r="L711" s="299"/>
    </row>
    <row r="712" spans="1:12">
      <c r="A712" s="299"/>
      <c r="B712" s="322"/>
      <c r="G712" s="299"/>
      <c r="H712" s="299"/>
      <c r="I712" s="299"/>
      <c r="J712" s="299"/>
      <c r="K712" s="299"/>
      <c r="L712" s="299"/>
    </row>
    <row r="713" spans="1:12">
      <c r="A713" s="299"/>
      <c r="B713" s="322"/>
      <c r="G713" s="299"/>
      <c r="H713" s="299"/>
      <c r="I713" s="299"/>
      <c r="J713" s="299"/>
      <c r="K713" s="299"/>
      <c r="L713" s="299"/>
    </row>
    <row r="714" spans="1:12">
      <c r="A714" s="299"/>
      <c r="B714" s="322"/>
      <c r="G714" s="299"/>
      <c r="H714" s="299"/>
      <c r="I714" s="299"/>
      <c r="J714" s="299"/>
      <c r="K714" s="299"/>
      <c r="L714" s="299"/>
    </row>
    <row r="715" spans="1:12">
      <c r="A715" s="299"/>
      <c r="B715" s="322"/>
      <c r="G715" s="299"/>
      <c r="H715" s="299"/>
      <c r="I715" s="299"/>
      <c r="J715" s="299"/>
      <c r="K715" s="299"/>
      <c r="L715" s="299"/>
    </row>
    <row r="716" spans="1:12">
      <c r="A716" s="299"/>
      <c r="B716" s="322"/>
      <c r="G716" s="299"/>
      <c r="H716" s="299"/>
      <c r="I716" s="299"/>
      <c r="J716" s="299"/>
      <c r="K716" s="299"/>
      <c r="L716" s="299"/>
    </row>
    <row r="717" spans="1:12">
      <c r="A717" s="299"/>
      <c r="B717" s="322"/>
      <c r="G717" s="299"/>
      <c r="H717" s="299"/>
      <c r="I717" s="299"/>
      <c r="J717" s="299"/>
      <c r="K717" s="299"/>
      <c r="L717" s="299"/>
    </row>
    <row r="718" spans="1:12">
      <c r="A718" s="299"/>
      <c r="B718" s="322"/>
      <c r="G718" s="299"/>
      <c r="H718" s="299"/>
      <c r="I718" s="299"/>
      <c r="J718" s="299"/>
      <c r="K718" s="299"/>
      <c r="L718" s="299"/>
    </row>
    <row r="719" spans="1:12">
      <c r="A719" s="299"/>
      <c r="B719" s="322"/>
      <c r="G719" s="299"/>
      <c r="H719" s="299"/>
      <c r="I719" s="299"/>
      <c r="J719" s="299"/>
      <c r="K719" s="299"/>
      <c r="L719" s="299"/>
    </row>
    <row r="720" spans="1:12">
      <c r="A720" s="299"/>
      <c r="B720" s="322"/>
      <c r="G720" s="299"/>
      <c r="H720" s="299"/>
      <c r="I720" s="299"/>
      <c r="J720" s="299"/>
      <c r="K720" s="299"/>
      <c r="L720" s="299"/>
    </row>
    <row r="721" spans="1:12">
      <c r="A721" s="299"/>
      <c r="B721" s="322"/>
      <c r="G721" s="299"/>
      <c r="H721" s="299"/>
      <c r="I721" s="299"/>
      <c r="J721" s="299"/>
      <c r="K721" s="299"/>
      <c r="L721" s="299"/>
    </row>
    <row r="722" spans="1:12">
      <c r="A722" s="299"/>
      <c r="B722" s="322"/>
      <c r="G722" s="299"/>
      <c r="H722" s="299"/>
      <c r="I722" s="299"/>
      <c r="J722" s="299"/>
      <c r="K722" s="299"/>
      <c r="L722" s="299"/>
    </row>
    <row r="723" spans="1:12">
      <c r="A723" s="299"/>
      <c r="B723" s="322"/>
      <c r="G723" s="299"/>
      <c r="H723" s="299"/>
      <c r="I723" s="299"/>
      <c r="J723" s="299"/>
      <c r="K723" s="299"/>
      <c r="L723" s="299"/>
    </row>
    <row r="724" spans="1:12">
      <c r="A724" s="299"/>
      <c r="B724" s="322"/>
      <c r="G724" s="299"/>
      <c r="H724" s="299"/>
      <c r="I724" s="299"/>
      <c r="J724" s="299"/>
      <c r="K724" s="299"/>
      <c r="L724" s="299"/>
    </row>
    <row r="725" spans="1:12">
      <c r="A725" s="299"/>
      <c r="B725" s="322"/>
      <c r="G725" s="299"/>
      <c r="H725" s="299"/>
      <c r="I725" s="299"/>
      <c r="J725" s="299"/>
      <c r="K725" s="299"/>
      <c r="L725" s="299"/>
    </row>
    <row r="726" spans="1:12">
      <c r="A726" s="299"/>
      <c r="B726" s="322"/>
      <c r="G726" s="299"/>
      <c r="H726" s="299"/>
      <c r="I726" s="299"/>
      <c r="J726" s="299"/>
      <c r="K726" s="299"/>
      <c r="L726" s="299"/>
    </row>
    <row r="727" spans="1:12">
      <c r="A727" s="299"/>
      <c r="B727" s="322"/>
      <c r="G727" s="299"/>
      <c r="H727" s="299"/>
      <c r="I727" s="299"/>
      <c r="J727" s="299"/>
      <c r="K727" s="299"/>
      <c r="L727" s="299"/>
    </row>
    <row r="728" spans="1:12">
      <c r="A728" s="299"/>
      <c r="B728" s="322"/>
      <c r="G728" s="299"/>
      <c r="H728" s="299"/>
      <c r="I728" s="299"/>
      <c r="J728" s="299"/>
      <c r="K728" s="299"/>
      <c r="L728" s="299"/>
    </row>
    <row r="729" spans="1:12">
      <c r="A729" s="299"/>
      <c r="B729" s="322"/>
      <c r="G729" s="299"/>
      <c r="H729" s="299"/>
      <c r="I729" s="299"/>
      <c r="J729" s="299"/>
      <c r="K729" s="299"/>
      <c r="L729" s="299"/>
    </row>
    <row r="730" spans="1:12">
      <c r="A730" s="299"/>
      <c r="B730" s="322"/>
      <c r="G730" s="299"/>
      <c r="H730" s="299"/>
      <c r="I730" s="299"/>
      <c r="J730" s="299"/>
      <c r="K730" s="299"/>
      <c r="L730" s="299"/>
    </row>
    <row r="731" spans="1:12">
      <c r="A731" s="299"/>
      <c r="B731" s="322"/>
      <c r="G731" s="299"/>
      <c r="H731" s="299"/>
      <c r="I731" s="299"/>
      <c r="J731" s="299"/>
      <c r="K731" s="299"/>
      <c r="L731" s="299"/>
    </row>
    <row r="732" spans="1:12">
      <c r="A732" s="299"/>
      <c r="B732" s="322"/>
      <c r="G732" s="299"/>
      <c r="H732" s="299"/>
      <c r="I732" s="299"/>
      <c r="J732" s="299"/>
      <c r="K732" s="299"/>
      <c r="L732" s="299"/>
    </row>
    <row r="733" spans="1:12">
      <c r="A733" s="299"/>
      <c r="B733" s="322"/>
      <c r="G733" s="299"/>
      <c r="H733" s="299"/>
      <c r="I733" s="299"/>
      <c r="J733" s="299"/>
      <c r="K733" s="299"/>
      <c r="L733" s="299"/>
    </row>
    <row r="734" spans="1:12">
      <c r="A734" s="299"/>
      <c r="B734" s="322"/>
      <c r="G734" s="299"/>
      <c r="H734" s="299"/>
      <c r="I734" s="299"/>
      <c r="J734" s="299"/>
      <c r="K734" s="299"/>
      <c r="L734" s="299"/>
    </row>
    <row r="735" spans="1:12">
      <c r="A735" s="299"/>
      <c r="B735" s="322"/>
      <c r="G735" s="299"/>
      <c r="H735" s="299"/>
      <c r="I735" s="299"/>
      <c r="J735" s="299"/>
      <c r="K735" s="299"/>
      <c r="L735" s="299"/>
    </row>
    <row r="736" spans="1:12">
      <c r="A736" s="299"/>
      <c r="B736" s="322"/>
      <c r="G736" s="299"/>
      <c r="H736" s="299"/>
      <c r="I736" s="299"/>
      <c r="J736" s="299"/>
      <c r="K736" s="299"/>
      <c r="L736" s="299"/>
    </row>
    <row r="737" spans="1:12">
      <c r="A737" s="299"/>
      <c r="B737" s="322"/>
      <c r="G737" s="299"/>
      <c r="H737" s="299"/>
      <c r="I737" s="299"/>
      <c r="J737" s="299"/>
      <c r="K737" s="299"/>
      <c r="L737" s="299"/>
    </row>
    <row r="738" spans="1:12">
      <c r="A738" s="299"/>
      <c r="B738" s="322"/>
      <c r="G738" s="299"/>
      <c r="H738" s="299"/>
      <c r="I738" s="299"/>
      <c r="J738" s="299"/>
      <c r="K738" s="299"/>
      <c r="L738" s="299"/>
    </row>
    <row r="739" spans="1:12">
      <c r="A739" s="299"/>
      <c r="B739" s="322"/>
      <c r="G739" s="299"/>
      <c r="H739" s="299"/>
      <c r="I739" s="299"/>
      <c r="J739" s="299"/>
      <c r="K739" s="299"/>
      <c r="L739" s="299"/>
    </row>
    <row r="740" spans="1:12">
      <c r="A740" s="299"/>
      <c r="B740" s="322"/>
      <c r="G740" s="299"/>
      <c r="H740" s="299"/>
      <c r="I740" s="299"/>
      <c r="J740" s="299"/>
      <c r="K740" s="299"/>
      <c r="L740" s="299"/>
    </row>
    <row r="741" spans="1:12">
      <c r="A741" s="299"/>
      <c r="B741" s="322"/>
      <c r="G741" s="299"/>
      <c r="H741" s="299"/>
      <c r="I741" s="299"/>
      <c r="J741" s="299"/>
      <c r="K741" s="299"/>
      <c r="L741" s="299"/>
    </row>
    <row r="742" spans="1:12">
      <c r="A742" s="299"/>
      <c r="B742" s="322"/>
      <c r="G742" s="299"/>
      <c r="H742" s="299"/>
      <c r="I742" s="299"/>
      <c r="J742" s="299"/>
      <c r="K742" s="299"/>
      <c r="L742" s="299"/>
    </row>
    <row r="743" spans="1:12">
      <c r="A743" s="299"/>
      <c r="B743" s="322"/>
      <c r="G743" s="299"/>
      <c r="H743" s="299"/>
      <c r="I743" s="299"/>
      <c r="J743" s="299"/>
      <c r="K743" s="299"/>
      <c r="L743" s="299"/>
    </row>
    <row r="744" spans="1:12">
      <c r="A744" s="299"/>
      <c r="B744" s="322"/>
      <c r="G744" s="299"/>
      <c r="H744" s="299"/>
      <c r="I744" s="299"/>
      <c r="J744" s="299"/>
      <c r="K744" s="299"/>
      <c r="L744" s="299"/>
    </row>
    <row r="745" spans="1:12">
      <c r="A745" s="299"/>
      <c r="B745" s="322"/>
      <c r="G745" s="299"/>
      <c r="H745" s="299"/>
      <c r="I745" s="299"/>
      <c r="J745" s="299"/>
      <c r="K745" s="299"/>
      <c r="L745" s="299"/>
    </row>
    <row r="746" spans="1:12">
      <c r="A746" s="299"/>
      <c r="B746" s="322"/>
      <c r="G746" s="299"/>
      <c r="H746" s="299"/>
      <c r="I746" s="299"/>
      <c r="J746" s="299"/>
      <c r="K746" s="299"/>
      <c r="L746" s="299"/>
    </row>
    <row r="747" spans="1:12">
      <c r="A747" s="299"/>
      <c r="B747" s="322"/>
      <c r="G747" s="299"/>
      <c r="H747" s="299"/>
      <c r="I747" s="299"/>
      <c r="J747" s="299"/>
      <c r="K747" s="299"/>
      <c r="L747" s="299"/>
    </row>
    <row r="748" spans="1:12">
      <c r="A748" s="299"/>
      <c r="B748" s="322"/>
      <c r="G748" s="299"/>
      <c r="H748" s="299"/>
      <c r="I748" s="299"/>
      <c r="J748" s="299"/>
      <c r="K748" s="299"/>
      <c r="L748" s="299"/>
    </row>
    <row r="749" spans="1:12">
      <c r="A749" s="299"/>
      <c r="B749" s="322"/>
      <c r="G749" s="299"/>
      <c r="H749" s="299"/>
      <c r="I749" s="299"/>
      <c r="J749" s="299"/>
      <c r="K749" s="299"/>
      <c r="L749" s="299"/>
    </row>
    <row r="750" spans="1:12">
      <c r="A750" s="299"/>
      <c r="B750" s="322"/>
      <c r="G750" s="299"/>
      <c r="H750" s="299"/>
      <c r="I750" s="299"/>
      <c r="J750" s="299"/>
      <c r="K750" s="299"/>
      <c r="L750" s="299"/>
    </row>
    <row r="751" spans="1:12">
      <c r="A751" s="299"/>
      <c r="B751" s="322"/>
      <c r="G751" s="299"/>
      <c r="H751" s="299"/>
      <c r="I751" s="299"/>
      <c r="J751" s="299"/>
      <c r="K751" s="299"/>
      <c r="L751" s="299"/>
    </row>
    <row r="752" spans="1:12">
      <c r="A752" s="299"/>
      <c r="B752" s="322"/>
      <c r="G752" s="299"/>
      <c r="H752" s="299"/>
      <c r="I752" s="299"/>
      <c r="J752" s="299"/>
      <c r="K752" s="299"/>
      <c r="L752" s="299"/>
    </row>
    <row r="753" spans="1:12">
      <c r="A753" s="299"/>
      <c r="B753" s="322"/>
      <c r="G753" s="299"/>
      <c r="H753" s="299"/>
      <c r="I753" s="299"/>
      <c r="J753" s="299"/>
      <c r="K753" s="299"/>
      <c r="L753" s="299"/>
    </row>
    <row r="754" spans="1:12">
      <c r="A754" s="299"/>
      <c r="B754" s="322"/>
      <c r="G754" s="299"/>
      <c r="H754" s="299"/>
      <c r="I754" s="299"/>
      <c r="J754" s="299"/>
      <c r="K754" s="299"/>
      <c r="L754" s="299"/>
    </row>
    <row r="755" spans="1:12">
      <c r="A755" s="299"/>
      <c r="B755" s="322"/>
      <c r="G755" s="299"/>
      <c r="H755" s="299"/>
      <c r="I755" s="299"/>
      <c r="J755" s="299"/>
      <c r="K755" s="299"/>
      <c r="L755" s="299"/>
    </row>
    <row r="756" spans="1:12">
      <c r="A756" s="299"/>
      <c r="B756" s="322"/>
      <c r="G756" s="299"/>
      <c r="H756" s="299"/>
      <c r="I756" s="299"/>
      <c r="J756" s="299"/>
      <c r="K756" s="299"/>
      <c r="L756" s="299"/>
    </row>
    <row r="757" spans="1:12">
      <c r="A757" s="299"/>
      <c r="B757" s="322"/>
      <c r="G757" s="299"/>
      <c r="H757" s="299"/>
      <c r="I757" s="299"/>
      <c r="J757" s="299"/>
      <c r="K757" s="299"/>
      <c r="L757" s="299"/>
    </row>
    <row r="758" spans="1:12">
      <c r="A758" s="299"/>
      <c r="B758" s="322"/>
      <c r="G758" s="299"/>
      <c r="H758" s="299"/>
      <c r="I758" s="299"/>
      <c r="J758" s="299"/>
      <c r="K758" s="299"/>
      <c r="L758" s="299"/>
    </row>
    <row r="759" spans="1:12">
      <c r="A759" s="299"/>
      <c r="B759" s="322"/>
      <c r="G759" s="299"/>
      <c r="H759" s="299"/>
      <c r="I759" s="299"/>
      <c r="J759" s="299"/>
      <c r="K759" s="299"/>
      <c r="L759" s="299"/>
    </row>
    <row r="760" spans="1:12">
      <c r="A760" s="299"/>
      <c r="B760" s="322"/>
      <c r="G760" s="299"/>
      <c r="H760" s="299"/>
      <c r="I760" s="299"/>
      <c r="J760" s="299"/>
      <c r="K760" s="299"/>
      <c r="L760" s="299"/>
    </row>
    <row r="761" spans="1:12">
      <c r="A761" s="299"/>
      <c r="B761" s="322"/>
      <c r="G761" s="299"/>
      <c r="H761" s="299"/>
      <c r="I761" s="299"/>
      <c r="J761" s="299"/>
      <c r="K761" s="299"/>
      <c r="L761" s="299"/>
    </row>
    <row r="762" spans="1:12">
      <c r="A762" s="299"/>
      <c r="B762" s="322"/>
      <c r="G762" s="299"/>
      <c r="H762" s="299"/>
      <c r="I762" s="299"/>
      <c r="J762" s="299"/>
      <c r="K762" s="299"/>
      <c r="L762" s="299"/>
    </row>
    <row r="763" spans="1:12">
      <c r="A763" s="299"/>
      <c r="B763" s="322"/>
      <c r="G763" s="299"/>
      <c r="H763" s="299"/>
      <c r="I763" s="299"/>
      <c r="J763" s="299"/>
      <c r="K763" s="299"/>
      <c r="L763" s="299"/>
    </row>
    <row r="764" spans="1:12">
      <c r="A764" s="299"/>
      <c r="B764" s="322"/>
      <c r="G764" s="299"/>
      <c r="H764" s="299"/>
      <c r="I764" s="299"/>
      <c r="J764" s="299"/>
      <c r="K764" s="299"/>
      <c r="L764" s="299"/>
    </row>
    <row r="765" spans="1:12">
      <c r="A765" s="299"/>
      <c r="B765" s="322"/>
      <c r="G765" s="299"/>
      <c r="H765" s="299"/>
      <c r="I765" s="299"/>
      <c r="J765" s="299"/>
      <c r="K765" s="299"/>
      <c r="L765" s="299"/>
    </row>
    <row r="766" spans="1:12">
      <c r="A766" s="299"/>
      <c r="B766" s="322"/>
      <c r="G766" s="299"/>
      <c r="H766" s="299"/>
      <c r="I766" s="299"/>
      <c r="J766" s="299"/>
      <c r="K766" s="299"/>
      <c r="L766" s="299"/>
    </row>
    <row r="767" spans="1:12">
      <c r="A767" s="299"/>
      <c r="B767" s="322"/>
      <c r="G767" s="299"/>
      <c r="H767" s="299"/>
      <c r="I767" s="299"/>
      <c r="J767" s="299"/>
      <c r="K767" s="299"/>
      <c r="L767" s="299"/>
    </row>
    <row r="768" spans="1:12">
      <c r="A768" s="299"/>
      <c r="B768" s="322"/>
      <c r="G768" s="299"/>
      <c r="H768" s="299"/>
      <c r="I768" s="299"/>
      <c r="J768" s="299"/>
      <c r="K768" s="299"/>
      <c r="L768" s="299"/>
    </row>
    <row r="769" spans="1:12">
      <c r="A769" s="299"/>
      <c r="B769" s="322"/>
      <c r="G769" s="299"/>
      <c r="H769" s="299"/>
      <c r="I769" s="299"/>
      <c r="J769" s="299"/>
      <c r="K769" s="299"/>
      <c r="L769" s="299"/>
    </row>
    <row r="770" spans="1:12">
      <c r="A770" s="299"/>
      <c r="B770" s="322"/>
      <c r="G770" s="299"/>
      <c r="H770" s="299"/>
      <c r="I770" s="299"/>
      <c r="J770" s="299"/>
      <c r="K770" s="299"/>
      <c r="L770" s="299"/>
    </row>
    <row r="771" spans="1:12">
      <c r="A771" s="299"/>
      <c r="B771" s="322"/>
      <c r="G771" s="299"/>
      <c r="H771" s="299"/>
      <c r="I771" s="299"/>
      <c r="J771" s="299"/>
      <c r="K771" s="299"/>
      <c r="L771" s="299"/>
    </row>
    <row r="772" spans="1:12">
      <c r="A772" s="299"/>
      <c r="B772" s="322"/>
      <c r="G772" s="299"/>
      <c r="H772" s="299"/>
      <c r="I772" s="299"/>
      <c r="J772" s="299"/>
      <c r="K772" s="299"/>
      <c r="L772" s="299"/>
    </row>
    <row r="773" spans="1:12">
      <c r="A773" s="299"/>
      <c r="B773" s="322"/>
      <c r="G773" s="299"/>
      <c r="H773" s="299"/>
      <c r="I773" s="299"/>
      <c r="J773" s="299"/>
      <c r="K773" s="299"/>
      <c r="L773" s="299"/>
    </row>
    <row r="774" spans="1:12">
      <c r="A774" s="299"/>
      <c r="B774" s="322"/>
      <c r="G774" s="299"/>
      <c r="H774" s="299"/>
      <c r="I774" s="299"/>
      <c r="J774" s="299"/>
      <c r="K774" s="299"/>
      <c r="L774" s="299"/>
    </row>
    <row r="775" spans="1:12">
      <c r="A775" s="299"/>
      <c r="B775" s="322"/>
      <c r="G775" s="299"/>
      <c r="H775" s="299"/>
      <c r="I775" s="299"/>
      <c r="J775" s="299"/>
      <c r="K775" s="299"/>
      <c r="L775" s="299"/>
    </row>
    <row r="776" spans="1:12">
      <c r="A776" s="299"/>
      <c r="B776" s="322"/>
      <c r="G776" s="299"/>
      <c r="H776" s="299"/>
      <c r="I776" s="299"/>
      <c r="J776" s="299"/>
      <c r="K776" s="299"/>
      <c r="L776" s="299"/>
    </row>
    <row r="777" spans="1:12">
      <c r="A777" s="299"/>
      <c r="B777" s="322"/>
      <c r="G777" s="299"/>
      <c r="H777" s="299"/>
      <c r="I777" s="299"/>
      <c r="J777" s="299"/>
      <c r="K777" s="299"/>
      <c r="L777" s="299"/>
    </row>
    <row r="778" spans="1:12">
      <c r="A778" s="299"/>
      <c r="B778" s="322"/>
      <c r="G778" s="299"/>
      <c r="H778" s="299"/>
      <c r="I778" s="299"/>
      <c r="J778" s="299"/>
      <c r="K778" s="299"/>
      <c r="L778" s="299"/>
    </row>
    <row r="779" spans="1:12">
      <c r="A779" s="299"/>
      <c r="B779" s="322"/>
      <c r="G779" s="299"/>
      <c r="H779" s="299"/>
      <c r="I779" s="299"/>
      <c r="J779" s="299"/>
      <c r="K779" s="299"/>
      <c r="L779" s="299"/>
    </row>
    <row r="780" spans="1:12">
      <c r="A780" s="299"/>
      <c r="B780" s="322"/>
      <c r="G780" s="299"/>
      <c r="H780" s="299"/>
      <c r="I780" s="299"/>
      <c r="J780" s="299"/>
      <c r="K780" s="299"/>
      <c r="L780" s="299"/>
    </row>
    <row r="781" spans="1:12">
      <c r="A781" s="299"/>
      <c r="B781" s="322"/>
      <c r="G781" s="299"/>
      <c r="H781" s="299"/>
      <c r="I781" s="299"/>
      <c r="J781" s="299"/>
      <c r="K781" s="299"/>
      <c r="L781" s="299"/>
    </row>
    <row r="782" spans="1:12">
      <c r="A782" s="299"/>
      <c r="B782" s="322"/>
      <c r="G782" s="299"/>
      <c r="H782" s="299"/>
      <c r="I782" s="299"/>
      <c r="J782" s="299"/>
      <c r="K782" s="299"/>
      <c r="L782" s="299"/>
    </row>
    <row r="783" spans="1:12">
      <c r="A783" s="299"/>
      <c r="B783" s="322"/>
      <c r="G783" s="299"/>
      <c r="H783" s="299"/>
      <c r="I783" s="299"/>
      <c r="J783" s="299"/>
      <c r="K783" s="299"/>
      <c r="L783" s="299"/>
    </row>
    <row r="784" spans="1:12">
      <c r="A784" s="299"/>
      <c r="B784" s="322"/>
      <c r="G784" s="299"/>
      <c r="H784" s="299"/>
      <c r="I784" s="299"/>
      <c r="J784" s="299"/>
      <c r="K784" s="299"/>
      <c r="L784" s="299"/>
    </row>
    <row r="785" spans="1:12">
      <c r="A785" s="299"/>
      <c r="B785" s="322"/>
      <c r="G785" s="299"/>
      <c r="H785" s="299"/>
      <c r="I785" s="299"/>
      <c r="J785" s="299"/>
      <c r="K785" s="299"/>
      <c r="L785" s="299"/>
    </row>
    <row r="786" spans="1:12">
      <c r="A786" s="299"/>
      <c r="B786" s="322"/>
      <c r="G786" s="299"/>
      <c r="H786" s="299"/>
      <c r="I786" s="299"/>
      <c r="J786" s="299"/>
      <c r="K786" s="299"/>
      <c r="L786" s="299"/>
    </row>
    <row r="787" spans="1:12">
      <c r="A787" s="299"/>
      <c r="B787" s="322"/>
      <c r="G787" s="299"/>
      <c r="H787" s="299"/>
      <c r="I787" s="299"/>
      <c r="J787" s="299"/>
      <c r="K787" s="299"/>
      <c r="L787" s="299"/>
    </row>
    <row r="788" spans="1:12">
      <c r="A788" s="299"/>
      <c r="B788" s="322"/>
      <c r="G788" s="299"/>
      <c r="H788" s="299"/>
      <c r="I788" s="299"/>
      <c r="J788" s="299"/>
      <c r="K788" s="299"/>
      <c r="L788" s="299"/>
    </row>
    <row r="789" spans="1:12">
      <c r="A789" s="299"/>
      <c r="B789" s="322"/>
      <c r="G789" s="299"/>
      <c r="H789" s="299"/>
      <c r="I789" s="299"/>
      <c r="J789" s="299"/>
      <c r="K789" s="299"/>
      <c r="L789" s="299"/>
    </row>
    <row r="790" spans="1:12">
      <c r="A790" s="299"/>
      <c r="B790" s="322"/>
      <c r="G790" s="299"/>
      <c r="H790" s="299"/>
      <c r="I790" s="299"/>
      <c r="J790" s="299"/>
      <c r="K790" s="299"/>
      <c r="L790" s="299"/>
    </row>
    <row r="791" spans="1:12">
      <c r="A791" s="299"/>
      <c r="B791" s="322"/>
      <c r="G791" s="299"/>
      <c r="H791" s="299"/>
      <c r="I791" s="299"/>
      <c r="J791" s="299"/>
      <c r="K791" s="299"/>
      <c r="L791" s="299"/>
    </row>
    <row r="792" spans="1:12">
      <c r="A792" s="299"/>
      <c r="B792" s="322"/>
      <c r="G792" s="299"/>
      <c r="H792" s="299"/>
      <c r="I792" s="299"/>
      <c r="J792" s="299"/>
      <c r="K792" s="299"/>
      <c r="L792" s="299"/>
    </row>
    <row r="793" spans="1:12">
      <c r="A793" s="299"/>
      <c r="B793" s="322"/>
      <c r="G793" s="299"/>
      <c r="H793" s="299"/>
      <c r="I793" s="299"/>
      <c r="J793" s="299"/>
      <c r="K793" s="299"/>
      <c r="L793" s="299"/>
    </row>
    <row r="794" spans="1:12">
      <c r="A794" s="299"/>
      <c r="B794" s="322"/>
      <c r="G794" s="299"/>
      <c r="H794" s="299"/>
      <c r="I794" s="299"/>
      <c r="J794" s="299"/>
      <c r="K794" s="299"/>
      <c r="L794" s="299"/>
    </row>
    <row r="795" spans="1:12">
      <c r="A795" s="299"/>
      <c r="B795" s="322"/>
      <c r="G795" s="299"/>
      <c r="H795" s="299"/>
      <c r="I795" s="299"/>
      <c r="J795" s="299"/>
      <c r="K795" s="299"/>
      <c r="L795" s="299"/>
    </row>
    <row r="796" spans="1:12">
      <c r="A796" s="299"/>
      <c r="B796" s="322"/>
      <c r="G796" s="299"/>
      <c r="H796" s="299"/>
      <c r="I796" s="299"/>
      <c r="J796" s="299"/>
      <c r="K796" s="299"/>
      <c r="L796" s="299"/>
    </row>
    <row r="797" spans="1:12">
      <c r="A797" s="299"/>
      <c r="B797" s="322"/>
      <c r="G797" s="299"/>
      <c r="H797" s="299"/>
      <c r="I797" s="299"/>
      <c r="J797" s="299"/>
      <c r="K797" s="299"/>
      <c r="L797" s="299"/>
    </row>
    <row r="798" spans="1:12">
      <c r="A798" s="299"/>
      <c r="B798" s="322"/>
      <c r="G798" s="299"/>
      <c r="H798" s="299"/>
      <c r="I798" s="299"/>
      <c r="J798" s="299"/>
      <c r="K798" s="299"/>
      <c r="L798" s="299"/>
    </row>
    <row r="799" spans="1:12">
      <c r="A799" s="299"/>
      <c r="B799" s="322"/>
      <c r="G799" s="299"/>
      <c r="H799" s="299"/>
      <c r="I799" s="299"/>
      <c r="J799" s="299"/>
      <c r="K799" s="299"/>
      <c r="L799" s="299"/>
    </row>
    <row r="800" spans="1:12">
      <c r="A800" s="299"/>
      <c r="B800" s="322"/>
      <c r="G800" s="299"/>
      <c r="H800" s="299"/>
      <c r="I800" s="299"/>
      <c r="J800" s="299"/>
      <c r="K800" s="299"/>
      <c r="L800" s="299"/>
    </row>
    <row r="801" spans="1:12">
      <c r="A801" s="299"/>
      <c r="B801" s="322"/>
      <c r="G801" s="299"/>
      <c r="H801" s="299"/>
      <c r="I801" s="299"/>
      <c r="J801" s="299"/>
      <c r="K801" s="299"/>
      <c r="L801" s="299"/>
    </row>
    <row r="802" spans="1:12">
      <c r="A802" s="299"/>
      <c r="B802" s="322"/>
      <c r="G802" s="299"/>
      <c r="H802" s="299"/>
      <c r="I802" s="299"/>
      <c r="J802" s="299"/>
      <c r="K802" s="299"/>
      <c r="L802" s="299"/>
    </row>
    <row r="803" spans="1:12">
      <c r="A803" s="299"/>
      <c r="B803" s="322"/>
      <c r="G803" s="299"/>
      <c r="H803" s="299"/>
      <c r="I803" s="299"/>
      <c r="J803" s="299"/>
      <c r="K803" s="299"/>
      <c r="L803" s="299"/>
    </row>
    <row r="804" spans="1:12">
      <c r="A804" s="299"/>
      <c r="B804" s="322"/>
      <c r="G804" s="299"/>
      <c r="H804" s="299"/>
      <c r="I804" s="299"/>
      <c r="J804" s="299"/>
      <c r="K804" s="299"/>
      <c r="L804" s="299"/>
    </row>
    <row r="805" spans="1:12">
      <c r="A805" s="299"/>
      <c r="B805" s="322"/>
      <c r="G805" s="299"/>
      <c r="H805" s="299"/>
      <c r="I805" s="299"/>
      <c r="J805" s="299"/>
      <c r="K805" s="299"/>
      <c r="L805" s="299"/>
    </row>
    <row r="806" spans="1:12">
      <c r="A806" s="299"/>
      <c r="B806" s="322"/>
      <c r="G806" s="299"/>
      <c r="H806" s="299"/>
      <c r="I806" s="299"/>
      <c r="J806" s="299"/>
      <c r="K806" s="299"/>
      <c r="L806" s="299"/>
    </row>
    <row r="807" spans="1:12">
      <c r="A807" s="299"/>
      <c r="B807" s="322"/>
      <c r="G807" s="299"/>
      <c r="H807" s="299"/>
      <c r="I807" s="299"/>
      <c r="J807" s="299"/>
      <c r="K807" s="299"/>
      <c r="L807" s="299"/>
    </row>
    <row r="808" spans="1:12">
      <c r="A808" s="299"/>
      <c r="B808" s="322"/>
      <c r="G808" s="299"/>
      <c r="H808" s="299"/>
      <c r="I808" s="299"/>
      <c r="J808" s="299"/>
      <c r="K808" s="299"/>
      <c r="L808" s="299"/>
    </row>
    <row r="809" spans="1:12">
      <c r="A809" s="299"/>
      <c r="B809" s="322"/>
      <c r="G809" s="299"/>
      <c r="H809" s="299"/>
      <c r="I809" s="299"/>
      <c r="J809" s="299"/>
      <c r="K809" s="299"/>
      <c r="L809" s="299"/>
    </row>
    <row r="810" spans="1:12">
      <c r="A810" s="299"/>
      <c r="B810" s="322"/>
      <c r="G810" s="299"/>
      <c r="H810" s="299"/>
      <c r="I810" s="299"/>
      <c r="J810" s="299"/>
      <c r="K810" s="299"/>
      <c r="L810" s="299"/>
    </row>
    <row r="811" spans="1:12">
      <c r="A811" s="299"/>
      <c r="B811" s="322"/>
      <c r="G811" s="299"/>
      <c r="H811" s="299"/>
      <c r="I811" s="299"/>
      <c r="J811" s="299"/>
      <c r="K811" s="299"/>
      <c r="L811" s="299"/>
    </row>
    <row r="812" spans="1:12">
      <c r="A812" s="299"/>
      <c r="B812" s="322"/>
      <c r="G812" s="299"/>
      <c r="H812" s="299"/>
      <c r="I812" s="299"/>
      <c r="J812" s="299"/>
      <c r="K812" s="299"/>
      <c r="L812" s="299"/>
    </row>
    <row r="813" spans="1:12">
      <c r="A813" s="299"/>
      <c r="B813" s="322"/>
      <c r="G813" s="299"/>
      <c r="H813" s="299"/>
      <c r="I813" s="299"/>
      <c r="J813" s="299"/>
      <c r="K813" s="299"/>
      <c r="L813" s="299"/>
    </row>
    <row r="814" spans="1:12">
      <c r="A814" s="299"/>
      <c r="B814" s="322"/>
      <c r="G814" s="299"/>
      <c r="H814" s="299"/>
      <c r="I814" s="299"/>
      <c r="J814" s="299"/>
      <c r="K814" s="299"/>
      <c r="L814" s="299"/>
    </row>
    <row r="815" spans="1:12">
      <c r="A815" s="299"/>
      <c r="B815" s="322"/>
      <c r="G815" s="299"/>
      <c r="H815" s="299"/>
      <c r="I815" s="299"/>
      <c r="J815" s="299"/>
      <c r="K815" s="299"/>
      <c r="L815" s="299"/>
    </row>
    <row r="816" spans="1:12">
      <c r="A816" s="299"/>
      <c r="B816" s="322"/>
      <c r="G816" s="299"/>
      <c r="H816" s="299"/>
      <c r="I816" s="299"/>
      <c r="J816" s="299"/>
      <c r="K816" s="299"/>
      <c r="L816" s="299"/>
    </row>
    <row r="817" spans="1:12">
      <c r="A817" s="299"/>
      <c r="B817" s="322"/>
      <c r="G817" s="299"/>
      <c r="H817" s="299"/>
      <c r="I817" s="299"/>
      <c r="J817" s="299"/>
      <c r="K817" s="299"/>
      <c r="L817" s="299"/>
    </row>
    <row r="818" spans="1:12">
      <c r="A818" s="299"/>
      <c r="B818" s="322"/>
      <c r="G818" s="299"/>
      <c r="H818" s="299"/>
      <c r="I818" s="299"/>
      <c r="J818" s="299"/>
      <c r="K818" s="299"/>
      <c r="L818" s="299"/>
    </row>
    <row r="819" spans="1:12">
      <c r="A819" s="299"/>
      <c r="B819" s="322"/>
      <c r="G819" s="299"/>
      <c r="H819" s="299"/>
      <c r="I819" s="299"/>
      <c r="J819" s="299"/>
      <c r="K819" s="299"/>
      <c r="L819" s="299"/>
    </row>
    <row r="820" spans="1:12">
      <c r="A820" s="299"/>
      <c r="B820" s="322"/>
      <c r="G820" s="299"/>
      <c r="H820" s="299"/>
      <c r="I820" s="299"/>
      <c r="J820" s="299"/>
      <c r="K820" s="299"/>
      <c r="L820" s="299"/>
    </row>
    <row r="821" spans="1:12">
      <c r="A821" s="299"/>
      <c r="B821" s="322"/>
      <c r="G821" s="299"/>
      <c r="H821" s="299"/>
      <c r="I821" s="299"/>
      <c r="J821" s="299"/>
      <c r="K821" s="299"/>
      <c r="L821" s="299"/>
    </row>
    <row r="822" spans="1:12">
      <c r="A822" s="299"/>
      <c r="B822" s="322"/>
      <c r="G822" s="299"/>
      <c r="H822" s="299"/>
      <c r="I822" s="299"/>
      <c r="J822" s="299"/>
      <c r="K822" s="299"/>
      <c r="L822" s="299"/>
    </row>
    <row r="823" spans="1:12">
      <c r="A823" s="299"/>
      <c r="B823" s="322"/>
      <c r="G823" s="299"/>
      <c r="H823" s="299"/>
      <c r="I823" s="299"/>
      <c r="J823" s="299"/>
      <c r="K823" s="299"/>
      <c r="L823" s="299"/>
    </row>
    <row r="824" spans="1:12">
      <c r="A824" s="299"/>
      <c r="B824" s="322"/>
      <c r="G824" s="299"/>
      <c r="H824" s="299"/>
      <c r="I824" s="299"/>
      <c r="J824" s="299"/>
      <c r="K824" s="299"/>
      <c r="L824" s="299"/>
    </row>
    <row r="825" spans="1:12">
      <c r="A825" s="299"/>
      <c r="B825" s="322"/>
      <c r="G825" s="299"/>
      <c r="H825" s="299"/>
      <c r="I825" s="299"/>
      <c r="J825" s="299"/>
      <c r="K825" s="299"/>
      <c r="L825" s="299"/>
    </row>
    <row r="826" spans="1:12">
      <c r="A826" s="299"/>
      <c r="B826" s="322"/>
      <c r="G826" s="299"/>
      <c r="H826" s="299"/>
      <c r="I826" s="299"/>
      <c r="J826" s="299"/>
      <c r="K826" s="299"/>
      <c r="L826" s="299"/>
    </row>
    <row r="827" spans="1:12">
      <c r="A827" s="299"/>
      <c r="B827" s="322"/>
      <c r="G827" s="299"/>
      <c r="H827" s="299"/>
      <c r="I827" s="299"/>
      <c r="J827" s="299"/>
      <c r="K827" s="299"/>
      <c r="L827" s="299"/>
    </row>
    <row r="828" spans="1:12">
      <c r="A828" s="299"/>
      <c r="B828" s="322"/>
      <c r="G828" s="299"/>
      <c r="H828" s="299"/>
      <c r="I828" s="299"/>
      <c r="J828" s="299"/>
      <c r="K828" s="299"/>
      <c r="L828" s="299"/>
    </row>
    <row r="829" spans="1:12">
      <c r="A829" s="299"/>
      <c r="B829" s="322"/>
      <c r="G829" s="299"/>
      <c r="H829" s="299"/>
      <c r="I829" s="299"/>
      <c r="J829" s="299"/>
      <c r="K829" s="299"/>
      <c r="L829" s="299"/>
    </row>
    <row r="830" spans="1:12">
      <c r="A830" s="299"/>
      <c r="B830" s="322"/>
      <c r="G830" s="299"/>
      <c r="H830" s="299"/>
      <c r="I830" s="299"/>
      <c r="J830" s="299"/>
      <c r="K830" s="299"/>
      <c r="L830" s="299"/>
    </row>
    <row r="831" spans="1:12">
      <c r="A831" s="299"/>
      <c r="B831" s="322"/>
      <c r="G831" s="299"/>
      <c r="H831" s="299"/>
      <c r="I831" s="299"/>
      <c r="J831" s="299"/>
      <c r="K831" s="299"/>
      <c r="L831" s="299"/>
    </row>
    <row r="832" spans="1:12">
      <c r="A832" s="299"/>
      <c r="B832" s="322"/>
      <c r="G832" s="299"/>
      <c r="H832" s="299"/>
      <c r="I832" s="299"/>
      <c r="J832" s="299"/>
      <c r="K832" s="299"/>
      <c r="L832" s="299"/>
    </row>
    <row r="833" spans="1:12">
      <c r="A833" s="299"/>
      <c r="B833" s="322"/>
      <c r="G833" s="299"/>
      <c r="H833" s="299"/>
      <c r="I833" s="299"/>
      <c r="J833" s="299"/>
      <c r="K833" s="299"/>
      <c r="L833" s="299"/>
    </row>
    <row r="834" spans="1:12">
      <c r="A834" s="299"/>
      <c r="B834" s="322"/>
      <c r="G834" s="299"/>
      <c r="H834" s="299"/>
      <c r="I834" s="299"/>
      <c r="J834" s="299"/>
      <c r="K834" s="299"/>
      <c r="L834" s="299"/>
    </row>
    <row r="835" spans="1:12">
      <c r="A835" s="299"/>
      <c r="B835" s="322"/>
      <c r="G835" s="299"/>
      <c r="H835" s="299"/>
      <c r="I835" s="299"/>
      <c r="J835" s="299"/>
      <c r="K835" s="299"/>
      <c r="L835" s="299"/>
    </row>
    <row r="836" spans="1:12">
      <c r="A836" s="299"/>
      <c r="B836" s="322"/>
      <c r="G836" s="299"/>
      <c r="H836" s="299"/>
      <c r="I836" s="299"/>
      <c r="J836" s="299"/>
      <c r="K836" s="299"/>
      <c r="L836" s="299"/>
    </row>
    <row r="837" spans="1:12">
      <c r="A837" s="299"/>
      <c r="B837" s="322"/>
      <c r="G837" s="299"/>
      <c r="H837" s="299"/>
      <c r="I837" s="299"/>
      <c r="J837" s="299"/>
      <c r="K837" s="299"/>
      <c r="L837" s="299"/>
    </row>
    <row r="838" spans="1:12">
      <c r="A838" s="299"/>
      <c r="B838" s="322"/>
      <c r="G838" s="299"/>
      <c r="H838" s="299"/>
      <c r="I838" s="299"/>
      <c r="J838" s="299"/>
      <c r="K838" s="299"/>
      <c r="L838" s="299"/>
    </row>
    <row r="839" spans="1:12">
      <c r="A839" s="299"/>
      <c r="B839" s="322"/>
      <c r="G839" s="299"/>
      <c r="H839" s="299"/>
      <c r="I839" s="299"/>
      <c r="J839" s="299"/>
      <c r="K839" s="299"/>
      <c r="L839" s="299"/>
    </row>
    <row r="840" spans="1:12">
      <c r="A840" s="299"/>
      <c r="B840" s="322"/>
      <c r="G840" s="299"/>
      <c r="H840" s="299"/>
      <c r="I840" s="299"/>
      <c r="J840" s="299"/>
      <c r="K840" s="299"/>
      <c r="L840" s="299"/>
    </row>
    <row r="841" spans="1:12">
      <c r="A841" s="299"/>
      <c r="B841" s="322"/>
      <c r="G841" s="299"/>
      <c r="H841" s="299"/>
      <c r="I841" s="299"/>
      <c r="J841" s="299"/>
      <c r="K841" s="299"/>
      <c r="L841" s="299"/>
    </row>
    <row r="842" spans="1:12">
      <c r="A842" s="299"/>
      <c r="B842" s="322"/>
      <c r="G842" s="299"/>
      <c r="H842" s="299"/>
      <c r="I842" s="299"/>
      <c r="J842" s="299"/>
      <c r="K842" s="299"/>
      <c r="L842" s="299"/>
    </row>
    <row r="843" spans="1:12">
      <c r="A843" s="299"/>
      <c r="B843" s="322"/>
      <c r="G843" s="299"/>
      <c r="H843" s="299"/>
      <c r="I843" s="299"/>
      <c r="J843" s="299"/>
      <c r="K843" s="299"/>
      <c r="L843" s="299"/>
    </row>
    <row r="844" spans="1:12">
      <c r="A844" s="299"/>
      <c r="B844" s="322"/>
      <c r="G844" s="299"/>
      <c r="H844" s="299"/>
      <c r="I844" s="299"/>
      <c r="J844" s="299"/>
      <c r="K844" s="299"/>
      <c r="L844" s="299"/>
    </row>
    <row r="845" spans="1:12">
      <c r="A845" s="299"/>
      <c r="B845" s="322"/>
      <c r="G845" s="299"/>
      <c r="H845" s="299"/>
      <c r="I845" s="299"/>
      <c r="J845" s="299"/>
      <c r="K845" s="299"/>
      <c r="L845" s="299"/>
    </row>
    <row r="846" spans="1:12">
      <c r="A846" s="299"/>
      <c r="B846" s="322"/>
      <c r="G846" s="299"/>
      <c r="H846" s="299"/>
      <c r="I846" s="299"/>
      <c r="J846" s="299"/>
      <c r="K846" s="299"/>
      <c r="L846" s="299"/>
    </row>
    <row r="847" spans="1:12">
      <c r="A847" s="299"/>
      <c r="B847" s="322"/>
      <c r="G847" s="299"/>
      <c r="H847" s="299"/>
      <c r="I847" s="299"/>
      <c r="J847" s="299"/>
      <c r="K847" s="299"/>
      <c r="L847" s="299"/>
    </row>
    <row r="848" spans="1:12">
      <c r="A848" s="299"/>
      <c r="B848" s="322"/>
      <c r="G848" s="299"/>
      <c r="H848" s="299"/>
      <c r="I848" s="299"/>
      <c r="J848" s="299"/>
      <c r="K848" s="299"/>
      <c r="L848" s="299"/>
    </row>
    <row r="849" spans="1:12">
      <c r="A849" s="299"/>
      <c r="B849" s="322"/>
      <c r="G849" s="299"/>
      <c r="H849" s="299"/>
      <c r="I849" s="299"/>
      <c r="J849" s="299"/>
      <c r="K849" s="299"/>
      <c r="L849" s="299"/>
    </row>
    <row r="850" spans="1:12">
      <c r="A850" s="299"/>
      <c r="B850" s="322"/>
      <c r="G850" s="299"/>
      <c r="H850" s="299"/>
      <c r="I850" s="299"/>
      <c r="J850" s="299"/>
      <c r="K850" s="299"/>
      <c r="L850" s="299"/>
    </row>
    <row r="851" spans="1:12">
      <c r="A851" s="299"/>
      <c r="B851" s="322"/>
      <c r="G851" s="299"/>
      <c r="H851" s="299"/>
      <c r="I851" s="299"/>
      <c r="J851" s="299"/>
      <c r="K851" s="299"/>
      <c r="L851" s="299"/>
    </row>
    <row r="852" spans="1:12">
      <c r="A852" s="299"/>
      <c r="B852" s="322"/>
      <c r="G852" s="299"/>
      <c r="H852" s="299"/>
      <c r="I852" s="299"/>
      <c r="J852" s="299"/>
      <c r="K852" s="299"/>
      <c r="L852" s="299"/>
    </row>
    <row r="853" spans="1:12">
      <c r="A853" s="299"/>
      <c r="B853" s="322"/>
      <c r="G853" s="299"/>
      <c r="H853" s="299"/>
      <c r="I853" s="299"/>
      <c r="J853" s="299"/>
      <c r="K853" s="299"/>
      <c r="L853" s="299"/>
    </row>
    <row r="854" spans="1:12">
      <c r="A854" s="299"/>
      <c r="B854" s="322"/>
      <c r="G854" s="299"/>
      <c r="H854" s="299"/>
      <c r="I854" s="299"/>
      <c r="J854" s="299"/>
      <c r="K854" s="299"/>
      <c r="L854" s="299"/>
    </row>
    <row r="855" spans="1:12">
      <c r="A855" s="299"/>
      <c r="B855" s="322"/>
      <c r="G855" s="299"/>
      <c r="H855" s="299"/>
      <c r="I855" s="299"/>
      <c r="J855" s="299"/>
      <c r="K855" s="299"/>
      <c r="L855" s="299"/>
    </row>
    <row r="856" spans="1:12">
      <c r="A856" s="299"/>
      <c r="B856" s="322"/>
      <c r="G856" s="299"/>
      <c r="H856" s="299"/>
      <c r="I856" s="299"/>
      <c r="J856" s="299"/>
      <c r="K856" s="299"/>
      <c r="L856" s="299"/>
    </row>
    <row r="857" spans="1:12">
      <c r="A857" s="299"/>
      <c r="B857" s="322"/>
      <c r="G857" s="299"/>
      <c r="H857" s="299"/>
      <c r="I857" s="299"/>
      <c r="J857" s="299"/>
      <c r="K857" s="299"/>
      <c r="L857" s="299"/>
    </row>
    <row r="858" spans="1:12">
      <c r="A858" s="299"/>
      <c r="B858" s="322"/>
      <c r="G858" s="299"/>
      <c r="H858" s="299"/>
      <c r="I858" s="299"/>
      <c r="J858" s="299"/>
      <c r="K858" s="299"/>
      <c r="L858" s="299"/>
    </row>
    <row r="859" spans="1:12">
      <c r="A859" s="299"/>
      <c r="B859" s="322"/>
      <c r="G859" s="299"/>
      <c r="H859" s="299"/>
      <c r="I859" s="299"/>
      <c r="J859" s="299"/>
      <c r="K859" s="299"/>
      <c r="L859" s="299"/>
    </row>
    <row r="860" spans="1:12">
      <c r="A860" s="299"/>
      <c r="B860" s="322"/>
      <c r="G860" s="299"/>
      <c r="H860" s="299"/>
      <c r="I860" s="299"/>
      <c r="J860" s="299"/>
      <c r="K860" s="299"/>
      <c r="L860" s="299"/>
    </row>
    <row r="861" spans="1:12">
      <c r="A861" s="299"/>
      <c r="B861" s="322"/>
      <c r="G861" s="299"/>
      <c r="H861" s="299"/>
      <c r="I861" s="299"/>
      <c r="J861" s="299"/>
      <c r="K861" s="299"/>
      <c r="L861" s="299"/>
    </row>
    <row r="862" spans="1:12">
      <c r="A862" s="299"/>
      <c r="B862" s="322"/>
      <c r="G862" s="299"/>
      <c r="H862" s="299"/>
      <c r="I862" s="299"/>
      <c r="J862" s="299"/>
      <c r="K862" s="299"/>
      <c r="L862" s="299"/>
    </row>
    <row r="863" spans="1:12">
      <c r="A863" s="299"/>
      <c r="B863" s="322"/>
      <c r="G863" s="299"/>
      <c r="H863" s="299"/>
      <c r="I863" s="299"/>
      <c r="J863" s="299"/>
      <c r="K863" s="299"/>
      <c r="L863" s="299"/>
    </row>
    <row r="864" spans="1:12">
      <c r="A864" s="299"/>
      <c r="B864" s="322"/>
      <c r="G864" s="299"/>
      <c r="H864" s="299"/>
      <c r="I864" s="299"/>
      <c r="J864" s="299"/>
      <c r="K864" s="299"/>
      <c r="L864" s="299"/>
    </row>
    <row r="865" spans="1:12">
      <c r="A865" s="299"/>
      <c r="B865" s="322"/>
      <c r="G865" s="299"/>
      <c r="H865" s="299"/>
      <c r="I865" s="299"/>
      <c r="J865" s="299"/>
      <c r="K865" s="299"/>
      <c r="L865" s="299"/>
    </row>
    <row r="866" spans="1:12">
      <c r="A866" s="299"/>
      <c r="B866" s="322"/>
      <c r="G866" s="299"/>
      <c r="H866" s="299"/>
      <c r="I866" s="299"/>
      <c r="J866" s="299"/>
      <c r="K866" s="299"/>
      <c r="L866" s="299"/>
    </row>
    <row r="867" spans="1:12">
      <c r="A867" s="299"/>
      <c r="B867" s="322"/>
      <c r="G867" s="299"/>
      <c r="H867" s="299"/>
      <c r="I867" s="299"/>
      <c r="J867" s="299"/>
      <c r="K867" s="299"/>
      <c r="L867" s="299"/>
    </row>
    <row r="868" spans="1:12">
      <c r="A868" s="299"/>
      <c r="B868" s="322"/>
      <c r="G868" s="299"/>
      <c r="H868" s="299"/>
      <c r="I868" s="299"/>
      <c r="J868" s="299"/>
      <c r="K868" s="299"/>
      <c r="L868" s="299"/>
    </row>
    <row r="869" spans="1:12">
      <c r="A869" s="299"/>
      <c r="B869" s="322"/>
      <c r="G869" s="299"/>
      <c r="H869" s="299"/>
      <c r="I869" s="299"/>
      <c r="J869" s="299"/>
      <c r="K869" s="299"/>
      <c r="L869" s="299"/>
    </row>
    <row r="870" spans="1:12">
      <c r="A870" s="299"/>
      <c r="B870" s="322"/>
      <c r="G870" s="299"/>
      <c r="H870" s="299"/>
      <c r="I870" s="299"/>
      <c r="J870" s="299"/>
      <c r="K870" s="299"/>
      <c r="L870" s="299"/>
    </row>
    <row r="871" spans="1:12">
      <c r="A871" s="299"/>
      <c r="B871" s="322"/>
      <c r="G871" s="299"/>
      <c r="H871" s="299"/>
      <c r="I871" s="299"/>
      <c r="J871" s="299"/>
      <c r="K871" s="299"/>
      <c r="L871" s="299"/>
    </row>
    <row r="872" spans="1:12">
      <c r="A872" s="299"/>
      <c r="B872" s="322"/>
      <c r="G872" s="299"/>
      <c r="H872" s="299"/>
      <c r="I872" s="299"/>
      <c r="J872" s="299"/>
      <c r="K872" s="299"/>
      <c r="L872" s="299"/>
    </row>
    <row r="873" spans="1:12">
      <c r="A873" s="299"/>
      <c r="B873" s="322"/>
      <c r="G873" s="299"/>
      <c r="H873" s="299"/>
      <c r="I873" s="299"/>
      <c r="J873" s="299"/>
      <c r="K873" s="299"/>
      <c r="L873" s="299"/>
    </row>
    <row r="874" spans="1:12">
      <c r="A874" s="299"/>
      <c r="B874" s="322"/>
      <c r="G874" s="299"/>
      <c r="H874" s="299"/>
      <c r="I874" s="299"/>
      <c r="J874" s="299"/>
      <c r="K874" s="299"/>
      <c r="L874" s="299"/>
    </row>
    <row r="875" spans="1:12">
      <c r="A875" s="299"/>
      <c r="B875" s="322"/>
      <c r="G875" s="299"/>
      <c r="H875" s="299"/>
      <c r="I875" s="299"/>
      <c r="J875" s="299"/>
      <c r="K875" s="299"/>
      <c r="L875" s="299"/>
    </row>
    <row r="876" spans="1:12">
      <c r="A876" s="299"/>
      <c r="B876" s="322"/>
      <c r="G876" s="299"/>
      <c r="H876" s="299"/>
      <c r="I876" s="299"/>
      <c r="J876" s="299"/>
      <c r="K876" s="299"/>
      <c r="L876" s="299"/>
    </row>
    <row r="877" spans="1:12">
      <c r="A877" s="299"/>
      <c r="B877" s="322"/>
      <c r="G877" s="299"/>
      <c r="H877" s="299"/>
      <c r="I877" s="299"/>
      <c r="J877" s="299"/>
      <c r="K877" s="299"/>
      <c r="L877" s="299"/>
    </row>
    <row r="878" spans="1:12">
      <c r="A878" s="299"/>
      <c r="B878" s="322"/>
      <c r="G878" s="299"/>
      <c r="H878" s="299"/>
      <c r="I878" s="299"/>
      <c r="J878" s="299"/>
      <c r="K878" s="299"/>
      <c r="L878" s="299"/>
    </row>
    <row r="879" spans="1:12">
      <c r="A879" s="299"/>
      <c r="B879" s="322"/>
      <c r="G879" s="299"/>
      <c r="H879" s="299"/>
      <c r="I879" s="299"/>
      <c r="J879" s="299"/>
      <c r="K879" s="299"/>
      <c r="L879" s="299"/>
    </row>
    <row r="880" spans="1:12">
      <c r="A880" s="299"/>
      <c r="B880" s="322"/>
      <c r="G880" s="299"/>
      <c r="H880" s="299"/>
      <c r="I880" s="299"/>
      <c r="J880" s="299"/>
      <c r="K880" s="299"/>
      <c r="L880" s="299"/>
    </row>
    <row r="881" spans="1:12">
      <c r="A881" s="299"/>
      <c r="B881" s="322"/>
      <c r="G881" s="299"/>
      <c r="H881" s="299"/>
      <c r="I881" s="299"/>
      <c r="J881" s="299"/>
      <c r="K881" s="299"/>
      <c r="L881" s="299"/>
    </row>
    <row r="882" spans="1:12">
      <c r="A882" s="299"/>
      <c r="B882" s="322"/>
      <c r="G882" s="299"/>
      <c r="H882" s="299"/>
      <c r="I882" s="299"/>
      <c r="J882" s="299"/>
      <c r="K882" s="299"/>
      <c r="L882" s="299"/>
    </row>
    <row r="883" spans="1:12">
      <c r="A883" s="299"/>
      <c r="B883" s="322"/>
      <c r="G883" s="299"/>
      <c r="H883" s="299"/>
      <c r="I883" s="299"/>
      <c r="J883" s="299"/>
      <c r="K883" s="299"/>
      <c r="L883" s="299"/>
    </row>
    <row r="884" spans="1:12">
      <c r="A884" s="299"/>
      <c r="B884" s="322"/>
      <c r="G884" s="299"/>
      <c r="H884" s="299"/>
      <c r="I884" s="299"/>
      <c r="J884" s="299"/>
      <c r="K884" s="299"/>
      <c r="L884" s="299"/>
    </row>
    <row r="885" spans="1:12">
      <c r="A885" s="299"/>
      <c r="B885" s="322"/>
      <c r="G885" s="299"/>
      <c r="H885" s="299"/>
      <c r="I885" s="299"/>
      <c r="J885" s="299"/>
      <c r="K885" s="299"/>
      <c r="L885" s="299"/>
    </row>
    <row r="886" spans="1:12">
      <c r="A886" s="299"/>
      <c r="B886" s="322"/>
      <c r="G886" s="299"/>
      <c r="H886" s="299"/>
      <c r="I886" s="299"/>
      <c r="J886" s="299"/>
      <c r="K886" s="299"/>
      <c r="L886" s="299"/>
    </row>
    <row r="887" spans="1:12">
      <c r="A887" s="299"/>
      <c r="B887" s="322"/>
      <c r="G887" s="299"/>
      <c r="H887" s="299"/>
      <c r="I887" s="299"/>
      <c r="J887" s="299"/>
      <c r="K887" s="299"/>
      <c r="L887" s="299"/>
    </row>
    <row r="888" spans="1:12">
      <c r="A888" s="299"/>
      <c r="B888" s="322"/>
      <c r="G888" s="299"/>
      <c r="H888" s="299"/>
      <c r="I888" s="299"/>
      <c r="J888" s="299"/>
      <c r="K888" s="299"/>
      <c r="L888" s="299"/>
    </row>
    <row r="889" spans="1:12">
      <c r="A889" s="299"/>
      <c r="B889" s="322"/>
      <c r="G889" s="299"/>
      <c r="H889" s="299"/>
      <c r="I889" s="299"/>
      <c r="J889" s="299"/>
      <c r="K889" s="299"/>
      <c r="L889" s="299"/>
    </row>
    <row r="890" spans="1:12">
      <c r="A890" s="299"/>
      <c r="B890" s="322"/>
      <c r="G890" s="299"/>
      <c r="H890" s="299"/>
      <c r="I890" s="299"/>
      <c r="J890" s="299"/>
      <c r="K890" s="299"/>
      <c r="L890" s="299"/>
    </row>
    <row r="891" spans="1:12">
      <c r="A891" s="299"/>
      <c r="B891" s="322"/>
      <c r="G891" s="299"/>
      <c r="H891" s="299"/>
      <c r="I891" s="299"/>
      <c r="J891" s="299"/>
      <c r="K891" s="299"/>
      <c r="L891" s="299"/>
    </row>
    <row r="892" spans="1:12">
      <c r="A892" s="299"/>
      <c r="B892" s="322"/>
      <c r="G892" s="299"/>
      <c r="H892" s="299"/>
      <c r="I892" s="299"/>
      <c r="J892" s="299"/>
      <c r="K892" s="299"/>
      <c r="L892" s="299"/>
    </row>
    <row r="893" spans="1:12">
      <c r="A893" s="299"/>
      <c r="B893" s="322"/>
      <c r="G893" s="299"/>
      <c r="H893" s="299"/>
      <c r="I893" s="299"/>
      <c r="J893" s="299"/>
      <c r="K893" s="299"/>
      <c r="L893" s="299"/>
    </row>
    <row r="894" spans="1:12">
      <c r="A894" s="299"/>
      <c r="B894" s="322"/>
      <c r="G894" s="299"/>
      <c r="H894" s="299"/>
      <c r="I894" s="299"/>
      <c r="J894" s="299"/>
      <c r="K894" s="299"/>
      <c r="L894" s="299"/>
    </row>
    <row r="895" spans="1:12">
      <c r="A895" s="299"/>
      <c r="B895" s="322"/>
      <c r="G895" s="299"/>
      <c r="H895" s="299"/>
      <c r="I895" s="299"/>
      <c r="J895" s="299"/>
      <c r="K895" s="299"/>
      <c r="L895" s="299"/>
    </row>
    <row r="896" spans="1:12">
      <c r="A896" s="299"/>
      <c r="B896" s="322"/>
      <c r="G896" s="299"/>
      <c r="H896" s="299"/>
      <c r="I896" s="299"/>
      <c r="J896" s="299"/>
      <c r="K896" s="299"/>
      <c r="L896" s="299"/>
    </row>
    <row r="897" spans="1:12">
      <c r="A897" s="299"/>
      <c r="B897" s="322"/>
      <c r="G897" s="299"/>
      <c r="H897" s="299"/>
      <c r="I897" s="299"/>
      <c r="J897" s="299"/>
      <c r="K897" s="299"/>
      <c r="L897" s="299"/>
    </row>
    <row r="898" spans="1:12">
      <c r="A898" s="299"/>
      <c r="B898" s="322"/>
      <c r="G898" s="299"/>
      <c r="H898" s="299"/>
      <c r="I898" s="299"/>
      <c r="J898" s="299"/>
      <c r="K898" s="299"/>
      <c r="L898" s="299"/>
    </row>
    <row r="899" spans="1:12">
      <c r="A899" s="299"/>
      <c r="B899" s="322"/>
      <c r="G899" s="299"/>
      <c r="H899" s="299"/>
      <c r="I899" s="299"/>
      <c r="J899" s="299"/>
      <c r="K899" s="299"/>
      <c r="L899" s="299"/>
    </row>
    <row r="900" spans="1:12">
      <c r="A900" s="299"/>
      <c r="B900" s="322"/>
      <c r="G900" s="299"/>
      <c r="H900" s="299"/>
      <c r="I900" s="299"/>
      <c r="J900" s="299"/>
      <c r="K900" s="299"/>
      <c r="L900" s="299"/>
    </row>
    <row r="901" spans="1:12">
      <c r="A901" s="299"/>
      <c r="B901" s="322"/>
      <c r="G901" s="299"/>
      <c r="H901" s="299"/>
      <c r="I901" s="299"/>
      <c r="J901" s="299"/>
      <c r="K901" s="299"/>
      <c r="L901" s="299"/>
    </row>
    <row r="902" spans="1:12">
      <c r="A902" s="299"/>
      <c r="B902" s="322"/>
      <c r="G902" s="299"/>
      <c r="H902" s="299"/>
      <c r="I902" s="299"/>
      <c r="J902" s="299"/>
      <c r="K902" s="299"/>
      <c r="L902" s="299"/>
    </row>
    <row r="903" spans="1:12">
      <c r="A903" s="299"/>
      <c r="B903" s="322"/>
      <c r="G903" s="299"/>
      <c r="H903" s="299"/>
      <c r="I903" s="299"/>
      <c r="J903" s="299"/>
      <c r="K903" s="299"/>
      <c r="L903" s="299"/>
    </row>
    <row r="904" spans="1:12">
      <c r="A904" s="299"/>
      <c r="B904" s="322"/>
      <c r="G904" s="299"/>
      <c r="H904" s="299"/>
      <c r="I904" s="299"/>
      <c r="J904" s="299"/>
      <c r="K904" s="299"/>
      <c r="L904" s="299"/>
    </row>
    <row r="905" spans="1:12">
      <c r="A905" s="299"/>
      <c r="B905" s="322"/>
      <c r="G905" s="299"/>
      <c r="H905" s="299"/>
      <c r="I905" s="299"/>
      <c r="J905" s="299"/>
      <c r="K905" s="299"/>
      <c r="L905" s="299"/>
    </row>
    <row r="906" spans="1:12">
      <c r="A906" s="299"/>
      <c r="B906" s="322"/>
      <c r="G906" s="299"/>
      <c r="H906" s="299"/>
      <c r="I906" s="299"/>
      <c r="J906" s="299"/>
      <c r="K906" s="299"/>
      <c r="L906" s="299"/>
    </row>
    <row r="907" spans="1:12">
      <c r="A907" s="299"/>
      <c r="B907" s="322"/>
      <c r="G907" s="299"/>
      <c r="H907" s="299"/>
      <c r="I907" s="299"/>
      <c r="J907" s="299"/>
      <c r="K907" s="299"/>
      <c r="L907" s="299"/>
    </row>
    <row r="908" spans="1:12">
      <c r="A908" s="299"/>
      <c r="B908" s="322"/>
      <c r="G908" s="299"/>
      <c r="H908" s="299"/>
      <c r="I908" s="299"/>
      <c r="J908" s="299"/>
      <c r="K908" s="299"/>
      <c r="L908" s="299"/>
    </row>
    <row r="909" spans="1:12">
      <c r="A909" s="299"/>
      <c r="B909" s="322"/>
      <c r="G909" s="299"/>
      <c r="H909" s="299"/>
      <c r="I909" s="299"/>
      <c r="J909" s="299"/>
      <c r="K909" s="299"/>
      <c r="L909" s="299"/>
    </row>
    <row r="910" spans="1:12">
      <c r="A910" s="299"/>
      <c r="B910" s="322"/>
      <c r="G910" s="299"/>
      <c r="H910" s="299"/>
      <c r="I910" s="299"/>
      <c r="J910" s="299"/>
      <c r="K910" s="299"/>
      <c r="L910" s="299"/>
    </row>
    <row r="911" spans="1:12">
      <c r="A911" s="299"/>
      <c r="B911" s="322"/>
      <c r="G911" s="299"/>
      <c r="H911" s="299"/>
      <c r="I911" s="299"/>
      <c r="J911" s="299"/>
      <c r="K911" s="299"/>
      <c r="L911" s="299"/>
    </row>
    <row r="912" spans="1:12">
      <c r="A912" s="299"/>
      <c r="B912" s="322"/>
      <c r="G912" s="299"/>
      <c r="H912" s="299"/>
      <c r="I912" s="299"/>
      <c r="J912" s="299"/>
      <c r="K912" s="299"/>
      <c r="L912" s="299"/>
    </row>
    <row r="913" spans="1:12">
      <c r="A913" s="299"/>
      <c r="B913" s="322"/>
      <c r="G913" s="299"/>
      <c r="H913" s="299"/>
      <c r="I913" s="299"/>
      <c r="J913" s="299"/>
      <c r="K913" s="299"/>
      <c r="L913" s="299"/>
    </row>
    <row r="914" spans="1:12">
      <c r="A914" s="299"/>
      <c r="B914" s="322"/>
      <c r="G914" s="299"/>
      <c r="H914" s="299"/>
      <c r="I914" s="299"/>
      <c r="J914" s="299"/>
      <c r="K914" s="299"/>
      <c r="L914" s="299"/>
    </row>
    <row r="915" spans="1:12">
      <c r="A915" s="299"/>
      <c r="B915" s="322"/>
      <c r="G915" s="299"/>
      <c r="H915" s="299"/>
      <c r="I915" s="299"/>
      <c r="J915" s="299"/>
      <c r="K915" s="299"/>
      <c r="L915" s="299"/>
    </row>
    <row r="916" spans="1:12">
      <c r="A916" s="299"/>
      <c r="B916" s="322"/>
      <c r="G916" s="299"/>
      <c r="H916" s="299"/>
      <c r="I916" s="299"/>
      <c r="J916" s="299"/>
      <c r="K916" s="299"/>
      <c r="L916" s="299"/>
    </row>
    <row r="917" spans="1:12">
      <c r="A917" s="299"/>
      <c r="B917" s="322"/>
      <c r="G917" s="299"/>
      <c r="H917" s="299"/>
      <c r="I917" s="299"/>
      <c r="J917" s="299"/>
      <c r="K917" s="299"/>
      <c r="L917" s="299"/>
    </row>
    <row r="918" spans="1:12">
      <c r="A918" s="299"/>
      <c r="B918" s="322"/>
      <c r="G918" s="299"/>
      <c r="H918" s="299"/>
      <c r="I918" s="299"/>
      <c r="J918" s="299"/>
      <c r="K918" s="299"/>
      <c r="L918" s="299"/>
    </row>
    <row r="919" spans="1:12">
      <c r="A919" s="299"/>
      <c r="B919" s="322"/>
      <c r="G919" s="299"/>
      <c r="H919" s="299"/>
      <c r="I919" s="299"/>
      <c r="J919" s="299"/>
      <c r="K919" s="299"/>
      <c r="L919" s="299"/>
    </row>
    <row r="920" spans="1:12">
      <c r="A920" s="299"/>
      <c r="B920" s="322"/>
      <c r="G920" s="299"/>
      <c r="H920" s="299"/>
      <c r="I920" s="299"/>
      <c r="J920" s="299"/>
      <c r="K920" s="299"/>
      <c r="L920" s="299"/>
    </row>
    <row r="921" spans="1:12">
      <c r="A921" s="299"/>
      <c r="B921" s="322"/>
      <c r="G921" s="299"/>
      <c r="H921" s="299"/>
      <c r="I921" s="299"/>
      <c r="J921" s="299"/>
      <c r="K921" s="299"/>
      <c r="L921" s="299"/>
    </row>
    <row r="922" spans="1:12">
      <c r="A922" s="299"/>
      <c r="B922" s="322"/>
      <c r="G922" s="299"/>
      <c r="H922" s="299"/>
      <c r="I922" s="299"/>
      <c r="J922" s="299"/>
      <c r="K922" s="299"/>
      <c r="L922" s="299"/>
    </row>
    <row r="923" spans="1:12">
      <c r="A923" s="299"/>
      <c r="B923" s="322"/>
      <c r="G923" s="299"/>
      <c r="H923" s="299"/>
      <c r="I923" s="299"/>
      <c r="J923" s="299"/>
      <c r="K923" s="299"/>
      <c r="L923" s="299"/>
    </row>
    <row r="924" spans="1:12">
      <c r="A924" s="299"/>
      <c r="B924" s="322"/>
      <c r="G924" s="299"/>
      <c r="H924" s="299"/>
      <c r="I924" s="299"/>
      <c r="J924" s="299"/>
      <c r="K924" s="299"/>
      <c r="L924" s="299"/>
    </row>
    <row r="925" spans="1:12">
      <c r="A925" s="299"/>
      <c r="B925" s="322"/>
      <c r="G925" s="299"/>
      <c r="H925" s="299"/>
      <c r="I925" s="299"/>
      <c r="J925" s="299"/>
      <c r="K925" s="299"/>
      <c r="L925" s="299"/>
    </row>
    <row r="926" spans="1:12">
      <c r="A926" s="299"/>
      <c r="B926" s="322"/>
      <c r="G926" s="299"/>
      <c r="H926" s="299"/>
      <c r="I926" s="299"/>
      <c r="J926" s="299"/>
      <c r="K926" s="299"/>
      <c r="L926" s="299"/>
    </row>
    <row r="927" spans="1:12">
      <c r="A927" s="299"/>
      <c r="B927" s="322"/>
      <c r="G927" s="299"/>
      <c r="H927" s="299"/>
      <c r="I927" s="299"/>
      <c r="J927" s="299"/>
      <c r="K927" s="299"/>
      <c r="L927" s="299"/>
    </row>
    <row r="928" spans="1:12">
      <c r="A928" s="299"/>
      <c r="B928" s="322"/>
      <c r="G928" s="299"/>
      <c r="H928" s="299"/>
      <c r="I928" s="299"/>
      <c r="J928" s="299"/>
      <c r="K928" s="299"/>
      <c r="L928" s="299"/>
    </row>
    <row r="929" spans="1:12">
      <c r="A929" s="299"/>
      <c r="B929" s="322"/>
      <c r="G929" s="299"/>
      <c r="H929" s="299"/>
      <c r="I929" s="299"/>
      <c r="J929" s="299"/>
      <c r="K929" s="299"/>
      <c r="L929" s="299"/>
    </row>
    <row r="930" spans="1:12">
      <c r="A930" s="299"/>
      <c r="B930" s="322"/>
      <c r="G930" s="299"/>
      <c r="H930" s="299"/>
      <c r="I930" s="299"/>
      <c r="J930" s="299"/>
      <c r="K930" s="299"/>
      <c r="L930" s="299"/>
    </row>
    <row r="931" spans="1:12">
      <c r="A931" s="299"/>
      <c r="B931" s="322"/>
      <c r="G931" s="299"/>
      <c r="H931" s="299"/>
      <c r="I931" s="299"/>
      <c r="J931" s="299"/>
      <c r="K931" s="299"/>
      <c r="L931" s="299"/>
    </row>
    <row r="932" spans="1:12">
      <c r="A932" s="299"/>
      <c r="B932" s="322"/>
      <c r="G932" s="299"/>
      <c r="H932" s="299"/>
      <c r="I932" s="299"/>
      <c r="J932" s="299"/>
      <c r="K932" s="299"/>
      <c r="L932" s="299"/>
    </row>
    <row r="933" spans="1:12">
      <c r="A933" s="299"/>
      <c r="B933" s="322"/>
      <c r="G933" s="299"/>
      <c r="H933" s="299"/>
      <c r="I933" s="299"/>
      <c r="J933" s="299"/>
      <c r="K933" s="299"/>
      <c r="L933" s="299"/>
    </row>
    <row r="934" spans="1:12">
      <c r="A934" s="299"/>
      <c r="B934" s="322"/>
      <c r="G934" s="299"/>
      <c r="H934" s="299"/>
      <c r="I934" s="299"/>
      <c r="J934" s="299"/>
      <c r="K934" s="299"/>
      <c r="L934" s="299"/>
    </row>
    <row r="935" spans="1:12">
      <c r="A935" s="299"/>
      <c r="B935" s="322"/>
      <c r="G935" s="299"/>
      <c r="H935" s="299"/>
      <c r="I935" s="299"/>
      <c r="J935" s="299"/>
      <c r="K935" s="299"/>
      <c r="L935" s="299"/>
    </row>
    <row r="936" spans="1:12">
      <c r="A936" s="299"/>
      <c r="B936" s="322"/>
      <c r="G936" s="299"/>
      <c r="H936" s="299"/>
      <c r="I936" s="299"/>
      <c r="J936" s="299"/>
      <c r="K936" s="299"/>
      <c r="L936" s="299"/>
    </row>
    <row r="937" spans="1:12">
      <c r="A937" s="299"/>
      <c r="B937" s="322"/>
      <c r="G937" s="299"/>
      <c r="H937" s="299"/>
      <c r="I937" s="299"/>
      <c r="J937" s="299"/>
      <c r="K937" s="299"/>
      <c r="L937" s="299"/>
    </row>
    <row r="938" spans="1:12">
      <c r="A938" s="299"/>
      <c r="B938" s="322"/>
      <c r="G938" s="299"/>
      <c r="H938" s="299"/>
      <c r="I938" s="299"/>
      <c r="J938" s="299"/>
      <c r="K938" s="299"/>
      <c r="L938" s="299"/>
    </row>
    <row r="939" spans="1:12">
      <c r="A939" s="299"/>
      <c r="B939" s="322"/>
      <c r="G939" s="299"/>
      <c r="H939" s="299"/>
      <c r="I939" s="299"/>
      <c r="J939" s="299"/>
      <c r="K939" s="299"/>
      <c r="L939" s="299"/>
    </row>
    <row r="940" spans="1:12">
      <c r="A940" s="299"/>
      <c r="B940" s="322"/>
      <c r="G940" s="299"/>
      <c r="H940" s="299"/>
      <c r="I940" s="299"/>
      <c r="J940" s="299"/>
      <c r="K940" s="299"/>
      <c r="L940" s="299"/>
    </row>
    <row r="941" spans="1:12">
      <c r="A941" s="299"/>
      <c r="B941" s="322"/>
      <c r="G941" s="299"/>
      <c r="H941" s="299"/>
      <c r="I941" s="299"/>
      <c r="J941" s="299"/>
      <c r="K941" s="299"/>
      <c r="L941" s="299"/>
    </row>
    <row r="942" spans="1:12">
      <c r="A942" s="299"/>
      <c r="B942" s="322"/>
      <c r="G942" s="299"/>
      <c r="H942" s="299"/>
      <c r="I942" s="299"/>
      <c r="J942" s="299"/>
      <c r="K942" s="299"/>
      <c r="L942" s="299"/>
    </row>
    <row r="943" spans="1:12">
      <c r="A943" s="299"/>
      <c r="B943" s="322"/>
      <c r="G943" s="299"/>
      <c r="H943" s="299"/>
      <c r="I943" s="299"/>
      <c r="J943" s="299"/>
      <c r="K943" s="299"/>
      <c r="L943" s="299"/>
    </row>
    <row r="944" spans="1:12">
      <c r="A944" s="299"/>
      <c r="B944" s="322"/>
      <c r="G944" s="299"/>
      <c r="H944" s="299"/>
      <c r="I944" s="299"/>
      <c r="J944" s="299"/>
      <c r="K944" s="299"/>
      <c r="L944" s="299"/>
    </row>
    <row r="945" spans="1:12">
      <c r="A945" s="299"/>
      <c r="B945" s="322"/>
      <c r="G945" s="299"/>
      <c r="H945" s="299"/>
      <c r="I945" s="299"/>
      <c r="J945" s="299"/>
      <c r="K945" s="299"/>
      <c r="L945" s="299"/>
    </row>
    <row r="946" spans="1:12">
      <c r="A946" s="299"/>
      <c r="B946" s="322"/>
      <c r="G946" s="299"/>
      <c r="H946" s="299"/>
      <c r="I946" s="299"/>
      <c r="J946" s="299"/>
      <c r="K946" s="299"/>
      <c r="L946" s="299"/>
    </row>
    <row r="947" spans="1:12">
      <c r="A947" s="299"/>
      <c r="B947" s="322"/>
      <c r="G947" s="299"/>
      <c r="H947" s="299"/>
      <c r="I947" s="299"/>
      <c r="J947" s="299"/>
      <c r="K947" s="299"/>
      <c r="L947" s="299"/>
    </row>
    <row r="948" spans="1:12">
      <c r="A948" s="299"/>
      <c r="B948" s="322"/>
      <c r="G948" s="299"/>
      <c r="H948" s="299"/>
      <c r="I948" s="299"/>
      <c r="J948" s="299"/>
      <c r="K948" s="299"/>
      <c r="L948" s="299"/>
    </row>
    <row r="949" spans="1:12">
      <c r="A949" s="299"/>
      <c r="B949" s="322"/>
      <c r="G949" s="299"/>
      <c r="H949" s="299"/>
      <c r="I949" s="299"/>
      <c r="J949" s="299"/>
      <c r="K949" s="299"/>
      <c r="L949" s="299"/>
    </row>
    <row r="950" spans="1:12">
      <c r="A950" s="299"/>
      <c r="B950" s="322"/>
      <c r="G950" s="299"/>
      <c r="H950" s="299"/>
      <c r="I950" s="299"/>
      <c r="J950" s="299"/>
      <c r="K950" s="299"/>
      <c r="L950" s="299"/>
    </row>
    <row r="951" spans="1:12">
      <c r="A951" s="299"/>
      <c r="B951" s="322"/>
      <c r="G951" s="299"/>
      <c r="H951" s="299"/>
      <c r="I951" s="299"/>
      <c r="J951" s="299"/>
      <c r="K951" s="299"/>
      <c r="L951" s="299"/>
    </row>
    <row r="952" spans="1:12">
      <c r="A952" s="299"/>
      <c r="B952" s="322"/>
      <c r="G952" s="299"/>
      <c r="H952" s="299"/>
      <c r="I952" s="299"/>
      <c r="J952" s="299"/>
      <c r="K952" s="299"/>
      <c r="L952" s="299"/>
    </row>
    <row r="953" spans="1:12">
      <c r="A953" s="299"/>
      <c r="B953" s="322"/>
      <c r="G953" s="299"/>
      <c r="H953" s="299"/>
      <c r="I953" s="299"/>
      <c r="J953" s="299"/>
      <c r="K953" s="299"/>
      <c r="L953" s="299"/>
    </row>
    <row r="954" spans="1:12">
      <c r="A954" s="299"/>
      <c r="B954" s="322"/>
      <c r="G954" s="299"/>
      <c r="H954" s="299"/>
      <c r="I954" s="299"/>
      <c r="J954" s="299"/>
      <c r="K954" s="299"/>
      <c r="L954" s="299"/>
    </row>
    <row r="955" spans="1:12">
      <c r="A955" s="299"/>
      <c r="B955" s="322"/>
      <c r="G955" s="299"/>
      <c r="H955" s="299"/>
      <c r="I955" s="299"/>
      <c r="J955" s="299"/>
      <c r="K955" s="299"/>
      <c r="L955" s="299"/>
    </row>
    <row r="956" spans="1:12">
      <c r="A956" s="299"/>
      <c r="B956" s="322"/>
      <c r="G956" s="299"/>
      <c r="H956" s="299"/>
      <c r="I956" s="299"/>
      <c r="J956" s="299"/>
      <c r="K956" s="299"/>
      <c r="L956" s="299"/>
    </row>
    <row r="957" spans="1:12">
      <c r="A957" s="299"/>
      <c r="B957" s="322"/>
      <c r="G957" s="299"/>
      <c r="H957" s="299"/>
      <c r="I957" s="299"/>
      <c r="J957" s="299"/>
      <c r="K957" s="299"/>
      <c r="L957" s="299"/>
    </row>
    <row r="958" spans="1:12">
      <c r="A958" s="299"/>
      <c r="B958" s="322"/>
      <c r="G958" s="299"/>
      <c r="H958" s="299"/>
      <c r="I958" s="299"/>
      <c r="J958" s="299"/>
      <c r="K958" s="299"/>
      <c r="L958" s="299"/>
    </row>
    <row r="959" spans="1:12">
      <c r="A959" s="299"/>
      <c r="B959" s="322"/>
      <c r="G959" s="299"/>
      <c r="H959" s="299"/>
      <c r="I959" s="299"/>
      <c r="J959" s="299"/>
      <c r="K959" s="299"/>
      <c r="L959" s="299"/>
    </row>
    <row r="960" spans="1:12">
      <c r="A960" s="299"/>
      <c r="B960" s="322"/>
      <c r="G960" s="299"/>
      <c r="H960" s="299"/>
      <c r="I960" s="299"/>
      <c r="J960" s="299"/>
      <c r="K960" s="299"/>
      <c r="L960" s="299"/>
    </row>
    <row r="961" spans="1:12">
      <c r="A961" s="299"/>
      <c r="B961" s="322"/>
      <c r="G961" s="299"/>
      <c r="H961" s="299"/>
      <c r="I961" s="299"/>
      <c r="J961" s="299"/>
      <c r="K961" s="299"/>
      <c r="L961" s="299"/>
    </row>
    <row r="962" spans="1:12">
      <c r="A962" s="299"/>
      <c r="B962" s="322"/>
      <c r="G962" s="299"/>
      <c r="H962" s="299"/>
      <c r="I962" s="299"/>
      <c r="J962" s="299"/>
      <c r="K962" s="299"/>
      <c r="L962" s="299"/>
    </row>
    <row r="963" spans="1:12">
      <c r="A963" s="299"/>
      <c r="B963" s="322"/>
      <c r="G963" s="299"/>
      <c r="H963" s="299"/>
      <c r="I963" s="299"/>
      <c r="J963" s="299"/>
      <c r="K963" s="299"/>
      <c r="L963" s="299"/>
    </row>
    <row r="964" spans="1:12">
      <c r="A964" s="299"/>
      <c r="B964" s="322"/>
      <c r="G964" s="299"/>
      <c r="H964" s="299"/>
      <c r="I964" s="299"/>
      <c r="J964" s="299"/>
      <c r="K964" s="299"/>
      <c r="L964" s="299"/>
    </row>
    <row r="965" spans="1:12">
      <c r="A965" s="299"/>
      <c r="B965" s="322"/>
      <c r="G965" s="299"/>
      <c r="H965" s="299"/>
      <c r="I965" s="299"/>
      <c r="J965" s="299"/>
      <c r="K965" s="299"/>
      <c r="L965" s="299"/>
    </row>
    <row r="966" spans="1:12">
      <c r="A966" s="299"/>
      <c r="B966" s="322"/>
      <c r="G966" s="299"/>
      <c r="H966" s="299"/>
      <c r="I966" s="299"/>
      <c r="J966" s="299"/>
      <c r="K966" s="299"/>
      <c r="L966" s="299"/>
    </row>
    <row r="967" spans="1:12">
      <c r="A967" s="299"/>
      <c r="B967" s="322"/>
      <c r="G967" s="299"/>
      <c r="H967" s="299"/>
      <c r="I967" s="299"/>
      <c r="J967" s="299"/>
      <c r="K967" s="299"/>
      <c r="L967" s="299"/>
    </row>
    <row r="968" spans="1:12">
      <c r="A968" s="299"/>
      <c r="B968" s="322"/>
      <c r="G968" s="299"/>
      <c r="H968" s="299"/>
      <c r="I968" s="299"/>
      <c r="J968" s="299"/>
      <c r="K968" s="299"/>
      <c r="L968" s="299"/>
    </row>
    <row r="969" spans="1:12">
      <c r="A969" s="299"/>
      <c r="B969" s="322"/>
      <c r="G969" s="299"/>
      <c r="H969" s="299"/>
      <c r="I969" s="299"/>
      <c r="J969" s="299"/>
      <c r="K969" s="299"/>
      <c r="L969" s="299"/>
    </row>
    <row r="970" spans="1:12">
      <c r="A970" s="299"/>
      <c r="B970" s="322"/>
      <c r="G970" s="299"/>
      <c r="H970" s="299"/>
      <c r="I970" s="299"/>
      <c r="J970" s="299"/>
      <c r="K970" s="299"/>
      <c r="L970" s="299"/>
    </row>
    <row r="971" spans="1:12">
      <c r="A971" s="299"/>
      <c r="B971" s="322"/>
      <c r="G971" s="299"/>
      <c r="H971" s="299"/>
      <c r="I971" s="299"/>
      <c r="J971" s="299"/>
      <c r="K971" s="299"/>
      <c r="L971" s="299"/>
    </row>
    <row r="972" spans="1:12">
      <c r="A972" s="299"/>
      <c r="B972" s="322"/>
      <c r="G972" s="299"/>
      <c r="H972" s="299"/>
      <c r="I972" s="299"/>
      <c r="J972" s="299"/>
      <c r="K972" s="299"/>
      <c r="L972" s="299"/>
    </row>
    <row r="973" spans="1:12">
      <c r="A973" s="299"/>
      <c r="B973" s="322"/>
      <c r="G973" s="299"/>
      <c r="H973" s="299"/>
      <c r="I973" s="299"/>
      <c r="J973" s="299"/>
      <c r="K973" s="299"/>
      <c r="L973" s="299"/>
    </row>
    <row r="974" spans="1:12">
      <c r="A974" s="299"/>
      <c r="B974" s="322"/>
      <c r="G974" s="299"/>
      <c r="H974" s="299"/>
      <c r="I974" s="299"/>
      <c r="J974" s="299"/>
      <c r="K974" s="299"/>
      <c r="L974" s="299"/>
    </row>
    <row r="975" spans="1:12">
      <c r="A975" s="299"/>
      <c r="B975" s="322"/>
      <c r="G975" s="299"/>
      <c r="H975" s="299"/>
      <c r="I975" s="299"/>
      <c r="J975" s="299"/>
      <c r="K975" s="299"/>
      <c r="L975" s="299"/>
    </row>
    <row r="976" spans="1:12">
      <c r="A976" s="299"/>
      <c r="B976" s="322"/>
      <c r="G976" s="299"/>
      <c r="H976" s="299"/>
      <c r="I976" s="299"/>
      <c r="J976" s="299"/>
      <c r="K976" s="299"/>
      <c r="L976" s="299"/>
    </row>
    <row r="977" spans="1:12">
      <c r="A977" s="299"/>
      <c r="B977" s="322"/>
      <c r="G977" s="299"/>
      <c r="H977" s="299"/>
      <c r="I977" s="299"/>
      <c r="J977" s="299"/>
      <c r="K977" s="299"/>
      <c r="L977" s="299"/>
    </row>
    <row r="978" spans="1:12">
      <c r="A978" s="299"/>
      <c r="B978" s="322"/>
      <c r="G978" s="299"/>
      <c r="H978" s="299"/>
      <c r="I978" s="299"/>
      <c r="J978" s="299"/>
      <c r="K978" s="299"/>
      <c r="L978" s="299"/>
    </row>
    <row r="979" spans="1:12">
      <c r="A979" s="299"/>
      <c r="B979" s="322"/>
      <c r="G979" s="299"/>
      <c r="H979" s="299"/>
      <c r="I979" s="299"/>
      <c r="J979" s="299"/>
      <c r="K979" s="299"/>
      <c r="L979" s="299"/>
    </row>
    <row r="980" spans="1:12">
      <c r="A980" s="299"/>
      <c r="B980" s="322"/>
      <c r="G980" s="299"/>
      <c r="H980" s="299"/>
      <c r="I980" s="299"/>
      <c r="J980" s="299"/>
      <c r="K980" s="299"/>
      <c r="L980" s="299"/>
    </row>
    <row r="981" spans="1:12">
      <c r="A981" s="299"/>
      <c r="B981" s="322"/>
      <c r="G981" s="299"/>
      <c r="H981" s="299"/>
      <c r="I981" s="299"/>
      <c r="J981" s="299"/>
      <c r="K981" s="299"/>
      <c r="L981" s="299"/>
    </row>
    <row r="982" spans="1:12">
      <c r="A982" s="299"/>
      <c r="B982" s="322"/>
      <c r="G982" s="299"/>
      <c r="H982" s="299"/>
      <c r="I982" s="299"/>
      <c r="J982" s="299"/>
      <c r="K982" s="299"/>
      <c r="L982" s="299"/>
    </row>
    <row r="983" spans="1:12">
      <c r="A983" s="299"/>
      <c r="B983" s="322"/>
      <c r="G983" s="299"/>
      <c r="H983" s="299"/>
      <c r="I983" s="299"/>
      <c r="J983" s="299"/>
      <c r="K983" s="299"/>
      <c r="L983" s="299"/>
    </row>
    <row r="984" spans="1:12">
      <c r="A984" s="299"/>
      <c r="B984" s="322"/>
      <c r="G984" s="299"/>
      <c r="H984" s="299"/>
      <c r="I984" s="299"/>
      <c r="J984" s="299"/>
      <c r="K984" s="299"/>
      <c r="L984" s="299"/>
    </row>
    <row r="985" spans="1:12">
      <c r="A985" s="299"/>
      <c r="B985" s="322"/>
      <c r="G985" s="299"/>
      <c r="H985" s="299"/>
      <c r="I985" s="299"/>
      <c r="J985" s="299"/>
      <c r="K985" s="299"/>
      <c r="L985" s="299"/>
    </row>
    <row r="986" spans="1:12">
      <c r="A986" s="299"/>
      <c r="B986" s="322"/>
      <c r="G986" s="299"/>
      <c r="H986" s="299"/>
      <c r="I986" s="299"/>
      <c r="J986" s="299"/>
      <c r="K986" s="299"/>
      <c r="L986" s="299"/>
    </row>
    <row r="987" spans="1:12">
      <c r="A987" s="299"/>
      <c r="B987" s="322"/>
      <c r="G987" s="299"/>
      <c r="H987" s="299"/>
      <c r="I987" s="299"/>
      <c r="J987" s="299"/>
      <c r="K987" s="299"/>
      <c r="L987" s="299"/>
    </row>
    <row r="988" spans="1:12">
      <c r="A988" s="299"/>
      <c r="B988" s="322"/>
      <c r="G988" s="299"/>
      <c r="H988" s="299"/>
      <c r="I988" s="299"/>
      <c r="J988" s="299"/>
      <c r="K988" s="299"/>
      <c r="L988" s="299"/>
    </row>
    <row r="989" spans="1:12">
      <c r="A989" s="299"/>
      <c r="B989" s="322"/>
      <c r="G989" s="299"/>
      <c r="H989" s="299"/>
      <c r="I989" s="299"/>
      <c r="J989" s="299"/>
      <c r="K989" s="299"/>
      <c r="L989" s="299"/>
    </row>
    <row r="990" spans="1:12">
      <c r="A990" s="299"/>
      <c r="B990" s="322"/>
      <c r="G990" s="299"/>
      <c r="H990" s="299"/>
      <c r="I990" s="299"/>
      <c r="J990" s="299"/>
      <c r="K990" s="299"/>
      <c r="L990" s="299"/>
    </row>
    <row r="991" spans="1:12">
      <c r="A991" s="299"/>
      <c r="B991" s="322"/>
      <c r="G991" s="299"/>
      <c r="H991" s="299"/>
      <c r="I991" s="299"/>
      <c r="J991" s="299"/>
      <c r="K991" s="299"/>
      <c r="L991" s="299"/>
    </row>
    <row r="992" spans="1:12">
      <c r="A992" s="299"/>
      <c r="B992" s="322"/>
      <c r="G992" s="299"/>
      <c r="H992" s="299"/>
      <c r="I992" s="299"/>
      <c r="J992" s="299"/>
      <c r="K992" s="299"/>
      <c r="L992" s="299"/>
    </row>
    <row r="993" spans="1:12">
      <c r="A993" s="299"/>
      <c r="B993" s="322"/>
      <c r="G993" s="299"/>
      <c r="H993" s="299"/>
      <c r="I993" s="299"/>
      <c r="J993" s="299"/>
      <c r="K993" s="299"/>
      <c r="L993" s="299"/>
    </row>
    <row r="994" spans="1:12">
      <c r="A994" s="299"/>
      <c r="B994" s="322"/>
      <c r="G994" s="299"/>
      <c r="H994" s="299"/>
      <c r="I994" s="299"/>
      <c r="J994" s="299"/>
      <c r="K994" s="299"/>
      <c r="L994" s="299"/>
    </row>
    <row r="995" spans="1:12">
      <c r="A995" s="299"/>
      <c r="B995" s="322"/>
      <c r="G995" s="299"/>
      <c r="H995" s="299"/>
      <c r="I995" s="299"/>
      <c r="J995" s="299"/>
      <c r="K995" s="299"/>
      <c r="L995" s="299"/>
    </row>
    <row r="996" spans="1:12">
      <c r="A996" s="299"/>
      <c r="B996" s="322"/>
      <c r="G996" s="299"/>
      <c r="H996" s="299"/>
      <c r="I996" s="299"/>
      <c r="J996" s="299"/>
      <c r="K996" s="299"/>
      <c r="L996" s="299"/>
    </row>
    <row r="997" spans="1:12">
      <c r="A997" s="299"/>
      <c r="B997" s="322"/>
      <c r="G997" s="299"/>
      <c r="H997" s="299"/>
      <c r="I997" s="299"/>
      <c r="J997" s="299"/>
      <c r="K997" s="299"/>
      <c r="L997" s="299"/>
    </row>
    <row r="998" spans="1:12">
      <c r="A998" s="299"/>
      <c r="B998" s="322"/>
      <c r="G998" s="299"/>
      <c r="H998" s="299"/>
      <c r="I998" s="299"/>
      <c r="J998" s="299"/>
      <c r="K998" s="299"/>
      <c r="L998" s="299"/>
    </row>
    <row r="999" spans="1:12">
      <c r="A999" s="299"/>
      <c r="B999" s="322"/>
      <c r="G999" s="299"/>
      <c r="H999" s="299"/>
      <c r="I999" s="299"/>
      <c r="J999" s="299"/>
      <c r="K999" s="299"/>
      <c r="L999" s="299"/>
    </row>
    <row r="1000" spans="1:12">
      <c r="A1000" s="299"/>
      <c r="B1000" s="322"/>
      <c r="G1000" s="299"/>
      <c r="H1000" s="299"/>
      <c r="I1000" s="299"/>
      <c r="J1000" s="299"/>
      <c r="K1000" s="299"/>
      <c r="L1000" s="299"/>
    </row>
    <row r="1001" spans="1:12">
      <c r="A1001" s="299"/>
      <c r="B1001" s="322"/>
      <c r="G1001" s="299"/>
      <c r="H1001" s="299"/>
      <c r="I1001" s="299"/>
      <c r="J1001" s="299"/>
      <c r="K1001" s="299"/>
      <c r="L1001" s="299"/>
    </row>
    <row r="1002" spans="1:12">
      <c r="A1002" s="299"/>
      <c r="B1002" s="322"/>
      <c r="G1002" s="299"/>
      <c r="H1002" s="299"/>
      <c r="I1002" s="299"/>
      <c r="J1002" s="299"/>
      <c r="K1002" s="299"/>
      <c r="L1002" s="299"/>
    </row>
    <row r="1003" spans="1:12">
      <c r="A1003" s="299"/>
      <c r="B1003" s="322"/>
      <c r="G1003" s="299"/>
      <c r="H1003" s="299"/>
      <c r="I1003" s="299"/>
      <c r="J1003" s="299"/>
      <c r="K1003" s="299"/>
      <c r="L1003" s="299"/>
    </row>
    <row r="1004" spans="1:12">
      <c r="A1004" s="299"/>
      <c r="B1004" s="322"/>
      <c r="G1004" s="299"/>
      <c r="H1004" s="299"/>
      <c r="I1004" s="299"/>
      <c r="J1004" s="299"/>
      <c r="K1004" s="299"/>
      <c r="L1004" s="299"/>
    </row>
    <row r="1005" spans="1:12">
      <c r="A1005" s="299"/>
      <c r="B1005" s="322"/>
      <c r="G1005" s="299"/>
      <c r="H1005" s="299"/>
      <c r="I1005" s="299"/>
      <c r="J1005" s="299"/>
      <c r="K1005" s="299"/>
      <c r="L1005" s="299"/>
    </row>
    <row r="1006" spans="1:12">
      <c r="A1006" s="299"/>
      <c r="B1006" s="322"/>
      <c r="G1006" s="299"/>
      <c r="H1006" s="299"/>
      <c r="I1006" s="299"/>
      <c r="J1006" s="299"/>
      <c r="K1006" s="299"/>
      <c r="L1006" s="299"/>
    </row>
    <row r="1007" spans="1:12">
      <c r="A1007" s="299"/>
      <c r="B1007" s="322"/>
      <c r="G1007" s="299"/>
      <c r="H1007" s="299"/>
      <c r="I1007" s="299"/>
      <c r="J1007" s="299"/>
      <c r="K1007" s="299"/>
      <c r="L1007" s="299"/>
    </row>
    <row r="1008" spans="1:12">
      <c r="A1008" s="299"/>
      <c r="B1008" s="322"/>
      <c r="G1008" s="299"/>
      <c r="H1008" s="299"/>
      <c r="I1008" s="299"/>
      <c r="J1008" s="299"/>
      <c r="K1008" s="299"/>
      <c r="L1008" s="299"/>
    </row>
    <row r="1009" spans="1:12">
      <c r="A1009" s="299"/>
      <c r="B1009" s="322"/>
      <c r="G1009" s="299"/>
      <c r="H1009" s="299"/>
      <c r="I1009" s="299"/>
      <c r="J1009" s="299"/>
      <c r="K1009" s="299"/>
      <c r="L1009" s="299"/>
    </row>
    <row r="1010" spans="1:12">
      <c r="A1010" s="299"/>
      <c r="B1010" s="322"/>
      <c r="G1010" s="299"/>
      <c r="H1010" s="299"/>
      <c r="I1010" s="299"/>
      <c r="J1010" s="299"/>
      <c r="K1010" s="299"/>
      <c r="L1010" s="299"/>
    </row>
    <row r="1011" spans="1:12">
      <c r="A1011" s="299"/>
      <c r="B1011" s="322"/>
      <c r="G1011" s="299"/>
      <c r="H1011" s="299"/>
      <c r="I1011" s="299"/>
      <c r="J1011" s="299"/>
      <c r="K1011" s="299"/>
      <c r="L1011" s="299"/>
    </row>
    <row r="1012" spans="1:12">
      <c r="A1012" s="299"/>
      <c r="B1012" s="322"/>
      <c r="G1012" s="299"/>
      <c r="H1012" s="299"/>
      <c r="I1012" s="299"/>
      <c r="J1012" s="299"/>
      <c r="K1012" s="299"/>
      <c r="L1012" s="299"/>
    </row>
    <row r="1013" spans="1:12">
      <c r="A1013" s="299"/>
      <c r="B1013" s="322"/>
      <c r="G1013" s="299"/>
      <c r="H1013" s="299"/>
      <c r="I1013" s="299"/>
      <c r="J1013" s="299"/>
      <c r="K1013" s="299"/>
      <c r="L1013" s="299"/>
    </row>
    <row r="1014" spans="1:12">
      <c r="A1014" s="299"/>
      <c r="B1014" s="322"/>
      <c r="G1014" s="299"/>
      <c r="H1014" s="299"/>
      <c r="I1014" s="299"/>
      <c r="J1014" s="299"/>
      <c r="K1014" s="299"/>
      <c r="L1014" s="299"/>
    </row>
    <row r="1015" spans="1:12">
      <c r="A1015" s="299"/>
      <c r="B1015" s="322"/>
      <c r="G1015" s="299"/>
      <c r="H1015" s="299"/>
      <c r="I1015" s="299"/>
      <c r="J1015" s="299"/>
      <c r="K1015" s="299"/>
      <c r="L1015" s="299"/>
    </row>
    <row r="1016" spans="1:12">
      <c r="A1016" s="299"/>
      <c r="B1016" s="322"/>
      <c r="G1016" s="299"/>
      <c r="H1016" s="299"/>
      <c r="I1016" s="299"/>
      <c r="J1016" s="299"/>
      <c r="K1016" s="299"/>
      <c r="L1016" s="299"/>
    </row>
    <row r="1017" spans="1:12">
      <c r="A1017" s="299"/>
      <c r="B1017" s="322"/>
      <c r="G1017" s="299"/>
      <c r="H1017" s="299"/>
      <c r="I1017" s="299"/>
      <c r="J1017" s="299"/>
      <c r="K1017" s="299"/>
      <c r="L1017" s="299"/>
    </row>
    <row r="1018" spans="1:12">
      <c r="A1018" s="299"/>
      <c r="B1018" s="322"/>
      <c r="G1018" s="299"/>
      <c r="H1018" s="299"/>
      <c r="I1018" s="299"/>
      <c r="J1018" s="299"/>
      <c r="K1018" s="299"/>
      <c r="L1018" s="299"/>
    </row>
    <row r="1019" spans="1:12">
      <c r="A1019" s="299"/>
      <c r="B1019" s="322"/>
      <c r="G1019" s="299"/>
      <c r="H1019" s="299"/>
      <c r="I1019" s="299"/>
      <c r="J1019" s="299"/>
      <c r="K1019" s="299"/>
      <c r="L1019" s="299"/>
    </row>
    <row r="1020" spans="1:12">
      <c r="A1020" s="299"/>
      <c r="B1020" s="322"/>
      <c r="G1020" s="299"/>
      <c r="H1020" s="299"/>
      <c r="I1020" s="299"/>
      <c r="J1020" s="299"/>
      <c r="K1020" s="299"/>
      <c r="L1020" s="299"/>
    </row>
    <row r="1021" spans="1:12">
      <c r="A1021" s="299"/>
      <c r="B1021" s="322"/>
      <c r="G1021" s="299"/>
      <c r="H1021" s="299"/>
      <c r="I1021" s="299"/>
      <c r="J1021" s="299"/>
      <c r="K1021" s="299"/>
      <c r="L1021" s="299"/>
    </row>
    <row r="1022" spans="1:12">
      <c r="A1022" s="299"/>
      <c r="B1022" s="322"/>
      <c r="G1022" s="299"/>
      <c r="H1022" s="299"/>
      <c r="I1022" s="299"/>
      <c r="J1022" s="299"/>
      <c r="K1022" s="299"/>
      <c r="L1022" s="299"/>
    </row>
    <row r="1023" spans="1:12">
      <c r="A1023" s="299"/>
      <c r="B1023" s="322"/>
      <c r="G1023" s="299"/>
      <c r="H1023" s="299"/>
      <c r="I1023" s="299"/>
      <c r="J1023" s="299"/>
      <c r="K1023" s="299"/>
      <c r="L1023" s="299"/>
    </row>
    <row r="1024" spans="1:12">
      <c r="A1024" s="299"/>
      <c r="B1024" s="322"/>
      <c r="G1024" s="299"/>
      <c r="H1024" s="299"/>
      <c r="I1024" s="299"/>
      <c r="J1024" s="299"/>
      <c r="K1024" s="299"/>
      <c r="L1024" s="299"/>
    </row>
    <row r="1025" spans="1:12">
      <c r="A1025" s="299"/>
      <c r="B1025" s="322"/>
      <c r="G1025" s="299"/>
      <c r="H1025" s="299"/>
      <c r="I1025" s="299"/>
      <c r="J1025" s="299"/>
      <c r="K1025" s="299"/>
      <c r="L1025" s="299"/>
    </row>
    <row r="1026" spans="1:12">
      <c r="A1026" s="299"/>
      <c r="B1026" s="322"/>
      <c r="G1026" s="299"/>
      <c r="H1026" s="299"/>
      <c r="I1026" s="299"/>
      <c r="J1026" s="299"/>
      <c r="K1026" s="299"/>
      <c r="L1026" s="299"/>
    </row>
    <row r="1027" spans="1:12">
      <c r="A1027" s="299"/>
      <c r="B1027" s="322"/>
      <c r="G1027" s="299"/>
      <c r="H1027" s="299"/>
      <c r="I1027" s="299"/>
      <c r="J1027" s="299"/>
      <c r="K1027" s="299"/>
      <c r="L1027" s="299"/>
    </row>
    <row r="1028" spans="1:12">
      <c r="A1028" s="299"/>
      <c r="B1028" s="322"/>
      <c r="G1028" s="299"/>
      <c r="H1028" s="299"/>
      <c r="I1028" s="299"/>
      <c r="J1028" s="299"/>
      <c r="K1028" s="299"/>
      <c r="L1028" s="299"/>
    </row>
    <row r="1029" spans="1:12">
      <c r="A1029" s="299"/>
      <c r="B1029" s="322"/>
      <c r="G1029" s="299"/>
      <c r="H1029" s="299"/>
      <c r="I1029" s="299"/>
      <c r="J1029" s="299"/>
      <c r="K1029" s="299"/>
      <c r="L1029" s="299"/>
    </row>
    <row r="1030" spans="1:12">
      <c r="A1030" s="299"/>
      <c r="B1030" s="322"/>
      <c r="G1030" s="299"/>
      <c r="H1030" s="299"/>
      <c r="I1030" s="299"/>
      <c r="J1030" s="299"/>
      <c r="K1030" s="299"/>
      <c r="L1030" s="299"/>
    </row>
    <row r="1031" spans="1:12">
      <c r="A1031" s="299"/>
      <c r="B1031" s="322"/>
      <c r="G1031" s="299"/>
      <c r="H1031" s="299"/>
      <c r="I1031" s="299"/>
      <c r="J1031" s="299"/>
      <c r="K1031" s="299"/>
      <c r="L1031" s="299"/>
    </row>
    <row r="1032" spans="1:12">
      <c r="A1032" s="299"/>
      <c r="B1032" s="322"/>
      <c r="G1032" s="299"/>
      <c r="H1032" s="299"/>
      <c r="I1032" s="299"/>
      <c r="J1032" s="299"/>
      <c r="K1032" s="299"/>
      <c r="L1032" s="299"/>
    </row>
    <row r="1033" spans="1:12">
      <c r="A1033" s="299"/>
      <c r="B1033" s="322"/>
      <c r="G1033" s="299"/>
      <c r="H1033" s="299"/>
      <c r="I1033" s="299"/>
      <c r="J1033" s="299"/>
      <c r="K1033" s="299"/>
      <c r="L1033" s="299"/>
    </row>
    <row r="1034" spans="1:12">
      <c r="A1034" s="299"/>
      <c r="B1034" s="322"/>
      <c r="G1034" s="299"/>
      <c r="H1034" s="299"/>
      <c r="I1034" s="299"/>
      <c r="J1034" s="299"/>
      <c r="K1034" s="299"/>
      <c r="L1034" s="299"/>
    </row>
    <row r="1035" spans="1:12">
      <c r="A1035" s="299"/>
      <c r="B1035" s="322"/>
      <c r="G1035" s="299"/>
      <c r="H1035" s="299"/>
      <c r="I1035" s="299"/>
      <c r="J1035" s="299"/>
      <c r="K1035" s="299"/>
      <c r="L1035" s="299"/>
    </row>
    <row r="1036" spans="1:12">
      <c r="A1036" s="299"/>
      <c r="B1036" s="322"/>
      <c r="G1036" s="299"/>
      <c r="H1036" s="299"/>
      <c r="I1036" s="299"/>
      <c r="J1036" s="299"/>
      <c r="K1036" s="299"/>
      <c r="L1036" s="299"/>
    </row>
    <row r="1037" spans="1:12">
      <c r="A1037" s="299"/>
      <c r="B1037" s="322"/>
      <c r="G1037" s="299"/>
      <c r="H1037" s="299"/>
      <c r="I1037" s="299"/>
      <c r="J1037" s="299"/>
      <c r="K1037" s="299"/>
      <c r="L1037" s="299"/>
    </row>
    <row r="1038" spans="1:12">
      <c r="A1038" s="299"/>
      <c r="B1038" s="322"/>
      <c r="G1038" s="299"/>
      <c r="H1038" s="299"/>
      <c r="I1038" s="299"/>
      <c r="J1038" s="299"/>
      <c r="K1038" s="299"/>
      <c r="L1038" s="299"/>
    </row>
    <row r="1039" spans="1:12">
      <c r="A1039" s="299"/>
      <c r="B1039" s="322"/>
      <c r="G1039" s="299"/>
      <c r="H1039" s="299"/>
      <c r="I1039" s="299"/>
      <c r="J1039" s="299"/>
      <c r="K1039" s="299"/>
      <c r="L1039" s="299"/>
    </row>
    <row r="1040" spans="1:12">
      <c r="A1040" s="299"/>
      <c r="B1040" s="322"/>
      <c r="G1040" s="299"/>
      <c r="H1040" s="299"/>
      <c r="I1040" s="299"/>
      <c r="J1040" s="299"/>
      <c r="K1040" s="299"/>
      <c r="L1040" s="299"/>
    </row>
    <row r="1041" spans="1:12">
      <c r="A1041" s="299"/>
      <c r="B1041" s="322"/>
      <c r="G1041" s="299"/>
      <c r="H1041" s="299"/>
      <c r="I1041" s="299"/>
      <c r="J1041" s="299"/>
      <c r="K1041" s="299"/>
      <c r="L1041" s="299"/>
    </row>
    <row r="1042" spans="1:12">
      <c r="A1042" s="299"/>
      <c r="B1042" s="322"/>
      <c r="G1042" s="299"/>
      <c r="H1042" s="299"/>
      <c r="I1042" s="299"/>
      <c r="J1042" s="299"/>
      <c r="K1042" s="299"/>
      <c r="L1042" s="299"/>
    </row>
    <row r="1043" spans="1:12">
      <c r="A1043" s="299"/>
      <c r="B1043" s="322"/>
      <c r="G1043" s="299"/>
      <c r="H1043" s="299"/>
      <c r="I1043" s="299"/>
      <c r="J1043" s="299"/>
      <c r="K1043" s="299"/>
      <c r="L1043" s="299"/>
    </row>
    <row r="1044" spans="1:12">
      <c r="A1044" s="299"/>
      <c r="B1044" s="322"/>
      <c r="G1044" s="299"/>
      <c r="H1044" s="299"/>
      <c r="I1044" s="299"/>
      <c r="J1044" s="299"/>
      <c r="K1044" s="299"/>
      <c r="L1044" s="299"/>
    </row>
    <row r="1045" spans="1:12">
      <c r="A1045" s="299"/>
      <c r="B1045" s="322"/>
      <c r="G1045" s="299"/>
      <c r="H1045" s="299"/>
      <c r="I1045" s="299"/>
      <c r="J1045" s="299"/>
      <c r="K1045" s="299"/>
      <c r="L1045" s="299"/>
    </row>
    <row r="1046" spans="1:12">
      <c r="A1046" s="299"/>
      <c r="B1046" s="322"/>
      <c r="G1046" s="299"/>
      <c r="H1046" s="299"/>
      <c r="I1046" s="299"/>
      <c r="J1046" s="299"/>
      <c r="K1046" s="299"/>
      <c r="L1046" s="299"/>
    </row>
    <row r="1047" spans="1:12">
      <c r="A1047" s="299"/>
      <c r="B1047" s="322"/>
      <c r="G1047" s="299"/>
      <c r="H1047" s="299"/>
      <c r="I1047" s="299"/>
      <c r="J1047" s="299"/>
      <c r="K1047" s="299"/>
      <c r="L1047" s="299"/>
    </row>
    <row r="1048" spans="1:12">
      <c r="A1048" s="299"/>
      <c r="B1048" s="322"/>
      <c r="G1048" s="299"/>
      <c r="H1048" s="299"/>
      <c r="I1048" s="299"/>
      <c r="J1048" s="299"/>
      <c r="K1048" s="299"/>
      <c r="L1048" s="299"/>
    </row>
    <row r="1049" spans="1:12">
      <c r="A1049" s="299"/>
      <c r="B1049" s="322"/>
      <c r="G1049" s="299"/>
      <c r="H1049" s="299"/>
      <c r="I1049" s="299"/>
      <c r="J1049" s="299"/>
      <c r="K1049" s="299"/>
      <c r="L1049" s="299"/>
    </row>
    <row r="1050" spans="1:12">
      <c r="A1050" s="299"/>
      <c r="B1050" s="322"/>
      <c r="G1050" s="299"/>
      <c r="H1050" s="299"/>
      <c r="I1050" s="299"/>
      <c r="J1050" s="299"/>
      <c r="K1050" s="299"/>
      <c r="L1050" s="299"/>
    </row>
    <row r="1051" spans="1:12">
      <c r="A1051" s="299"/>
      <c r="B1051" s="322"/>
      <c r="G1051" s="299"/>
      <c r="H1051" s="299"/>
      <c r="I1051" s="299"/>
      <c r="J1051" s="299"/>
      <c r="K1051" s="299"/>
      <c r="L1051" s="299"/>
    </row>
    <row r="1052" spans="1:12">
      <c r="A1052" s="299"/>
      <c r="B1052" s="322"/>
      <c r="G1052" s="299"/>
      <c r="H1052" s="299"/>
      <c r="I1052" s="299"/>
      <c r="J1052" s="299"/>
      <c r="K1052" s="299"/>
      <c r="L1052" s="299"/>
    </row>
    <row r="1053" spans="1:12">
      <c r="A1053" s="299"/>
      <c r="B1053" s="322"/>
      <c r="G1053" s="299"/>
      <c r="H1053" s="299"/>
      <c r="I1053" s="299"/>
      <c r="J1053" s="299"/>
      <c r="K1053" s="299"/>
      <c r="L1053" s="299"/>
    </row>
    <row r="1054" spans="1:12">
      <c r="A1054" s="299"/>
      <c r="B1054" s="322"/>
      <c r="G1054" s="299"/>
      <c r="H1054" s="299"/>
      <c r="I1054" s="299"/>
      <c r="J1054" s="299"/>
      <c r="K1054" s="299"/>
      <c r="L1054" s="299"/>
    </row>
    <row r="1055" spans="1:12">
      <c r="A1055" s="299"/>
      <c r="B1055" s="322"/>
      <c r="G1055" s="299"/>
      <c r="H1055" s="299"/>
      <c r="I1055" s="299"/>
      <c r="J1055" s="299"/>
      <c r="K1055" s="299"/>
      <c r="L1055" s="299"/>
    </row>
    <row r="1056" spans="1:12">
      <c r="A1056" s="299"/>
      <c r="B1056" s="322"/>
      <c r="G1056" s="299"/>
      <c r="H1056" s="299"/>
      <c r="I1056" s="299"/>
      <c r="J1056" s="299"/>
      <c r="K1056" s="299"/>
      <c r="L1056" s="299"/>
    </row>
    <row r="1057" spans="1:12">
      <c r="A1057" s="299"/>
      <c r="B1057" s="322"/>
      <c r="G1057" s="299"/>
      <c r="H1057" s="299"/>
      <c r="I1057" s="299"/>
      <c r="J1057" s="299"/>
      <c r="K1057" s="299"/>
      <c r="L1057" s="299"/>
    </row>
    <row r="1058" spans="1:12">
      <c r="A1058" s="299"/>
      <c r="B1058" s="322"/>
      <c r="G1058" s="299"/>
      <c r="H1058" s="299"/>
      <c r="I1058" s="299"/>
      <c r="J1058" s="299"/>
      <c r="K1058" s="299"/>
      <c r="L1058" s="299"/>
    </row>
    <row r="1059" spans="1:12">
      <c r="A1059" s="299"/>
      <c r="B1059" s="322"/>
      <c r="G1059" s="299"/>
      <c r="H1059" s="299"/>
      <c r="I1059" s="299"/>
      <c r="J1059" s="299"/>
      <c r="K1059" s="299"/>
      <c r="L1059" s="299"/>
    </row>
    <row r="1060" spans="1:12">
      <c r="A1060" s="299"/>
      <c r="B1060" s="322"/>
      <c r="G1060" s="299"/>
      <c r="H1060" s="299"/>
      <c r="I1060" s="299"/>
      <c r="J1060" s="299"/>
      <c r="K1060" s="299"/>
      <c r="L1060" s="299"/>
    </row>
    <row r="1061" spans="1:12">
      <c r="A1061" s="299"/>
      <c r="B1061" s="322"/>
      <c r="G1061" s="299"/>
      <c r="H1061" s="299"/>
      <c r="I1061" s="299"/>
      <c r="J1061" s="299"/>
      <c r="K1061" s="299"/>
      <c r="L1061" s="299"/>
    </row>
    <row r="1062" spans="1:12">
      <c r="A1062" s="299"/>
      <c r="B1062" s="322"/>
      <c r="G1062" s="299"/>
      <c r="H1062" s="299"/>
      <c r="I1062" s="299"/>
      <c r="J1062" s="299"/>
      <c r="K1062" s="299"/>
      <c r="L1062" s="299"/>
    </row>
    <row r="1063" spans="1:12">
      <c r="A1063" s="299"/>
      <c r="B1063" s="322"/>
      <c r="G1063" s="299"/>
      <c r="H1063" s="299"/>
      <c r="I1063" s="299"/>
      <c r="J1063" s="299"/>
      <c r="K1063" s="299"/>
      <c r="L1063" s="299"/>
    </row>
    <row r="1064" spans="1:12">
      <c r="A1064" s="299"/>
      <c r="B1064" s="322"/>
      <c r="G1064" s="299"/>
      <c r="H1064" s="299"/>
      <c r="I1064" s="299"/>
      <c r="J1064" s="299"/>
      <c r="K1064" s="299"/>
      <c r="L1064" s="299"/>
    </row>
    <row r="1065" spans="1:12">
      <c r="A1065" s="299"/>
      <c r="B1065" s="322"/>
      <c r="G1065" s="299"/>
      <c r="H1065" s="299"/>
      <c r="I1065" s="299"/>
      <c r="J1065" s="299"/>
      <c r="K1065" s="299"/>
      <c r="L1065" s="299"/>
    </row>
    <row r="1066" spans="1:12">
      <c r="A1066" s="299"/>
      <c r="B1066" s="322"/>
      <c r="G1066" s="299"/>
      <c r="H1066" s="299"/>
      <c r="I1066" s="299"/>
      <c r="J1066" s="299"/>
      <c r="K1066" s="299"/>
      <c r="L1066" s="299"/>
    </row>
    <row r="1067" spans="1:12">
      <c r="A1067" s="299"/>
      <c r="B1067" s="322"/>
      <c r="G1067" s="299"/>
      <c r="H1067" s="299"/>
      <c r="I1067" s="299"/>
      <c r="J1067" s="299"/>
      <c r="K1067" s="299"/>
      <c r="L1067" s="299"/>
    </row>
    <row r="1068" spans="1:12">
      <c r="A1068" s="299"/>
      <c r="B1068" s="322"/>
      <c r="G1068" s="299"/>
      <c r="H1068" s="299"/>
      <c r="I1068" s="299"/>
      <c r="J1068" s="299"/>
      <c r="K1068" s="299"/>
      <c r="L1068" s="299"/>
    </row>
    <row r="1069" spans="1:12">
      <c r="A1069" s="299"/>
      <c r="B1069" s="322"/>
      <c r="G1069" s="299"/>
      <c r="H1069" s="299"/>
      <c r="I1069" s="299"/>
      <c r="J1069" s="299"/>
      <c r="K1069" s="299"/>
      <c r="L1069" s="299"/>
    </row>
    <row r="1070" spans="1:12">
      <c r="A1070" s="299"/>
      <c r="B1070" s="322"/>
      <c r="G1070" s="299"/>
      <c r="H1070" s="299"/>
      <c r="I1070" s="299"/>
      <c r="J1070" s="299"/>
      <c r="K1070" s="299"/>
      <c r="L1070" s="299"/>
    </row>
    <row r="1071" spans="1:12">
      <c r="A1071" s="299"/>
      <c r="B1071" s="322"/>
      <c r="G1071" s="299"/>
      <c r="H1071" s="299"/>
      <c r="I1071" s="299"/>
      <c r="J1071" s="299"/>
      <c r="K1071" s="299"/>
      <c r="L1071" s="299"/>
    </row>
    <row r="1072" spans="1:12">
      <c r="A1072" s="299"/>
      <c r="B1072" s="322"/>
      <c r="G1072" s="299"/>
      <c r="H1072" s="299"/>
      <c r="I1072" s="299"/>
      <c r="J1072" s="299"/>
      <c r="K1072" s="299"/>
      <c r="L1072" s="299"/>
    </row>
    <row r="1073" spans="1:12">
      <c r="A1073" s="299"/>
      <c r="B1073" s="322"/>
      <c r="G1073" s="299"/>
      <c r="H1073" s="299"/>
      <c r="I1073" s="299"/>
      <c r="J1073" s="299"/>
      <c r="K1073" s="299"/>
      <c r="L1073" s="299"/>
    </row>
    <row r="1074" spans="1:12">
      <c r="A1074" s="299"/>
      <c r="B1074" s="322"/>
      <c r="G1074" s="299"/>
      <c r="H1074" s="299"/>
      <c r="I1074" s="299"/>
      <c r="J1074" s="299"/>
      <c r="K1074" s="299"/>
      <c r="L1074" s="299"/>
    </row>
    <row r="1075" spans="1:12">
      <c r="A1075" s="299"/>
      <c r="B1075" s="322"/>
      <c r="G1075" s="299"/>
      <c r="H1075" s="299"/>
      <c r="I1075" s="299"/>
      <c r="J1075" s="299"/>
      <c r="K1075" s="299"/>
      <c r="L1075" s="299"/>
    </row>
    <row r="1076" spans="1:12">
      <c r="A1076" s="299"/>
      <c r="B1076" s="322"/>
      <c r="G1076" s="299"/>
      <c r="H1076" s="299"/>
      <c r="I1076" s="299"/>
      <c r="J1076" s="299"/>
      <c r="K1076" s="299"/>
      <c r="L1076" s="299"/>
    </row>
    <row r="1077" spans="1:12">
      <c r="A1077" s="299"/>
      <c r="B1077" s="322"/>
      <c r="G1077" s="299"/>
      <c r="H1077" s="299"/>
      <c r="I1077" s="299"/>
      <c r="J1077" s="299"/>
      <c r="K1077" s="299"/>
      <c r="L1077" s="299"/>
    </row>
    <row r="1078" spans="1:12">
      <c r="A1078" s="299"/>
      <c r="B1078" s="322"/>
      <c r="G1078" s="299"/>
      <c r="H1078" s="299"/>
      <c r="I1078" s="299"/>
      <c r="J1078" s="299"/>
      <c r="K1078" s="299"/>
      <c r="L1078" s="299"/>
    </row>
    <row r="1079" spans="1:12">
      <c r="A1079" s="299"/>
      <c r="B1079" s="322"/>
      <c r="G1079" s="299"/>
      <c r="H1079" s="299"/>
      <c r="I1079" s="299"/>
      <c r="J1079" s="299"/>
      <c r="K1079" s="299"/>
      <c r="L1079" s="299"/>
    </row>
    <row r="1080" spans="1:12">
      <c r="A1080" s="299"/>
      <c r="B1080" s="322"/>
      <c r="G1080" s="299"/>
      <c r="H1080" s="299"/>
      <c r="I1080" s="299"/>
      <c r="J1080" s="299"/>
      <c r="K1080" s="299"/>
      <c r="L1080" s="299"/>
    </row>
    <row r="1081" spans="1:12">
      <c r="A1081" s="299"/>
      <c r="B1081" s="322"/>
      <c r="G1081" s="299"/>
      <c r="H1081" s="299"/>
      <c r="I1081" s="299"/>
      <c r="J1081" s="299"/>
      <c r="K1081" s="299"/>
      <c r="L1081" s="299"/>
    </row>
    <row r="1082" spans="1:12">
      <c r="A1082" s="299"/>
      <c r="B1082" s="322"/>
      <c r="G1082" s="299"/>
      <c r="H1082" s="299"/>
      <c r="I1082" s="299"/>
      <c r="J1082" s="299"/>
      <c r="K1082" s="299"/>
      <c r="L1082" s="299"/>
    </row>
    <row r="1083" spans="1:12">
      <c r="A1083" s="299"/>
      <c r="B1083" s="322"/>
      <c r="G1083" s="299"/>
      <c r="H1083" s="299"/>
      <c r="I1083" s="299"/>
      <c r="J1083" s="299"/>
      <c r="K1083" s="299"/>
      <c r="L1083" s="299"/>
    </row>
    <row r="1084" spans="1:12">
      <c r="A1084" s="299"/>
      <c r="B1084" s="322"/>
      <c r="G1084" s="299"/>
      <c r="H1084" s="299"/>
      <c r="I1084" s="299"/>
      <c r="J1084" s="299"/>
      <c r="K1084" s="299"/>
      <c r="L1084" s="299"/>
    </row>
    <row r="1085" spans="1:12">
      <c r="A1085" s="299"/>
      <c r="B1085" s="322"/>
      <c r="G1085" s="299"/>
      <c r="H1085" s="299"/>
      <c r="I1085" s="299"/>
      <c r="J1085" s="299"/>
      <c r="K1085" s="299"/>
      <c r="L1085" s="299"/>
    </row>
    <row r="1086" spans="1:12">
      <c r="A1086" s="299"/>
      <c r="B1086" s="322"/>
      <c r="G1086" s="299"/>
      <c r="H1086" s="299"/>
      <c r="I1086" s="299"/>
      <c r="J1086" s="299"/>
      <c r="K1086" s="299"/>
      <c r="L1086" s="299"/>
    </row>
    <row r="1087" spans="1:12">
      <c r="A1087" s="299"/>
      <c r="B1087" s="322"/>
      <c r="G1087" s="299"/>
      <c r="H1087" s="299"/>
      <c r="I1087" s="299"/>
      <c r="J1087" s="299"/>
      <c r="K1087" s="299"/>
      <c r="L1087" s="299"/>
    </row>
    <row r="1088" spans="1:12">
      <c r="A1088" s="299"/>
      <c r="B1088" s="322"/>
      <c r="G1088" s="299"/>
      <c r="H1088" s="299"/>
      <c r="I1088" s="299"/>
      <c r="J1088" s="299"/>
      <c r="K1088" s="299"/>
      <c r="L1088" s="299"/>
    </row>
    <row r="1089" spans="1:12">
      <c r="A1089" s="299"/>
      <c r="B1089" s="322"/>
      <c r="G1089" s="299"/>
      <c r="H1089" s="299"/>
      <c r="I1089" s="299"/>
      <c r="J1089" s="299"/>
      <c r="K1089" s="299"/>
      <c r="L1089" s="299"/>
    </row>
    <row r="1090" spans="1:12">
      <c r="A1090" s="299"/>
      <c r="B1090" s="322"/>
      <c r="G1090" s="299"/>
      <c r="H1090" s="299"/>
      <c r="I1090" s="299"/>
      <c r="J1090" s="299"/>
      <c r="K1090" s="299"/>
      <c r="L1090" s="299"/>
    </row>
    <row r="1091" spans="1:12">
      <c r="A1091" s="299"/>
      <c r="B1091" s="322"/>
      <c r="G1091" s="299"/>
      <c r="H1091" s="299"/>
      <c r="I1091" s="299"/>
      <c r="J1091" s="299"/>
      <c r="K1091" s="299"/>
      <c r="L1091" s="299"/>
    </row>
    <row r="1092" spans="1:12">
      <c r="A1092" s="299"/>
      <c r="B1092" s="322"/>
      <c r="G1092" s="299"/>
      <c r="H1092" s="299"/>
      <c r="I1092" s="299"/>
      <c r="J1092" s="299"/>
      <c r="K1092" s="299"/>
      <c r="L1092" s="299"/>
    </row>
    <row r="1093" spans="1:12">
      <c r="A1093" s="299"/>
      <c r="B1093" s="322"/>
      <c r="G1093" s="299"/>
      <c r="H1093" s="299"/>
      <c r="I1093" s="299"/>
      <c r="J1093" s="299"/>
      <c r="K1093" s="299"/>
      <c r="L1093" s="299"/>
    </row>
    <row r="1094" spans="1:12">
      <c r="A1094" s="299"/>
      <c r="B1094" s="322"/>
      <c r="G1094" s="299"/>
      <c r="H1094" s="299"/>
      <c r="I1094" s="299"/>
      <c r="J1094" s="299"/>
      <c r="K1094" s="299"/>
      <c r="L1094" s="299"/>
    </row>
    <row r="1095" spans="1:12">
      <c r="A1095" s="299"/>
      <c r="B1095" s="322"/>
      <c r="G1095" s="299"/>
      <c r="H1095" s="299"/>
      <c r="I1095" s="299"/>
      <c r="J1095" s="299"/>
      <c r="K1095" s="299"/>
      <c r="L1095" s="299"/>
    </row>
    <row r="1096" spans="1:12">
      <c r="A1096" s="299"/>
      <c r="B1096" s="322"/>
      <c r="G1096" s="299"/>
      <c r="H1096" s="299"/>
      <c r="I1096" s="299"/>
      <c r="J1096" s="299"/>
      <c r="K1096" s="299"/>
      <c r="L1096" s="299"/>
    </row>
    <row r="1097" spans="1:12">
      <c r="A1097" s="299"/>
      <c r="B1097" s="322"/>
      <c r="G1097" s="299"/>
      <c r="H1097" s="299"/>
      <c r="I1097" s="299"/>
      <c r="J1097" s="299"/>
      <c r="K1097" s="299"/>
      <c r="L1097" s="299"/>
    </row>
    <row r="1098" spans="1:12">
      <c r="A1098" s="299"/>
      <c r="B1098" s="322"/>
      <c r="G1098" s="299"/>
      <c r="H1098" s="299"/>
      <c r="I1098" s="299"/>
      <c r="J1098" s="299"/>
      <c r="K1098" s="299"/>
      <c r="L1098" s="299"/>
    </row>
    <row r="1099" spans="1:12">
      <c r="A1099" s="299"/>
      <c r="B1099" s="322"/>
      <c r="G1099" s="299"/>
      <c r="H1099" s="299"/>
      <c r="I1099" s="299"/>
      <c r="J1099" s="299"/>
      <c r="K1099" s="299"/>
      <c r="L1099" s="299"/>
    </row>
    <row r="1100" spans="1:12">
      <c r="A1100" s="299"/>
      <c r="B1100" s="322"/>
      <c r="G1100" s="299"/>
      <c r="H1100" s="299"/>
      <c r="I1100" s="299"/>
      <c r="J1100" s="299"/>
      <c r="K1100" s="299"/>
      <c r="L1100" s="299"/>
    </row>
    <row r="1101" spans="1:12">
      <c r="A1101" s="299"/>
      <c r="B1101" s="322"/>
      <c r="G1101" s="299"/>
      <c r="H1101" s="299"/>
      <c r="I1101" s="299"/>
      <c r="J1101" s="299"/>
      <c r="K1101" s="299"/>
      <c r="L1101" s="299"/>
    </row>
    <row r="1102" spans="1:12">
      <c r="A1102" s="299"/>
      <c r="B1102" s="322"/>
      <c r="G1102" s="299"/>
      <c r="H1102" s="299"/>
      <c r="I1102" s="299"/>
      <c r="J1102" s="299"/>
      <c r="K1102" s="299"/>
      <c r="L1102" s="299"/>
    </row>
    <row r="1103" spans="1:12">
      <c r="A1103" s="299"/>
      <c r="B1103" s="322"/>
      <c r="G1103" s="299"/>
      <c r="H1103" s="299"/>
      <c r="I1103" s="299"/>
      <c r="J1103" s="299"/>
      <c r="K1103" s="299"/>
      <c r="L1103" s="299"/>
    </row>
    <row r="1104" spans="1:12">
      <c r="A1104" s="299"/>
      <c r="B1104" s="322"/>
      <c r="G1104" s="299"/>
      <c r="H1104" s="299"/>
      <c r="I1104" s="299"/>
      <c r="J1104" s="299"/>
      <c r="K1104" s="299"/>
      <c r="L1104" s="299"/>
    </row>
    <row r="1105" spans="1:12">
      <c r="A1105" s="299"/>
      <c r="B1105" s="322"/>
      <c r="G1105" s="299"/>
      <c r="H1105" s="299"/>
      <c r="I1105" s="299"/>
      <c r="J1105" s="299"/>
      <c r="K1105" s="299"/>
      <c r="L1105" s="299"/>
    </row>
    <row r="1106" spans="1:12">
      <c r="A1106" s="299"/>
      <c r="B1106" s="322"/>
      <c r="G1106" s="299"/>
      <c r="H1106" s="299"/>
      <c r="I1106" s="299"/>
      <c r="J1106" s="299"/>
      <c r="K1106" s="299"/>
      <c r="L1106" s="299"/>
    </row>
    <row r="1107" spans="1:12">
      <c r="A1107" s="299"/>
      <c r="B1107" s="322"/>
      <c r="G1107" s="299"/>
      <c r="H1107" s="299"/>
      <c r="I1107" s="299"/>
      <c r="J1107" s="299"/>
      <c r="K1107" s="299"/>
      <c r="L1107" s="299"/>
    </row>
    <row r="1108" spans="1:12">
      <c r="A1108" s="299"/>
      <c r="B1108" s="322"/>
      <c r="G1108" s="299"/>
      <c r="H1108" s="299"/>
      <c r="I1108" s="299"/>
      <c r="J1108" s="299"/>
      <c r="K1108" s="299"/>
      <c r="L1108" s="299"/>
    </row>
    <row r="1109" spans="1:12">
      <c r="A1109" s="299"/>
      <c r="B1109" s="322"/>
      <c r="G1109" s="299"/>
      <c r="H1109" s="299"/>
      <c r="I1109" s="299"/>
      <c r="J1109" s="299"/>
      <c r="K1109" s="299"/>
      <c r="L1109" s="299"/>
    </row>
    <row r="1110" spans="1:12">
      <c r="A1110" s="299"/>
      <c r="B1110" s="322"/>
      <c r="G1110" s="299"/>
      <c r="H1110" s="299"/>
      <c r="I1110" s="299"/>
      <c r="J1110" s="299"/>
      <c r="K1110" s="299"/>
      <c r="L1110" s="299"/>
    </row>
    <row r="1111" spans="1:12">
      <c r="A1111" s="299"/>
      <c r="B1111" s="322"/>
      <c r="G1111" s="299"/>
      <c r="H1111" s="299"/>
      <c r="I1111" s="299"/>
      <c r="J1111" s="299"/>
      <c r="K1111" s="299"/>
      <c r="L1111" s="299"/>
    </row>
    <row r="1112" spans="1:12">
      <c r="A1112" s="299"/>
      <c r="B1112" s="322"/>
      <c r="G1112" s="299"/>
      <c r="H1112" s="299"/>
      <c r="I1112" s="299"/>
      <c r="J1112" s="299"/>
      <c r="K1112" s="299"/>
      <c r="L1112" s="299"/>
    </row>
    <row r="1113" spans="1:12">
      <c r="A1113" s="299"/>
      <c r="B1113" s="322"/>
      <c r="G1113" s="299"/>
      <c r="H1113" s="299"/>
      <c r="I1113" s="299"/>
      <c r="J1113" s="299"/>
      <c r="K1113" s="299"/>
      <c r="L1113" s="299"/>
    </row>
    <row r="1114" spans="1:12">
      <c r="A1114" s="299"/>
      <c r="B1114" s="322"/>
      <c r="G1114" s="299"/>
      <c r="H1114" s="299"/>
      <c r="I1114" s="299"/>
      <c r="J1114" s="299"/>
      <c r="K1114" s="299"/>
      <c r="L1114" s="299"/>
    </row>
    <row r="1115" spans="1:12">
      <c r="A1115" s="299"/>
      <c r="B1115" s="322"/>
      <c r="G1115" s="299"/>
      <c r="H1115" s="299"/>
      <c r="I1115" s="299"/>
      <c r="J1115" s="299"/>
      <c r="K1115" s="299"/>
      <c r="L1115" s="299"/>
    </row>
    <row r="1116" spans="1:12">
      <c r="A1116" s="299"/>
      <c r="B1116" s="322"/>
      <c r="G1116" s="299"/>
      <c r="H1116" s="299"/>
      <c r="I1116" s="299"/>
      <c r="J1116" s="299"/>
      <c r="K1116" s="299"/>
      <c r="L1116" s="299"/>
    </row>
    <row r="1117" spans="1:12">
      <c r="A1117" s="299"/>
      <c r="B1117" s="322"/>
      <c r="G1117" s="299"/>
      <c r="H1117" s="299"/>
      <c r="I1117" s="299"/>
      <c r="J1117" s="299"/>
      <c r="K1117" s="299"/>
      <c r="L1117" s="299"/>
    </row>
    <row r="1118" spans="1:12">
      <c r="A1118" s="299"/>
      <c r="B1118" s="322"/>
      <c r="G1118" s="299"/>
      <c r="H1118" s="299"/>
      <c r="I1118" s="299"/>
      <c r="J1118" s="299"/>
      <c r="K1118" s="299"/>
      <c r="L1118" s="299"/>
    </row>
    <row r="1119" spans="1:12">
      <c r="A1119" s="299"/>
      <c r="B1119" s="322"/>
      <c r="G1119" s="299"/>
      <c r="H1119" s="299"/>
      <c r="I1119" s="299"/>
      <c r="J1119" s="299"/>
      <c r="K1119" s="299"/>
      <c r="L1119" s="299"/>
    </row>
    <row r="1120" spans="1:12">
      <c r="A1120" s="299"/>
      <c r="B1120" s="322"/>
      <c r="G1120" s="299"/>
      <c r="H1120" s="299"/>
      <c r="I1120" s="299"/>
      <c r="J1120" s="299"/>
      <c r="K1120" s="299"/>
      <c r="L1120" s="299"/>
    </row>
    <row r="1121" spans="1:12">
      <c r="A1121" s="299"/>
      <c r="B1121" s="322"/>
      <c r="G1121" s="299"/>
      <c r="H1121" s="299"/>
      <c r="I1121" s="299"/>
      <c r="J1121" s="299"/>
      <c r="K1121" s="299"/>
      <c r="L1121" s="299"/>
    </row>
    <row r="1122" spans="1:12">
      <c r="A1122" s="299"/>
      <c r="B1122" s="322"/>
      <c r="G1122" s="299"/>
      <c r="H1122" s="299"/>
      <c r="I1122" s="299"/>
      <c r="J1122" s="299"/>
      <c r="K1122" s="299"/>
      <c r="L1122" s="299"/>
    </row>
    <row r="1123" spans="1:12">
      <c r="A1123" s="299"/>
      <c r="B1123" s="322"/>
      <c r="G1123" s="299"/>
      <c r="H1123" s="299"/>
      <c r="I1123" s="299"/>
      <c r="J1123" s="299"/>
      <c r="K1123" s="299"/>
      <c r="L1123" s="299"/>
    </row>
    <row r="1124" spans="1:12">
      <c r="A1124" s="299"/>
      <c r="B1124" s="322"/>
      <c r="G1124" s="299"/>
      <c r="H1124" s="299"/>
      <c r="I1124" s="299"/>
      <c r="J1124" s="299"/>
      <c r="K1124" s="299"/>
      <c r="L1124" s="299"/>
    </row>
    <row r="1125" spans="1:12">
      <c r="A1125" s="299"/>
      <c r="B1125" s="322"/>
      <c r="G1125" s="299"/>
      <c r="H1125" s="299"/>
      <c r="I1125" s="299"/>
      <c r="J1125" s="299"/>
      <c r="K1125" s="299"/>
      <c r="L1125" s="299"/>
    </row>
    <row r="1126" spans="1:12">
      <c r="A1126" s="299"/>
      <c r="B1126" s="322"/>
      <c r="G1126" s="299"/>
      <c r="H1126" s="299"/>
      <c r="I1126" s="299"/>
      <c r="J1126" s="299"/>
      <c r="K1126" s="299"/>
      <c r="L1126" s="299"/>
    </row>
    <row r="1127" spans="1:12">
      <c r="A1127" s="299"/>
      <c r="B1127" s="322"/>
      <c r="G1127" s="299"/>
      <c r="H1127" s="299"/>
      <c r="I1127" s="299"/>
      <c r="J1127" s="299"/>
      <c r="K1127" s="299"/>
      <c r="L1127" s="299"/>
    </row>
    <row r="1128" spans="1:12">
      <c r="A1128" s="299"/>
      <c r="B1128" s="322"/>
      <c r="G1128" s="299"/>
      <c r="H1128" s="299"/>
      <c r="I1128" s="299"/>
      <c r="J1128" s="299"/>
      <c r="K1128" s="299"/>
      <c r="L1128" s="299"/>
    </row>
    <row r="1129" spans="1:12">
      <c r="A1129" s="299"/>
      <c r="B1129" s="322"/>
      <c r="G1129" s="299"/>
      <c r="H1129" s="299"/>
      <c r="I1129" s="299"/>
      <c r="J1129" s="299"/>
      <c r="K1129" s="299"/>
      <c r="L1129" s="299"/>
    </row>
    <row r="1130" spans="1:12">
      <c r="A1130" s="299"/>
      <c r="B1130" s="322"/>
      <c r="G1130" s="299"/>
      <c r="H1130" s="299"/>
      <c r="I1130" s="299"/>
      <c r="J1130" s="299"/>
      <c r="K1130" s="299"/>
      <c r="L1130" s="299"/>
    </row>
    <row r="1131" spans="1:12">
      <c r="A1131" s="299"/>
      <c r="B1131" s="322"/>
      <c r="G1131" s="299"/>
      <c r="H1131" s="299"/>
      <c r="I1131" s="299"/>
      <c r="J1131" s="299"/>
      <c r="K1131" s="299"/>
      <c r="L1131" s="299"/>
    </row>
    <row r="1132" spans="1:12">
      <c r="A1132" s="299"/>
      <c r="B1132" s="322"/>
      <c r="G1132" s="299"/>
      <c r="H1132" s="299"/>
      <c r="I1132" s="299"/>
      <c r="J1132" s="299"/>
      <c r="K1132" s="299"/>
      <c r="L1132" s="299"/>
    </row>
    <row r="1133" spans="1:12">
      <c r="A1133" s="299"/>
      <c r="B1133" s="322"/>
      <c r="G1133" s="299"/>
      <c r="H1133" s="299"/>
      <c r="I1133" s="299"/>
      <c r="J1133" s="299"/>
      <c r="K1133" s="299"/>
      <c r="L1133" s="299"/>
    </row>
    <row r="1134" spans="1:12">
      <c r="A1134" s="299"/>
      <c r="B1134" s="322"/>
      <c r="G1134" s="299"/>
      <c r="H1134" s="299"/>
      <c r="I1134" s="299"/>
      <c r="J1134" s="299"/>
      <c r="K1134" s="299"/>
      <c r="L1134" s="299"/>
    </row>
    <row r="1135" spans="1:12">
      <c r="A1135" s="299"/>
      <c r="B1135" s="322"/>
      <c r="G1135" s="299"/>
      <c r="H1135" s="299"/>
      <c r="I1135" s="299"/>
      <c r="J1135" s="299"/>
      <c r="K1135" s="299"/>
      <c r="L1135" s="299"/>
    </row>
    <row r="1136" spans="1:12">
      <c r="A1136" s="299"/>
      <c r="B1136" s="322"/>
      <c r="G1136" s="299"/>
      <c r="H1136" s="299"/>
      <c r="I1136" s="299"/>
      <c r="J1136" s="299"/>
      <c r="K1136" s="299"/>
      <c r="L1136" s="299"/>
    </row>
    <row r="1137" spans="1:12">
      <c r="A1137" s="299"/>
      <c r="B1137" s="322"/>
      <c r="G1137" s="299"/>
      <c r="H1137" s="299"/>
      <c r="I1137" s="299"/>
      <c r="J1137" s="299"/>
      <c r="K1137" s="299"/>
      <c r="L1137" s="299"/>
    </row>
    <row r="1138" spans="1:12">
      <c r="A1138" s="299"/>
      <c r="B1138" s="322"/>
      <c r="G1138" s="299"/>
      <c r="H1138" s="299"/>
      <c r="I1138" s="299"/>
      <c r="J1138" s="299"/>
      <c r="K1138" s="299"/>
      <c r="L1138" s="299"/>
    </row>
    <row r="1139" spans="1:12">
      <c r="A1139" s="299"/>
      <c r="B1139" s="322"/>
      <c r="G1139" s="299"/>
      <c r="H1139" s="299"/>
      <c r="I1139" s="299"/>
      <c r="J1139" s="299"/>
      <c r="K1139" s="299"/>
      <c r="L1139" s="299"/>
    </row>
    <row r="1140" spans="1:12">
      <c r="A1140" s="299"/>
      <c r="B1140" s="322"/>
      <c r="G1140" s="299"/>
      <c r="H1140" s="299"/>
      <c r="I1140" s="299"/>
      <c r="J1140" s="299"/>
      <c r="K1140" s="299"/>
      <c r="L1140" s="299"/>
    </row>
    <row r="1141" spans="1:12">
      <c r="A1141" s="299"/>
      <c r="B1141" s="322"/>
      <c r="G1141" s="299"/>
      <c r="H1141" s="299"/>
      <c r="I1141" s="299"/>
      <c r="J1141" s="299"/>
      <c r="K1141" s="299"/>
      <c r="L1141" s="299"/>
    </row>
    <row r="1142" spans="1:12">
      <c r="A1142" s="299"/>
      <c r="B1142" s="322"/>
      <c r="G1142" s="299"/>
      <c r="H1142" s="299"/>
      <c r="I1142" s="299"/>
      <c r="J1142" s="299"/>
      <c r="K1142" s="299"/>
      <c r="L1142" s="299"/>
    </row>
    <row r="1143" spans="1:12">
      <c r="A1143" s="299"/>
      <c r="B1143" s="322"/>
      <c r="G1143" s="299"/>
      <c r="H1143" s="299"/>
      <c r="I1143" s="299"/>
      <c r="J1143" s="299"/>
      <c r="K1143" s="299"/>
      <c r="L1143" s="299"/>
    </row>
    <row r="1144" spans="1:12">
      <c r="A1144" s="299"/>
      <c r="B1144" s="322"/>
      <c r="G1144" s="299"/>
      <c r="H1144" s="299"/>
      <c r="I1144" s="299"/>
      <c r="J1144" s="299"/>
      <c r="K1144" s="299"/>
      <c r="L1144" s="299"/>
    </row>
    <row r="1145" spans="1:12">
      <c r="A1145" s="299"/>
      <c r="B1145" s="322"/>
      <c r="G1145" s="299"/>
      <c r="H1145" s="299"/>
      <c r="I1145" s="299"/>
      <c r="J1145" s="299"/>
      <c r="K1145" s="299"/>
      <c r="L1145" s="299"/>
    </row>
    <row r="1146" spans="1:12">
      <c r="A1146" s="299"/>
      <c r="B1146" s="322"/>
      <c r="G1146" s="299"/>
      <c r="H1146" s="299"/>
      <c r="I1146" s="299"/>
      <c r="J1146" s="299"/>
      <c r="K1146" s="299"/>
      <c r="L1146" s="299"/>
    </row>
    <row r="1147" spans="1:12">
      <c r="A1147" s="299"/>
      <c r="B1147" s="322"/>
      <c r="G1147" s="299"/>
      <c r="H1147" s="299"/>
      <c r="I1147" s="299"/>
      <c r="J1147" s="299"/>
      <c r="K1147" s="299"/>
      <c r="L1147" s="299"/>
    </row>
    <row r="1148" spans="1:12">
      <c r="A1148" s="299"/>
      <c r="B1148" s="322"/>
      <c r="G1148" s="299"/>
      <c r="H1148" s="299"/>
      <c r="I1148" s="299"/>
      <c r="J1148" s="299"/>
      <c r="K1148" s="299"/>
      <c r="L1148" s="299"/>
    </row>
    <row r="1149" spans="1:12">
      <c r="A1149" s="299"/>
      <c r="B1149" s="322"/>
      <c r="G1149" s="299"/>
      <c r="H1149" s="299"/>
      <c r="I1149" s="299"/>
      <c r="J1149" s="299"/>
      <c r="K1149" s="299"/>
      <c r="L1149" s="299"/>
    </row>
    <row r="1150" spans="1:12">
      <c r="A1150" s="299"/>
      <c r="B1150" s="322"/>
      <c r="G1150" s="299"/>
      <c r="H1150" s="299"/>
      <c r="I1150" s="299"/>
      <c r="J1150" s="299"/>
      <c r="K1150" s="299"/>
      <c r="L1150" s="299"/>
    </row>
    <row r="1151" spans="1:12">
      <c r="A1151" s="299"/>
      <c r="B1151" s="322"/>
      <c r="G1151" s="299"/>
      <c r="H1151" s="299"/>
      <c r="I1151" s="299"/>
      <c r="J1151" s="299"/>
      <c r="K1151" s="299"/>
      <c r="L1151" s="299"/>
    </row>
    <row r="1152" spans="1:12">
      <c r="A1152" s="299"/>
      <c r="B1152" s="322"/>
      <c r="G1152" s="299"/>
      <c r="H1152" s="299"/>
      <c r="I1152" s="299"/>
      <c r="J1152" s="299"/>
      <c r="K1152" s="299"/>
      <c r="L1152" s="299"/>
    </row>
    <row r="1153" spans="1:12">
      <c r="A1153" s="299"/>
      <c r="B1153" s="322"/>
      <c r="G1153" s="299"/>
      <c r="H1153" s="299"/>
      <c r="I1153" s="299"/>
      <c r="J1153" s="299"/>
      <c r="K1153" s="299"/>
      <c r="L1153" s="299"/>
    </row>
    <row r="1154" spans="1:12">
      <c r="A1154" s="299"/>
      <c r="B1154" s="322"/>
      <c r="G1154" s="299"/>
      <c r="H1154" s="299"/>
      <c r="I1154" s="299"/>
      <c r="J1154" s="299"/>
      <c r="K1154" s="299"/>
      <c r="L1154" s="299"/>
    </row>
    <row r="1155" spans="1:12">
      <c r="A1155" s="299"/>
      <c r="B1155" s="322"/>
      <c r="G1155" s="299"/>
      <c r="H1155" s="299"/>
      <c r="I1155" s="299"/>
      <c r="J1155" s="299"/>
      <c r="K1155" s="299"/>
      <c r="L1155" s="299"/>
    </row>
    <row r="1156" spans="1:12">
      <c r="A1156" s="299"/>
      <c r="B1156" s="322"/>
      <c r="G1156" s="299"/>
      <c r="H1156" s="299"/>
      <c r="I1156" s="299"/>
      <c r="J1156" s="299"/>
      <c r="K1156" s="299"/>
      <c r="L1156" s="299"/>
    </row>
    <row r="1157" spans="1:12">
      <c r="A1157" s="299"/>
      <c r="B1157" s="322"/>
      <c r="G1157" s="299"/>
      <c r="H1157" s="299"/>
      <c r="I1157" s="299"/>
      <c r="J1157" s="299"/>
      <c r="K1157" s="299"/>
      <c r="L1157" s="299"/>
    </row>
    <row r="1158" spans="1:12">
      <c r="A1158" s="299"/>
      <c r="B1158" s="322"/>
      <c r="G1158" s="299"/>
      <c r="H1158" s="299"/>
      <c r="I1158" s="299"/>
      <c r="J1158" s="299"/>
      <c r="K1158" s="299"/>
      <c r="L1158" s="299"/>
    </row>
    <row r="1159" spans="1:12">
      <c r="A1159" s="299"/>
      <c r="B1159" s="322"/>
      <c r="G1159" s="299"/>
      <c r="H1159" s="299"/>
      <c r="I1159" s="299"/>
      <c r="J1159" s="299"/>
      <c r="K1159" s="299"/>
      <c r="L1159" s="299"/>
    </row>
    <row r="1160" spans="1:12">
      <c r="A1160" s="299"/>
      <c r="B1160" s="322"/>
      <c r="G1160" s="299"/>
      <c r="H1160" s="299"/>
      <c r="I1160" s="299"/>
      <c r="J1160" s="299"/>
      <c r="K1160" s="299"/>
      <c r="L1160" s="299"/>
    </row>
    <row r="1161" spans="1:12">
      <c r="A1161" s="299"/>
      <c r="B1161" s="322"/>
      <c r="G1161" s="299"/>
      <c r="H1161" s="299"/>
      <c r="I1161" s="299"/>
      <c r="J1161" s="299"/>
      <c r="K1161" s="299"/>
      <c r="L1161" s="299"/>
    </row>
    <row r="1162" spans="1:12">
      <c r="A1162" s="299"/>
      <c r="B1162" s="322"/>
      <c r="G1162" s="299"/>
      <c r="H1162" s="299"/>
      <c r="I1162" s="299"/>
      <c r="J1162" s="299"/>
      <c r="K1162" s="299"/>
      <c r="L1162" s="299"/>
    </row>
    <row r="1163" spans="1:12">
      <c r="A1163" s="299"/>
      <c r="B1163" s="322"/>
      <c r="G1163" s="299"/>
      <c r="H1163" s="299"/>
      <c r="I1163" s="299"/>
      <c r="J1163" s="299"/>
      <c r="K1163" s="299"/>
      <c r="L1163" s="299"/>
    </row>
    <row r="1164" spans="1:12">
      <c r="A1164" s="299"/>
      <c r="B1164" s="322"/>
      <c r="G1164" s="299"/>
      <c r="H1164" s="299"/>
      <c r="I1164" s="299"/>
      <c r="J1164" s="299"/>
      <c r="K1164" s="299"/>
      <c r="L1164" s="299"/>
    </row>
    <row r="1165" spans="1:12">
      <c r="A1165" s="299"/>
      <c r="B1165" s="322"/>
      <c r="G1165" s="299"/>
      <c r="H1165" s="299"/>
      <c r="I1165" s="299"/>
      <c r="J1165" s="299"/>
      <c r="K1165" s="299"/>
      <c r="L1165" s="299"/>
    </row>
    <row r="1166" spans="1:12">
      <c r="A1166" s="299"/>
      <c r="B1166" s="322"/>
      <c r="G1166" s="299"/>
      <c r="H1166" s="299"/>
      <c r="I1166" s="299"/>
      <c r="J1166" s="299"/>
      <c r="K1166" s="299"/>
      <c r="L1166" s="299"/>
    </row>
    <row r="1167" spans="1:12">
      <c r="A1167" s="299"/>
      <c r="B1167" s="322"/>
      <c r="G1167" s="299"/>
      <c r="H1167" s="299"/>
      <c r="I1167" s="299"/>
      <c r="J1167" s="299"/>
      <c r="K1167" s="299"/>
      <c r="L1167" s="299"/>
    </row>
    <row r="1168" spans="1:12">
      <c r="A1168" s="299"/>
      <c r="B1168" s="322"/>
      <c r="G1168" s="299"/>
      <c r="H1168" s="299"/>
      <c r="I1168" s="299"/>
      <c r="J1168" s="299"/>
      <c r="K1168" s="299"/>
      <c r="L1168" s="299"/>
    </row>
    <row r="1169" spans="1:12">
      <c r="A1169" s="299"/>
      <c r="B1169" s="322"/>
      <c r="G1169" s="299"/>
      <c r="H1169" s="299"/>
      <c r="I1169" s="299"/>
      <c r="J1169" s="299"/>
      <c r="K1169" s="299"/>
      <c r="L1169" s="299"/>
    </row>
    <row r="1170" spans="1:12">
      <c r="A1170" s="299"/>
      <c r="B1170" s="322"/>
      <c r="G1170" s="299"/>
      <c r="H1170" s="299"/>
      <c r="I1170" s="299"/>
      <c r="J1170" s="299"/>
      <c r="K1170" s="299"/>
      <c r="L1170" s="299"/>
    </row>
    <row r="1171" spans="1:12">
      <c r="A1171" s="299"/>
      <c r="B1171" s="322"/>
      <c r="G1171" s="299"/>
      <c r="H1171" s="299"/>
      <c r="I1171" s="299"/>
      <c r="J1171" s="299"/>
      <c r="K1171" s="299"/>
      <c r="L1171" s="299"/>
    </row>
    <row r="1172" spans="1:12">
      <c r="A1172" s="299"/>
      <c r="B1172" s="322"/>
      <c r="G1172" s="299"/>
      <c r="H1172" s="299"/>
      <c r="I1172" s="299"/>
      <c r="J1172" s="299"/>
      <c r="K1172" s="299"/>
      <c r="L1172" s="299"/>
    </row>
    <row r="1173" spans="1:12">
      <c r="A1173" s="299"/>
      <c r="B1173" s="322"/>
      <c r="G1173" s="299"/>
      <c r="H1173" s="299"/>
      <c r="I1173" s="299"/>
      <c r="J1173" s="299"/>
      <c r="K1173" s="299"/>
      <c r="L1173" s="299"/>
    </row>
    <row r="1174" spans="1:12">
      <c r="A1174" s="299"/>
      <c r="B1174" s="322"/>
      <c r="G1174" s="299"/>
      <c r="H1174" s="299"/>
      <c r="I1174" s="299"/>
      <c r="J1174" s="299"/>
      <c r="K1174" s="299"/>
      <c r="L1174" s="299"/>
    </row>
    <row r="1175" spans="1:12">
      <c r="A1175" s="299"/>
      <c r="B1175" s="322"/>
      <c r="G1175" s="299"/>
      <c r="H1175" s="299"/>
      <c r="I1175" s="299"/>
      <c r="J1175" s="299"/>
      <c r="K1175" s="299"/>
      <c r="L1175" s="299"/>
    </row>
    <row r="1176" spans="1:12">
      <c r="A1176" s="299"/>
      <c r="B1176" s="322"/>
      <c r="G1176" s="299"/>
      <c r="H1176" s="299"/>
      <c r="I1176" s="299"/>
      <c r="J1176" s="299"/>
      <c r="K1176" s="299"/>
      <c r="L1176" s="299"/>
    </row>
    <row r="1177" spans="1:12">
      <c r="A1177" s="299"/>
      <c r="B1177" s="322"/>
      <c r="G1177" s="299"/>
      <c r="H1177" s="299"/>
      <c r="I1177" s="299"/>
      <c r="J1177" s="299"/>
      <c r="K1177" s="299"/>
      <c r="L1177" s="299"/>
    </row>
    <row r="1178" spans="1:12">
      <c r="A1178" s="299"/>
      <c r="B1178" s="322"/>
      <c r="G1178" s="299"/>
      <c r="H1178" s="299"/>
      <c r="I1178" s="299"/>
      <c r="J1178" s="299"/>
      <c r="K1178" s="299"/>
      <c r="L1178" s="299"/>
    </row>
    <row r="1179" spans="1:12">
      <c r="A1179" s="299"/>
      <c r="B1179" s="322"/>
      <c r="G1179" s="299"/>
      <c r="H1179" s="299"/>
      <c r="I1179" s="299"/>
      <c r="J1179" s="299"/>
      <c r="K1179" s="299"/>
      <c r="L1179" s="299"/>
    </row>
    <row r="1180" spans="1:12">
      <c r="A1180" s="299"/>
      <c r="B1180" s="322"/>
      <c r="G1180" s="299"/>
      <c r="H1180" s="299"/>
      <c r="I1180" s="299"/>
      <c r="J1180" s="299"/>
      <c r="K1180" s="299"/>
      <c r="L1180" s="299"/>
    </row>
    <row r="1181" spans="1:12">
      <c r="A1181" s="299"/>
      <c r="B1181" s="322"/>
      <c r="G1181" s="299"/>
      <c r="H1181" s="299"/>
      <c r="I1181" s="299"/>
      <c r="J1181" s="299"/>
      <c r="K1181" s="299"/>
      <c r="L1181" s="299"/>
    </row>
    <row r="1182" spans="1:12">
      <c r="A1182" s="299"/>
      <c r="B1182" s="322"/>
      <c r="G1182" s="299"/>
      <c r="H1182" s="299"/>
      <c r="I1182" s="299"/>
      <c r="J1182" s="299"/>
      <c r="K1182" s="299"/>
      <c r="L1182" s="299"/>
    </row>
    <row r="1183" spans="1:12">
      <c r="A1183" s="299"/>
      <c r="B1183" s="322"/>
      <c r="G1183" s="299"/>
      <c r="H1183" s="299"/>
      <c r="I1183" s="299"/>
      <c r="J1183" s="299"/>
      <c r="K1183" s="299"/>
      <c r="L1183" s="299"/>
    </row>
    <row r="1184" spans="1:12">
      <c r="A1184" s="299"/>
      <c r="B1184" s="322"/>
      <c r="G1184" s="299"/>
      <c r="H1184" s="299"/>
      <c r="I1184" s="299"/>
      <c r="J1184" s="299"/>
      <c r="K1184" s="299"/>
      <c r="L1184" s="299"/>
    </row>
    <row r="1185" spans="1:12">
      <c r="A1185" s="299"/>
      <c r="B1185" s="322"/>
      <c r="G1185" s="299"/>
      <c r="H1185" s="299"/>
      <c r="I1185" s="299"/>
      <c r="J1185" s="299"/>
      <c r="K1185" s="299"/>
      <c r="L1185" s="299"/>
    </row>
    <row r="1186" spans="1:12">
      <c r="A1186" s="299"/>
      <c r="B1186" s="322"/>
      <c r="G1186" s="299"/>
      <c r="H1186" s="299"/>
      <c r="I1186" s="299"/>
      <c r="J1186" s="299"/>
      <c r="K1186" s="299"/>
      <c r="L1186" s="299"/>
    </row>
    <row r="1187" spans="1:12">
      <c r="A1187" s="299"/>
      <c r="B1187" s="322"/>
      <c r="G1187" s="299"/>
      <c r="H1187" s="299"/>
      <c r="I1187" s="299"/>
      <c r="J1187" s="299"/>
      <c r="K1187" s="299"/>
      <c r="L1187" s="299"/>
    </row>
    <row r="1188" spans="1:12">
      <c r="A1188" s="299"/>
      <c r="B1188" s="322"/>
      <c r="G1188" s="299"/>
      <c r="H1188" s="299"/>
      <c r="I1188" s="299"/>
      <c r="J1188" s="299"/>
      <c r="K1188" s="299"/>
      <c r="L1188" s="299"/>
    </row>
    <row r="1189" spans="1:12">
      <c r="A1189" s="299"/>
      <c r="B1189" s="322"/>
      <c r="G1189" s="299"/>
      <c r="H1189" s="299"/>
      <c r="I1189" s="299"/>
      <c r="J1189" s="299"/>
      <c r="K1189" s="299"/>
      <c r="L1189" s="299"/>
    </row>
    <row r="1190" spans="1:12">
      <c r="A1190" s="299"/>
      <c r="B1190" s="322"/>
      <c r="G1190" s="299"/>
      <c r="H1190" s="299"/>
      <c r="I1190" s="299"/>
      <c r="J1190" s="299"/>
      <c r="K1190" s="299"/>
      <c r="L1190" s="299"/>
    </row>
    <row r="1191" spans="1:12">
      <c r="A1191" s="299"/>
      <c r="B1191" s="322"/>
      <c r="G1191" s="299"/>
      <c r="H1191" s="299"/>
      <c r="I1191" s="299"/>
      <c r="J1191" s="299"/>
      <c r="K1191" s="299"/>
      <c r="L1191" s="299"/>
    </row>
    <row r="1192" spans="1:12">
      <c r="A1192" s="299"/>
      <c r="B1192" s="322"/>
      <c r="G1192" s="299"/>
      <c r="H1192" s="299"/>
      <c r="I1192" s="299"/>
      <c r="J1192" s="299"/>
      <c r="K1192" s="299"/>
      <c r="L1192" s="299"/>
    </row>
    <row r="1193" spans="1:12">
      <c r="A1193" s="299"/>
      <c r="B1193" s="322"/>
      <c r="G1193" s="299"/>
      <c r="H1193" s="299"/>
      <c r="I1193" s="299"/>
      <c r="J1193" s="299"/>
      <c r="K1193" s="299"/>
      <c r="L1193" s="299"/>
    </row>
    <row r="1194" spans="1:12">
      <c r="A1194" s="299"/>
      <c r="B1194" s="322"/>
      <c r="G1194" s="299"/>
      <c r="H1194" s="299"/>
      <c r="I1194" s="299"/>
      <c r="J1194" s="299"/>
      <c r="K1194" s="299"/>
      <c r="L1194" s="299"/>
    </row>
    <row r="1195" spans="1:12">
      <c r="A1195" s="299"/>
      <c r="B1195" s="322"/>
      <c r="G1195" s="299"/>
      <c r="H1195" s="299"/>
      <c r="I1195" s="299"/>
      <c r="J1195" s="299"/>
      <c r="K1195" s="299"/>
      <c r="L1195" s="299"/>
    </row>
    <row r="1196" spans="1:12">
      <c r="A1196" s="299"/>
      <c r="B1196" s="322"/>
      <c r="G1196" s="299"/>
      <c r="H1196" s="299"/>
      <c r="I1196" s="299"/>
      <c r="J1196" s="299"/>
      <c r="K1196" s="299"/>
      <c r="L1196" s="299"/>
    </row>
    <row r="1197" spans="1:12">
      <c r="A1197" s="299"/>
      <c r="B1197" s="322"/>
      <c r="G1197" s="299"/>
      <c r="H1197" s="299"/>
      <c r="I1197" s="299"/>
      <c r="J1197" s="299"/>
      <c r="K1197" s="299"/>
      <c r="L1197" s="299"/>
    </row>
    <row r="1198" spans="1:12">
      <c r="A1198" s="299"/>
      <c r="B1198" s="322"/>
      <c r="G1198" s="299"/>
      <c r="H1198" s="299"/>
      <c r="I1198" s="299"/>
      <c r="J1198" s="299"/>
      <c r="K1198" s="299"/>
      <c r="L1198" s="299"/>
    </row>
    <row r="1199" spans="1:12">
      <c r="A1199" s="299"/>
      <c r="B1199" s="322"/>
      <c r="G1199" s="299"/>
      <c r="H1199" s="299"/>
      <c r="I1199" s="299"/>
      <c r="J1199" s="299"/>
      <c r="K1199" s="299"/>
      <c r="L1199" s="299"/>
    </row>
    <row r="1200" spans="1:12">
      <c r="A1200" s="299"/>
      <c r="B1200" s="322"/>
      <c r="G1200" s="299"/>
      <c r="H1200" s="299"/>
      <c r="I1200" s="299"/>
      <c r="J1200" s="299"/>
      <c r="K1200" s="299"/>
      <c r="L1200" s="299"/>
    </row>
    <row r="1201" spans="1:12">
      <c r="A1201" s="299"/>
      <c r="B1201" s="322"/>
      <c r="G1201" s="299"/>
      <c r="H1201" s="299"/>
      <c r="I1201" s="299"/>
      <c r="J1201" s="299"/>
      <c r="K1201" s="299"/>
      <c r="L1201" s="299"/>
    </row>
    <row r="1202" spans="1:12">
      <c r="A1202" s="299"/>
      <c r="B1202" s="322"/>
      <c r="G1202" s="299"/>
      <c r="H1202" s="299"/>
      <c r="I1202" s="299"/>
      <c r="J1202" s="299"/>
      <c r="K1202" s="299"/>
      <c r="L1202" s="299"/>
    </row>
    <row r="1203" spans="1:12">
      <c r="A1203" s="299"/>
      <c r="B1203" s="322"/>
      <c r="G1203" s="299"/>
      <c r="H1203" s="299"/>
      <c r="I1203" s="299"/>
      <c r="J1203" s="299"/>
      <c r="K1203" s="299"/>
      <c r="L1203" s="299"/>
    </row>
    <row r="1204" spans="1:12">
      <c r="A1204" s="299"/>
      <c r="B1204" s="322"/>
      <c r="G1204" s="299"/>
      <c r="H1204" s="299"/>
      <c r="I1204" s="299"/>
      <c r="J1204" s="299"/>
      <c r="K1204" s="299"/>
      <c r="L1204" s="299"/>
    </row>
    <row r="1205" spans="1:12">
      <c r="A1205" s="299"/>
      <c r="B1205" s="322"/>
      <c r="G1205" s="299"/>
      <c r="H1205" s="299"/>
      <c r="I1205" s="299"/>
      <c r="J1205" s="299"/>
      <c r="K1205" s="299"/>
      <c r="L1205" s="299"/>
    </row>
    <row r="1206" spans="1:12">
      <c r="A1206" s="299"/>
      <c r="B1206" s="322"/>
      <c r="G1206" s="299"/>
      <c r="H1206" s="299"/>
      <c r="I1206" s="299"/>
      <c r="J1206" s="299"/>
      <c r="K1206" s="299"/>
      <c r="L1206" s="299"/>
    </row>
    <row r="1207" spans="1:12">
      <c r="A1207" s="299"/>
      <c r="B1207" s="322"/>
      <c r="G1207" s="299"/>
      <c r="H1207" s="299"/>
      <c r="I1207" s="299"/>
      <c r="J1207" s="299"/>
      <c r="K1207" s="299"/>
      <c r="L1207" s="299"/>
    </row>
    <row r="1208" spans="1:12">
      <c r="A1208" s="299"/>
      <c r="B1208" s="322"/>
      <c r="G1208" s="299"/>
      <c r="H1208" s="299"/>
      <c r="I1208" s="299"/>
      <c r="J1208" s="299"/>
      <c r="K1208" s="299"/>
      <c r="L1208" s="299"/>
    </row>
    <row r="1209" spans="1:12">
      <c r="A1209" s="299"/>
      <c r="B1209" s="322"/>
      <c r="G1209" s="299"/>
      <c r="H1209" s="299"/>
      <c r="I1209" s="299"/>
      <c r="J1209" s="299"/>
      <c r="K1209" s="299"/>
      <c r="L1209" s="299"/>
    </row>
    <row r="1210" spans="1:12">
      <c r="A1210" s="299"/>
      <c r="B1210" s="322"/>
      <c r="G1210" s="299"/>
      <c r="H1210" s="299"/>
      <c r="I1210" s="299"/>
      <c r="J1210" s="299"/>
      <c r="K1210" s="299"/>
      <c r="L1210" s="299"/>
    </row>
    <row r="1211" spans="1:12">
      <c r="A1211" s="299"/>
      <c r="B1211" s="322"/>
      <c r="G1211" s="299"/>
      <c r="H1211" s="299"/>
      <c r="I1211" s="299"/>
      <c r="J1211" s="299"/>
      <c r="K1211" s="299"/>
      <c r="L1211" s="299"/>
    </row>
    <row r="1212" spans="1:12">
      <c r="A1212" s="299"/>
      <c r="B1212" s="322"/>
      <c r="G1212" s="299"/>
      <c r="H1212" s="299"/>
      <c r="I1212" s="299"/>
      <c r="J1212" s="299"/>
      <c r="K1212" s="299"/>
      <c r="L1212" s="299"/>
    </row>
    <row r="1213" spans="1:12">
      <c r="A1213" s="299"/>
      <c r="B1213" s="322"/>
      <c r="G1213" s="299"/>
      <c r="H1213" s="299"/>
      <c r="I1213" s="299"/>
      <c r="J1213" s="299"/>
      <c r="K1213" s="299"/>
      <c r="L1213" s="299"/>
    </row>
    <row r="1214" spans="1:12">
      <c r="A1214" s="299"/>
      <c r="B1214" s="322"/>
      <c r="G1214" s="299"/>
      <c r="H1214" s="299"/>
      <c r="I1214" s="299"/>
      <c r="J1214" s="299"/>
      <c r="K1214" s="299"/>
      <c r="L1214" s="299"/>
    </row>
    <row r="1215" spans="1:12">
      <c r="A1215" s="299"/>
      <c r="B1215" s="322"/>
      <c r="G1215" s="299"/>
      <c r="H1215" s="299"/>
      <c r="I1215" s="299"/>
      <c r="J1215" s="299"/>
      <c r="K1215" s="299"/>
      <c r="L1215" s="299"/>
    </row>
    <row r="1216" spans="1:12">
      <c r="A1216" s="299"/>
      <c r="B1216" s="322"/>
      <c r="G1216" s="299"/>
      <c r="H1216" s="299"/>
      <c r="I1216" s="299"/>
      <c r="J1216" s="299"/>
      <c r="K1216" s="299"/>
      <c r="L1216" s="299"/>
    </row>
    <row r="1217" spans="1:12">
      <c r="A1217" s="299"/>
      <c r="B1217" s="322"/>
      <c r="G1217" s="299"/>
      <c r="H1217" s="299"/>
      <c r="I1217" s="299"/>
      <c r="J1217" s="299"/>
      <c r="K1217" s="299"/>
      <c r="L1217" s="299"/>
    </row>
    <row r="1218" spans="1:12">
      <c r="A1218" s="299"/>
      <c r="B1218" s="322"/>
      <c r="G1218" s="299"/>
      <c r="H1218" s="299"/>
      <c r="I1218" s="299"/>
      <c r="J1218" s="299"/>
      <c r="K1218" s="299"/>
      <c r="L1218" s="299"/>
    </row>
    <row r="1219" spans="1:12">
      <c r="A1219" s="299"/>
      <c r="B1219" s="322"/>
      <c r="G1219" s="299"/>
      <c r="H1219" s="299"/>
      <c r="I1219" s="299"/>
      <c r="J1219" s="299"/>
      <c r="K1219" s="299"/>
      <c r="L1219" s="299"/>
    </row>
    <row r="1220" spans="1:12">
      <c r="A1220" s="299"/>
      <c r="B1220" s="322"/>
      <c r="G1220" s="299"/>
      <c r="H1220" s="299"/>
      <c r="I1220" s="299"/>
      <c r="J1220" s="299"/>
      <c r="K1220" s="299"/>
      <c r="L1220" s="299"/>
    </row>
    <row r="1221" spans="1:12">
      <c r="A1221" s="299"/>
      <c r="B1221" s="322"/>
      <c r="G1221" s="299"/>
      <c r="H1221" s="299"/>
      <c r="I1221" s="299"/>
      <c r="J1221" s="299"/>
      <c r="K1221" s="299"/>
      <c r="L1221" s="299"/>
    </row>
    <row r="1222" spans="1:12">
      <c r="A1222" s="299"/>
      <c r="B1222" s="322"/>
      <c r="G1222" s="299"/>
      <c r="H1222" s="299"/>
      <c r="I1222" s="299"/>
      <c r="J1222" s="299"/>
      <c r="K1222" s="299"/>
      <c r="L1222" s="299"/>
    </row>
    <row r="1223" spans="1:12">
      <c r="A1223" s="299"/>
      <c r="B1223" s="322"/>
      <c r="G1223" s="299"/>
      <c r="H1223" s="299"/>
      <c r="I1223" s="299"/>
      <c r="J1223" s="299"/>
      <c r="K1223" s="299"/>
      <c r="L1223" s="299"/>
    </row>
    <row r="1224" spans="1:12">
      <c r="A1224" s="299"/>
      <c r="B1224" s="322"/>
      <c r="G1224" s="299"/>
      <c r="H1224" s="299"/>
      <c r="I1224" s="299"/>
      <c r="J1224" s="299"/>
      <c r="K1224" s="299"/>
      <c r="L1224" s="299"/>
    </row>
    <row r="1225" spans="1:12">
      <c r="A1225" s="299"/>
      <c r="B1225" s="322"/>
      <c r="G1225" s="299"/>
      <c r="H1225" s="299"/>
      <c r="I1225" s="299"/>
      <c r="J1225" s="299"/>
      <c r="K1225" s="299"/>
      <c r="L1225" s="299"/>
    </row>
    <row r="1226" spans="1:12">
      <c r="A1226" s="299"/>
      <c r="B1226" s="322"/>
      <c r="G1226" s="299"/>
      <c r="H1226" s="299"/>
      <c r="I1226" s="299"/>
      <c r="J1226" s="299"/>
      <c r="K1226" s="299"/>
      <c r="L1226" s="299"/>
    </row>
    <row r="1227" spans="1:12">
      <c r="A1227" s="299"/>
      <c r="B1227" s="322"/>
      <c r="G1227" s="299"/>
      <c r="H1227" s="299"/>
      <c r="I1227" s="299"/>
      <c r="J1227" s="299"/>
      <c r="K1227" s="299"/>
      <c r="L1227" s="299"/>
    </row>
    <row r="1228" spans="1:12">
      <c r="A1228" s="299"/>
      <c r="B1228" s="322"/>
      <c r="G1228" s="299"/>
      <c r="H1228" s="299"/>
      <c r="I1228" s="299"/>
      <c r="J1228" s="299"/>
      <c r="K1228" s="299"/>
      <c r="L1228" s="299"/>
    </row>
    <row r="1229" spans="1:12">
      <c r="A1229" s="299"/>
      <c r="B1229" s="322"/>
      <c r="G1229" s="299"/>
      <c r="H1229" s="299"/>
      <c r="I1229" s="299"/>
      <c r="J1229" s="299"/>
      <c r="K1229" s="299"/>
      <c r="L1229" s="299"/>
    </row>
    <row r="1230" spans="1:12">
      <c r="A1230" s="299"/>
      <c r="B1230" s="322"/>
      <c r="G1230" s="299"/>
      <c r="H1230" s="299"/>
      <c r="I1230" s="299"/>
      <c r="J1230" s="299"/>
      <c r="K1230" s="299"/>
      <c r="L1230" s="299"/>
    </row>
    <row r="1231" spans="1:12">
      <c r="A1231" s="299"/>
      <c r="B1231" s="322"/>
      <c r="G1231" s="299"/>
      <c r="H1231" s="299"/>
      <c r="I1231" s="299"/>
      <c r="J1231" s="299"/>
      <c r="K1231" s="299"/>
      <c r="L1231" s="299"/>
    </row>
    <row r="1232" spans="1:12">
      <c r="A1232" s="299"/>
      <c r="B1232" s="322"/>
      <c r="G1232" s="299"/>
      <c r="H1232" s="299"/>
      <c r="I1232" s="299"/>
      <c r="J1232" s="299"/>
      <c r="K1232" s="299"/>
      <c r="L1232" s="299"/>
    </row>
    <row r="1233" spans="1:12">
      <c r="A1233" s="299"/>
      <c r="B1233" s="322"/>
      <c r="G1233" s="299"/>
      <c r="H1233" s="299"/>
      <c r="I1233" s="299"/>
      <c r="J1233" s="299"/>
      <c r="K1233" s="299"/>
      <c r="L1233" s="299"/>
    </row>
    <row r="1234" spans="1:12">
      <c r="A1234" s="299"/>
      <c r="B1234" s="322"/>
      <c r="G1234" s="299"/>
      <c r="H1234" s="299"/>
      <c r="I1234" s="299"/>
      <c r="J1234" s="299"/>
      <c r="K1234" s="299"/>
      <c r="L1234" s="299"/>
    </row>
    <row r="1235" spans="1:12">
      <c r="A1235" s="299"/>
      <c r="B1235" s="322"/>
      <c r="G1235" s="299"/>
      <c r="H1235" s="299"/>
      <c r="I1235" s="299"/>
      <c r="J1235" s="299"/>
      <c r="K1235" s="299"/>
      <c r="L1235" s="299"/>
    </row>
    <row r="1236" spans="1:12">
      <c r="A1236" s="299"/>
      <c r="B1236" s="322"/>
      <c r="G1236" s="299"/>
      <c r="H1236" s="299"/>
      <c r="I1236" s="299"/>
      <c r="J1236" s="299"/>
      <c r="K1236" s="299"/>
      <c r="L1236" s="299"/>
    </row>
    <row r="1237" spans="1:12">
      <c r="A1237" s="299"/>
      <c r="B1237" s="322"/>
      <c r="G1237" s="299"/>
      <c r="H1237" s="299"/>
      <c r="I1237" s="299"/>
      <c r="J1237" s="299"/>
      <c r="K1237" s="299"/>
      <c r="L1237" s="299"/>
    </row>
    <row r="1238" spans="1:12">
      <c r="A1238" s="299"/>
      <c r="B1238" s="322"/>
      <c r="G1238" s="299"/>
      <c r="H1238" s="299"/>
      <c r="I1238" s="299"/>
      <c r="J1238" s="299"/>
      <c r="K1238" s="299"/>
      <c r="L1238" s="299"/>
    </row>
    <row r="1239" spans="1:12">
      <c r="A1239" s="299"/>
      <c r="B1239" s="322"/>
      <c r="G1239" s="299"/>
      <c r="H1239" s="299"/>
      <c r="I1239" s="299"/>
      <c r="J1239" s="299"/>
      <c r="K1239" s="299"/>
      <c r="L1239" s="299"/>
    </row>
    <row r="1240" spans="1:12">
      <c r="A1240" s="299"/>
      <c r="B1240" s="322"/>
      <c r="G1240" s="299"/>
      <c r="H1240" s="299"/>
      <c r="I1240" s="299"/>
      <c r="J1240" s="299"/>
      <c r="K1240" s="299"/>
      <c r="L1240" s="299"/>
    </row>
    <row r="1241" spans="1:12">
      <c r="A1241" s="299"/>
      <c r="B1241" s="322"/>
      <c r="G1241" s="299"/>
      <c r="H1241" s="299"/>
      <c r="I1241" s="299"/>
      <c r="J1241" s="299"/>
      <c r="K1241" s="299"/>
      <c r="L1241" s="299"/>
    </row>
    <row r="1242" spans="1:12">
      <c r="A1242" s="299"/>
      <c r="B1242" s="322"/>
      <c r="G1242" s="299"/>
      <c r="H1242" s="299"/>
      <c r="I1242" s="299"/>
      <c r="J1242" s="299"/>
      <c r="K1242" s="299"/>
      <c r="L1242" s="299"/>
    </row>
    <row r="1243" spans="1:12">
      <c r="A1243" s="299"/>
      <c r="B1243" s="322"/>
      <c r="G1243" s="299"/>
      <c r="H1243" s="299"/>
      <c r="I1243" s="299"/>
      <c r="J1243" s="299"/>
      <c r="K1243" s="299"/>
      <c r="L1243" s="299"/>
    </row>
    <row r="1244" spans="1:12">
      <c r="A1244" s="299"/>
      <c r="B1244" s="322"/>
      <c r="G1244" s="299"/>
      <c r="H1244" s="299"/>
      <c r="I1244" s="299"/>
      <c r="J1244" s="299"/>
      <c r="K1244" s="299"/>
      <c r="L1244" s="299"/>
    </row>
    <row r="1245" spans="1:12">
      <c r="A1245" s="299"/>
      <c r="B1245" s="322"/>
      <c r="G1245" s="299"/>
      <c r="H1245" s="299"/>
      <c r="I1245" s="299"/>
      <c r="J1245" s="299"/>
      <c r="K1245" s="299"/>
      <c r="L1245" s="299"/>
    </row>
    <row r="1246" spans="1:12">
      <c r="A1246" s="299"/>
      <c r="B1246" s="322"/>
      <c r="G1246" s="299"/>
      <c r="H1246" s="299"/>
      <c r="I1246" s="299"/>
      <c r="J1246" s="299"/>
      <c r="K1246" s="299"/>
      <c r="L1246" s="299"/>
    </row>
    <row r="1247" spans="1:12">
      <c r="A1247" s="299"/>
      <c r="B1247" s="322"/>
      <c r="G1247" s="299"/>
      <c r="H1247" s="299"/>
      <c r="I1247" s="299"/>
      <c r="J1247" s="299"/>
      <c r="K1247" s="299"/>
      <c r="L1247" s="299"/>
    </row>
    <row r="1248" spans="1:12">
      <c r="A1248" s="299"/>
      <c r="B1248" s="322"/>
      <c r="G1248" s="299"/>
      <c r="H1248" s="299"/>
      <c r="I1248" s="299"/>
      <c r="J1248" s="299"/>
      <c r="K1248" s="299"/>
      <c r="L1248" s="299"/>
    </row>
    <row r="1249" spans="1:12">
      <c r="A1249" s="299"/>
      <c r="B1249" s="322"/>
      <c r="G1249" s="299"/>
      <c r="H1249" s="299"/>
      <c r="I1249" s="299"/>
      <c r="J1249" s="299"/>
      <c r="K1249" s="299"/>
      <c r="L1249" s="299"/>
    </row>
    <row r="1250" spans="1:12">
      <c r="A1250" s="299"/>
      <c r="B1250" s="322"/>
      <c r="G1250" s="299"/>
      <c r="H1250" s="299"/>
      <c r="I1250" s="299"/>
      <c r="J1250" s="299"/>
      <c r="K1250" s="299"/>
      <c r="L1250" s="299"/>
    </row>
    <row r="1251" spans="1:12">
      <c r="A1251" s="299"/>
      <c r="B1251" s="322"/>
      <c r="G1251" s="299"/>
      <c r="H1251" s="299"/>
      <c r="I1251" s="299"/>
      <c r="J1251" s="299"/>
      <c r="K1251" s="299"/>
      <c r="L1251" s="299"/>
    </row>
    <row r="1252" spans="1:12">
      <c r="A1252" s="299"/>
      <c r="B1252" s="322"/>
      <c r="G1252" s="299"/>
      <c r="H1252" s="299"/>
      <c r="I1252" s="299"/>
      <c r="J1252" s="299"/>
      <c r="K1252" s="299"/>
      <c r="L1252" s="299"/>
    </row>
    <row r="1253" spans="1:12">
      <c r="A1253" s="299"/>
      <c r="B1253" s="322"/>
      <c r="G1253" s="299"/>
      <c r="H1253" s="299"/>
      <c r="I1253" s="299"/>
      <c r="J1253" s="299"/>
      <c r="K1253" s="299"/>
      <c r="L1253" s="299"/>
    </row>
    <row r="1254" spans="1:12">
      <c r="A1254" s="299"/>
      <c r="B1254" s="322"/>
      <c r="G1254" s="299"/>
      <c r="H1254" s="299"/>
      <c r="I1254" s="299"/>
      <c r="J1254" s="299"/>
      <c r="K1254" s="299"/>
      <c r="L1254" s="299"/>
    </row>
    <row r="1255" spans="1:12">
      <c r="A1255" s="299"/>
      <c r="B1255" s="322"/>
      <c r="G1255" s="299"/>
      <c r="H1255" s="299"/>
      <c r="I1255" s="299"/>
      <c r="J1255" s="299"/>
      <c r="K1255" s="299"/>
      <c r="L1255" s="299"/>
    </row>
    <row r="1256" spans="1:12">
      <c r="A1256" s="299"/>
      <c r="B1256" s="322"/>
      <c r="G1256" s="299"/>
      <c r="H1256" s="299"/>
      <c r="I1256" s="299"/>
      <c r="J1256" s="299"/>
      <c r="K1256" s="299"/>
      <c r="L1256" s="299"/>
    </row>
    <row r="1257" spans="1:12">
      <c r="A1257" s="299"/>
      <c r="B1257" s="322"/>
      <c r="G1257" s="299"/>
      <c r="H1257" s="299"/>
      <c r="I1257" s="299"/>
      <c r="J1257" s="299"/>
      <c r="K1257" s="299"/>
      <c r="L1257" s="299"/>
    </row>
    <row r="1258" spans="1:12">
      <c r="A1258" s="299"/>
      <c r="B1258" s="322"/>
      <c r="G1258" s="299"/>
      <c r="H1258" s="299"/>
      <c r="I1258" s="299"/>
      <c r="J1258" s="299"/>
      <c r="K1258" s="299"/>
      <c r="L1258" s="299"/>
    </row>
    <row r="1259" spans="1:12">
      <c r="A1259" s="299"/>
      <c r="B1259" s="322"/>
      <c r="G1259" s="299"/>
      <c r="H1259" s="299"/>
      <c r="I1259" s="299"/>
      <c r="J1259" s="299"/>
      <c r="K1259" s="299"/>
      <c r="L1259" s="299"/>
    </row>
    <row r="1260" spans="1:12">
      <c r="A1260" s="299"/>
      <c r="B1260" s="322"/>
      <c r="G1260" s="299"/>
      <c r="H1260" s="299"/>
      <c r="I1260" s="299"/>
      <c r="J1260" s="299"/>
      <c r="K1260" s="299"/>
      <c r="L1260" s="299"/>
    </row>
    <row r="1261" spans="1:12">
      <c r="A1261" s="299"/>
      <c r="B1261" s="322"/>
      <c r="G1261" s="299"/>
      <c r="H1261" s="299"/>
      <c r="I1261" s="299"/>
      <c r="J1261" s="299"/>
      <c r="K1261" s="299"/>
      <c r="L1261" s="299"/>
    </row>
    <row r="1262" spans="1:12">
      <c r="A1262" s="299"/>
      <c r="B1262" s="322"/>
      <c r="G1262" s="299"/>
      <c r="H1262" s="299"/>
      <c r="I1262" s="299"/>
      <c r="J1262" s="299"/>
      <c r="K1262" s="299"/>
      <c r="L1262" s="299"/>
    </row>
    <row r="1263" spans="1:12">
      <c r="A1263" s="299"/>
      <c r="B1263" s="322"/>
      <c r="G1263" s="299"/>
      <c r="H1263" s="299"/>
      <c r="I1263" s="299"/>
      <c r="J1263" s="299"/>
      <c r="K1263" s="299"/>
      <c r="L1263" s="299"/>
    </row>
    <row r="1264" spans="1:12">
      <c r="A1264" s="299"/>
      <c r="B1264" s="322"/>
      <c r="G1264" s="299"/>
      <c r="H1264" s="299"/>
      <c r="I1264" s="299"/>
      <c r="J1264" s="299"/>
      <c r="K1264" s="299"/>
      <c r="L1264" s="299"/>
    </row>
    <row r="1265" spans="1:12">
      <c r="A1265" s="299"/>
      <c r="B1265" s="322"/>
      <c r="G1265" s="299"/>
      <c r="H1265" s="299"/>
      <c r="I1265" s="299"/>
      <c r="J1265" s="299"/>
      <c r="K1265" s="299"/>
      <c r="L1265" s="299"/>
    </row>
    <row r="1266" spans="1:12">
      <c r="A1266" s="299"/>
      <c r="B1266" s="322"/>
      <c r="G1266" s="299"/>
      <c r="H1266" s="299"/>
      <c r="I1266" s="299"/>
      <c r="J1266" s="299"/>
      <c r="K1266" s="299"/>
      <c r="L1266" s="299"/>
    </row>
    <row r="1267" spans="1:12">
      <c r="A1267" s="299"/>
      <c r="B1267" s="322"/>
      <c r="G1267" s="299"/>
      <c r="H1267" s="299"/>
      <c r="I1267" s="299"/>
      <c r="J1267" s="299"/>
      <c r="K1267" s="299"/>
      <c r="L1267" s="299"/>
    </row>
    <row r="1268" spans="1:12">
      <c r="A1268" s="299"/>
      <c r="B1268" s="322"/>
      <c r="G1268" s="299"/>
      <c r="H1268" s="299"/>
      <c r="I1268" s="299"/>
      <c r="J1268" s="299"/>
      <c r="K1268" s="299"/>
      <c r="L1268" s="299"/>
    </row>
    <row r="1269" spans="1:12">
      <c r="A1269" s="299"/>
      <c r="B1269" s="322"/>
      <c r="G1269" s="299"/>
      <c r="H1269" s="299"/>
      <c r="I1269" s="299"/>
      <c r="J1269" s="299"/>
      <c r="K1269" s="299"/>
      <c r="L1269" s="299"/>
    </row>
    <row r="1270" spans="1:12">
      <c r="A1270" s="299"/>
      <c r="B1270" s="322"/>
      <c r="G1270" s="299"/>
      <c r="H1270" s="299"/>
      <c r="I1270" s="299"/>
      <c r="J1270" s="299"/>
      <c r="K1270" s="299"/>
      <c r="L1270" s="299"/>
    </row>
    <row r="1271" spans="1:12">
      <c r="A1271" s="299"/>
      <c r="B1271" s="322"/>
      <c r="G1271" s="299"/>
      <c r="H1271" s="299"/>
      <c r="I1271" s="299"/>
      <c r="J1271" s="299"/>
      <c r="K1271" s="299"/>
      <c r="L1271" s="299"/>
    </row>
    <row r="1272" spans="1:12">
      <c r="A1272" s="299"/>
      <c r="B1272" s="322"/>
      <c r="G1272" s="299"/>
      <c r="H1272" s="299"/>
      <c r="I1272" s="299"/>
      <c r="J1272" s="299"/>
      <c r="K1272" s="299"/>
      <c r="L1272" s="299"/>
    </row>
    <row r="1273" spans="1:12">
      <c r="A1273" s="299"/>
      <c r="B1273" s="322"/>
      <c r="G1273" s="299"/>
      <c r="H1273" s="299"/>
      <c r="I1273" s="299"/>
      <c r="J1273" s="299"/>
      <c r="K1273" s="299"/>
      <c r="L1273" s="299"/>
    </row>
    <row r="1274" spans="1:12">
      <c r="A1274" s="299"/>
      <c r="B1274" s="322"/>
      <c r="G1274" s="299"/>
      <c r="H1274" s="299"/>
      <c r="I1274" s="299"/>
      <c r="J1274" s="299"/>
      <c r="K1274" s="299"/>
      <c r="L1274" s="299"/>
    </row>
    <row r="1275" spans="1:12">
      <c r="A1275" s="299"/>
      <c r="B1275" s="322"/>
      <c r="G1275" s="299"/>
      <c r="H1275" s="299"/>
      <c r="I1275" s="299"/>
      <c r="J1275" s="299"/>
      <c r="K1275" s="299"/>
      <c r="L1275" s="299"/>
    </row>
    <row r="1276" spans="1:12">
      <c r="A1276" s="299"/>
      <c r="B1276" s="322"/>
      <c r="G1276" s="299"/>
      <c r="H1276" s="299"/>
      <c r="I1276" s="299"/>
      <c r="J1276" s="299"/>
      <c r="K1276" s="299"/>
      <c r="L1276" s="299"/>
    </row>
    <row r="1277" spans="1:12">
      <c r="A1277" s="299"/>
      <c r="B1277" s="322"/>
      <c r="G1277" s="299"/>
      <c r="H1277" s="299"/>
      <c r="I1277" s="299"/>
      <c r="J1277" s="299"/>
      <c r="K1277" s="299"/>
      <c r="L1277" s="299"/>
    </row>
    <row r="1278" spans="1:12">
      <c r="A1278" s="299"/>
      <c r="B1278" s="322"/>
      <c r="G1278" s="299"/>
      <c r="H1278" s="299"/>
      <c r="I1278" s="299"/>
      <c r="J1278" s="299"/>
      <c r="K1278" s="299"/>
      <c r="L1278" s="299"/>
    </row>
    <row r="1279" spans="1:12">
      <c r="A1279" s="299"/>
      <c r="B1279" s="322"/>
      <c r="G1279" s="299"/>
      <c r="H1279" s="299"/>
      <c r="I1279" s="299"/>
      <c r="J1279" s="299"/>
      <c r="K1279" s="299"/>
      <c r="L1279" s="299"/>
    </row>
    <row r="1280" spans="1:12">
      <c r="A1280" s="299"/>
      <c r="B1280" s="322"/>
      <c r="G1280" s="299"/>
      <c r="H1280" s="299"/>
      <c r="I1280" s="299"/>
      <c r="J1280" s="299"/>
      <c r="K1280" s="299"/>
      <c r="L1280" s="299"/>
    </row>
    <row r="1281" spans="1:12">
      <c r="A1281" s="299"/>
      <c r="B1281" s="322"/>
      <c r="G1281" s="299"/>
      <c r="H1281" s="299"/>
      <c r="I1281" s="299"/>
      <c r="J1281" s="299"/>
      <c r="K1281" s="299"/>
      <c r="L1281" s="299"/>
    </row>
    <row r="1282" spans="1:12">
      <c r="A1282" s="299"/>
      <c r="B1282" s="322"/>
      <c r="G1282" s="299"/>
      <c r="H1282" s="299"/>
      <c r="I1282" s="299"/>
      <c r="J1282" s="299"/>
      <c r="K1282" s="299"/>
      <c r="L1282" s="299"/>
    </row>
    <row r="1283" spans="1:12">
      <c r="A1283" s="299"/>
      <c r="B1283" s="322"/>
      <c r="G1283" s="299"/>
      <c r="H1283" s="299"/>
      <c r="I1283" s="299"/>
      <c r="J1283" s="299"/>
      <c r="K1283" s="299"/>
      <c r="L1283" s="299"/>
    </row>
    <row r="1284" spans="1:12">
      <c r="A1284" s="299"/>
      <c r="B1284" s="322"/>
      <c r="G1284" s="299"/>
      <c r="H1284" s="299"/>
      <c r="I1284" s="299"/>
      <c r="J1284" s="299"/>
      <c r="K1284" s="299"/>
      <c r="L1284" s="299"/>
    </row>
    <row r="1285" spans="1:12">
      <c r="A1285" s="299"/>
      <c r="B1285" s="322"/>
      <c r="G1285" s="299"/>
      <c r="H1285" s="299"/>
      <c r="I1285" s="299"/>
      <c r="J1285" s="299"/>
      <c r="K1285" s="299"/>
      <c r="L1285" s="299"/>
    </row>
    <row r="1286" spans="1:12">
      <c r="A1286" s="299"/>
      <c r="B1286" s="322"/>
      <c r="G1286" s="299"/>
      <c r="H1286" s="299"/>
      <c r="I1286" s="299"/>
      <c r="J1286" s="299"/>
      <c r="K1286" s="299"/>
      <c r="L1286" s="299"/>
    </row>
    <row r="1287" spans="1:12">
      <c r="A1287" s="299"/>
      <c r="B1287" s="322"/>
      <c r="G1287" s="299"/>
      <c r="H1287" s="299"/>
      <c r="I1287" s="299"/>
      <c r="J1287" s="299"/>
      <c r="K1287" s="299"/>
      <c r="L1287" s="299"/>
    </row>
    <row r="1288" spans="1:12">
      <c r="A1288" s="299"/>
      <c r="B1288" s="322"/>
      <c r="G1288" s="299"/>
      <c r="H1288" s="299"/>
      <c r="I1288" s="299"/>
      <c r="J1288" s="299"/>
      <c r="K1288" s="299"/>
      <c r="L1288" s="299"/>
    </row>
    <row r="1289" spans="1:12">
      <c r="A1289" s="299"/>
      <c r="B1289" s="322"/>
      <c r="G1289" s="299"/>
      <c r="H1289" s="299"/>
      <c r="I1289" s="299"/>
      <c r="J1289" s="299"/>
      <c r="K1289" s="299"/>
      <c r="L1289" s="299"/>
    </row>
    <row r="1290" spans="1:12">
      <c r="A1290" s="299"/>
      <c r="B1290" s="322"/>
      <c r="G1290" s="299"/>
      <c r="H1290" s="299"/>
      <c r="I1290" s="299"/>
      <c r="J1290" s="299"/>
      <c r="K1290" s="299"/>
      <c r="L1290" s="299"/>
    </row>
    <row r="1291" spans="1:12">
      <c r="A1291" s="299"/>
      <c r="B1291" s="322"/>
      <c r="G1291" s="299"/>
      <c r="H1291" s="299"/>
      <c r="I1291" s="299"/>
      <c r="J1291" s="299"/>
      <c r="K1291" s="299"/>
      <c r="L1291" s="299"/>
    </row>
    <row r="1292" spans="1:12">
      <c r="A1292" s="299"/>
      <c r="B1292" s="322"/>
      <c r="G1292" s="299"/>
      <c r="H1292" s="299"/>
      <c r="I1292" s="299"/>
      <c r="J1292" s="299"/>
      <c r="K1292" s="299"/>
      <c r="L1292" s="299"/>
    </row>
    <row r="1293" spans="1:12">
      <c r="A1293" s="299"/>
      <c r="B1293" s="322"/>
      <c r="G1293" s="299"/>
      <c r="H1293" s="299"/>
      <c r="I1293" s="299"/>
      <c r="J1293" s="299"/>
      <c r="K1293" s="299"/>
      <c r="L1293" s="299"/>
    </row>
    <row r="1294" spans="1:12">
      <c r="A1294" s="299"/>
      <c r="B1294" s="322"/>
      <c r="G1294" s="299"/>
      <c r="H1294" s="299"/>
      <c r="I1294" s="299"/>
      <c r="J1294" s="299"/>
      <c r="K1294" s="299"/>
      <c r="L1294" s="299"/>
    </row>
    <row r="1295" spans="1:12">
      <c r="A1295" s="299"/>
      <c r="B1295" s="322"/>
      <c r="G1295" s="299"/>
      <c r="H1295" s="299"/>
      <c r="I1295" s="299"/>
      <c r="J1295" s="299"/>
      <c r="K1295" s="299"/>
      <c r="L1295" s="299"/>
    </row>
    <row r="1296" spans="1:12">
      <c r="A1296" s="299"/>
      <c r="B1296" s="322"/>
      <c r="G1296" s="299"/>
      <c r="H1296" s="299"/>
      <c r="I1296" s="299"/>
      <c r="J1296" s="299"/>
      <c r="K1296" s="299"/>
      <c r="L1296" s="299"/>
    </row>
    <row r="1297" spans="1:12">
      <c r="A1297" s="299"/>
      <c r="B1297" s="322"/>
      <c r="G1297" s="299"/>
      <c r="H1297" s="299"/>
      <c r="I1297" s="299"/>
      <c r="J1297" s="299"/>
      <c r="K1297" s="299"/>
      <c r="L1297" s="299"/>
    </row>
    <row r="1298" spans="1:12">
      <c r="A1298" s="299"/>
      <c r="B1298" s="322"/>
      <c r="G1298" s="299"/>
      <c r="H1298" s="299"/>
      <c r="I1298" s="299"/>
      <c r="J1298" s="299"/>
      <c r="K1298" s="299"/>
      <c r="L1298" s="299"/>
    </row>
    <row r="1299" spans="1:12">
      <c r="A1299" s="299"/>
      <c r="B1299" s="322"/>
      <c r="G1299" s="299"/>
      <c r="H1299" s="299"/>
      <c r="I1299" s="299"/>
      <c r="J1299" s="299"/>
      <c r="K1299" s="299"/>
      <c r="L1299" s="299"/>
    </row>
    <row r="1300" spans="1:12">
      <c r="A1300" s="299"/>
      <c r="B1300" s="322"/>
      <c r="G1300" s="299"/>
      <c r="H1300" s="299"/>
      <c r="I1300" s="299"/>
      <c r="J1300" s="299"/>
      <c r="K1300" s="299"/>
      <c r="L1300" s="299"/>
    </row>
    <row r="1301" spans="1:12">
      <c r="A1301" s="299"/>
      <c r="B1301" s="322"/>
      <c r="G1301" s="299"/>
      <c r="H1301" s="299"/>
      <c r="I1301" s="299"/>
      <c r="J1301" s="299"/>
      <c r="K1301" s="299"/>
      <c r="L1301" s="299"/>
    </row>
    <row r="1302" spans="1:12">
      <c r="A1302" s="299"/>
      <c r="B1302" s="322"/>
      <c r="G1302" s="299"/>
      <c r="H1302" s="299"/>
      <c r="I1302" s="299"/>
      <c r="J1302" s="299"/>
      <c r="K1302" s="299"/>
      <c r="L1302" s="299"/>
    </row>
    <row r="1303" spans="1:12">
      <c r="A1303" s="299"/>
      <c r="B1303" s="322"/>
      <c r="G1303" s="299"/>
      <c r="H1303" s="299"/>
      <c r="I1303" s="299"/>
      <c r="J1303" s="299"/>
      <c r="K1303" s="299"/>
      <c r="L1303" s="299"/>
    </row>
    <row r="1304" spans="1:12">
      <c r="A1304" s="299"/>
      <c r="B1304" s="322"/>
      <c r="G1304" s="299"/>
      <c r="H1304" s="299"/>
      <c r="I1304" s="299"/>
      <c r="J1304" s="299"/>
      <c r="K1304" s="299"/>
      <c r="L1304" s="299"/>
    </row>
    <row r="1305" spans="1:12">
      <c r="A1305" s="299"/>
      <c r="B1305" s="322"/>
      <c r="G1305" s="299"/>
      <c r="H1305" s="299"/>
      <c r="I1305" s="299"/>
      <c r="J1305" s="299"/>
      <c r="K1305" s="299"/>
      <c r="L1305" s="299"/>
    </row>
    <row r="1306" spans="1:12">
      <c r="A1306" s="299"/>
      <c r="B1306" s="322"/>
      <c r="G1306" s="299"/>
      <c r="H1306" s="299"/>
      <c r="I1306" s="299"/>
      <c r="J1306" s="299"/>
      <c r="K1306" s="299"/>
      <c r="L1306" s="299"/>
    </row>
    <row r="1307" spans="1:12">
      <c r="A1307" s="299"/>
      <c r="B1307" s="322"/>
      <c r="G1307" s="299"/>
      <c r="H1307" s="299"/>
      <c r="I1307" s="299"/>
      <c r="J1307" s="299"/>
      <c r="K1307" s="299"/>
      <c r="L1307" s="299"/>
    </row>
    <row r="1308" spans="1:12">
      <c r="A1308" s="299"/>
      <c r="B1308" s="322"/>
      <c r="G1308" s="299"/>
      <c r="H1308" s="299"/>
      <c r="I1308" s="299"/>
      <c r="J1308" s="299"/>
      <c r="K1308" s="299"/>
      <c r="L1308" s="299"/>
    </row>
    <row r="1309" spans="1:12">
      <c r="A1309" s="299"/>
      <c r="B1309" s="322"/>
      <c r="G1309" s="299"/>
      <c r="H1309" s="299"/>
      <c r="I1309" s="299"/>
      <c r="J1309" s="299"/>
      <c r="K1309" s="299"/>
      <c r="L1309" s="299"/>
    </row>
    <row r="1310" spans="1:12">
      <c r="A1310" s="299"/>
      <c r="B1310" s="322"/>
      <c r="G1310" s="299"/>
      <c r="H1310" s="299"/>
      <c r="I1310" s="299"/>
      <c r="J1310" s="299"/>
      <c r="K1310" s="299"/>
      <c r="L1310" s="299"/>
    </row>
    <row r="1311" spans="1:12">
      <c r="A1311" s="299"/>
      <c r="B1311" s="322"/>
      <c r="G1311" s="299"/>
      <c r="H1311" s="299"/>
      <c r="I1311" s="299"/>
      <c r="J1311" s="299"/>
      <c r="K1311" s="299"/>
      <c r="L1311" s="299"/>
    </row>
    <row r="1312" spans="1:12">
      <c r="A1312" s="299"/>
      <c r="B1312" s="322"/>
      <c r="G1312" s="299"/>
      <c r="H1312" s="299"/>
      <c r="I1312" s="299"/>
      <c r="J1312" s="299"/>
      <c r="K1312" s="299"/>
      <c r="L1312" s="299"/>
    </row>
    <row r="1313" spans="1:12">
      <c r="A1313" s="299"/>
      <c r="B1313" s="322"/>
      <c r="G1313" s="299"/>
      <c r="H1313" s="299"/>
      <c r="I1313" s="299"/>
      <c r="J1313" s="299"/>
      <c r="K1313" s="299"/>
      <c r="L1313" s="299"/>
    </row>
    <row r="1314" spans="1:12">
      <c r="A1314" s="299"/>
      <c r="B1314" s="322"/>
      <c r="G1314" s="299"/>
      <c r="H1314" s="299"/>
      <c r="I1314" s="299"/>
      <c r="J1314" s="299"/>
      <c r="K1314" s="299"/>
      <c r="L1314" s="299"/>
    </row>
    <row r="1315" spans="1:12">
      <c r="A1315" s="299"/>
      <c r="B1315" s="322"/>
      <c r="G1315" s="299"/>
      <c r="H1315" s="299"/>
      <c r="I1315" s="299"/>
      <c r="J1315" s="299"/>
      <c r="K1315" s="299"/>
      <c r="L1315" s="299"/>
    </row>
    <row r="1316" spans="1:12">
      <c r="A1316" s="299"/>
      <c r="B1316" s="322"/>
      <c r="G1316" s="299"/>
      <c r="H1316" s="299"/>
      <c r="I1316" s="299"/>
      <c r="J1316" s="299"/>
      <c r="K1316" s="299"/>
      <c r="L1316" s="299"/>
    </row>
    <row r="1317" spans="1:12">
      <c r="A1317" s="299"/>
      <c r="B1317" s="322"/>
      <c r="G1317" s="299"/>
      <c r="H1317" s="299"/>
      <c r="I1317" s="299"/>
      <c r="J1317" s="299"/>
      <c r="K1317" s="299"/>
      <c r="L1317" s="299"/>
    </row>
    <row r="1318" spans="1:12">
      <c r="A1318" s="299"/>
      <c r="B1318" s="322"/>
      <c r="G1318" s="299"/>
      <c r="H1318" s="299"/>
      <c r="I1318" s="299"/>
      <c r="J1318" s="299"/>
      <c r="K1318" s="299"/>
      <c r="L1318" s="299"/>
    </row>
    <row r="1319" spans="1:12">
      <c r="A1319" s="299"/>
      <c r="B1319" s="322"/>
      <c r="G1319" s="299"/>
      <c r="H1319" s="299"/>
      <c r="I1319" s="299"/>
      <c r="J1319" s="299"/>
      <c r="K1319" s="299"/>
      <c r="L1319" s="299"/>
    </row>
    <row r="1320" spans="1:12">
      <c r="A1320" s="299"/>
      <c r="B1320" s="322"/>
      <c r="G1320" s="299"/>
      <c r="H1320" s="299"/>
      <c r="I1320" s="299"/>
      <c r="J1320" s="299"/>
      <c r="K1320" s="299"/>
      <c r="L1320" s="299"/>
    </row>
    <row r="1321" spans="1:12">
      <c r="A1321" s="299"/>
      <c r="B1321" s="322"/>
      <c r="G1321" s="299"/>
      <c r="H1321" s="299"/>
      <c r="I1321" s="299"/>
      <c r="J1321" s="299"/>
      <c r="K1321" s="299"/>
      <c r="L1321" s="299"/>
    </row>
    <row r="1322" spans="1:12">
      <c r="A1322" s="299"/>
      <c r="B1322" s="322"/>
      <c r="G1322" s="299"/>
      <c r="H1322" s="299"/>
      <c r="I1322" s="299"/>
      <c r="J1322" s="299"/>
      <c r="K1322" s="299"/>
      <c r="L1322" s="299"/>
    </row>
    <row r="1323" spans="1:12">
      <c r="A1323" s="299"/>
      <c r="B1323" s="322"/>
      <c r="G1323" s="299"/>
      <c r="H1323" s="299"/>
      <c r="I1323" s="299"/>
      <c r="J1323" s="299"/>
      <c r="K1323" s="299"/>
      <c r="L1323" s="299"/>
    </row>
    <row r="1324" spans="1:12">
      <c r="A1324" s="299"/>
      <c r="B1324" s="322"/>
      <c r="G1324" s="299"/>
      <c r="H1324" s="299"/>
      <c r="I1324" s="299"/>
      <c r="J1324" s="299"/>
      <c r="K1324" s="299"/>
      <c r="L1324" s="299"/>
    </row>
    <row r="1325" spans="1:12">
      <c r="A1325" s="299"/>
      <c r="B1325" s="322"/>
      <c r="G1325" s="299"/>
      <c r="H1325" s="299"/>
      <c r="I1325" s="299"/>
      <c r="J1325" s="299"/>
      <c r="K1325" s="299"/>
      <c r="L1325" s="299"/>
    </row>
    <row r="1326" spans="1:12">
      <c r="A1326" s="299"/>
      <c r="B1326" s="322"/>
      <c r="G1326" s="299"/>
      <c r="H1326" s="299"/>
      <c r="I1326" s="299"/>
      <c r="J1326" s="299"/>
      <c r="K1326" s="299"/>
      <c r="L1326" s="299"/>
    </row>
    <row r="1327" spans="1:12">
      <c r="A1327" s="299"/>
      <c r="B1327" s="322"/>
      <c r="G1327" s="299"/>
      <c r="H1327" s="299"/>
      <c r="I1327" s="299"/>
      <c r="J1327" s="299"/>
      <c r="K1327" s="299"/>
      <c r="L1327" s="299"/>
    </row>
    <row r="1328" spans="1:12">
      <c r="A1328" s="299"/>
      <c r="B1328" s="322"/>
      <c r="G1328" s="299"/>
      <c r="H1328" s="299"/>
      <c r="I1328" s="299"/>
      <c r="J1328" s="299"/>
      <c r="K1328" s="299"/>
      <c r="L1328" s="299"/>
    </row>
    <row r="1329" spans="1:12">
      <c r="A1329" s="299"/>
      <c r="B1329" s="322"/>
      <c r="G1329" s="299"/>
      <c r="H1329" s="299"/>
      <c r="I1329" s="299"/>
      <c r="J1329" s="299"/>
      <c r="K1329" s="299"/>
      <c r="L1329" s="299"/>
    </row>
    <row r="1330" spans="1:12">
      <c r="A1330" s="299"/>
      <c r="B1330" s="322"/>
      <c r="G1330" s="299"/>
      <c r="H1330" s="299"/>
      <c r="I1330" s="299"/>
      <c r="J1330" s="299"/>
      <c r="K1330" s="299"/>
      <c r="L1330" s="299"/>
    </row>
    <row r="1331" spans="1:12">
      <c r="A1331" s="299"/>
      <c r="B1331" s="322"/>
      <c r="G1331" s="299"/>
      <c r="H1331" s="299"/>
      <c r="I1331" s="299"/>
      <c r="J1331" s="299"/>
      <c r="K1331" s="299"/>
      <c r="L1331" s="299"/>
    </row>
    <row r="1332" spans="1:12">
      <c r="A1332" s="299"/>
      <c r="B1332" s="322"/>
      <c r="G1332" s="299"/>
      <c r="H1332" s="299"/>
      <c r="I1332" s="299"/>
      <c r="J1332" s="299"/>
      <c r="K1332" s="299"/>
      <c r="L1332" s="299"/>
    </row>
    <row r="1333" spans="1:12">
      <c r="A1333" s="299"/>
      <c r="B1333" s="322"/>
      <c r="G1333" s="299"/>
      <c r="H1333" s="299"/>
      <c r="I1333" s="299"/>
      <c r="J1333" s="299"/>
      <c r="K1333" s="299"/>
      <c r="L1333" s="299"/>
    </row>
    <row r="1334" spans="1:12">
      <c r="A1334" s="299"/>
      <c r="B1334" s="322"/>
      <c r="G1334" s="299"/>
      <c r="H1334" s="299"/>
      <c r="I1334" s="299"/>
      <c r="J1334" s="299"/>
      <c r="K1334" s="299"/>
      <c r="L1334" s="299"/>
    </row>
    <row r="1335" spans="1:12">
      <c r="A1335" s="299"/>
      <c r="B1335" s="322"/>
      <c r="G1335" s="299"/>
      <c r="H1335" s="299"/>
      <c r="I1335" s="299"/>
      <c r="J1335" s="299"/>
      <c r="K1335" s="299"/>
      <c r="L1335" s="299"/>
    </row>
    <row r="1336" spans="1:12">
      <c r="A1336" s="299"/>
      <c r="B1336" s="322"/>
      <c r="G1336" s="299"/>
      <c r="H1336" s="299"/>
      <c r="I1336" s="299"/>
      <c r="J1336" s="299"/>
      <c r="K1336" s="299"/>
      <c r="L1336" s="299"/>
    </row>
    <row r="1337" spans="1:12">
      <c r="A1337" s="299"/>
      <c r="B1337" s="322"/>
      <c r="G1337" s="299"/>
      <c r="H1337" s="299"/>
      <c r="I1337" s="299"/>
      <c r="J1337" s="299"/>
      <c r="K1337" s="299"/>
      <c r="L1337" s="299"/>
    </row>
    <row r="1338" spans="1:12">
      <c r="A1338" s="299"/>
      <c r="B1338" s="322"/>
      <c r="G1338" s="299"/>
      <c r="H1338" s="299"/>
      <c r="I1338" s="299"/>
      <c r="J1338" s="299"/>
      <c r="K1338" s="299"/>
      <c r="L1338" s="299"/>
    </row>
    <row r="1339" spans="1:12">
      <c r="A1339" s="299"/>
      <c r="B1339" s="322"/>
      <c r="G1339" s="299"/>
      <c r="H1339" s="299"/>
      <c r="I1339" s="299"/>
      <c r="J1339" s="299"/>
      <c r="K1339" s="299"/>
      <c r="L1339" s="299"/>
    </row>
    <row r="1340" spans="1:12">
      <c r="A1340" s="299"/>
      <c r="B1340" s="322"/>
      <c r="G1340" s="299"/>
      <c r="H1340" s="299"/>
      <c r="I1340" s="299"/>
      <c r="J1340" s="299"/>
      <c r="K1340" s="299"/>
      <c r="L1340" s="299"/>
    </row>
    <row r="1341" spans="1:12">
      <c r="A1341" s="299"/>
      <c r="B1341" s="322"/>
      <c r="G1341" s="299"/>
      <c r="H1341" s="299"/>
      <c r="I1341" s="299"/>
      <c r="J1341" s="299"/>
      <c r="K1341" s="299"/>
      <c r="L1341" s="299"/>
    </row>
    <row r="1342" spans="1:12">
      <c r="A1342" s="299"/>
      <c r="B1342" s="322"/>
      <c r="G1342" s="299"/>
      <c r="H1342" s="299"/>
      <c r="I1342" s="299"/>
      <c r="J1342" s="299"/>
      <c r="K1342" s="299"/>
      <c r="L1342" s="299"/>
    </row>
    <row r="1343" spans="1:12">
      <c r="A1343" s="299"/>
      <c r="B1343" s="322"/>
      <c r="G1343" s="299"/>
      <c r="H1343" s="299"/>
      <c r="I1343" s="299"/>
      <c r="J1343" s="299"/>
      <c r="K1343" s="299"/>
      <c r="L1343" s="299"/>
    </row>
    <row r="1344" spans="1:12">
      <c r="A1344" s="299"/>
      <c r="B1344" s="322"/>
      <c r="G1344" s="299"/>
      <c r="H1344" s="299"/>
      <c r="I1344" s="299"/>
      <c r="J1344" s="299"/>
      <c r="K1344" s="299"/>
      <c r="L1344" s="299"/>
    </row>
    <row r="1345" spans="1:12">
      <c r="A1345" s="299"/>
      <c r="B1345" s="322"/>
      <c r="G1345" s="299"/>
      <c r="H1345" s="299"/>
      <c r="I1345" s="299"/>
      <c r="J1345" s="299"/>
      <c r="K1345" s="299"/>
      <c r="L1345" s="299"/>
    </row>
    <row r="1346" spans="1:12">
      <c r="A1346" s="299"/>
      <c r="B1346" s="322"/>
      <c r="G1346" s="299"/>
      <c r="H1346" s="299"/>
      <c r="I1346" s="299"/>
      <c r="J1346" s="299"/>
      <c r="K1346" s="299"/>
      <c r="L1346" s="299"/>
    </row>
    <row r="1347" spans="1:12">
      <c r="A1347" s="299"/>
      <c r="B1347" s="322"/>
      <c r="G1347" s="299"/>
      <c r="H1347" s="299"/>
      <c r="I1347" s="299"/>
      <c r="J1347" s="299"/>
      <c r="K1347" s="299"/>
      <c r="L1347" s="299"/>
    </row>
    <row r="1348" spans="1:12">
      <c r="A1348" s="299"/>
      <c r="B1348" s="322"/>
      <c r="G1348" s="299"/>
      <c r="H1348" s="299"/>
      <c r="I1348" s="299"/>
      <c r="J1348" s="299"/>
      <c r="K1348" s="299"/>
      <c r="L1348" s="299"/>
    </row>
    <row r="1349" spans="1:12">
      <c r="A1349" s="299"/>
      <c r="B1349" s="322"/>
      <c r="G1349" s="299"/>
      <c r="H1349" s="299"/>
      <c r="I1349" s="299"/>
      <c r="J1349" s="299"/>
      <c r="K1349" s="299"/>
      <c r="L1349" s="299"/>
    </row>
    <row r="1350" spans="1:12">
      <c r="A1350" s="299"/>
      <c r="B1350" s="322"/>
      <c r="G1350" s="299"/>
      <c r="H1350" s="299"/>
      <c r="I1350" s="299"/>
      <c r="J1350" s="299"/>
      <c r="K1350" s="299"/>
      <c r="L1350" s="299"/>
    </row>
    <row r="1351" spans="1:12">
      <c r="A1351" s="299"/>
      <c r="B1351" s="322"/>
      <c r="G1351" s="299"/>
      <c r="H1351" s="299"/>
      <c r="I1351" s="299"/>
      <c r="J1351" s="299"/>
      <c r="K1351" s="299"/>
      <c r="L1351" s="299"/>
    </row>
    <row r="1352" spans="1:12">
      <c r="A1352" s="299"/>
      <c r="B1352" s="322"/>
      <c r="G1352" s="299"/>
      <c r="H1352" s="299"/>
      <c r="I1352" s="299"/>
      <c r="J1352" s="299"/>
      <c r="K1352" s="299"/>
      <c r="L1352" s="299"/>
    </row>
    <row r="1353" spans="1:12">
      <c r="A1353" s="299"/>
      <c r="B1353" s="322"/>
      <c r="G1353" s="299"/>
      <c r="H1353" s="299"/>
      <c r="I1353" s="299"/>
      <c r="J1353" s="299"/>
      <c r="K1353" s="299"/>
      <c r="L1353" s="299"/>
    </row>
    <row r="1354" spans="1:12">
      <c r="A1354" s="299"/>
      <c r="B1354" s="322"/>
      <c r="G1354" s="299"/>
      <c r="H1354" s="299"/>
      <c r="I1354" s="299"/>
      <c r="J1354" s="299"/>
      <c r="K1354" s="299"/>
      <c r="L1354" s="299"/>
    </row>
    <row r="1355" spans="1:12">
      <c r="A1355" s="299"/>
      <c r="B1355" s="322"/>
      <c r="G1355" s="299"/>
      <c r="H1355" s="299"/>
      <c r="I1355" s="299"/>
      <c r="J1355" s="299"/>
      <c r="K1355" s="299"/>
      <c r="L1355" s="299"/>
    </row>
    <row r="1356" spans="1:12">
      <c r="A1356" s="299"/>
      <c r="B1356" s="322"/>
      <c r="G1356" s="299"/>
      <c r="H1356" s="299"/>
      <c r="I1356" s="299"/>
      <c r="J1356" s="299"/>
      <c r="K1356" s="299"/>
      <c r="L1356" s="299"/>
    </row>
    <row r="1357" spans="1:12">
      <c r="A1357" s="299"/>
      <c r="B1357" s="322"/>
      <c r="G1357" s="299"/>
      <c r="H1357" s="299"/>
      <c r="I1357" s="299"/>
      <c r="J1357" s="299"/>
      <c r="K1357" s="299"/>
      <c r="L1357" s="299"/>
    </row>
    <row r="1358" spans="1:12">
      <c r="A1358" s="299"/>
      <c r="B1358" s="322"/>
      <c r="G1358" s="299"/>
      <c r="H1358" s="299"/>
      <c r="I1358" s="299"/>
      <c r="J1358" s="299"/>
      <c r="K1358" s="299"/>
      <c r="L1358" s="299"/>
    </row>
    <row r="1359" spans="1:12">
      <c r="A1359" s="299"/>
      <c r="B1359" s="322"/>
      <c r="G1359" s="299"/>
      <c r="H1359" s="299"/>
      <c r="I1359" s="299"/>
      <c r="J1359" s="299"/>
      <c r="K1359" s="299"/>
      <c r="L1359" s="299"/>
    </row>
    <row r="1360" spans="1:12">
      <c r="A1360" s="299"/>
      <c r="B1360" s="322"/>
      <c r="G1360" s="299"/>
      <c r="H1360" s="299"/>
      <c r="I1360" s="299"/>
      <c r="J1360" s="299"/>
      <c r="K1360" s="299"/>
      <c r="L1360" s="299"/>
    </row>
    <row r="1361" spans="1:12">
      <c r="A1361" s="299"/>
      <c r="B1361" s="322"/>
      <c r="G1361" s="299"/>
      <c r="H1361" s="299"/>
      <c r="I1361" s="299"/>
      <c r="J1361" s="299"/>
      <c r="K1361" s="299"/>
      <c r="L1361" s="299"/>
    </row>
    <row r="1362" spans="1:12">
      <c r="A1362" s="299"/>
      <c r="B1362" s="322"/>
      <c r="G1362" s="299"/>
      <c r="H1362" s="299"/>
      <c r="I1362" s="299"/>
      <c r="J1362" s="299"/>
      <c r="K1362" s="299"/>
      <c r="L1362" s="299"/>
    </row>
    <row r="1363" spans="1:12">
      <c r="A1363" s="299"/>
      <c r="B1363" s="322"/>
      <c r="G1363" s="299"/>
      <c r="H1363" s="299"/>
      <c r="I1363" s="299"/>
      <c r="J1363" s="299"/>
      <c r="K1363" s="299"/>
      <c r="L1363" s="299"/>
    </row>
    <row r="1364" spans="1:12">
      <c r="A1364" s="299"/>
      <c r="B1364" s="322"/>
      <c r="G1364" s="299"/>
      <c r="H1364" s="299"/>
      <c r="I1364" s="299"/>
      <c r="J1364" s="299"/>
      <c r="K1364" s="299"/>
      <c r="L1364" s="299"/>
    </row>
    <row r="1365" spans="1:12">
      <c r="A1365" s="299"/>
      <c r="B1365" s="322"/>
      <c r="G1365" s="299"/>
      <c r="H1365" s="299"/>
      <c r="I1365" s="299"/>
      <c r="J1365" s="299"/>
      <c r="K1365" s="299"/>
      <c r="L1365" s="299"/>
    </row>
    <row r="1366" spans="1:12">
      <c r="A1366" s="299"/>
      <c r="B1366" s="322"/>
      <c r="G1366" s="299"/>
      <c r="H1366" s="299"/>
      <c r="I1366" s="299"/>
      <c r="J1366" s="299"/>
      <c r="K1366" s="299"/>
      <c r="L1366" s="299"/>
    </row>
    <row r="1367" spans="1:12">
      <c r="A1367" s="299"/>
      <c r="B1367" s="322"/>
      <c r="G1367" s="299"/>
      <c r="H1367" s="299"/>
      <c r="I1367" s="299"/>
      <c r="J1367" s="299"/>
      <c r="K1367" s="299"/>
      <c r="L1367" s="299"/>
    </row>
    <row r="1368" spans="1:12">
      <c r="A1368" s="299"/>
      <c r="B1368" s="322"/>
      <c r="G1368" s="299"/>
      <c r="H1368" s="299"/>
      <c r="I1368" s="299"/>
      <c r="J1368" s="299"/>
      <c r="K1368" s="299"/>
      <c r="L1368" s="299"/>
    </row>
    <row r="1369" spans="1:12">
      <c r="A1369" s="299"/>
      <c r="B1369" s="322"/>
      <c r="G1369" s="299"/>
      <c r="H1369" s="299"/>
      <c r="I1369" s="299"/>
      <c r="J1369" s="299"/>
      <c r="K1369" s="299"/>
      <c r="L1369" s="299"/>
    </row>
    <row r="1370" spans="1:12">
      <c r="A1370" s="299"/>
      <c r="B1370" s="322"/>
      <c r="G1370" s="299"/>
      <c r="H1370" s="299"/>
      <c r="I1370" s="299"/>
      <c r="J1370" s="299"/>
      <c r="K1370" s="299"/>
      <c r="L1370" s="299"/>
    </row>
    <row r="1371" spans="1:12">
      <c r="A1371" s="299"/>
      <c r="B1371" s="322"/>
      <c r="G1371" s="299"/>
      <c r="H1371" s="299"/>
      <c r="I1371" s="299"/>
      <c r="J1371" s="299"/>
      <c r="K1371" s="299"/>
      <c r="L1371" s="299"/>
    </row>
    <row r="1372" spans="1:12">
      <c r="A1372" s="299"/>
      <c r="B1372" s="322"/>
      <c r="G1372" s="299"/>
      <c r="H1372" s="299"/>
      <c r="I1372" s="299"/>
      <c r="J1372" s="299"/>
      <c r="K1372" s="299"/>
      <c r="L1372" s="299"/>
    </row>
    <row r="1373" spans="1:12">
      <c r="A1373" s="299"/>
      <c r="B1373" s="322"/>
      <c r="G1373" s="299"/>
      <c r="H1373" s="299"/>
      <c r="I1373" s="299"/>
      <c r="J1373" s="299"/>
      <c r="K1373" s="299"/>
      <c r="L1373" s="299"/>
    </row>
    <row r="1374" spans="1:12">
      <c r="A1374" s="299"/>
      <c r="B1374" s="322"/>
      <c r="G1374" s="299"/>
      <c r="H1374" s="299"/>
      <c r="I1374" s="299"/>
      <c r="J1374" s="299"/>
      <c r="K1374" s="299"/>
      <c r="L1374" s="299"/>
    </row>
    <row r="1375" spans="1:12">
      <c r="A1375" s="299"/>
      <c r="B1375" s="322"/>
      <c r="G1375" s="299"/>
      <c r="H1375" s="299"/>
      <c r="I1375" s="299"/>
      <c r="J1375" s="299"/>
      <c r="K1375" s="299"/>
      <c r="L1375" s="299"/>
    </row>
    <row r="1376" spans="1:12">
      <c r="A1376" s="299"/>
      <c r="B1376" s="322"/>
      <c r="G1376" s="299"/>
      <c r="H1376" s="299"/>
      <c r="I1376" s="299"/>
      <c r="J1376" s="299"/>
      <c r="K1376" s="299"/>
      <c r="L1376" s="299"/>
    </row>
    <row r="1377" spans="1:12">
      <c r="A1377" s="299"/>
      <c r="B1377" s="322"/>
      <c r="G1377" s="299"/>
      <c r="H1377" s="299"/>
      <c r="I1377" s="299"/>
      <c r="J1377" s="299"/>
      <c r="K1377" s="299"/>
      <c r="L1377" s="299"/>
    </row>
    <row r="1378" spans="1:12">
      <c r="A1378" s="299"/>
      <c r="B1378" s="322"/>
      <c r="G1378" s="299"/>
      <c r="H1378" s="299"/>
      <c r="I1378" s="299"/>
      <c r="J1378" s="299"/>
      <c r="K1378" s="299"/>
      <c r="L1378" s="299"/>
    </row>
    <row r="1379" spans="1:12">
      <c r="A1379" s="299"/>
      <c r="B1379" s="322"/>
      <c r="G1379" s="299"/>
      <c r="H1379" s="299"/>
      <c r="I1379" s="299"/>
      <c r="J1379" s="299"/>
      <c r="K1379" s="299"/>
      <c r="L1379" s="299"/>
    </row>
    <row r="1380" spans="1:12">
      <c r="A1380" s="299"/>
      <c r="B1380" s="322"/>
      <c r="G1380" s="299"/>
      <c r="H1380" s="299"/>
      <c r="I1380" s="299"/>
      <c r="J1380" s="299"/>
      <c r="K1380" s="299"/>
      <c r="L1380" s="299"/>
    </row>
    <row r="1381" spans="1:12">
      <c r="A1381" s="299"/>
      <c r="B1381" s="322"/>
      <c r="G1381" s="299"/>
      <c r="H1381" s="299"/>
      <c r="I1381" s="299"/>
      <c r="J1381" s="299"/>
      <c r="K1381" s="299"/>
      <c r="L1381" s="299"/>
    </row>
    <row r="1382" spans="1:12">
      <c r="A1382" s="299"/>
      <c r="B1382" s="322"/>
      <c r="G1382" s="299"/>
      <c r="H1382" s="299"/>
      <c r="I1382" s="299"/>
      <c r="J1382" s="299"/>
      <c r="K1382" s="299"/>
      <c r="L1382" s="299"/>
    </row>
    <row r="1383" spans="1:12">
      <c r="A1383" s="299"/>
      <c r="B1383" s="322"/>
      <c r="G1383" s="299"/>
      <c r="H1383" s="299"/>
      <c r="I1383" s="299"/>
      <c r="J1383" s="299"/>
      <c r="K1383" s="299"/>
      <c r="L1383" s="299"/>
    </row>
    <row r="1384" spans="1:12">
      <c r="A1384" s="299"/>
      <c r="B1384" s="322"/>
      <c r="G1384" s="299"/>
      <c r="H1384" s="299"/>
      <c r="I1384" s="299"/>
      <c r="J1384" s="299"/>
      <c r="K1384" s="299"/>
      <c r="L1384" s="299"/>
    </row>
    <row r="1385" spans="1:12">
      <c r="A1385" s="299"/>
      <c r="B1385" s="322"/>
      <c r="G1385" s="299"/>
      <c r="H1385" s="299"/>
      <c r="I1385" s="299"/>
      <c r="J1385" s="299"/>
      <c r="K1385" s="299"/>
      <c r="L1385" s="299"/>
    </row>
    <row r="1386" spans="1:12">
      <c r="A1386" s="299"/>
      <c r="B1386" s="322"/>
      <c r="G1386" s="299"/>
      <c r="H1386" s="299"/>
      <c r="I1386" s="299"/>
      <c r="J1386" s="299"/>
      <c r="K1386" s="299"/>
      <c r="L1386" s="299"/>
    </row>
    <row r="1387" spans="1:12">
      <c r="A1387" s="299"/>
      <c r="B1387" s="322"/>
      <c r="G1387" s="299"/>
      <c r="H1387" s="299"/>
      <c r="I1387" s="299"/>
      <c r="J1387" s="299"/>
      <c r="K1387" s="299"/>
      <c r="L1387" s="299"/>
    </row>
    <row r="1388" spans="1:12">
      <c r="A1388" s="299"/>
      <c r="B1388" s="322"/>
      <c r="G1388" s="299"/>
      <c r="H1388" s="299"/>
      <c r="I1388" s="299"/>
      <c r="J1388" s="299"/>
      <c r="K1388" s="299"/>
      <c r="L1388" s="299"/>
    </row>
    <row r="1389" spans="1:12">
      <c r="A1389" s="299"/>
      <c r="B1389" s="322"/>
      <c r="G1389" s="299"/>
      <c r="H1389" s="299"/>
      <c r="I1389" s="299"/>
      <c r="J1389" s="299"/>
      <c r="K1389" s="299"/>
      <c r="L1389" s="299"/>
    </row>
    <row r="1390" spans="1:12">
      <c r="A1390" s="299"/>
      <c r="B1390" s="322"/>
      <c r="G1390" s="299"/>
      <c r="H1390" s="299"/>
      <c r="I1390" s="299"/>
      <c r="J1390" s="299"/>
      <c r="K1390" s="299"/>
      <c r="L1390" s="299"/>
    </row>
    <row r="1391" spans="1:12">
      <c r="A1391" s="299"/>
      <c r="B1391" s="322"/>
      <c r="G1391" s="299"/>
      <c r="H1391" s="299"/>
      <c r="I1391" s="299"/>
      <c r="J1391" s="299"/>
      <c r="K1391" s="299"/>
      <c r="L1391" s="299"/>
    </row>
    <row r="1392" spans="1:12">
      <c r="A1392" s="299"/>
      <c r="B1392" s="322"/>
      <c r="G1392" s="299"/>
      <c r="H1392" s="299"/>
      <c r="I1392" s="299"/>
      <c r="J1392" s="299"/>
      <c r="K1392" s="299"/>
      <c r="L1392" s="299"/>
    </row>
    <row r="1393" spans="1:12">
      <c r="A1393" s="299"/>
      <c r="B1393" s="322"/>
      <c r="G1393" s="299"/>
      <c r="H1393" s="299"/>
      <c r="I1393" s="299"/>
      <c r="J1393" s="299"/>
      <c r="K1393" s="299"/>
      <c r="L1393" s="299"/>
    </row>
    <row r="1394" spans="1:12">
      <c r="A1394" s="299"/>
      <c r="B1394" s="322"/>
      <c r="G1394" s="299"/>
      <c r="H1394" s="299"/>
      <c r="I1394" s="299"/>
      <c r="J1394" s="299"/>
      <c r="K1394" s="299"/>
      <c r="L1394" s="299"/>
    </row>
    <row r="1395" spans="1:12">
      <c r="A1395" s="299"/>
      <c r="B1395" s="322"/>
      <c r="G1395" s="299"/>
      <c r="H1395" s="299"/>
      <c r="I1395" s="299"/>
      <c r="J1395" s="299"/>
      <c r="K1395" s="299"/>
      <c r="L1395" s="299"/>
    </row>
    <row r="1396" spans="1:12">
      <c r="A1396" s="299"/>
      <c r="B1396" s="322"/>
      <c r="G1396" s="299"/>
      <c r="H1396" s="299"/>
      <c r="I1396" s="299"/>
      <c r="J1396" s="299"/>
      <c r="K1396" s="299"/>
      <c r="L1396" s="299"/>
    </row>
    <row r="1397" spans="1:12">
      <c r="A1397" s="299"/>
      <c r="B1397" s="322"/>
      <c r="G1397" s="299"/>
      <c r="H1397" s="299"/>
      <c r="I1397" s="299"/>
      <c r="J1397" s="299"/>
      <c r="K1397" s="299"/>
      <c r="L1397" s="299"/>
    </row>
    <row r="1398" spans="1:12">
      <c r="A1398" s="299"/>
      <c r="B1398" s="322"/>
      <c r="G1398" s="299"/>
      <c r="H1398" s="299"/>
      <c r="I1398" s="299"/>
      <c r="J1398" s="299"/>
      <c r="K1398" s="299"/>
      <c r="L1398" s="299"/>
    </row>
    <row r="1399" spans="1:12">
      <c r="A1399" s="299"/>
      <c r="B1399" s="322"/>
      <c r="G1399" s="299"/>
      <c r="H1399" s="299"/>
      <c r="I1399" s="299"/>
      <c r="J1399" s="299"/>
      <c r="K1399" s="299"/>
      <c r="L1399" s="299"/>
    </row>
    <row r="1400" spans="1:12">
      <c r="A1400" s="299"/>
      <c r="B1400" s="322"/>
      <c r="G1400" s="299"/>
      <c r="H1400" s="299"/>
      <c r="I1400" s="299"/>
      <c r="J1400" s="299"/>
      <c r="K1400" s="299"/>
      <c r="L1400" s="299"/>
    </row>
    <row r="1401" spans="1:12">
      <c r="A1401" s="299"/>
      <c r="B1401" s="322"/>
      <c r="G1401" s="299"/>
      <c r="H1401" s="299"/>
      <c r="I1401" s="299"/>
      <c r="J1401" s="299"/>
      <c r="K1401" s="299"/>
      <c r="L1401" s="299"/>
    </row>
    <row r="1402" spans="1:12">
      <c r="A1402" s="299"/>
      <c r="B1402" s="322"/>
      <c r="G1402" s="299"/>
      <c r="H1402" s="299"/>
      <c r="I1402" s="299"/>
      <c r="J1402" s="299"/>
      <c r="K1402" s="299"/>
      <c r="L1402" s="299"/>
    </row>
    <row r="1403" spans="1:12">
      <c r="A1403" s="299"/>
      <c r="B1403" s="322"/>
      <c r="G1403" s="299"/>
      <c r="H1403" s="299"/>
      <c r="I1403" s="299"/>
      <c r="J1403" s="299"/>
      <c r="K1403" s="299"/>
      <c r="L1403" s="299"/>
    </row>
    <row r="1404" spans="1:12">
      <c r="A1404" s="299"/>
      <c r="B1404" s="322"/>
      <c r="G1404" s="299"/>
      <c r="H1404" s="299"/>
      <c r="I1404" s="299"/>
      <c r="J1404" s="299"/>
      <c r="K1404" s="299"/>
      <c r="L1404" s="299"/>
    </row>
    <row r="1405" spans="1:12">
      <c r="A1405" s="299"/>
      <c r="B1405" s="322"/>
      <c r="G1405" s="299"/>
      <c r="H1405" s="299"/>
      <c r="I1405" s="299"/>
      <c r="J1405" s="299"/>
      <c r="K1405" s="299"/>
      <c r="L1405" s="299"/>
    </row>
    <row r="1406" spans="1:12">
      <c r="A1406" s="299"/>
      <c r="B1406" s="322"/>
      <c r="G1406" s="299"/>
      <c r="H1406" s="299"/>
      <c r="I1406" s="299"/>
      <c r="J1406" s="299"/>
      <c r="K1406" s="299"/>
      <c r="L1406" s="299"/>
    </row>
    <row r="1407" spans="1:12">
      <c r="A1407" s="299"/>
      <c r="B1407" s="322"/>
      <c r="G1407" s="299"/>
      <c r="H1407" s="299"/>
      <c r="I1407" s="299"/>
      <c r="J1407" s="299"/>
      <c r="K1407" s="299"/>
      <c r="L1407" s="299"/>
    </row>
    <row r="1408" spans="1:12">
      <c r="A1408" s="299"/>
      <c r="B1408" s="322"/>
      <c r="G1408" s="299"/>
      <c r="H1408" s="299"/>
      <c r="I1408" s="299"/>
      <c r="J1408" s="299"/>
      <c r="K1408" s="299"/>
      <c r="L1408" s="299"/>
    </row>
    <row r="1409" spans="1:12">
      <c r="A1409" s="299"/>
      <c r="B1409" s="322"/>
      <c r="G1409" s="299"/>
      <c r="H1409" s="299"/>
      <c r="I1409" s="299"/>
      <c r="J1409" s="299"/>
      <c r="K1409" s="299"/>
      <c r="L1409" s="299"/>
    </row>
    <row r="1410" spans="1:12">
      <c r="A1410" s="299"/>
      <c r="B1410" s="322"/>
      <c r="G1410" s="299"/>
      <c r="H1410" s="299"/>
      <c r="I1410" s="299"/>
      <c r="J1410" s="299"/>
      <c r="K1410" s="299"/>
      <c r="L1410" s="299"/>
    </row>
    <row r="1411" spans="1:12">
      <c r="A1411" s="299"/>
      <c r="B1411" s="322"/>
      <c r="G1411" s="299"/>
      <c r="H1411" s="299"/>
      <c r="I1411" s="299"/>
      <c r="J1411" s="299"/>
      <c r="K1411" s="299"/>
      <c r="L1411" s="299"/>
    </row>
    <row r="1412" spans="1:12">
      <c r="A1412" s="299"/>
      <c r="B1412" s="322"/>
      <c r="G1412" s="299"/>
      <c r="H1412" s="299"/>
      <c r="I1412" s="299"/>
      <c r="J1412" s="299"/>
      <c r="K1412" s="299"/>
      <c r="L1412" s="299"/>
    </row>
    <row r="1413" spans="1:12">
      <c r="A1413" s="299"/>
      <c r="B1413" s="322"/>
      <c r="G1413" s="299"/>
      <c r="H1413" s="299"/>
      <c r="I1413" s="299"/>
      <c r="J1413" s="299"/>
      <c r="K1413" s="299"/>
      <c r="L1413" s="299"/>
    </row>
    <row r="1414" spans="1:12">
      <c r="A1414" s="299"/>
      <c r="B1414" s="322"/>
      <c r="G1414" s="299"/>
      <c r="H1414" s="299"/>
      <c r="I1414" s="299"/>
      <c r="J1414" s="299"/>
      <c r="K1414" s="299"/>
      <c r="L1414" s="299"/>
    </row>
    <row r="1415" spans="1:12">
      <c r="A1415" s="299"/>
      <c r="B1415" s="322"/>
      <c r="G1415" s="299"/>
      <c r="H1415" s="299"/>
      <c r="I1415" s="299"/>
      <c r="J1415" s="299"/>
      <c r="K1415" s="299"/>
      <c r="L1415" s="299"/>
    </row>
    <row r="1416" spans="1:12">
      <c r="A1416" s="299"/>
      <c r="B1416" s="322"/>
      <c r="G1416" s="299"/>
      <c r="H1416" s="299"/>
      <c r="I1416" s="299"/>
      <c r="J1416" s="299"/>
      <c r="K1416" s="299"/>
      <c r="L1416" s="299"/>
    </row>
    <row r="1417" spans="1:12">
      <c r="A1417" s="299"/>
      <c r="B1417" s="322"/>
      <c r="G1417" s="299"/>
      <c r="H1417" s="299"/>
      <c r="I1417" s="299"/>
      <c r="J1417" s="299"/>
      <c r="K1417" s="299"/>
      <c r="L1417" s="299"/>
    </row>
    <row r="1418" spans="1:12">
      <c r="A1418" s="299"/>
      <c r="B1418" s="322"/>
      <c r="G1418" s="299"/>
      <c r="H1418" s="299"/>
      <c r="I1418" s="299"/>
      <c r="J1418" s="299"/>
      <c r="K1418" s="299"/>
      <c r="L1418" s="299"/>
    </row>
    <row r="1419" spans="1:12">
      <c r="A1419" s="299"/>
      <c r="B1419" s="322"/>
      <c r="G1419" s="299"/>
      <c r="H1419" s="299"/>
      <c r="I1419" s="299"/>
      <c r="J1419" s="299"/>
      <c r="K1419" s="299"/>
      <c r="L1419" s="299"/>
    </row>
    <row r="1420" spans="1:12">
      <c r="A1420" s="299"/>
      <c r="B1420" s="322"/>
      <c r="G1420" s="299"/>
      <c r="H1420" s="299"/>
      <c r="I1420" s="299"/>
      <c r="J1420" s="299"/>
      <c r="K1420" s="299"/>
      <c r="L1420" s="299"/>
    </row>
    <row r="1421" spans="1:12">
      <c r="A1421" s="299"/>
      <c r="B1421" s="322"/>
      <c r="G1421" s="299"/>
      <c r="H1421" s="299"/>
      <c r="I1421" s="299"/>
      <c r="J1421" s="299"/>
      <c r="K1421" s="299"/>
      <c r="L1421" s="299"/>
    </row>
    <row r="1422" spans="1:12">
      <c r="A1422" s="299"/>
      <c r="B1422" s="322"/>
      <c r="G1422" s="299"/>
      <c r="H1422" s="299"/>
      <c r="I1422" s="299"/>
      <c r="J1422" s="299"/>
      <c r="K1422" s="299"/>
      <c r="L1422" s="299"/>
    </row>
    <row r="1423" spans="1:12">
      <c r="A1423" s="299"/>
      <c r="B1423" s="322"/>
      <c r="G1423" s="299"/>
      <c r="H1423" s="299"/>
      <c r="I1423" s="299"/>
      <c r="J1423" s="299"/>
      <c r="K1423" s="299"/>
      <c r="L1423" s="299"/>
    </row>
    <row r="1424" spans="1:12">
      <c r="A1424" s="299"/>
      <c r="B1424" s="322"/>
      <c r="G1424" s="299"/>
      <c r="H1424" s="299"/>
      <c r="I1424" s="299"/>
      <c r="J1424" s="299"/>
      <c r="K1424" s="299"/>
      <c r="L1424" s="299"/>
    </row>
    <row r="1425" spans="1:12">
      <c r="A1425" s="299"/>
      <c r="B1425" s="322"/>
      <c r="G1425" s="299"/>
      <c r="H1425" s="299"/>
      <c r="I1425" s="299"/>
      <c r="J1425" s="299"/>
      <c r="K1425" s="299"/>
      <c r="L1425" s="299"/>
    </row>
    <row r="1426" spans="1:12">
      <c r="A1426" s="299"/>
      <c r="B1426" s="322"/>
      <c r="G1426" s="299"/>
      <c r="H1426" s="299"/>
      <c r="I1426" s="299"/>
      <c r="J1426" s="299"/>
      <c r="K1426" s="299"/>
      <c r="L1426" s="299"/>
    </row>
    <row r="1427" spans="1:12">
      <c r="A1427" s="299"/>
      <c r="B1427" s="322"/>
      <c r="G1427" s="299"/>
      <c r="H1427" s="299"/>
      <c r="I1427" s="299"/>
      <c r="J1427" s="299"/>
      <c r="K1427" s="299"/>
      <c r="L1427" s="299"/>
    </row>
    <row r="1428" spans="1:12">
      <c r="A1428" s="299"/>
      <c r="B1428" s="322"/>
      <c r="G1428" s="299"/>
      <c r="H1428" s="299"/>
      <c r="I1428" s="299"/>
      <c r="J1428" s="299"/>
      <c r="K1428" s="299"/>
      <c r="L1428" s="299"/>
    </row>
    <row r="1429" spans="1:12">
      <c r="A1429" s="299"/>
      <c r="B1429" s="322"/>
      <c r="G1429" s="299"/>
      <c r="H1429" s="299"/>
      <c r="I1429" s="299"/>
      <c r="J1429" s="299"/>
      <c r="K1429" s="299"/>
      <c r="L1429" s="299"/>
    </row>
    <row r="1430" spans="1:12">
      <c r="A1430" s="299"/>
      <c r="B1430" s="322"/>
      <c r="G1430" s="299"/>
      <c r="H1430" s="299"/>
      <c r="I1430" s="299"/>
      <c r="J1430" s="299"/>
      <c r="K1430" s="299"/>
      <c r="L1430" s="299"/>
    </row>
    <row r="1431" spans="1:12">
      <c r="A1431" s="299"/>
      <c r="B1431" s="322"/>
      <c r="G1431" s="299"/>
      <c r="H1431" s="299"/>
      <c r="I1431" s="299"/>
      <c r="J1431" s="299"/>
      <c r="K1431" s="299"/>
      <c r="L1431" s="299"/>
    </row>
    <row r="1432" spans="1:12">
      <c r="A1432" s="299"/>
      <c r="B1432" s="322"/>
      <c r="G1432" s="299"/>
      <c r="H1432" s="299"/>
      <c r="I1432" s="299"/>
      <c r="J1432" s="299"/>
      <c r="K1432" s="299"/>
      <c r="L1432" s="299"/>
    </row>
    <row r="1433" spans="1:12">
      <c r="A1433" s="299"/>
      <c r="B1433" s="322"/>
      <c r="G1433" s="299"/>
      <c r="H1433" s="299"/>
      <c r="I1433" s="299"/>
      <c r="J1433" s="299"/>
      <c r="K1433" s="299"/>
      <c r="L1433" s="299"/>
    </row>
    <row r="1434" spans="1:12">
      <c r="A1434" s="299"/>
      <c r="B1434" s="322"/>
      <c r="G1434" s="299"/>
      <c r="H1434" s="299"/>
      <c r="I1434" s="299"/>
      <c r="J1434" s="299"/>
      <c r="K1434" s="299"/>
      <c r="L1434" s="299"/>
    </row>
    <row r="1435" spans="1:12">
      <c r="A1435" s="299"/>
      <c r="B1435" s="322"/>
      <c r="G1435" s="299"/>
      <c r="H1435" s="299"/>
      <c r="I1435" s="299"/>
      <c r="J1435" s="299"/>
      <c r="K1435" s="299"/>
      <c r="L1435" s="299"/>
    </row>
    <row r="1436" spans="1:12">
      <c r="A1436" s="299"/>
      <c r="B1436" s="322"/>
      <c r="G1436" s="299"/>
      <c r="H1436" s="299"/>
      <c r="I1436" s="299"/>
      <c r="J1436" s="299"/>
      <c r="K1436" s="299"/>
      <c r="L1436" s="299"/>
    </row>
    <row r="1437" spans="1:12">
      <c r="A1437" s="299"/>
      <c r="B1437" s="322"/>
      <c r="G1437" s="299"/>
      <c r="H1437" s="299"/>
      <c r="I1437" s="299"/>
      <c r="J1437" s="299"/>
      <c r="K1437" s="299"/>
      <c r="L1437" s="299"/>
    </row>
    <row r="1438" spans="1:12">
      <c r="A1438" s="299"/>
      <c r="B1438" s="322"/>
      <c r="G1438" s="299"/>
      <c r="H1438" s="299"/>
      <c r="I1438" s="299"/>
      <c r="J1438" s="299"/>
      <c r="K1438" s="299"/>
      <c r="L1438" s="299"/>
    </row>
    <row r="1439" spans="1:12">
      <c r="A1439" s="299"/>
      <c r="B1439" s="322"/>
      <c r="G1439" s="299"/>
      <c r="H1439" s="299"/>
      <c r="I1439" s="299"/>
      <c r="J1439" s="299"/>
      <c r="K1439" s="299"/>
      <c r="L1439" s="299"/>
    </row>
    <row r="1440" spans="1:12">
      <c r="A1440" s="299"/>
      <c r="B1440" s="322"/>
      <c r="G1440" s="299"/>
      <c r="H1440" s="299"/>
      <c r="I1440" s="299"/>
      <c r="J1440" s="299"/>
      <c r="K1440" s="299"/>
      <c r="L1440" s="299"/>
    </row>
    <row r="1441" spans="1:12">
      <c r="A1441" s="299"/>
      <c r="B1441" s="322"/>
      <c r="G1441" s="299"/>
      <c r="H1441" s="299"/>
      <c r="I1441" s="299"/>
      <c r="J1441" s="299"/>
      <c r="K1441" s="299"/>
      <c r="L1441" s="299"/>
    </row>
    <row r="1442" spans="1:12">
      <c r="A1442" s="299"/>
      <c r="B1442" s="322"/>
      <c r="G1442" s="299"/>
      <c r="H1442" s="299"/>
      <c r="I1442" s="299"/>
      <c r="J1442" s="299"/>
      <c r="K1442" s="299"/>
      <c r="L1442" s="299"/>
    </row>
    <row r="1443" spans="1:12">
      <c r="A1443" s="299"/>
      <c r="B1443" s="322"/>
      <c r="G1443" s="299"/>
      <c r="H1443" s="299"/>
      <c r="I1443" s="299"/>
      <c r="J1443" s="299"/>
      <c r="K1443" s="299"/>
      <c r="L1443" s="299"/>
    </row>
    <row r="1444" spans="1:12">
      <c r="A1444" s="299"/>
      <c r="B1444" s="322"/>
      <c r="G1444" s="299"/>
      <c r="H1444" s="299"/>
      <c r="I1444" s="299"/>
      <c r="J1444" s="299"/>
      <c r="K1444" s="299"/>
      <c r="L1444" s="299"/>
    </row>
    <row r="1445" spans="1:12">
      <c r="A1445" s="299"/>
      <c r="B1445" s="322"/>
      <c r="G1445" s="299"/>
      <c r="H1445" s="299"/>
      <c r="I1445" s="299"/>
      <c r="J1445" s="299"/>
      <c r="K1445" s="299"/>
      <c r="L1445" s="299"/>
    </row>
    <row r="1446" spans="1:12">
      <c r="A1446" s="299"/>
      <c r="B1446" s="322"/>
      <c r="G1446" s="299"/>
      <c r="H1446" s="299"/>
      <c r="I1446" s="299"/>
      <c r="J1446" s="299"/>
      <c r="K1446" s="299"/>
      <c r="L1446" s="299"/>
    </row>
    <row r="1447" spans="1:12">
      <c r="A1447" s="299"/>
      <c r="B1447" s="322"/>
      <c r="G1447" s="299"/>
      <c r="H1447" s="299"/>
      <c r="I1447" s="299"/>
      <c r="J1447" s="299"/>
      <c r="K1447" s="299"/>
      <c r="L1447" s="299"/>
    </row>
    <row r="1448" spans="1:12">
      <c r="A1448" s="299"/>
      <c r="B1448" s="322"/>
      <c r="G1448" s="299"/>
      <c r="H1448" s="299"/>
      <c r="I1448" s="299"/>
      <c r="J1448" s="299"/>
      <c r="K1448" s="299"/>
      <c r="L1448" s="299"/>
    </row>
    <row r="1449" spans="1:12">
      <c r="A1449" s="299"/>
      <c r="B1449" s="322"/>
      <c r="G1449" s="299"/>
      <c r="H1449" s="299"/>
      <c r="I1449" s="299"/>
      <c r="J1449" s="299"/>
      <c r="K1449" s="299"/>
      <c r="L1449" s="299"/>
    </row>
    <row r="1450" spans="1:12">
      <c r="A1450" s="299"/>
      <c r="B1450" s="322"/>
      <c r="G1450" s="299"/>
      <c r="H1450" s="299"/>
      <c r="I1450" s="299"/>
      <c r="J1450" s="299"/>
      <c r="K1450" s="299"/>
      <c r="L1450" s="299"/>
    </row>
    <row r="1451" spans="1:12">
      <c r="A1451" s="299"/>
      <c r="B1451" s="322"/>
      <c r="G1451" s="299"/>
      <c r="H1451" s="299"/>
      <c r="I1451" s="299"/>
      <c r="J1451" s="299"/>
      <c r="K1451" s="299"/>
      <c r="L1451" s="299"/>
    </row>
    <row r="1452" spans="1:12">
      <c r="A1452" s="299"/>
      <c r="B1452" s="322"/>
      <c r="G1452" s="299"/>
      <c r="H1452" s="299"/>
      <c r="I1452" s="299"/>
      <c r="J1452" s="299"/>
      <c r="K1452" s="299"/>
      <c r="L1452" s="299"/>
    </row>
    <row r="1453" spans="1:12">
      <c r="A1453" s="299"/>
      <c r="B1453" s="322"/>
      <c r="G1453" s="299"/>
      <c r="H1453" s="299"/>
      <c r="I1453" s="299"/>
      <c r="J1453" s="299"/>
      <c r="K1453" s="299"/>
      <c r="L1453" s="299"/>
    </row>
    <row r="1454" spans="1:12">
      <c r="A1454" s="299"/>
      <c r="B1454" s="322"/>
      <c r="G1454" s="299"/>
      <c r="H1454" s="299"/>
      <c r="I1454" s="299"/>
      <c r="J1454" s="299"/>
      <c r="K1454" s="299"/>
      <c r="L1454" s="299"/>
    </row>
    <row r="1455" spans="1:12">
      <c r="A1455" s="299"/>
      <c r="B1455" s="322"/>
      <c r="G1455" s="299"/>
      <c r="H1455" s="299"/>
      <c r="I1455" s="299"/>
      <c r="J1455" s="299"/>
      <c r="K1455" s="299"/>
      <c r="L1455" s="299"/>
    </row>
    <row r="1456" spans="1:12">
      <c r="A1456" s="299"/>
      <c r="B1456" s="322"/>
      <c r="G1456" s="299"/>
      <c r="H1456" s="299"/>
      <c r="I1456" s="299"/>
      <c r="J1456" s="299"/>
      <c r="K1456" s="299"/>
      <c r="L1456" s="299"/>
    </row>
    <row r="1457" spans="1:12">
      <c r="A1457" s="299"/>
      <c r="B1457" s="322"/>
      <c r="G1457" s="299"/>
      <c r="H1457" s="299"/>
      <c r="I1457" s="299"/>
      <c r="J1457" s="299"/>
      <c r="K1457" s="299"/>
      <c r="L1457" s="299"/>
    </row>
    <row r="1458" spans="1:12">
      <c r="A1458" s="299"/>
      <c r="B1458" s="322"/>
      <c r="G1458" s="299"/>
      <c r="H1458" s="299"/>
      <c r="I1458" s="299"/>
      <c r="J1458" s="299"/>
      <c r="K1458" s="299"/>
      <c r="L1458" s="299"/>
    </row>
    <row r="1459" spans="1:12">
      <c r="A1459" s="299"/>
      <c r="B1459" s="322"/>
      <c r="G1459" s="299"/>
      <c r="H1459" s="299"/>
      <c r="I1459" s="299"/>
      <c r="J1459" s="299"/>
      <c r="K1459" s="299"/>
      <c r="L1459" s="299"/>
    </row>
    <row r="1460" spans="1:12">
      <c r="A1460" s="299"/>
      <c r="B1460" s="322"/>
      <c r="G1460" s="299"/>
      <c r="H1460" s="299"/>
      <c r="I1460" s="299"/>
      <c r="J1460" s="299"/>
      <c r="K1460" s="299"/>
      <c r="L1460" s="299"/>
    </row>
    <row r="1461" spans="1:12">
      <c r="A1461" s="299"/>
      <c r="B1461" s="322"/>
      <c r="G1461" s="299"/>
      <c r="H1461" s="299"/>
      <c r="I1461" s="299"/>
      <c r="J1461" s="299"/>
      <c r="K1461" s="299"/>
      <c r="L1461" s="299"/>
    </row>
    <row r="1462" spans="1:12">
      <c r="A1462" s="299"/>
      <c r="B1462" s="322"/>
      <c r="G1462" s="299"/>
      <c r="H1462" s="299"/>
      <c r="I1462" s="299"/>
      <c r="J1462" s="299"/>
      <c r="K1462" s="299"/>
      <c r="L1462" s="299"/>
    </row>
    <row r="1463" spans="1:12">
      <c r="A1463" s="299"/>
      <c r="B1463" s="322"/>
      <c r="G1463" s="299"/>
      <c r="H1463" s="299"/>
      <c r="I1463" s="299"/>
      <c r="J1463" s="299"/>
      <c r="K1463" s="299"/>
      <c r="L1463" s="299"/>
    </row>
    <row r="1464" spans="1:12">
      <c r="A1464" s="299"/>
      <c r="B1464" s="322"/>
      <c r="G1464" s="299"/>
      <c r="H1464" s="299"/>
      <c r="I1464" s="299"/>
      <c r="J1464" s="299"/>
      <c r="K1464" s="299"/>
      <c r="L1464" s="299"/>
    </row>
    <row r="1465" spans="1:12">
      <c r="A1465" s="299"/>
      <c r="B1465" s="322"/>
      <c r="G1465" s="299"/>
      <c r="H1465" s="299"/>
      <c r="I1465" s="299"/>
      <c r="J1465" s="299"/>
      <c r="K1465" s="299"/>
      <c r="L1465" s="299"/>
    </row>
    <row r="1466" spans="1:12">
      <c r="A1466" s="299"/>
      <c r="B1466" s="322"/>
      <c r="G1466" s="299"/>
      <c r="H1466" s="299"/>
      <c r="I1466" s="299"/>
      <c r="J1466" s="299"/>
      <c r="K1466" s="299"/>
      <c r="L1466" s="299"/>
    </row>
    <row r="1467" spans="1:12">
      <c r="A1467" s="299"/>
      <c r="B1467" s="322"/>
      <c r="G1467" s="299"/>
      <c r="H1467" s="299"/>
      <c r="I1467" s="299"/>
      <c r="J1467" s="299"/>
      <c r="K1467" s="299"/>
      <c r="L1467" s="299"/>
    </row>
    <row r="1468" spans="1:12">
      <c r="A1468" s="299"/>
      <c r="B1468" s="322"/>
      <c r="G1468" s="299"/>
      <c r="H1468" s="299"/>
      <c r="I1468" s="299"/>
      <c r="J1468" s="299"/>
      <c r="K1468" s="299"/>
      <c r="L1468" s="299"/>
    </row>
    <row r="1469" spans="1:12">
      <c r="A1469" s="299"/>
      <c r="B1469" s="322"/>
      <c r="G1469" s="299"/>
      <c r="H1469" s="299"/>
      <c r="I1469" s="299"/>
      <c r="J1469" s="299"/>
      <c r="K1469" s="299"/>
      <c r="L1469" s="299"/>
    </row>
    <row r="1470" spans="1:12">
      <c r="A1470" s="299"/>
      <c r="B1470" s="322"/>
      <c r="G1470" s="299"/>
      <c r="H1470" s="299"/>
      <c r="I1470" s="299"/>
      <c r="J1470" s="299"/>
      <c r="K1470" s="299"/>
      <c r="L1470" s="299"/>
    </row>
    <row r="1471" spans="1:12">
      <c r="A1471" s="299"/>
      <c r="B1471" s="322"/>
      <c r="G1471" s="299"/>
      <c r="H1471" s="299"/>
      <c r="I1471" s="299"/>
      <c r="J1471" s="299"/>
      <c r="K1471" s="299"/>
      <c r="L1471" s="299"/>
    </row>
    <row r="1472" spans="1:12">
      <c r="A1472" s="299"/>
      <c r="B1472" s="322"/>
      <c r="G1472" s="299"/>
      <c r="H1472" s="299"/>
      <c r="I1472" s="299"/>
      <c r="J1472" s="299"/>
      <c r="K1472" s="299"/>
      <c r="L1472" s="299"/>
    </row>
    <row r="1473" spans="1:12">
      <c r="A1473" s="299"/>
      <c r="B1473" s="322"/>
      <c r="G1473" s="299"/>
      <c r="H1473" s="299"/>
      <c r="I1473" s="299"/>
      <c r="J1473" s="299"/>
      <c r="K1473" s="299"/>
      <c r="L1473" s="299"/>
    </row>
    <row r="1474" spans="1:12">
      <c r="A1474" s="299"/>
      <c r="B1474" s="322"/>
      <c r="G1474" s="299"/>
      <c r="H1474" s="299"/>
      <c r="I1474" s="299"/>
      <c r="J1474" s="299"/>
      <c r="K1474" s="299"/>
      <c r="L1474" s="299"/>
    </row>
    <row r="1475" spans="1:12">
      <c r="A1475" s="299"/>
      <c r="B1475" s="322"/>
      <c r="G1475" s="299"/>
      <c r="H1475" s="299"/>
      <c r="I1475" s="299"/>
      <c r="J1475" s="299"/>
      <c r="K1475" s="299"/>
      <c r="L1475" s="299"/>
    </row>
    <row r="1476" spans="1:12">
      <c r="A1476" s="299"/>
      <c r="B1476" s="322"/>
      <c r="G1476" s="299"/>
      <c r="H1476" s="299"/>
      <c r="I1476" s="299"/>
      <c r="J1476" s="299"/>
      <c r="K1476" s="299"/>
      <c r="L1476" s="299"/>
    </row>
    <row r="1477" spans="1:12">
      <c r="A1477" s="299"/>
      <c r="B1477" s="322"/>
      <c r="G1477" s="299"/>
      <c r="H1477" s="299"/>
      <c r="I1477" s="299"/>
      <c r="J1477" s="299"/>
      <c r="K1477" s="299"/>
      <c r="L1477" s="299"/>
    </row>
    <row r="1478" spans="1:12">
      <c r="A1478" s="299"/>
      <c r="B1478" s="322"/>
      <c r="G1478" s="299"/>
      <c r="H1478" s="299"/>
      <c r="I1478" s="299"/>
      <c r="J1478" s="299"/>
      <c r="K1478" s="299"/>
      <c r="L1478" s="299"/>
    </row>
    <row r="1479" spans="1:12">
      <c r="A1479" s="299"/>
      <c r="B1479" s="322"/>
      <c r="G1479" s="299"/>
      <c r="H1479" s="299"/>
      <c r="I1479" s="299"/>
      <c r="J1479" s="299"/>
      <c r="K1479" s="299"/>
      <c r="L1479" s="299"/>
    </row>
    <row r="1480" spans="1:12">
      <c r="A1480" s="299"/>
      <c r="B1480" s="322"/>
      <c r="G1480" s="299"/>
      <c r="H1480" s="299"/>
      <c r="I1480" s="299"/>
      <c r="J1480" s="299"/>
      <c r="K1480" s="299"/>
      <c r="L1480" s="299"/>
    </row>
    <row r="1481" spans="1:12">
      <c r="A1481" s="299"/>
      <c r="B1481" s="322"/>
      <c r="G1481" s="299"/>
      <c r="H1481" s="299"/>
      <c r="I1481" s="299"/>
      <c r="J1481" s="299"/>
      <c r="K1481" s="299"/>
      <c r="L1481" s="299"/>
    </row>
    <row r="1482" spans="1:12">
      <c r="A1482" s="299"/>
      <c r="B1482" s="322"/>
      <c r="G1482" s="299"/>
      <c r="H1482" s="299"/>
      <c r="I1482" s="299"/>
      <c r="J1482" s="299"/>
      <c r="K1482" s="299"/>
      <c r="L1482" s="299"/>
    </row>
    <row r="1483" spans="1:12">
      <c r="A1483" s="299"/>
      <c r="B1483" s="322"/>
      <c r="G1483" s="299"/>
      <c r="H1483" s="299"/>
      <c r="I1483" s="299"/>
      <c r="J1483" s="299"/>
      <c r="K1483" s="299"/>
      <c r="L1483" s="299"/>
    </row>
    <row r="1484" spans="1:12">
      <c r="A1484" s="299"/>
      <c r="B1484" s="322"/>
      <c r="G1484" s="299"/>
      <c r="H1484" s="299"/>
      <c r="I1484" s="299"/>
      <c r="J1484" s="299"/>
      <c r="K1484" s="299"/>
      <c r="L1484" s="299"/>
    </row>
    <row r="1485" spans="1:12">
      <c r="A1485" s="299"/>
      <c r="B1485" s="322"/>
      <c r="G1485" s="299"/>
      <c r="H1485" s="299"/>
      <c r="I1485" s="299"/>
      <c r="J1485" s="299"/>
      <c r="K1485" s="299"/>
      <c r="L1485" s="299"/>
    </row>
    <row r="1486" spans="1:12">
      <c r="A1486" s="299"/>
      <c r="B1486" s="322"/>
      <c r="G1486" s="299"/>
      <c r="H1486" s="299"/>
      <c r="I1486" s="299"/>
      <c r="J1486" s="299"/>
      <c r="K1486" s="299"/>
      <c r="L1486" s="299"/>
    </row>
    <row r="1487" spans="1:12">
      <c r="A1487" s="299"/>
      <c r="B1487" s="322"/>
      <c r="G1487" s="299"/>
      <c r="H1487" s="299"/>
      <c r="I1487" s="299"/>
      <c r="J1487" s="299"/>
      <c r="K1487" s="299"/>
      <c r="L1487" s="299"/>
    </row>
    <row r="1488" spans="1:12">
      <c r="A1488" s="299"/>
      <c r="B1488" s="322"/>
      <c r="G1488" s="299"/>
      <c r="H1488" s="299"/>
      <c r="I1488" s="299"/>
      <c r="J1488" s="299"/>
      <c r="K1488" s="299"/>
      <c r="L1488" s="299"/>
    </row>
    <row r="1489" spans="1:12">
      <c r="A1489" s="299"/>
      <c r="B1489" s="322"/>
      <c r="G1489" s="299"/>
      <c r="H1489" s="299"/>
      <c r="I1489" s="299"/>
      <c r="J1489" s="299"/>
      <c r="K1489" s="299"/>
      <c r="L1489" s="299"/>
    </row>
    <row r="1490" spans="1:12">
      <c r="A1490" s="299"/>
      <c r="B1490" s="322"/>
      <c r="G1490" s="299"/>
      <c r="H1490" s="299"/>
      <c r="I1490" s="299"/>
      <c r="J1490" s="299"/>
      <c r="K1490" s="299"/>
      <c r="L1490" s="299"/>
    </row>
    <row r="1491" spans="1:12">
      <c r="A1491" s="299"/>
      <c r="B1491" s="322"/>
      <c r="G1491" s="299"/>
      <c r="H1491" s="299"/>
      <c r="I1491" s="299"/>
      <c r="J1491" s="299"/>
      <c r="K1491" s="299"/>
      <c r="L1491" s="299"/>
    </row>
    <row r="1492" spans="1:12">
      <c r="A1492" s="299"/>
      <c r="B1492" s="322"/>
      <c r="G1492" s="299"/>
      <c r="H1492" s="299"/>
      <c r="I1492" s="299"/>
      <c r="J1492" s="299"/>
      <c r="K1492" s="299"/>
      <c r="L1492" s="299"/>
    </row>
    <row r="1493" spans="1:12">
      <c r="A1493" s="299"/>
      <c r="B1493" s="322"/>
      <c r="G1493" s="299"/>
      <c r="H1493" s="299"/>
      <c r="I1493" s="299"/>
      <c r="J1493" s="299"/>
      <c r="K1493" s="299"/>
      <c r="L1493" s="299"/>
    </row>
    <row r="1494" spans="1:12">
      <c r="A1494" s="299"/>
      <c r="B1494" s="322"/>
      <c r="G1494" s="299"/>
      <c r="H1494" s="299"/>
      <c r="I1494" s="299"/>
      <c r="J1494" s="299"/>
      <c r="K1494" s="299"/>
      <c r="L1494" s="299"/>
    </row>
    <row r="1495" spans="1:12">
      <c r="A1495" s="299"/>
      <c r="B1495" s="322"/>
      <c r="G1495" s="299"/>
      <c r="H1495" s="299"/>
      <c r="I1495" s="299"/>
      <c r="J1495" s="299"/>
      <c r="K1495" s="299"/>
      <c r="L1495" s="299"/>
    </row>
    <row r="1496" spans="1:12">
      <c r="A1496" s="299"/>
      <c r="B1496" s="322"/>
      <c r="G1496" s="299"/>
      <c r="H1496" s="299"/>
      <c r="I1496" s="299"/>
      <c r="J1496" s="299"/>
      <c r="K1496" s="299"/>
      <c r="L1496" s="299"/>
    </row>
    <row r="1497" spans="1:12">
      <c r="A1497" s="299"/>
      <c r="B1497" s="322"/>
      <c r="G1497" s="299"/>
      <c r="H1497" s="299"/>
      <c r="I1497" s="299"/>
      <c r="J1497" s="299"/>
      <c r="K1497" s="299"/>
      <c r="L1497" s="299"/>
    </row>
    <row r="1498" spans="1:12">
      <c r="A1498" s="299"/>
      <c r="B1498" s="322"/>
      <c r="G1498" s="299"/>
      <c r="H1498" s="299"/>
      <c r="I1498" s="299"/>
      <c r="J1498" s="299"/>
      <c r="K1498" s="299"/>
      <c r="L1498" s="299"/>
    </row>
    <row r="1499" spans="1:12">
      <c r="A1499" s="299"/>
      <c r="B1499" s="322"/>
      <c r="G1499" s="299"/>
      <c r="H1499" s="299"/>
      <c r="I1499" s="299"/>
      <c r="J1499" s="299"/>
      <c r="K1499" s="299"/>
      <c r="L1499" s="299"/>
    </row>
    <row r="1500" spans="1:12">
      <c r="A1500" s="299"/>
      <c r="B1500" s="322"/>
      <c r="G1500" s="299"/>
      <c r="H1500" s="299"/>
      <c r="I1500" s="299"/>
      <c r="J1500" s="299"/>
      <c r="K1500" s="299"/>
      <c r="L1500" s="299"/>
    </row>
    <row r="1501" spans="1:12">
      <c r="A1501" s="299"/>
      <c r="B1501" s="322"/>
      <c r="G1501" s="299"/>
      <c r="H1501" s="299"/>
      <c r="I1501" s="299"/>
      <c r="J1501" s="299"/>
      <c r="K1501" s="299"/>
      <c r="L1501" s="299"/>
    </row>
    <row r="1502" spans="1:12">
      <c r="A1502" s="299"/>
      <c r="B1502" s="322"/>
      <c r="G1502" s="299"/>
      <c r="H1502" s="299"/>
      <c r="I1502" s="299"/>
      <c r="J1502" s="299"/>
      <c r="K1502" s="299"/>
      <c r="L1502" s="299"/>
    </row>
    <row r="1503" spans="1:12">
      <c r="A1503" s="299"/>
      <c r="B1503" s="322"/>
      <c r="G1503" s="299"/>
      <c r="H1503" s="299"/>
      <c r="I1503" s="299"/>
      <c r="J1503" s="299"/>
      <c r="K1503" s="299"/>
      <c r="L1503" s="299"/>
    </row>
    <row r="1504" spans="1:12">
      <c r="A1504" s="299"/>
      <c r="B1504" s="322"/>
      <c r="G1504" s="299"/>
      <c r="H1504" s="299"/>
      <c r="I1504" s="299"/>
      <c r="J1504" s="299"/>
      <c r="K1504" s="299"/>
      <c r="L1504" s="299"/>
    </row>
    <row r="1505" spans="1:12">
      <c r="A1505" s="299"/>
      <c r="B1505" s="322"/>
      <c r="G1505" s="299"/>
      <c r="H1505" s="299"/>
      <c r="I1505" s="299"/>
      <c r="J1505" s="299"/>
      <c r="K1505" s="299"/>
      <c r="L1505" s="299"/>
    </row>
    <row r="1506" spans="1:12">
      <c r="A1506" s="299"/>
      <c r="B1506" s="322"/>
      <c r="G1506" s="299"/>
      <c r="H1506" s="299"/>
      <c r="I1506" s="299"/>
      <c r="J1506" s="299"/>
      <c r="K1506" s="299"/>
      <c r="L1506" s="299"/>
    </row>
    <row r="1507" spans="1:12">
      <c r="A1507" s="299"/>
      <c r="B1507" s="322"/>
      <c r="G1507" s="299"/>
      <c r="H1507" s="299"/>
      <c r="I1507" s="299"/>
      <c r="J1507" s="299"/>
      <c r="K1507" s="299"/>
      <c r="L1507" s="299"/>
    </row>
    <row r="1508" spans="1:12">
      <c r="A1508" s="299"/>
      <c r="B1508" s="322"/>
      <c r="G1508" s="299"/>
      <c r="H1508" s="299"/>
      <c r="I1508" s="299"/>
      <c r="J1508" s="299"/>
      <c r="K1508" s="299"/>
      <c r="L1508" s="299"/>
    </row>
    <row r="1509" spans="1:12">
      <c r="A1509" s="299"/>
      <c r="B1509" s="322"/>
      <c r="G1509" s="299"/>
      <c r="H1509" s="299"/>
      <c r="I1509" s="299"/>
      <c r="J1509" s="299"/>
      <c r="K1509" s="299"/>
      <c r="L1509" s="299"/>
    </row>
    <row r="1510" spans="1:12">
      <c r="A1510" s="299"/>
      <c r="B1510" s="322"/>
      <c r="G1510" s="299"/>
      <c r="H1510" s="299"/>
      <c r="I1510" s="299"/>
      <c r="J1510" s="299"/>
      <c r="K1510" s="299"/>
      <c r="L1510" s="299"/>
    </row>
    <row r="1511" spans="1:12">
      <c r="A1511" s="299"/>
      <c r="B1511" s="322"/>
      <c r="G1511" s="299"/>
      <c r="H1511" s="299"/>
      <c r="I1511" s="299"/>
      <c r="J1511" s="299"/>
      <c r="K1511" s="299"/>
      <c r="L1511" s="299"/>
    </row>
    <row r="1512" spans="1:12">
      <c r="A1512" s="299"/>
      <c r="B1512" s="322"/>
      <c r="G1512" s="299"/>
      <c r="H1512" s="299"/>
      <c r="I1512" s="299"/>
      <c r="J1512" s="299"/>
      <c r="K1512" s="299"/>
      <c r="L1512" s="299"/>
    </row>
    <row r="1513" spans="1:12">
      <c r="A1513" s="299"/>
      <c r="B1513" s="322"/>
      <c r="G1513" s="299"/>
      <c r="H1513" s="299"/>
      <c r="I1513" s="299"/>
      <c r="J1513" s="299"/>
      <c r="K1513" s="299"/>
      <c r="L1513" s="299"/>
    </row>
    <row r="1514" spans="1:12">
      <c r="A1514" s="299"/>
      <c r="B1514" s="322"/>
      <c r="G1514" s="299"/>
      <c r="H1514" s="299"/>
      <c r="I1514" s="299"/>
      <c r="J1514" s="299"/>
      <c r="K1514" s="299"/>
      <c r="L1514" s="299"/>
    </row>
    <row r="1515" spans="1:12">
      <c r="A1515" s="299"/>
      <c r="B1515" s="322"/>
      <c r="G1515" s="299"/>
      <c r="H1515" s="299"/>
      <c r="I1515" s="299"/>
      <c r="J1515" s="299"/>
      <c r="K1515" s="299"/>
      <c r="L1515" s="299"/>
    </row>
    <row r="1516" spans="1:12">
      <c r="A1516" s="299"/>
      <c r="B1516" s="322"/>
      <c r="G1516" s="299"/>
      <c r="H1516" s="299"/>
      <c r="I1516" s="299"/>
      <c r="J1516" s="299"/>
      <c r="K1516" s="299"/>
      <c r="L1516" s="299"/>
    </row>
    <row r="1517" spans="1:12">
      <c r="A1517" s="299"/>
      <c r="B1517" s="322"/>
      <c r="G1517" s="299"/>
      <c r="H1517" s="299"/>
      <c r="I1517" s="299"/>
      <c r="J1517" s="299"/>
      <c r="K1517" s="299"/>
      <c r="L1517" s="299"/>
    </row>
    <row r="1518" spans="1:12">
      <c r="A1518" s="299"/>
      <c r="B1518" s="322"/>
      <c r="G1518" s="299"/>
      <c r="H1518" s="299"/>
      <c r="I1518" s="299"/>
      <c r="J1518" s="299"/>
      <c r="K1518" s="299"/>
      <c r="L1518" s="299"/>
    </row>
    <row r="1519" spans="1:12">
      <c r="A1519" s="299"/>
      <c r="B1519" s="322"/>
      <c r="G1519" s="299"/>
      <c r="H1519" s="299"/>
      <c r="I1519" s="299"/>
      <c r="J1519" s="299"/>
      <c r="K1519" s="299"/>
      <c r="L1519" s="299"/>
    </row>
    <row r="1520" spans="1:12">
      <c r="A1520" s="299"/>
      <c r="B1520" s="322"/>
      <c r="G1520" s="299"/>
      <c r="H1520" s="299"/>
      <c r="I1520" s="299"/>
      <c r="J1520" s="299"/>
      <c r="K1520" s="299"/>
      <c r="L1520" s="299"/>
    </row>
    <row r="1521" spans="1:12">
      <c r="A1521" s="299"/>
      <c r="B1521" s="322"/>
      <c r="G1521" s="299"/>
      <c r="H1521" s="299"/>
      <c r="I1521" s="299"/>
      <c r="J1521" s="299"/>
      <c r="K1521" s="299"/>
      <c r="L1521" s="299"/>
    </row>
    <row r="1522" spans="1:12">
      <c r="A1522" s="299"/>
      <c r="B1522" s="322"/>
      <c r="G1522" s="299"/>
      <c r="H1522" s="299"/>
      <c r="I1522" s="299"/>
      <c r="J1522" s="299"/>
      <c r="K1522" s="299"/>
      <c r="L1522" s="299"/>
    </row>
    <row r="1523" spans="1:12">
      <c r="A1523" s="299"/>
      <c r="B1523" s="322"/>
      <c r="G1523" s="299"/>
      <c r="H1523" s="299"/>
      <c r="I1523" s="299"/>
      <c r="J1523" s="299"/>
      <c r="K1523" s="299"/>
      <c r="L1523" s="299"/>
    </row>
    <row r="1524" spans="1:12">
      <c r="A1524" s="299"/>
      <c r="B1524" s="322"/>
      <c r="G1524" s="299"/>
      <c r="H1524" s="299"/>
      <c r="I1524" s="299"/>
      <c r="J1524" s="299"/>
      <c r="K1524" s="299"/>
      <c r="L1524" s="299"/>
    </row>
    <row r="1525" spans="1:12">
      <c r="A1525" s="299"/>
      <c r="B1525" s="322"/>
      <c r="G1525" s="299"/>
      <c r="H1525" s="299"/>
      <c r="I1525" s="299"/>
      <c r="J1525" s="299"/>
      <c r="K1525" s="299"/>
      <c r="L1525" s="299"/>
    </row>
    <row r="1526" spans="1:12">
      <c r="A1526" s="299"/>
      <c r="B1526" s="322"/>
      <c r="G1526" s="299"/>
      <c r="H1526" s="299"/>
      <c r="I1526" s="299"/>
      <c r="J1526" s="299"/>
      <c r="K1526" s="299"/>
      <c r="L1526" s="299"/>
    </row>
    <row r="1527" spans="1:12">
      <c r="A1527" s="299"/>
      <c r="B1527" s="322"/>
      <c r="G1527" s="299"/>
      <c r="H1527" s="299"/>
      <c r="I1527" s="299"/>
      <c r="J1527" s="299"/>
      <c r="K1527" s="299"/>
      <c r="L1527" s="299"/>
    </row>
    <row r="1528" spans="1:12">
      <c r="A1528" s="299"/>
      <c r="B1528" s="322"/>
      <c r="G1528" s="299"/>
      <c r="H1528" s="299"/>
      <c r="I1528" s="299"/>
      <c r="J1528" s="299"/>
      <c r="K1528" s="299"/>
      <c r="L1528" s="299"/>
    </row>
    <row r="1529" spans="1:12">
      <c r="A1529" s="299"/>
      <c r="B1529" s="322"/>
      <c r="G1529" s="299"/>
      <c r="H1529" s="299"/>
      <c r="I1529" s="299"/>
      <c r="J1529" s="299"/>
      <c r="K1529" s="299"/>
      <c r="L1529" s="299"/>
    </row>
    <row r="1530" spans="1:12">
      <c r="A1530" s="299"/>
      <c r="B1530" s="322"/>
      <c r="G1530" s="299"/>
      <c r="H1530" s="299"/>
      <c r="I1530" s="299"/>
      <c r="J1530" s="299"/>
      <c r="K1530" s="299"/>
      <c r="L1530" s="299"/>
    </row>
    <row r="1531" spans="1:12">
      <c r="A1531" s="299"/>
      <c r="B1531" s="322"/>
      <c r="G1531" s="299"/>
      <c r="H1531" s="299"/>
      <c r="I1531" s="299"/>
      <c r="J1531" s="299"/>
      <c r="K1531" s="299"/>
      <c r="L1531" s="299"/>
    </row>
    <row r="1532" spans="1:12">
      <c r="A1532" s="299"/>
      <c r="B1532" s="322"/>
      <c r="G1532" s="299"/>
      <c r="H1532" s="299"/>
      <c r="I1532" s="299"/>
      <c r="J1532" s="299"/>
      <c r="K1532" s="299"/>
      <c r="L1532" s="299"/>
    </row>
    <row r="1533" spans="1:12">
      <c r="A1533" s="299"/>
      <c r="B1533" s="322"/>
      <c r="G1533" s="299"/>
      <c r="H1533" s="299"/>
      <c r="I1533" s="299"/>
      <c r="J1533" s="299"/>
      <c r="K1533" s="299"/>
      <c r="L1533" s="299"/>
    </row>
    <row r="1534" spans="1:12">
      <c r="A1534" s="299"/>
      <c r="B1534" s="322"/>
      <c r="G1534" s="299"/>
      <c r="H1534" s="299"/>
      <c r="I1534" s="299"/>
      <c r="J1534" s="299"/>
      <c r="K1534" s="299"/>
      <c r="L1534" s="299"/>
    </row>
    <row r="1535" spans="1:12">
      <c r="A1535" s="299"/>
      <c r="B1535" s="322"/>
      <c r="G1535" s="299"/>
      <c r="H1535" s="299"/>
      <c r="I1535" s="299"/>
      <c r="J1535" s="299"/>
      <c r="K1535" s="299"/>
      <c r="L1535" s="299"/>
    </row>
    <row r="1536" spans="1:12">
      <c r="A1536" s="299"/>
      <c r="B1536" s="322"/>
      <c r="G1536" s="299"/>
      <c r="H1536" s="299"/>
      <c r="I1536" s="299"/>
      <c r="J1536" s="299"/>
      <c r="K1536" s="299"/>
      <c r="L1536" s="299"/>
    </row>
    <row r="1537" spans="1:12">
      <c r="A1537" s="299"/>
      <c r="B1537" s="322"/>
      <c r="G1537" s="299"/>
      <c r="H1537" s="299"/>
      <c r="I1537" s="299"/>
      <c r="J1537" s="299"/>
      <c r="K1537" s="299"/>
      <c r="L1537" s="299"/>
    </row>
    <row r="1538" spans="1:12">
      <c r="A1538" s="299"/>
      <c r="B1538" s="322"/>
      <c r="G1538" s="299"/>
      <c r="H1538" s="299"/>
      <c r="I1538" s="299"/>
      <c r="J1538" s="299"/>
      <c r="K1538" s="299"/>
      <c r="L1538" s="299"/>
    </row>
    <row r="1539" spans="1:12">
      <c r="A1539" s="299"/>
      <c r="B1539" s="322"/>
      <c r="G1539" s="299"/>
      <c r="H1539" s="299"/>
      <c r="I1539" s="299"/>
      <c r="J1539" s="299"/>
      <c r="K1539" s="299"/>
      <c r="L1539" s="299"/>
    </row>
    <row r="1540" spans="1:12">
      <c r="A1540" s="299"/>
      <c r="B1540" s="322"/>
      <c r="G1540" s="299"/>
      <c r="H1540" s="299"/>
      <c r="I1540" s="299"/>
      <c r="J1540" s="299"/>
      <c r="K1540" s="299"/>
      <c r="L1540" s="299"/>
    </row>
    <row r="1541" spans="1:12">
      <c r="A1541" s="299"/>
      <c r="B1541" s="322"/>
      <c r="G1541" s="299"/>
      <c r="H1541" s="299"/>
      <c r="I1541" s="299"/>
      <c r="J1541" s="299"/>
      <c r="K1541" s="299"/>
      <c r="L1541" s="299"/>
    </row>
    <row r="1542" spans="1:12">
      <c r="A1542" s="299"/>
      <c r="B1542" s="322"/>
      <c r="G1542" s="299"/>
      <c r="H1542" s="299"/>
      <c r="I1542" s="299"/>
      <c r="J1542" s="299"/>
      <c r="K1542" s="299"/>
      <c r="L1542" s="299"/>
    </row>
    <row r="1543" spans="1:12">
      <c r="A1543" s="299"/>
      <c r="B1543" s="322"/>
      <c r="G1543" s="299"/>
      <c r="H1543" s="299"/>
      <c r="I1543" s="299"/>
      <c r="J1543" s="299"/>
      <c r="K1543" s="299"/>
      <c r="L1543" s="299"/>
    </row>
    <row r="1544" spans="1:12">
      <c r="A1544" s="299"/>
      <c r="B1544" s="322"/>
      <c r="G1544" s="299"/>
      <c r="H1544" s="299"/>
      <c r="I1544" s="299"/>
      <c r="J1544" s="299"/>
      <c r="K1544" s="299"/>
      <c r="L1544" s="299"/>
    </row>
    <row r="1545" spans="1:12">
      <c r="A1545" s="299"/>
      <c r="B1545" s="322"/>
      <c r="G1545" s="299"/>
      <c r="H1545" s="299"/>
      <c r="I1545" s="299"/>
      <c r="J1545" s="299"/>
      <c r="K1545" s="299"/>
      <c r="L1545" s="299"/>
    </row>
    <row r="1546" spans="1:12">
      <c r="A1546" s="299"/>
      <c r="B1546" s="322"/>
      <c r="G1546" s="299"/>
      <c r="H1546" s="299"/>
      <c r="I1546" s="299"/>
      <c r="J1546" s="299"/>
      <c r="K1546" s="299"/>
      <c r="L1546" s="299"/>
    </row>
    <row r="1547" spans="1:12">
      <c r="A1547" s="299"/>
      <c r="B1547" s="322"/>
      <c r="G1547" s="299"/>
      <c r="H1547" s="299"/>
      <c r="I1547" s="299"/>
      <c r="J1547" s="299"/>
      <c r="K1547" s="299"/>
      <c r="L1547" s="299"/>
    </row>
    <row r="1548" spans="1:12">
      <c r="A1548" s="299"/>
      <c r="B1548" s="322"/>
      <c r="G1548" s="299"/>
      <c r="H1548" s="299"/>
      <c r="I1548" s="299"/>
      <c r="J1548" s="299"/>
      <c r="K1548" s="299"/>
      <c r="L1548" s="299"/>
    </row>
    <row r="1549" spans="1:12">
      <c r="A1549" s="299"/>
      <c r="B1549" s="322"/>
      <c r="G1549" s="299"/>
      <c r="H1549" s="299"/>
      <c r="I1549" s="299"/>
      <c r="J1549" s="299"/>
      <c r="K1549" s="299"/>
      <c r="L1549" s="299"/>
    </row>
    <row r="1550" spans="1:12">
      <c r="A1550" s="299"/>
      <c r="B1550" s="322"/>
      <c r="G1550" s="299"/>
      <c r="H1550" s="299"/>
      <c r="I1550" s="299"/>
      <c r="J1550" s="299"/>
      <c r="K1550" s="299"/>
      <c r="L1550" s="299"/>
    </row>
    <row r="1551" spans="1:12">
      <c r="A1551" s="299"/>
      <c r="B1551" s="322"/>
      <c r="G1551" s="299"/>
      <c r="H1551" s="299"/>
      <c r="I1551" s="299"/>
      <c r="J1551" s="299"/>
      <c r="K1551" s="299"/>
      <c r="L1551" s="299"/>
    </row>
    <row r="1552" spans="1:12">
      <c r="A1552" s="299"/>
      <c r="B1552" s="322"/>
      <c r="G1552" s="299"/>
      <c r="H1552" s="299"/>
      <c r="I1552" s="299"/>
      <c r="J1552" s="299"/>
      <c r="K1552" s="299"/>
      <c r="L1552" s="299"/>
    </row>
    <row r="1553" spans="1:12">
      <c r="A1553" s="299"/>
      <c r="B1553" s="322"/>
      <c r="G1553" s="299"/>
      <c r="H1553" s="299"/>
      <c r="I1553" s="299"/>
      <c r="J1553" s="299"/>
      <c r="K1553" s="299"/>
      <c r="L1553" s="299"/>
    </row>
    <row r="1554" spans="1:12">
      <c r="A1554" s="299"/>
      <c r="B1554" s="322"/>
      <c r="G1554" s="299"/>
      <c r="H1554" s="299"/>
      <c r="I1554" s="299"/>
      <c r="J1554" s="299"/>
      <c r="K1554" s="299"/>
      <c r="L1554" s="299"/>
    </row>
    <row r="1555" spans="1:12">
      <c r="A1555" s="299"/>
      <c r="B1555" s="322"/>
      <c r="G1555" s="299"/>
      <c r="H1555" s="299"/>
      <c r="I1555" s="299"/>
      <c r="J1555" s="299"/>
      <c r="K1555" s="299"/>
      <c r="L1555" s="299"/>
    </row>
    <row r="1556" spans="1:12">
      <c r="A1556" s="299"/>
      <c r="B1556" s="322"/>
      <c r="G1556" s="299"/>
      <c r="H1556" s="299"/>
      <c r="I1556" s="299"/>
      <c r="J1556" s="299"/>
      <c r="K1556" s="299"/>
      <c r="L1556" s="299"/>
    </row>
    <row r="1557" spans="1:12">
      <c r="A1557" s="299"/>
      <c r="B1557" s="322"/>
      <c r="G1557" s="299"/>
      <c r="H1557" s="299"/>
      <c r="I1557" s="299"/>
      <c r="J1557" s="299"/>
      <c r="K1557" s="299"/>
      <c r="L1557" s="299"/>
    </row>
    <row r="1558" spans="1:12">
      <c r="A1558" s="299"/>
      <c r="B1558" s="322"/>
      <c r="G1558" s="299"/>
      <c r="H1558" s="299"/>
      <c r="I1558" s="299"/>
      <c r="J1558" s="299"/>
      <c r="K1558" s="299"/>
      <c r="L1558" s="299"/>
    </row>
    <row r="1559" spans="1:12">
      <c r="A1559" s="299"/>
      <c r="B1559" s="322"/>
      <c r="G1559" s="299"/>
      <c r="H1559" s="299"/>
      <c r="I1559" s="299"/>
      <c r="J1559" s="299"/>
      <c r="K1559" s="299"/>
      <c r="L1559" s="299"/>
    </row>
    <row r="1560" spans="1:12">
      <c r="A1560" s="299"/>
      <c r="B1560" s="322"/>
      <c r="G1560" s="299"/>
      <c r="H1560" s="299"/>
      <c r="I1560" s="299"/>
      <c r="J1560" s="299"/>
      <c r="K1560" s="299"/>
      <c r="L1560" s="299"/>
    </row>
    <row r="1561" spans="1:12">
      <c r="A1561" s="299"/>
      <c r="B1561" s="322"/>
      <c r="G1561" s="299"/>
      <c r="H1561" s="299"/>
      <c r="I1561" s="299"/>
      <c r="J1561" s="299"/>
      <c r="K1561" s="299"/>
      <c r="L1561" s="299"/>
    </row>
    <row r="1562" spans="1:12">
      <c r="A1562" s="299"/>
      <c r="B1562" s="322"/>
      <c r="G1562" s="299"/>
      <c r="H1562" s="299"/>
      <c r="I1562" s="299"/>
      <c r="J1562" s="299"/>
      <c r="K1562" s="299"/>
      <c r="L1562" s="299"/>
    </row>
    <row r="1563" spans="1:12">
      <c r="A1563" s="299"/>
      <c r="B1563" s="322"/>
      <c r="G1563" s="299"/>
      <c r="H1563" s="299"/>
      <c r="I1563" s="299"/>
      <c r="J1563" s="299"/>
      <c r="K1563" s="299"/>
      <c r="L1563" s="299"/>
    </row>
    <row r="1564" spans="1:12">
      <c r="A1564" s="299"/>
      <c r="B1564" s="322"/>
      <c r="G1564" s="299"/>
      <c r="H1564" s="299"/>
      <c r="I1564" s="299"/>
      <c r="J1564" s="299"/>
      <c r="K1564" s="299"/>
      <c r="L1564" s="299"/>
    </row>
    <row r="1565" spans="1:12">
      <c r="A1565" s="299"/>
      <c r="B1565" s="322"/>
      <c r="G1565" s="299"/>
      <c r="H1565" s="299"/>
      <c r="I1565" s="299"/>
      <c r="J1565" s="299"/>
      <c r="K1565" s="299"/>
      <c r="L1565" s="299"/>
    </row>
    <row r="1566" spans="1:12">
      <c r="A1566" s="299"/>
      <c r="B1566" s="322"/>
      <c r="G1566" s="299"/>
      <c r="H1566" s="299"/>
      <c r="I1566" s="299"/>
      <c r="J1566" s="299"/>
      <c r="K1566" s="299"/>
      <c r="L1566" s="299"/>
    </row>
    <row r="1567" spans="1:12">
      <c r="A1567" s="299"/>
      <c r="B1567" s="322"/>
      <c r="G1567" s="299"/>
      <c r="H1567" s="299"/>
      <c r="I1567" s="299"/>
      <c r="J1567" s="299"/>
      <c r="K1567" s="299"/>
      <c r="L1567" s="299"/>
    </row>
    <row r="1568" spans="1:12">
      <c r="A1568" s="299"/>
      <c r="B1568" s="322"/>
      <c r="G1568" s="299"/>
      <c r="H1568" s="299"/>
      <c r="I1568" s="299"/>
      <c r="J1568" s="299"/>
      <c r="K1568" s="299"/>
      <c r="L1568" s="299"/>
    </row>
    <row r="1569" spans="1:12">
      <c r="A1569" s="299"/>
      <c r="B1569" s="322"/>
      <c r="G1569" s="299"/>
      <c r="H1569" s="299"/>
      <c r="I1569" s="299"/>
      <c r="J1569" s="299"/>
      <c r="K1569" s="299"/>
      <c r="L1569" s="299"/>
    </row>
    <row r="1570" spans="1:12">
      <c r="A1570" s="299"/>
      <c r="B1570" s="322"/>
      <c r="G1570" s="299"/>
      <c r="H1570" s="299"/>
      <c r="I1570" s="299"/>
      <c r="J1570" s="299"/>
      <c r="K1570" s="299"/>
      <c r="L1570" s="299"/>
    </row>
    <row r="1571" spans="1:12">
      <c r="A1571" s="299"/>
      <c r="B1571" s="322"/>
      <c r="G1571" s="299"/>
      <c r="H1571" s="299"/>
      <c r="I1571" s="299"/>
      <c r="J1571" s="299"/>
      <c r="K1571" s="299"/>
      <c r="L1571" s="299"/>
    </row>
    <row r="1572" spans="1:12">
      <c r="A1572" s="299"/>
      <c r="B1572" s="322"/>
      <c r="G1572" s="299"/>
      <c r="H1572" s="299"/>
      <c r="I1572" s="299"/>
      <c r="J1572" s="299"/>
      <c r="K1572" s="299"/>
      <c r="L1572" s="299"/>
    </row>
    <row r="1573" spans="1:12">
      <c r="A1573" s="299"/>
      <c r="B1573" s="322"/>
      <c r="G1573" s="299"/>
      <c r="H1573" s="299"/>
      <c r="I1573" s="299"/>
      <c r="J1573" s="299"/>
      <c r="K1573" s="299"/>
      <c r="L1573" s="299"/>
    </row>
    <row r="1574" spans="1:12">
      <c r="A1574" s="299"/>
      <c r="B1574" s="322"/>
      <c r="G1574" s="299"/>
      <c r="H1574" s="299"/>
      <c r="I1574" s="299"/>
      <c r="J1574" s="299"/>
      <c r="K1574" s="299"/>
      <c r="L1574" s="299"/>
    </row>
    <row r="1575" spans="1:12">
      <c r="A1575" s="299"/>
      <c r="B1575" s="322"/>
      <c r="G1575" s="299"/>
      <c r="H1575" s="299"/>
      <c r="I1575" s="299"/>
      <c r="J1575" s="299"/>
      <c r="K1575" s="299"/>
      <c r="L1575" s="299"/>
    </row>
    <row r="1576" spans="1:12">
      <c r="A1576" s="299"/>
      <c r="B1576" s="322"/>
      <c r="G1576" s="299"/>
      <c r="H1576" s="299"/>
      <c r="I1576" s="299"/>
      <c r="J1576" s="299"/>
      <c r="K1576" s="299"/>
      <c r="L1576" s="299"/>
    </row>
    <row r="1577" spans="1:12">
      <c r="A1577" s="299"/>
      <c r="B1577" s="322"/>
      <c r="G1577" s="299"/>
      <c r="H1577" s="299"/>
      <c r="I1577" s="299"/>
      <c r="J1577" s="299"/>
      <c r="K1577" s="299"/>
      <c r="L1577" s="299"/>
    </row>
    <row r="1578" spans="1:12">
      <c r="A1578" s="299"/>
      <c r="B1578" s="322"/>
      <c r="G1578" s="299"/>
      <c r="H1578" s="299"/>
      <c r="I1578" s="299"/>
      <c r="J1578" s="299"/>
      <c r="K1578" s="299"/>
      <c r="L1578" s="299"/>
    </row>
    <row r="1579" spans="1:12">
      <c r="A1579" s="299"/>
      <c r="B1579" s="322"/>
      <c r="G1579" s="299"/>
      <c r="H1579" s="299"/>
      <c r="I1579" s="299"/>
      <c r="J1579" s="299"/>
      <c r="K1579" s="299"/>
      <c r="L1579" s="299"/>
    </row>
    <row r="1580" spans="1:12">
      <c r="A1580" s="299"/>
      <c r="B1580" s="322"/>
      <c r="G1580" s="299"/>
      <c r="H1580" s="299"/>
      <c r="I1580" s="299"/>
      <c r="J1580" s="299"/>
      <c r="K1580" s="299"/>
      <c r="L1580" s="299"/>
    </row>
    <row r="1581" spans="1:12">
      <c r="A1581" s="299"/>
      <c r="B1581" s="322"/>
      <c r="G1581" s="299"/>
      <c r="H1581" s="299"/>
      <c r="I1581" s="299"/>
      <c r="J1581" s="299"/>
      <c r="K1581" s="299"/>
      <c r="L1581" s="299"/>
    </row>
    <row r="1582" spans="1:12">
      <c r="A1582" s="299"/>
      <c r="B1582" s="322"/>
      <c r="G1582" s="299"/>
      <c r="H1582" s="299"/>
      <c r="I1582" s="299"/>
      <c r="J1582" s="299"/>
      <c r="K1582" s="299"/>
      <c r="L1582" s="299"/>
    </row>
    <row r="1583" spans="1:12">
      <c r="A1583" s="299"/>
      <c r="B1583" s="322"/>
      <c r="G1583" s="299"/>
      <c r="H1583" s="299"/>
      <c r="I1583" s="299"/>
      <c r="J1583" s="299"/>
      <c r="K1583" s="299"/>
      <c r="L1583" s="299"/>
    </row>
    <row r="1584" spans="1:12">
      <c r="A1584" s="299"/>
      <c r="B1584" s="322"/>
      <c r="G1584" s="299"/>
      <c r="H1584" s="299"/>
      <c r="I1584" s="299"/>
      <c r="J1584" s="299"/>
      <c r="K1584" s="299"/>
      <c r="L1584" s="299"/>
    </row>
    <row r="1585" spans="1:12">
      <c r="A1585" s="299"/>
      <c r="B1585" s="322"/>
      <c r="G1585" s="299"/>
      <c r="H1585" s="299"/>
      <c r="I1585" s="299"/>
      <c r="J1585" s="299"/>
      <c r="K1585" s="299"/>
      <c r="L1585" s="299"/>
    </row>
    <row r="1586" spans="1:12">
      <c r="A1586" s="299"/>
      <c r="B1586" s="322"/>
      <c r="G1586" s="299"/>
      <c r="H1586" s="299"/>
      <c r="I1586" s="299"/>
      <c r="J1586" s="299"/>
      <c r="K1586" s="299"/>
      <c r="L1586" s="299"/>
    </row>
    <row r="1587" spans="1:12">
      <c r="A1587" s="299"/>
      <c r="B1587" s="322"/>
      <c r="G1587" s="299"/>
      <c r="H1587" s="299"/>
      <c r="I1587" s="299"/>
      <c r="J1587" s="299"/>
      <c r="K1587" s="299"/>
      <c r="L1587" s="299"/>
    </row>
    <row r="1588" spans="1:12">
      <c r="A1588" s="299"/>
      <c r="B1588" s="322"/>
      <c r="G1588" s="299"/>
      <c r="H1588" s="299"/>
      <c r="I1588" s="299"/>
      <c r="J1588" s="299"/>
      <c r="K1588" s="299"/>
      <c r="L1588" s="299"/>
    </row>
    <row r="1589" spans="1:12">
      <c r="A1589" s="299"/>
      <c r="B1589" s="322"/>
      <c r="G1589" s="299"/>
      <c r="H1589" s="299"/>
      <c r="I1589" s="299"/>
      <c r="J1589" s="299"/>
      <c r="K1589" s="299"/>
      <c r="L1589" s="299"/>
    </row>
    <row r="1590" spans="1:12">
      <c r="A1590" s="299"/>
      <c r="B1590" s="322"/>
      <c r="G1590" s="299"/>
      <c r="H1590" s="299"/>
      <c r="I1590" s="299"/>
      <c r="J1590" s="299"/>
      <c r="K1590" s="299"/>
      <c r="L1590" s="299"/>
    </row>
    <row r="1591" spans="1:12">
      <c r="A1591" s="299"/>
      <c r="B1591" s="322"/>
      <c r="G1591" s="299"/>
      <c r="H1591" s="299"/>
      <c r="I1591" s="299"/>
      <c r="J1591" s="299"/>
      <c r="K1591" s="299"/>
      <c r="L1591" s="299"/>
    </row>
    <row r="1592" spans="1:12">
      <c r="A1592" s="299"/>
      <c r="B1592" s="322"/>
      <c r="G1592" s="299"/>
      <c r="H1592" s="299"/>
      <c r="I1592" s="299"/>
      <c r="J1592" s="299"/>
      <c r="K1592" s="299"/>
      <c r="L1592" s="299"/>
    </row>
    <row r="1593" spans="1:12">
      <c r="A1593" s="299"/>
      <c r="B1593" s="322"/>
      <c r="G1593" s="299"/>
      <c r="H1593" s="299"/>
      <c r="I1593" s="299"/>
      <c r="J1593" s="299"/>
      <c r="K1593" s="299"/>
      <c r="L1593" s="299"/>
    </row>
    <row r="1594" spans="1:12">
      <c r="A1594" s="299"/>
      <c r="B1594" s="322"/>
      <c r="G1594" s="299"/>
      <c r="H1594" s="299"/>
      <c r="I1594" s="299"/>
      <c r="J1594" s="299"/>
      <c r="K1594" s="299"/>
      <c r="L1594" s="299"/>
    </row>
    <row r="1595" spans="1:12">
      <c r="A1595" s="299"/>
      <c r="B1595" s="322"/>
      <c r="G1595" s="299"/>
      <c r="H1595" s="299"/>
      <c r="I1595" s="299"/>
      <c r="J1595" s="299"/>
      <c r="K1595" s="299"/>
      <c r="L1595" s="299"/>
    </row>
    <row r="1596" spans="1:12">
      <c r="A1596" s="299"/>
      <c r="B1596" s="322"/>
      <c r="G1596" s="299"/>
      <c r="H1596" s="299"/>
      <c r="I1596" s="299"/>
      <c r="J1596" s="299"/>
      <c r="K1596" s="299"/>
      <c r="L1596" s="299"/>
    </row>
    <row r="1597" spans="1:12">
      <c r="A1597" s="299"/>
      <c r="B1597" s="322"/>
      <c r="G1597" s="299"/>
      <c r="H1597" s="299"/>
      <c r="I1597" s="299"/>
      <c r="J1597" s="299"/>
      <c r="K1597" s="299"/>
      <c r="L1597" s="299"/>
    </row>
    <row r="1598" spans="1:12">
      <c r="A1598" s="299"/>
      <c r="B1598" s="322"/>
      <c r="G1598" s="299"/>
      <c r="H1598" s="299"/>
      <c r="I1598" s="299"/>
      <c r="J1598" s="299"/>
      <c r="K1598" s="299"/>
      <c r="L1598" s="299"/>
    </row>
    <row r="1599" spans="1:12">
      <c r="A1599" s="299"/>
      <c r="B1599" s="322"/>
      <c r="G1599" s="299"/>
      <c r="H1599" s="299"/>
      <c r="I1599" s="299"/>
      <c r="J1599" s="299"/>
      <c r="K1599" s="299"/>
      <c r="L1599" s="299"/>
    </row>
    <row r="1600" spans="1:12">
      <c r="A1600" s="299"/>
      <c r="B1600" s="322"/>
      <c r="G1600" s="299"/>
      <c r="H1600" s="299"/>
      <c r="I1600" s="299"/>
      <c r="J1600" s="299"/>
      <c r="K1600" s="299"/>
      <c r="L1600" s="299"/>
    </row>
    <row r="1601" spans="1:12">
      <c r="A1601" s="299"/>
      <c r="B1601" s="322"/>
      <c r="G1601" s="299"/>
      <c r="H1601" s="299"/>
      <c r="I1601" s="299"/>
      <c r="J1601" s="299"/>
      <c r="K1601" s="299"/>
      <c r="L1601" s="299"/>
    </row>
    <row r="1602" spans="1:12">
      <c r="A1602" s="299"/>
      <c r="B1602" s="322"/>
      <c r="G1602" s="299"/>
      <c r="H1602" s="299"/>
      <c r="I1602" s="299"/>
      <c r="J1602" s="299"/>
      <c r="K1602" s="299"/>
      <c r="L1602" s="299"/>
    </row>
    <row r="1603" spans="1:12">
      <c r="A1603" s="299"/>
      <c r="B1603" s="322"/>
      <c r="G1603" s="299"/>
      <c r="H1603" s="299"/>
      <c r="I1603" s="299"/>
      <c r="J1603" s="299"/>
      <c r="K1603" s="299"/>
      <c r="L1603" s="299"/>
    </row>
    <row r="1604" spans="1:12">
      <c r="A1604" s="299"/>
      <c r="B1604" s="322"/>
      <c r="G1604" s="299"/>
      <c r="H1604" s="299"/>
      <c r="I1604" s="299"/>
      <c r="J1604" s="299"/>
      <c r="K1604" s="299"/>
      <c r="L1604" s="299"/>
    </row>
    <row r="1605" spans="1:12">
      <c r="A1605" s="299"/>
      <c r="B1605" s="322"/>
      <c r="G1605" s="299"/>
      <c r="H1605" s="299"/>
      <c r="I1605" s="299"/>
      <c r="J1605" s="299"/>
      <c r="K1605" s="299"/>
      <c r="L1605" s="299"/>
    </row>
    <row r="1606" spans="1:12">
      <c r="A1606" s="299"/>
      <c r="B1606" s="322"/>
      <c r="G1606" s="299"/>
      <c r="H1606" s="299"/>
      <c r="I1606" s="299"/>
      <c r="J1606" s="299"/>
      <c r="K1606" s="299"/>
      <c r="L1606" s="299"/>
    </row>
    <row r="1607" spans="1:12">
      <c r="A1607" s="299"/>
      <c r="B1607" s="322"/>
      <c r="G1607" s="299"/>
      <c r="H1607" s="299"/>
      <c r="I1607" s="299"/>
      <c r="J1607" s="299"/>
      <c r="K1607" s="299"/>
      <c r="L1607" s="299"/>
    </row>
    <row r="1608" spans="1:12">
      <c r="A1608" s="299"/>
      <c r="B1608" s="322"/>
      <c r="G1608" s="299"/>
      <c r="H1608" s="299"/>
      <c r="I1608" s="299"/>
      <c r="J1608" s="299"/>
      <c r="K1608" s="299"/>
      <c r="L1608" s="299"/>
    </row>
    <row r="1609" spans="1:12">
      <c r="A1609" s="299"/>
      <c r="B1609" s="322"/>
      <c r="G1609" s="299"/>
      <c r="H1609" s="299"/>
      <c r="I1609" s="299"/>
      <c r="J1609" s="299"/>
      <c r="K1609" s="299"/>
      <c r="L1609" s="299"/>
    </row>
    <row r="1610" spans="1:12">
      <c r="A1610" s="299"/>
      <c r="B1610" s="322"/>
      <c r="G1610" s="299"/>
      <c r="H1610" s="299"/>
      <c r="I1610" s="299"/>
      <c r="J1610" s="299"/>
      <c r="K1610" s="299"/>
      <c r="L1610" s="299"/>
    </row>
    <row r="1611" spans="1:12">
      <c r="A1611" s="299"/>
      <c r="B1611" s="322"/>
      <c r="G1611" s="299"/>
      <c r="H1611" s="299"/>
      <c r="I1611" s="299"/>
      <c r="J1611" s="299"/>
      <c r="K1611" s="299"/>
      <c r="L1611" s="299"/>
    </row>
    <row r="1612" spans="1:12">
      <c r="A1612" s="299"/>
      <c r="B1612" s="322"/>
      <c r="G1612" s="299"/>
      <c r="H1612" s="299"/>
      <c r="I1612" s="299"/>
      <c r="J1612" s="299"/>
      <c r="K1612" s="299"/>
      <c r="L1612" s="299"/>
    </row>
    <row r="1613" spans="1:12">
      <c r="A1613" s="299"/>
      <c r="B1613" s="322"/>
      <c r="G1613" s="299"/>
      <c r="H1613" s="299"/>
      <c r="I1613" s="299"/>
      <c r="J1613" s="299"/>
      <c r="K1613" s="299"/>
      <c r="L1613" s="299"/>
    </row>
    <row r="1614" spans="1:12">
      <c r="A1614" s="299"/>
      <c r="B1614" s="322"/>
      <c r="G1614" s="299"/>
      <c r="H1614" s="299"/>
      <c r="I1614" s="299"/>
      <c r="J1614" s="299"/>
      <c r="K1614" s="299"/>
      <c r="L1614" s="299"/>
    </row>
    <row r="1615" spans="1:12">
      <c r="A1615" s="299"/>
      <c r="B1615" s="322"/>
      <c r="G1615" s="299"/>
      <c r="H1615" s="299"/>
      <c r="I1615" s="299"/>
      <c r="J1615" s="299"/>
      <c r="K1615" s="299"/>
      <c r="L1615" s="299"/>
    </row>
    <row r="1616" spans="1:12">
      <c r="A1616" s="299"/>
      <c r="B1616" s="322"/>
      <c r="G1616" s="299"/>
      <c r="H1616" s="299"/>
      <c r="I1616" s="299"/>
      <c r="J1616" s="299"/>
      <c r="K1616" s="299"/>
      <c r="L1616" s="299"/>
    </row>
    <row r="1617" spans="1:12">
      <c r="A1617" s="299"/>
      <c r="B1617" s="322"/>
      <c r="G1617" s="299"/>
      <c r="H1617" s="299"/>
      <c r="I1617" s="299"/>
      <c r="J1617" s="299"/>
      <c r="K1617" s="299"/>
      <c r="L1617" s="299"/>
    </row>
    <row r="1618" spans="1:12">
      <c r="A1618" s="299"/>
      <c r="B1618" s="322"/>
      <c r="G1618" s="299"/>
      <c r="H1618" s="299"/>
      <c r="I1618" s="299"/>
      <c r="J1618" s="299"/>
      <c r="K1618" s="299"/>
      <c r="L1618" s="299"/>
    </row>
    <row r="1619" spans="1:12">
      <c r="A1619" s="299"/>
      <c r="B1619" s="322"/>
      <c r="G1619" s="299"/>
      <c r="H1619" s="299"/>
      <c r="I1619" s="299"/>
      <c r="J1619" s="299"/>
      <c r="K1619" s="299"/>
      <c r="L1619" s="299"/>
    </row>
    <row r="1620" spans="1:12">
      <c r="A1620" s="299"/>
      <c r="B1620" s="322"/>
      <c r="G1620" s="299"/>
      <c r="H1620" s="299"/>
      <c r="I1620" s="299"/>
      <c r="J1620" s="299"/>
      <c r="K1620" s="299"/>
      <c r="L1620" s="299"/>
    </row>
    <row r="1621" spans="1:12">
      <c r="A1621" s="299"/>
      <c r="B1621" s="322"/>
      <c r="G1621" s="299"/>
      <c r="H1621" s="299"/>
      <c r="I1621" s="299"/>
      <c r="J1621" s="299"/>
      <c r="K1621" s="299"/>
      <c r="L1621" s="299"/>
    </row>
    <row r="1622" spans="1:12">
      <c r="A1622" s="299"/>
      <c r="B1622" s="322"/>
      <c r="G1622" s="299"/>
      <c r="H1622" s="299"/>
      <c r="I1622" s="299"/>
      <c r="J1622" s="299"/>
      <c r="K1622" s="299"/>
      <c r="L1622" s="299"/>
    </row>
    <row r="1623" spans="1:12">
      <c r="A1623" s="299"/>
      <c r="B1623" s="322"/>
      <c r="G1623" s="299"/>
      <c r="H1623" s="299"/>
      <c r="I1623" s="299"/>
      <c r="J1623" s="299"/>
      <c r="K1623" s="299"/>
      <c r="L1623" s="299"/>
    </row>
    <row r="1624" spans="1:12">
      <c r="A1624" s="299"/>
      <c r="B1624" s="322"/>
      <c r="G1624" s="299"/>
      <c r="H1624" s="299"/>
      <c r="I1624" s="299"/>
      <c r="J1624" s="299"/>
      <c r="K1624" s="299"/>
      <c r="L1624" s="299"/>
    </row>
    <row r="1625" spans="1:12">
      <c r="A1625" s="299"/>
      <c r="B1625" s="322"/>
      <c r="G1625" s="299"/>
      <c r="H1625" s="299"/>
      <c r="I1625" s="299"/>
      <c r="J1625" s="299"/>
      <c r="K1625" s="299"/>
      <c r="L1625" s="299"/>
    </row>
    <row r="1626" spans="1:12">
      <c r="A1626" s="299"/>
      <c r="B1626" s="322"/>
      <c r="G1626" s="299"/>
      <c r="H1626" s="299"/>
      <c r="I1626" s="299"/>
      <c r="J1626" s="299"/>
      <c r="K1626" s="299"/>
      <c r="L1626" s="299"/>
    </row>
    <row r="1627" spans="1:12">
      <c r="A1627" s="299"/>
      <c r="B1627" s="322"/>
      <c r="G1627" s="299"/>
      <c r="H1627" s="299"/>
      <c r="I1627" s="299"/>
      <c r="J1627" s="299"/>
      <c r="K1627" s="299"/>
      <c r="L1627" s="299"/>
    </row>
    <row r="1628" spans="1:12">
      <c r="A1628" s="299"/>
      <c r="B1628" s="322"/>
      <c r="G1628" s="299"/>
      <c r="H1628" s="299"/>
      <c r="I1628" s="299"/>
      <c r="J1628" s="299"/>
      <c r="K1628" s="299"/>
      <c r="L1628" s="299"/>
    </row>
    <row r="1629" spans="1:12">
      <c r="A1629" s="299"/>
      <c r="B1629" s="322"/>
      <c r="G1629" s="299"/>
      <c r="H1629" s="299"/>
      <c r="I1629" s="299"/>
      <c r="J1629" s="299"/>
      <c r="K1629" s="299"/>
      <c r="L1629" s="299"/>
    </row>
    <row r="1630" spans="1:12">
      <c r="A1630" s="299"/>
      <c r="B1630" s="322"/>
      <c r="G1630" s="299"/>
      <c r="H1630" s="299"/>
      <c r="I1630" s="299"/>
      <c r="J1630" s="299"/>
      <c r="K1630" s="299"/>
      <c r="L1630" s="299"/>
    </row>
    <row r="1631" spans="1:12">
      <c r="A1631" s="299"/>
      <c r="B1631" s="322"/>
      <c r="G1631" s="299"/>
      <c r="H1631" s="299"/>
      <c r="I1631" s="299"/>
      <c r="J1631" s="299"/>
      <c r="K1631" s="299"/>
      <c r="L1631" s="299"/>
    </row>
    <row r="1632" spans="1:12">
      <c r="A1632" s="299"/>
      <c r="B1632" s="322"/>
      <c r="G1632" s="299"/>
      <c r="H1632" s="299"/>
      <c r="I1632" s="299"/>
      <c r="J1632" s="299"/>
      <c r="K1632" s="299"/>
      <c r="L1632" s="299"/>
    </row>
    <row r="1633" spans="1:12">
      <c r="A1633" s="299"/>
      <c r="B1633" s="322"/>
      <c r="G1633" s="299"/>
      <c r="H1633" s="299"/>
      <c r="I1633" s="299"/>
      <c r="J1633" s="299"/>
      <c r="K1633" s="299"/>
      <c r="L1633" s="299"/>
    </row>
    <row r="1634" spans="1:12">
      <c r="A1634" s="299"/>
      <c r="B1634" s="322"/>
      <c r="G1634" s="299"/>
      <c r="H1634" s="299"/>
      <c r="I1634" s="299"/>
      <c r="J1634" s="299"/>
      <c r="K1634" s="299"/>
      <c r="L1634" s="299"/>
    </row>
    <row r="1635" spans="1:12">
      <c r="A1635" s="299"/>
      <c r="B1635" s="322"/>
      <c r="G1635" s="299"/>
      <c r="H1635" s="299"/>
      <c r="I1635" s="299"/>
      <c r="J1635" s="299"/>
      <c r="K1635" s="299"/>
      <c r="L1635" s="299"/>
    </row>
    <row r="1636" spans="1:12">
      <c r="A1636" s="299"/>
      <c r="B1636" s="322"/>
      <c r="G1636" s="299"/>
      <c r="H1636" s="299"/>
      <c r="I1636" s="299"/>
      <c r="J1636" s="299"/>
      <c r="K1636" s="299"/>
      <c r="L1636" s="299"/>
    </row>
    <row r="1637" spans="1:12">
      <c r="A1637" s="299"/>
      <c r="B1637" s="322"/>
      <c r="G1637" s="299"/>
      <c r="H1637" s="299"/>
      <c r="I1637" s="299"/>
      <c r="J1637" s="299"/>
      <c r="K1637" s="299"/>
      <c r="L1637" s="299"/>
    </row>
    <row r="1638" spans="1:12">
      <c r="A1638" s="299"/>
      <c r="B1638" s="322"/>
      <c r="G1638" s="299"/>
      <c r="H1638" s="299"/>
      <c r="I1638" s="299"/>
      <c r="J1638" s="299"/>
      <c r="K1638" s="299"/>
      <c r="L1638" s="299"/>
    </row>
    <row r="1639" spans="1:12">
      <c r="A1639" s="299"/>
      <c r="B1639" s="322"/>
      <c r="G1639" s="299"/>
      <c r="H1639" s="299"/>
      <c r="I1639" s="299"/>
      <c r="J1639" s="299"/>
      <c r="K1639" s="299"/>
      <c r="L1639" s="299"/>
    </row>
    <row r="1640" spans="1:12">
      <c r="A1640" s="299"/>
      <c r="B1640" s="322"/>
      <c r="G1640" s="299"/>
      <c r="H1640" s="299"/>
      <c r="I1640" s="299"/>
      <c r="J1640" s="299"/>
      <c r="K1640" s="299"/>
      <c r="L1640" s="299"/>
    </row>
    <row r="1641" spans="1:12">
      <c r="A1641" s="299"/>
      <c r="B1641" s="322"/>
      <c r="G1641" s="299"/>
      <c r="H1641" s="299"/>
      <c r="I1641" s="299"/>
      <c r="J1641" s="299"/>
      <c r="K1641" s="299"/>
      <c r="L1641" s="299"/>
    </row>
    <row r="1642" spans="1:12">
      <c r="A1642" s="299"/>
      <c r="B1642" s="322"/>
      <c r="G1642" s="299"/>
      <c r="H1642" s="299"/>
      <c r="I1642" s="299"/>
      <c r="J1642" s="299"/>
      <c r="K1642" s="299"/>
      <c r="L1642" s="299"/>
    </row>
    <row r="1643" spans="1:12">
      <c r="A1643" s="299"/>
      <c r="B1643" s="322"/>
      <c r="G1643" s="299"/>
      <c r="H1643" s="299"/>
      <c r="I1643" s="299"/>
      <c r="J1643" s="299"/>
      <c r="K1643" s="299"/>
      <c r="L1643" s="299"/>
    </row>
    <row r="1644" spans="1:12">
      <c r="A1644" s="299"/>
      <c r="B1644" s="322"/>
      <c r="G1644" s="299"/>
      <c r="H1644" s="299"/>
      <c r="I1644" s="299"/>
      <c r="J1644" s="299"/>
      <c r="K1644" s="299"/>
      <c r="L1644" s="299"/>
    </row>
    <row r="1645" spans="1:12">
      <c r="A1645" s="299"/>
      <c r="B1645" s="322"/>
      <c r="G1645" s="299"/>
      <c r="H1645" s="299"/>
      <c r="I1645" s="299"/>
      <c r="J1645" s="299"/>
      <c r="K1645" s="299"/>
      <c r="L1645" s="299"/>
    </row>
    <row r="1646" spans="1:12">
      <c r="A1646" s="299"/>
      <c r="B1646" s="322"/>
      <c r="G1646" s="299"/>
      <c r="H1646" s="299"/>
      <c r="I1646" s="299"/>
      <c r="J1646" s="299"/>
      <c r="K1646" s="299"/>
      <c r="L1646" s="299"/>
    </row>
    <row r="1647" spans="1:12">
      <c r="A1647" s="299"/>
      <c r="B1647" s="322"/>
      <c r="G1647" s="299"/>
      <c r="H1647" s="299"/>
      <c r="I1647" s="299"/>
      <c r="J1647" s="299"/>
      <c r="K1647" s="299"/>
      <c r="L1647" s="299"/>
    </row>
    <row r="1648" spans="1:12">
      <c r="A1648" s="299"/>
      <c r="B1648" s="322"/>
      <c r="G1648" s="299"/>
      <c r="H1648" s="299"/>
      <c r="I1648" s="299"/>
      <c r="J1648" s="299"/>
      <c r="K1648" s="299"/>
      <c r="L1648" s="299"/>
    </row>
    <row r="1649" spans="1:12">
      <c r="A1649" s="299"/>
      <c r="B1649" s="322"/>
      <c r="G1649" s="299"/>
      <c r="H1649" s="299"/>
      <c r="I1649" s="299"/>
      <c r="J1649" s="299"/>
      <c r="K1649" s="299"/>
      <c r="L1649" s="299"/>
    </row>
    <row r="1650" spans="1:12">
      <c r="A1650" s="299"/>
      <c r="B1650" s="322"/>
      <c r="G1650" s="299"/>
      <c r="H1650" s="299"/>
      <c r="I1650" s="299"/>
      <c r="J1650" s="299"/>
      <c r="K1650" s="299"/>
      <c r="L1650" s="299"/>
    </row>
    <row r="1651" spans="1:12">
      <c r="A1651" s="299"/>
      <c r="B1651" s="322"/>
      <c r="G1651" s="299"/>
      <c r="H1651" s="299"/>
      <c r="I1651" s="299"/>
      <c r="J1651" s="299"/>
      <c r="K1651" s="299"/>
      <c r="L1651" s="299"/>
    </row>
    <row r="1652" spans="1:12">
      <c r="A1652" s="299"/>
      <c r="B1652" s="322"/>
      <c r="G1652" s="299"/>
      <c r="H1652" s="299"/>
      <c r="I1652" s="299"/>
      <c r="J1652" s="299"/>
      <c r="K1652" s="299"/>
      <c r="L1652" s="299"/>
    </row>
    <row r="1653" spans="1:12">
      <c r="A1653" s="299"/>
      <c r="B1653" s="322"/>
      <c r="G1653" s="299"/>
      <c r="H1653" s="299"/>
      <c r="I1653" s="299"/>
      <c r="J1653" s="299"/>
      <c r="K1653" s="299"/>
      <c r="L1653" s="299"/>
    </row>
    <row r="1654" spans="1:12">
      <c r="A1654" s="299"/>
      <c r="B1654" s="322"/>
      <c r="G1654" s="299"/>
      <c r="H1654" s="299"/>
      <c r="I1654" s="299"/>
      <c r="J1654" s="299"/>
      <c r="K1654" s="299"/>
      <c r="L1654" s="299"/>
    </row>
    <row r="1655" spans="1:12">
      <c r="A1655" s="299"/>
      <c r="B1655" s="322"/>
      <c r="G1655" s="299"/>
      <c r="H1655" s="299"/>
      <c r="I1655" s="299"/>
      <c r="J1655" s="299"/>
      <c r="K1655" s="299"/>
      <c r="L1655" s="299"/>
    </row>
    <row r="1656" spans="1:12">
      <c r="A1656" s="299"/>
      <c r="B1656" s="322"/>
      <c r="G1656" s="299"/>
      <c r="H1656" s="299"/>
      <c r="I1656" s="299"/>
      <c r="J1656" s="299"/>
      <c r="K1656" s="299"/>
      <c r="L1656" s="299"/>
    </row>
    <row r="1657" spans="1:12">
      <c r="A1657" s="299"/>
      <c r="B1657" s="322"/>
      <c r="G1657" s="299"/>
      <c r="H1657" s="299"/>
      <c r="I1657" s="299"/>
      <c r="J1657" s="299"/>
      <c r="K1657" s="299"/>
      <c r="L1657" s="299"/>
    </row>
    <row r="1658" spans="1:12">
      <c r="A1658" s="299"/>
      <c r="B1658" s="322"/>
      <c r="G1658" s="299"/>
      <c r="H1658" s="299"/>
      <c r="I1658" s="299"/>
      <c r="J1658" s="299"/>
      <c r="K1658" s="299"/>
      <c r="L1658" s="299"/>
    </row>
    <row r="1659" spans="1:12">
      <c r="A1659" s="299"/>
      <c r="B1659" s="322"/>
      <c r="G1659" s="299"/>
      <c r="H1659" s="299"/>
      <c r="I1659" s="299"/>
      <c r="J1659" s="299"/>
      <c r="K1659" s="299"/>
      <c r="L1659" s="299"/>
    </row>
    <row r="1660" spans="1:12">
      <c r="A1660" s="299"/>
      <c r="B1660" s="322"/>
      <c r="G1660" s="299"/>
      <c r="H1660" s="299"/>
      <c r="I1660" s="299"/>
      <c r="J1660" s="299"/>
      <c r="K1660" s="299"/>
      <c r="L1660" s="299"/>
    </row>
    <row r="1661" spans="1:12">
      <c r="A1661" s="299"/>
      <c r="B1661" s="322"/>
      <c r="G1661" s="299"/>
      <c r="H1661" s="299"/>
      <c r="I1661" s="299"/>
      <c r="J1661" s="299"/>
      <c r="K1661" s="299"/>
      <c r="L1661" s="299"/>
    </row>
    <row r="1662" spans="1:12">
      <c r="A1662" s="299"/>
      <c r="B1662" s="322"/>
      <c r="G1662" s="299"/>
      <c r="H1662" s="299"/>
      <c r="I1662" s="299"/>
      <c r="J1662" s="299"/>
      <c r="K1662" s="299"/>
      <c r="L1662" s="299"/>
    </row>
    <row r="1663" spans="1:12">
      <c r="A1663" s="299"/>
      <c r="B1663" s="322"/>
      <c r="G1663" s="299"/>
      <c r="H1663" s="299"/>
      <c r="I1663" s="299"/>
      <c r="J1663" s="299"/>
      <c r="K1663" s="299"/>
      <c r="L1663" s="299"/>
    </row>
    <row r="1664" spans="1:12">
      <c r="A1664" s="299"/>
      <c r="B1664" s="322"/>
      <c r="G1664" s="299"/>
      <c r="H1664" s="299"/>
      <c r="I1664" s="299"/>
      <c r="J1664" s="299"/>
      <c r="K1664" s="299"/>
      <c r="L1664" s="299"/>
    </row>
    <row r="1665" spans="1:12">
      <c r="A1665" s="299"/>
      <c r="B1665" s="322"/>
      <c r="G1665" s="299"/>
      <c r="H1665" s="299"/>
      <c r="I1665" s="299"/>
      <c r="J1665" s="299"/>
      <c r="K1665" s="299"/>
      <c r="L1665" s="299"/>
    </row>
    <row r="1666" spans="1:12">
      <c r="A1666" s="299"/>
      <c r="B1666" s="322"/>
      <c r="G1666" s="299"/>
      <c r="H1666" s="299"/>
      <c r="I1666" s="299"/>
      <c r="J1666" s="299"/>
      <c r="K1666" s="299"/>
      <c r="L1666" s="299"/>
    </row>
    <row r="1667" spans="1:12">
      <c r="A1667" s="299"/>
      <c r="B1667" s="322"/>
      <c r="G1667" s="299"/>
      <c r="H1667" s="299"/>
      <c r="I1667" s="299"/>
      <c r="J1667" s="299"/>
      <c r="K1667" s="299"/>
      <c r="L1667" s="299"/>
    </row>
    <row r="1668" spans="1:12">
      <c r="A1668" s="299"/>
      <c r="B1668" s="322"/>
      <c r="G1668" s="299"/>
      <c r="H1668" s="299"/>
      <c r="I1668" s="299"/>
      <c r="J1668" s="299"/>
      <c r="K1668" s="299"/>
      <c r="L1668" s="299"/>
    </row>
    <row r="1669" spans="1:12">
      <c r="A1669" s="299"/>
      <c r="B1669" s="322"/>
      <c r="G1669" s="299"/>
      <c r="H1669" s="299"/>
      <c r="I1669" s="299"/>
      <c r="J1669" s="299"/>
      <c r="K1669" s="299"/>
      <c r="L1669" s="299"/>
    </row>
    <row r="1670" spans="1:12">
      <c r="A1670" s="299"/>
      <c r="B1670" s="322"/>
      <c r="G1670" s="299"/>
      <c r="H1670" s="299"/>
      <c r="I1670" s="299"/>
      <c r="J1670" s="299"/>
      <c r="K1670" s="299"/>
      <c r="L1670" s="299"/>
    </row>
    <row r="1671" spans="1:12">
      <c r="A1671" s="299"/>
      <c r="B1671" s="322"/>
      <c r="G1671" s="299"/>
      <c r="H1671" s="299"/>
      <c r="I1671" s="299"/>
      <c r="J1671" s="299"/>
      <c r="K1671" s="299"/>
      <c r="L1671" s="299"/>
    </row>
    <row r="1672" spans="1:12">
      <c r="A1672" s="299"/>
      <c r="B1672" s="322"/>
      <c r="G1672" s="299"/>
      <c r="H1672" s="299"/>
      <c r="I1672" s="299"/>
      <c r="J1672" s="299"/>
      <c r="K1672" s="299"/>
      <c r="L1672" s="299"/>
    </row>
    <row r="1673" spans="1:12">
      <c r="A1673" s="299"/>
      <c r="B1673" s="322"/>
      <c r="G1673" s="299"/>
      <c r="H1673" s="299"/>
      <c r="I1673" s="299"/>
      <c r="J1673" s="299"/>
      <c r="K1673" s="299"/>
      <c r="L1673" s="299"/>
    </row>
    <row r="1674" spans="1:12">
      <c r="A1674" s="299"/>
      <c r="B1674" s="322"/>
      <c r="G1674" s="299"/>
      <c r="H1674" s="299"/>
      <c r="I1674" s="299"/>
      <c r="J1674" s="299"/>
      <c r="K1674" s="299"/>
      <c r="L1674" s="299"/>
    </row>
    <row r="1675" spans="1:12">
      <c r="A1675" s="299"/>
      <c r="B1675" s="322"/>
      <c r="G1675" s="299"/>
      <c r="H1675" s="299"/>
      <c r="I1675" s="299"/>
      <c r="J1675" s="299"/>
      <c r="K1675" s="299"/>
      <c r="L1675" s="299"/>
    </row>
    <row r="1676" spans="1:12">
      <c r="A1676" s="299"/>
      <c r="B1676" s="322"/>
      <c r="G1676" s="299"/>
      <c r="H1676" s="299"/>
      <c r="I1676" s="299"/>
      <c r="J1676" s="299"/>
      <c r="K1676" s="299"/>
      <c r="L1676" s="299"/>
    </row>
    <row r="1677" spans="1:12">
      <c r="A1677" s="299"/>
      <c r="B1677" s="322"/>
      <c r="G1677" s="299"/>
      <c r="H1677" s="299"/>
      <c r="I1677" s="299"/>
      <c r="J1677" s="299"/>
      <c r="K1677" s="299"/>
      <c r="L1677" s="299"/>
    </row>
    <row r="1678" spans="1:12">
      <c r="A1678" s="299"/>
      <c r="B1678" s="322"/>
      <c r="G1678" s="299"/>
      <c r="H1678" s="299"/>
      <c r="I1678" s="299"/>
      <c r="J1678" s="299"/>
      <c r="K1678" s="299"/>
      <c r="L1678" s="299"/>
    </row>
    <row r="1679" spans="1:12">
      <c r="A1679" s="299"/>
      <c r="B1679" s="322"/>
      <c r="G1679" s="299"/>
      <c r="H1679" s="299"/>
      <c r="I1679" s="299"/>
      <c r="J1679" s="299"/>
      <c r="K1679" s="299"/>
      <c r="L1679" s="299"/>
    </row>
    <row r="1680" spans="1:12">
      <c r="A1680" s="299"/>
      <c r="B1680" s="322"/>
      <c r="G1680" s="299"/>
      <c r="H1680" s="299"/>
      <c r="I1680" s="299"/>
      <c r="J1680" s="299"/>
      <c r="K1680" s="299"/>
      <c r="L1680" s="299"/>
    </row>
    <row r="1681" spans="1:12">
      <c r="A1681" s="299"/>
      <c r="B1681" s="322"/>
      <c r="G1681" s="299"/>
      <c r="H1681" s="299"/>
      <c r="I1681" s="299"/>
      <c r="J1681" s="299"/>
      <c r="K1681" s="299"/>
      <c r="L1681" s="299"/>
    </row>
    <row r="1682" spans="1:12">
      <c r="A1682" s="299"/>
      <c r="B1682" s="322"/>
      <c r="G1682" s="299"/>
      <c r="H1682" s="299"/>
      <c r="I1682" s="299"/>
      <c r="J1682" s="299"/>
      <c r="K1682" s="299"/>
      <c r="L1682" s="299"/>
    </row>
    <row r="1683" spans="1:12">
      <c r="A1683" s="299"/>
      <c r="B1683" s="322"/>
      <c r="G1683" s="299"/>
      <c r="H1683" s="299"/>
      <c r="I1683" s="299"/>
      <c r="J1683" s="299"/>
      <c r="K1683" s="299"/>
      <c r="L1683" s="299"/>
    </row>
    <row r="1684" spans="1:12">
      <c r="A1684" s="299"/>
      <c r="B1684" s="322"/>
      <c r="G1684" s="299"/>
      <c r="H1684" s="299"/>
      <c r="I1684" s="299"/>
      <c r="J1684" s="299"/>
      <c r="K1684" s="299"/>
      <c r="L1684" s="299"/>
    </row>
    <row r="1685" spans="1:12">
      <c r="A1685" s="299"/>
      <c r="B1685" s="322"/>
      <c r="G1685" s="299"/>
      <c r="H1685" s="299"/>
      <c r="I1685" s="299"/>
      <c r="J1685" s="299"/>
      <c r="K1685" s="299"/>
      <c r="L1685" s="299"/>
    </row>
    <row r="1686" spans="1:12">
      <c r="A1686" s="299"/>
      <c r="B1686" s="322"/>
      <c r="G1686" s="299"/>
      <c r="H1686" s="299"/>
      <c r="I1686" s="299"/>
      <c r="J1686" s="299"/>
      <c r="K1686" s="299"/>
      <c r="L1686" s="299"/>
    </row>
    <row r="1687" spans="1:12">
      <c r="A1687" s="299"/>
      <c r="B1687" s="322"/>
      <c r="G1687" s="299"/>
      <c r="H1687" s="299"/>
      <c r="I1687" s="299"/>
      <c r="J1687" s="299"/>
      <c r="K1687" s="299"/>
      <c r="L1687" s="299"/>
    </row>
    <row r="1688" spans="1:12">
      <c r="A1688" s="299"/>
      <c r="B1688" s="322"/>
      <c r="G1688" s="299"/>
      <c r="H1688" s="299"/>
      <c r="I1688" s="299"/>
      <c r="J1688" s="299"/>
      <c r="K1688" s="299"/>
      <c r="L1688" s="299"/>
    </row>
    <row r="1689" spans="1:12">
      <c r="A1689" s="299"/>
      <c r="B1689" s="322"/>
      <c r="G1689" s="299"/>
      <c r="H1689" s="299"/>
      <c r="I1689" s="299"/>
      <c r="J1689" s="299"/>
      <c r="K1689" s="299"/>
      <c r="L1689" s="299"/>
    </row>
    <row r="1690" spans="1:12">
      <c r="A1690" s="299"/>
      <c r="B1690" s="322"/>
      <c r="G1690" s="299"/>
      <c r="H1690" s="299"/>
      <c r="I1690" s="299"/>
      <c r="J1690" s="299"/>
      <c r="K1690" s="299"/>
      <c r="L1690" s="299"/>
    </row>
    <row r="1691" spans="1:12">
      <c r="A1691" s="299"/>
      <c r="B1691" s="322"/>
      <c r="G1691" s="299"/>
      <c r="H1691" s="299"/>
      <c r="I1691" s="299"/>
      <c r="J1691" s="299"/>
      <c r="K1691" s="299"/>
      <c r="L1691" s="299"/>
    </row>
    <row r="1692" spans="1:12">
      <c r="A1692" s="299"/>
      <c r="B1692" s="322"/>
      <c r="G1692" s="299"/>
      <c r="H1692" s="299"/>
      <c r="I1692" s="299"/>
      <c r="J1692" s="299"/>
      <c r="K1692" s="299"/>
      <c r="L1692" s="299"/>
    </row>
    <row r="1693" spans="1:12">
      <c r="A1693" s="299"/>
      <c r="B1693" s="322"/>
      <c r="G1693" s="299"/>
      <c r="H1693" s="299"/>
      <c r="I1693" s="299"/>
      <c r="J1693" s="299"/>
      <c r="K1693" s="299"/>
      <c r="L1693" s="299"/>
    </row>
    <row r="1694" spans="1:12">
      <c r="A1694" s="299"/>
      <c r="B1694" s="322"/>
      <c r="G1694" s="299"/>
      <c r="H1694" s="299"/>
      <c r="I1694" s="299"/>
      <c r="J1694" s="299"/>
      <c r="K1694" s="299"/>
      <c r="L1694" s="299"/>
    </row>
    <row r="1695" spans="1:12">
      <c r="A1695" s="299"/>
      <c r="B1695" s="322"/>
      <c r="G1695" s="299"/>
      <c r="H1695" s="299"/>
      <c r="I1695" s="299"/>
      <c r="J1695" s="299"/>
      <c r="K1695" s="299"/>
      <c r="L1695" s="299"/>
    </row>
    <row r="1696" spans="1:12">
      <c r="A1696" s="299"/>
      <c r="B1696" s="322"/>
      <c r="G1696" s="299"/>
      <c r="H1696" s="299"/>
      <c r="I1696" s="299"/>
      <c r="J1696" s="299"/>
      <c r="K1696" s="299"/>
      <c r="L1696" s="299"/>
    </row>
    <row r="1697" spans="1:12">
      <c r="A1697" s="299"/>
      <c r="B1697" s="322"/>
      <c r="G1697" s="299"/>
      <c r="H1697" s="299"/>
      <c r="I1697" s="299"/>
      <c r="J1697" s="299"/>
      <c r="K1697" s="299"/>
      <c r="L1697" s="299"/>
    </row>
    <row r="1698" spans="1:12">
      <c r="A1698" s="299"/>
      <c r="B1698" s="322"/>
      <c r="G1698" s="299"/>
      <c r="H1698" s="299"/>
      <c r="I1698" s="299"/>
      <c r="J1698" s="299"/>
      <c r="K1698" s="299"/>
      <c r="L1698" s="299"/>
    </row>
    <row r="1699" spans="1:12">
      <c r="A1699" s="299"/>
      <c r="B1699" s="322"/>
      <c r="G1699" s="299"/>
      <c r="H1699" s="299"/>
      <c r="I1699" s="299"/>
      <c r="J1699" s="299"/>
      <c r="K1699" s="299"/>
      <c r="L1699" s="299"/>
    </row>
    <row r="1700" spans="1:12">
      <c r="A1700" s="299"/>
      <c r="B1700" s="322"/>
      <c r="G1700" s="299"/>
      <c r="H1700" s="299"/>
      <c r="I1700" s="299"/>
      <c r="J1700" s="299"/>
      <c r="K1700" s="299"/>
      <c r="L1700" s="299"/>
    </row>
    <row r="1701" spans="1:12">
      <c r="A1701" s="299"/>
      <c r="B1701" s="322"/>
      <c r="G1701" s="299"/>
      <c r="H1701" s="299"/>
      <c r="I1701" s="299"/>
      <c r="J1701" s="299"/>
      <c r="K1701" s="299"/>
      <c r="L1701" s="299"/>
    </row>
    <row r="1702" spans="1:12">
      <c r="A1702" s="299"/>
      <c r="B1702" s="322"/>
      <c r="G1702" s="299"/>
      <c r="H1702" s="299"/>
      <c r="I1702" s="299"/>
      <c r="J1702" s="299"/>
      <c r="K1702" s="299"/>
      <c r="L1702" s="299"/>
    </row>
    <row r="1703" spans="1:12">
      <c r="A1703" s="299"/>
      <c r="B1703" s="322"/>
      <c r="G1703" s="299"/>
      <c r="H1703" s="299"/>
      <c r="I1703" s="299"/>
      <c r="J1703" s="299"/>
      <c r="K1703" s="299"/>
      <c r="L1703" s="299"/>
    </row>
    <row r="1704" spans="1:12">
      <c r="A1704" s="299"/>
      <c r="B1704" s="322"/>
      <c r="G1704" s="299"/>
      <c r="H1704" s="299"/>
      <c r="I1704" s="299"/>
      <c r="J1704" s="299"/>
      <c r="K1704" s="299"/>
      <c r="L1704" s="299"/>
    </row>
    <row r="1705" spans="1:12">
      <c r="A1705" s="299"/>
      <c r="B1705" s="322"/>
      <c r="G1705" s="299"/>
      <c r="H1705" s="299"/>
      <c r="I1705" s="299"/>
      <c r="J1705" s="299"/>
      <c r="K1705" s="299"/>
      <c r="L1705" s="299"/>
    </row>
    <row r="1706" spans="1:12">
      <c r="A1706" s="299"/>
      <c r="B1706" s="322"/>
      <c r="G1706" s="299"/>
      <c r="H1706" s="299"/>
      <c r="I1706" s="299"/>
      <c r="J1706" s="299"/>
      <c r="K1706" s="299"/>
      <c r="L1706" s="299"/>
    </row>
    <row r="1707" spans="1:12">
      <c r="A1707" s="299"/>
      <c r="B1707" s="322"/>
      <c r="G1707" s="299"/>
      <c r="H1707" s="299"/>
      <c r="I1707" s="299"/>
      <c r="J1707" s="299"/>
      <c r="K1707" s="299"/>
      <c r="L1707" s="299"/>
    </row>
    <row r="1708" spans="1:12">
      <c r="A1708" s="299"/>
      <c r="B1708" s="322"/>
      <c r="G1708" s="299"/>
      <c r="H1708" s="299"/>
      <c r="I1708" s="299"/>
      <c r="J1708" s="299"/>
      <c r="K1708" s="299"/>
      <c r="L1708" s="299"/>
    </row>
    <row r="1709" spans="1:12">
      <c r="A1709" s="299"/>
      <c r="B1709" s="322"/>
      <c r="G1709" s="299"/>
      <c r="H1709" s="299"/>
      <c r="I1709" s="299"/>
      <c r="J1709" s="299"/>
      <c r="K1709" s="299"/>
      <c r="L1709" s="299"/>
    </row>
    <row r="1710" spans="1:12">
      <c r="A1710" s="299"/>
      <c r="B1710" s="322"/>
      <c r="G1710" s="299"/>
      <c r="H1710" s="299"/>
      <c r="I1710" s="299"/>
      <c r="J1710" s="299"/>
      <c r="K1710" s="299"/>
      <c r="L1710" s="299"/>
    </row>
    <row r="1711" spans="1:12">
      <c r="A1711" s="299"/>
      <c r="B1711" s="322"/>
      <c r="G1711" s="299"/>
      <c r="H1711" s="299"/>
      <c r="I1711" s="299"/>
      <c r="J1711" s="299"/>
      <c r="K1711" s="299"/>
      <c r="L1711" s="299"/>
    </row>
    <row r="1712" spans="1:12">
      <c r="A1712" s="299"/>
      <c r="B1712" s="322"/>
      <c r="G1712" s="299"/>
      <c r="H1712" s="299"/>
      <c r="I1712" s="299"/>
      <c r="J1712" s="299"/>
      <c r="K1712" s="299"/>
      <c r="L1712" s="299"/>
    </row>
    <row r="1713" spans="1:12">
      <c r="A1713" s="299"/>
      <c r="B1713" s="322"/>
      <c r="G1713" s="299"/>
      <c r="H1713" s="299"/>
      <c r="I1713" s="299"/>
      <c r="J1713" s="299"/>
      <c r="K1713" s="299"/>
      <c r="L1713" s="299"/>
    </row>
    <row r="1714" spans="1:12">
      <c r="A1714" s="299"/>
      <c r="B1714" s="322"/>
      <c r="G1714" s="299"/>
      <c r="H1714" s="299"/>
      <c r="I1714" s="299"/>
      <c r="J1714" s="299"/>
      <c r="K1714" s="299"/>
      <c r="L1714" s="299"/>
    </row>
    <row r="1715" spans="1:12">
      <c r="A1715" s="299"/>
      <c r="B1715" s="322"/>
      <c r="G1715" s="299"/>
      <c r="H1715" s="299"/>
      <c r="I1715" s="299"/>
      <c r="J1715" s="299"/>
      <c r="K1715" s="299"/>
      <c r="L1715" s="299"/>
    </row>
    <row r="1716" spans="1:12">
      <c r="A1716" s="299"/>
      <c r="B1716" s="322"/>
      <c r="G1716" s="299"/>
      <c r="H1716" s="299"/>
      <c r="I1716" s="299"/>
      <c r="J1716" s="299"/>
      <c r="K1716" s="299"/>
      <c r="L1716" s="299"/>
    </row>
    <row r="1717" spans="1:12">
      <c r="A1717" s="299"/>
      <c r="B1717" s="322"/>
      <c r="G1717" s="299"/>
      <c r="H1717" s="299"/>
      <c r="I1717" s="299"/>
      <c r="J1717" s="299"/>
      <c r="K1717" s="299"/>
      <c r="L1717" s="299"/>
    </row>
    <row r="1718" spans="1:12">
      <c r="A1718" s="299"/>
      <c r="B1718" s="322"/>
      <c r="G1718" s="299"/>
      <c r="H1718" s="299"/>
      <c r="I1718" s="299"/>
      <c r="J1718" s="299"/>
      <c r="K1718" s="299"/>
      <c r="L1718" s="299"/>
    </row>
    <row r="1719" spans="1:12">
      <c r="A1719" s="299"/>
      <c r="B1719" s="322"/>
      <c r="G1719" s="299"/>
      <c r="H1719" s="299"/>
      <c r="I1719" s="299"/>
      <c r="J1719" s="299"/>
      <c r="K1719" s="299"/>
      <c r="L1719" s="299"/>
    </row>
    <row r="1720" spans="1:12">
      <c r="A1720" s="299"/>
      <c r="B1720" s="322"/>
      <c r="G1720" s="299"/>
      <c r="H1720" s="299"/>
      <c r="I1720" s="299"/>
      <c r="J1720" s="299"/>
      <c r="K1720" s="299"/>
      <c r="L1720" s="299"/>
    </row>
    <row r="1721" spans="1:12">
      <c r="A1721" s="299"/>
      <c r="B1721" s="322"/>
      <c r="G1721" s="299"/>
      <c r="H1721" s="299"/>
      <c r="I1721" s="299"/>
      <c r="J1721" s="299"/>
      <c r="K1721" s="299"/>
      <c r="L1721" s="299"/>
    </row>
    <row r="1722" spans="1:12">
      <c r="A1722" s="299"/>
      <c r="B1722" s="322"/>
      <c r="G1722" s="299"/>
      <c r="H1722" s="299"/>
      <c r="I1722" s="299"/>
      <c r="J1722" s="299"/>
      <c r="K1722" s="299"/>
      <c r="L1722" s="299"/>
    </row>
    <row r="1723" spans="1:12">
      <c r="A1723" s="299"/>
      <c r="B1723" s="322"/>
      <c r="G1723" s="299"/>
      <c r="H1723" s="299"/>
      <c r="I1723" s="299"/>
      <c r="J1723" s="299"/>
      <c r="K1723" s="299"/>
      <c r="L1723" s="299"/>
    </row>
    <row r="1724" spans="1:12">
      <c r="A1724" s="299"/>
      <c r="B1724" s="322"/>
      <c r="G1724" s="299"/>
      <c r="H1724" s="299"/>
      <c r="I1724" s="299"/>
      <c r="J1724" s="299"/>
      <c r="K1724" s="299"/>
      <c r="L1724" s="299"/>
    </row>
    <row r="1725" spans="1:12">
      <c r="A1725" s="299"/>
      <c r="B1725" s="322"/>
      <c r="G1725" s="299"/>
      <c r="H1725" s="299"/>
      <c r="I1725" s="299"/>
      <c r="J1725" s="299"/>
      <c r="K1725" s="299"/>
      <c r="L1725" s="299"/>
    </row>
    <row r="1726" spans="1:12">
      <c r="A1726" s="299"/>
      <c r="B1726" s="322"/>
      <c r="G1726" s="299"/>
      <c r="H1726" s="299"/>
      <c r="I1726" s="299"/>
      <c r="J1726" s="299"/>
      <c r="K1726" s="299"/>
      <c r="L1726" s="299"/>
    </row>
    <row r="1727" spans="1:12">
      <c r="A1727" s="299"/>
      <c r="B1727" s="322"/>
      <c r="G1727" s="299"/>
      <c r="H1727" s="299"/>
      <c r="I1727" s="299"/>
      <c r="J1727" s="299"/>
      <c r="K1727" s="299"/>
      <c r="L1727" s="299"/>
    </row>
    <row r="1728" spans="1:12">
      <c r="A1728" s="299"/>
      <c r="B1728" s="322"/>
      <c r="G1728" s="299"/>
      <c r="H1728" s="299"/>
      <c r="I1728" s="299"/>
      <c r="J1728" s="299"/>
      <c r="K1728" s="299"/>
      <c r="L1728" s="299"/>
    </row>
    <row r="1729" spans="1:12">
      <c r="A1729" s="299"/>
      <c r="B1729" s="322"/>
      <c r="G1729" s="299"/>
      <c r="H1729" s="299"/>
      <c r="I1729" s="299"/>
      <c r="J1729" s="299"/>
      <c r="K1729" s="299"/>
      <c r="L1729" s="299"/>
    </row>
    <row r="1730" spans="1:12">
      <c r="A1730" s="299"/>
      <c r="B1730" s="322"/>
      <c r="G1730" s="299"/>
      <c r="H1730" s="299"/>
      <c r="I1730" s="299"/>
      <c r="J1730" s="299"/>
      <c r="K1730" s="299"/>
      <c r="L1730" s="299"/>
    </row>
    <row r="1731" spans="1:12">
      <c r="A1731" s="299"/>
      <c r="B1731" s="322"/>
      <c r="G1731" s="299"/>
      <c r="H1731" s="299"/>
      <c r="I1731" s="299"/>
      <c r="J1731" s="299"/>
      <c r="K1731" s="299"/>
      <c r="L1731" s="299"/>
    </row>
    <row r="1732" spans="1:12">
      <c r="A1732" s="299"/>
      <c r="B1732" s="322"/>
      <c r="G1732" s="299"/>
      <c r="H1732" s="299"/>
      <c r="I1732" s="299"/>
      <c r="J1732" s="299"/>
      <c r="K1732" s="299"/>
      <c r="L1732" s="299"/>
    </row>
    <row r="1733" spans="1:12">
      <c r="A1733" s="299"/>
      <c r="B1733" s="322"/>
      <c r="G1733" s="299"/>
      <c r="H1733" s="299"/>
      <c r="I1733" s="299"/>
      <c r="J1733" s="299"/>
      <c r="K1733" s="299"/>
      <c r="L1733" s="299"/>
    </row>
    <row r="1734" spans="1:12">
      <c r="A1734" s="299"/>
      <c r="B1734" s="322"/>
      <c r="G1734" s="299"/>
      <c r="H1734" s="299"/>
      <c r="I1734" s="299"/>
      <c r="J1734" s="299"/>
      <c r="K1734" s="299"/>
      <c r="L1734" s="299"/>
    </row>
    <row r="1735" spans="1:12">
      <c r="A1735" s="299"/>
      <c r="B1735" s="322"/>
      <c r="G1735" s="299"/>
      <c r="H1735" s="299"/>
      <c r="I1735" s="299"/>
      <c r="J1735" s="299"/>
      <c r="K1735" s="299"/>
      <c r="L1735" s="299"/>
    </row>
    <row r="1736" spans="1:12">
      <c r="A1736" s="299"/>
      <c r="B1736" s="322"/>
      <c r="G1736" s="299"/>
      <c r="H1736" s="299"/>
      <c r="I1736" s="299"/>
      <c r="J1736" s="299"/>
      <c r="K1736" s="299"/>
      <c r="L1736" s="299"/>
    </row>
    <row r="1737" spans="1:12">
      <c r="A1737" s="299"/>
      <c r="B1737" s="322"/>
      <c r="G1737" s="299"/>
      <c r="H1737" s="299"/>
      <c r="I1737" s="299"/>
      <c r="J1737" s="299"/>
      <c r="K1737" s="299"/>
      <c r="L1737" s="299"/>
    </row>
    <row r="1738" spans="1:12">
      <c r="A1738" s="299"/>
      <c r="B1738" s="322"/>
      <c r="G1738" s="299"/>
      <c r="H1738" s="299"/>
      <c r="I1738" s="299"/>
      <c r="J1738" s="299"/>
      <c r="K1738" s="299"/>
      <c r="L1738" s="299"/>
    </row>
    <row r="1739" spans="1:12">
      <c r="A1739" s="299"/>
      <c r="B1739" s="322"/>
      <c r="G1739" s="299"/>
      <c r="H1739" s="299"/>
      <c r="I1739" s="299"/>
      <c r="J1739" s="299"/>
      <c r="K1739" s="299"/>
      <c r="L1739" s="299"/>
    </row>
    <row r="1740" spans="1:12">
      <c r="A1740" s="299"/>
      <c r="B1740" s="322"/>
      <c r="G1740" s="299"/>
      <c r="H1740" s="299"/>
      <c r="I1740" s="299"/>
      <c r="J1740" s="299"/>
      <c r="K1740" s="299"/>
      <c r="L1740" s="299"/>
    </row>
    <row r="1741" spans="1:12">
      <c r="A1741" s="299"/>
      <c r="B1741" s="322"/>
      <c r="G1741" s="299"/>
      <c r="H1741" s="299"/>
      <c r="I1741" s="299"/>
      <c r="J1741" s="299"/>
      <c r="K1741" s="299"/>
      <c r="L1741" s="299"/>
    </row>
    <row r="1742" spans="1:12">
      <c r="A1742" s="299"/>
      <c r="B1742" s="322"/>
      <c r="G1742" s="299"/>
      <c r="H1742" s="299"/>
      <c r="I1742" s="299"/>
      <c r="J1742" s="299"/>
      <c r="K1742" s="299"/>
      <c r="L1742" s="299"/>
    </row>
    <row r="1743" spans="1:12">
      <c r="A1743" s="299"/>
      <c r="B1743" s="322"/>
      <c r="G1743" s="299"/>
      <c r="H1743" s="299"/>
      <c r="I1743" s="299"/>
      <c r="J1743" s="299"/>
      <c r="K1743" s="299"/>
      <c r="L1743" s="299"/>
    </row>
    <row r="1744" spans="1:12">
      <c r="A1744" s="299"/>
      <c r="B1744" s="322"/>
      <c r="G1744" s="299"/>
      <c r="H1744" s="299"/>
      <c r="I1744" s="299"/>
      <c r="J1744" s="299"/>
      <c r="K1744" s="299"/>
      <c r="L1744" s="299"/>
    </row>
    <row r="1745" spans="1:12">
      <c r="A1745" s="299"/>
      <c r="B1745" s="322"/>
      <c r="G1745" s="299"/>
      <c r="H1745" s="299"/>
      <c r="I1745" s="299"/>
      <c r="J1745" s="299"/>
      <c r="K1745" s="299"/>
      <c r="L1745" s="299"/>
    </row>
    <row r="1746" spans="1:12">
      <c r="A1746" s="299"/>
      <c r="B1746" s="322"/>
      <c r="G1746" s="299"/>
      <c r="H1746" s="299"/>
      <c r="I1746" s="299"/>
      <c r="J1746" s="299"/>
      <c r="K1746" s="299"/>
      <c r="L1746" s="299"/>
    </row>
    <row r="1747" spans="1:12">
      <c r="A1747" s="299"/>
      <c r="B1747" s="322"/>
      <c r="G1747" s="299"/>
      <c r="H1747" s="299"/>
      <c r="I1747" s="299"/>
      <c r="J1747" s="299"/>
      <c r="K1747" s="299"/>
      <c r="L1747" s="299"/>
    </row>
    <row r="1748" spans="1:12">
      <c r="A1748" s="299"/>
      <c r="B1748" s="322"/>
      <c r="G1748" s="299"/>
      <c r="H1748" s="299"/>
      <c r="I1748" s="299"/>
      <c r="J1748" s="299"/>
      <c r="K1748" s="299"/>
      <c r="L1748" s="299"/>
    </row>
    <row r="1749" spans="1:12">
      <c r="A1749" s="299"/>
      <c r="B1749" s="322"/>
      <c r="G1749" s="299"/>
      <c r="H1749" s="299"/>
      <c r="I1749" s="299"/>
      <c r="J1749" s="299"/>
      <c r="K1749" s="299"/>
      <c r="L1749" s="299"/>
    </row>
    <row r="1750" spans="1:12">
      <c r="A1750" s="299"/>
      <c r="B1750" s="322"/>
      <c r="G1750" s="299"/>
      <c r="H1750" s="299"/>
      <c r="I1750" s="299"/>
      <c r="J1750" s="299"/>
      <c r="K1750" s="299"/>
      <c r="L1750" s="299"/>
    </row>
    <row r="1751" spans="1:12">
      <c r="A1751" s="299"/>
      <c r="B1751" s="322"/>
      <c r="G1751" s="299"/>
      <c r="H1751" s="299"/>
      <c r="I1751" s="299"/>
      <c r="J1751" s="299"/>
      <c r="K1751" s="299"/>
      <c r="L1751" s="299"/>
    </row>
    <row r="1752" spans="1:12">
      <c r="A1752" s="299"/>
      <c r="B1752" s="322"/>
      <c r="G1752" s="299"/>
      <c r="H1752" s="299"/>
      <c r="I1752" s="299"/>
      <c r="J1752" s="299"/>
      <c r="K1752" s="299"/>
      <c r="L1752" s="299"/>
    </row>
    <row r="1753" spans="1:12">
      <c r="A1753" s="299"/>
      <c r="B1753" s="322"/>
      <c r="G1753" s="299"/>
      <c r="H1753" s="299"/>
      <c r="I1753" s="299"/>
      <c r="J1753" s="299"/>
      <c r="K1753" s="299"/>
      <c r="L1753" s="299"/>
    </row>
    <row r="1754" spans="1:12">
      <c r="A1754" s="299"/>
      <c r="B1754" s="322"/>
      <c r="G1754" s="299"/>
      <c r="H1754" s="299"/>
      <c r="I1754" s="299"/>
      <c r="J1754" s="299"/>
      <c r="K1754" s="299"/>
      <c r="L1754" s="299"/>
    </row>
    <row r="1755" spans="1:12">
      <c r="A1755" s="299"/>
      <c r="B1755" s="322"/>
      <c r="G1755" s="299"/>
      <c r="H1755" s="299"/>
      <c r="I1755" s="299"/>
      <c r="J1755" s="299"/>
      <c r="K1755" s="299"/>
      <c r="L1755" s="299"/>
    </row>
    <row r="1756" spans="1:12">
      <c r="A1756" s="299"/>
      <c r="B1756" s="322"/>
      <c r="G1756" s="299"/>
      <c r="H1756" s="299"/>
      <c r="I1756" s="299"/>
      <c r="J1756" s="299"/>
      <c r="K1756" s="299"/>
      <c r="L1756" s="299"/>
    </row>
    <row r="1757" spans="1:12">
      <c r="A1757" s="299"/>
      <c r="B1757" s="322"/>
      <c r="G1757" s="299"/>
      <c r="H1757" s="299"/>
      <c r="I1757" s="299"/>
      <c r="J1757" s="299"/>
      <c r="K1757" s="299"/>
      <c r="L1757" s="299"/>
    </row>
    <row r="1758" spans="1:12">
      <c r="A1758" s="299"/>
      <c r="B1758" s="322"/>
      <c r="G1758" s="299"/>
      <c r="H1758" s="299"/>
      <c r="I1758" s="299"/>
      <c r="J1758" s="299"/>
      <c r="K1758" s="299"/>
      <c r="L1758" s="299"/>
    </row>
    <row r="1759" spans="1:12">
      <c r="A1759" s="299"/>
      <c r="B1759" s="322"/>
      <c r="G1759" s="299"/>
      <c r="H1759" s="299"/>
      <c r="I1759" s="299"/>
      <c r="J1759" s="299"/>
      <c r="K1759" s="299"/>
      <c r="L1759" s="299"/>
    </row>
    <row r="1760" spans="1:12">
      <c r="A1760" s="299"/>
      <c r="B1760" s="322"/>
      <c r="G1760" s="299"/>
      <c r="H1760" s="299"/>
      <c r="I1760" s="299"/>
      <c r="J1760" s="299"/>
      <c r="K1760" s="299"/>
      <c r="L1760" s="299"/>
    </row>
    <row r="1761" spans="1:12">
      <c r="A1761" s="299"/>
      <c r="B1761" s="322"/>
      <c r="G1761" s="299"/>
      <c r="H1761" s="299"/>
      <c r="I1761" s="299"/>
      <c r="J1761" s="299"/>
      <c r="K1761" s="299"/>
      <c r="L1761" s="299"/>
    </row>
    <row r="1762" spans="1:12">
      <c r="A1762" s="299"/>
      <c r="B1762" s="322"/>
      <c r="G1762" s="299"/>
      <c r="H1762" s="299"/>
      <c r="I1762" s="299"/>
      <c r="J1762" s="299"/>
      <c r="K1762" s="299"/>
      <c r="L1762" s="299"/>
    </row>
    <row r="1763" spans="1:12">
      <c r="A1763" s="299"/>
      <c r="B1763" s="322"/>
      <c r="G1763" s="299"/>
      <c r="H1763" s="299"/>
      <c r="I1763" s="299"/>
      <c r="J1763" s="299"/>
      <c r="K1763" s="299"/>
      <c r="L1763" s="299"/>
    </row>
    <row r="1764" spans="1:12">
      <c r="A1764" s="299"/>
      <c r="B1764" s="322"/>
      <c r="G1764" s="299"/>
      <c r="H1764" s="299"/>
      <c r="I1764" s="299"/>
      <c r="J1764" s="299"/>
      <c r="K1764" s="299"/>
      <c r="L1764" s="299"/>
    </row>
    <row r="1765" spans="1:12">
      <c r="A1765" s="299"/>
      <c r="B1765" s="322"/>
      <c r="G1765" s="299"/>
      <c r="H1765" s="299"/>
      <c r="I1765" s="299"/>
      <c r="J1765" s="299"/>
      <c r="K1765" s="299"/>
      <c r="L1765" s="299"/>
    </row>
    <row r="1766" spans="1:12">
      <c r="A1766" s="299"/>
      <c r="B1766" s="322"/>
      <c r="G1766" s="299"/>
      <c r="H1766" s="299"/>
      <c r="I1766" s="299"/>
      <c r="J1766" s="299"/>
      <c r="K1766" s="299"/>
      <c r="L1766" s="299"/>
    </row>
    <row r="1767" spans="1:12">
      <c r="A1767" s="299"/>
      <c r="B1767" s="322"/>
      <c r="G1767" s="299"/>
      <c r="H1767" s="299"/>
      <c r="I1767" s="299"/>
      <c r="J1767" s="299"/>
      <c r="K1767" s="299"/>
      <c r="L1767" s="299"/>
    </row>
    <row r="1768" spans="1:12">
      <c r="A1768" s="299"/>
      <c r="B1768" s="322"/>
      <c r="G1768" s="299"/>
      <c r="H1768" s="299"/>
      <c r="I1768" s="299"/>
      <c r="J1768" s="299"/>
      <c r="K1768" s="299"/>
      <c r="L1768" s="299"/>
    </row>
    <row r="1769" spans="1:12">
      <c r="A1769" s="299"/>
      <c r="B1769" s="322"/>
      <c r="G1769" s="299"/>
      <c r="H1769" s="299"/>
      <c r="I1769" s="299"/>
      <c r="J1769" s="299"/>
      <c r="K1769" s="299"/>
      <c r="L1769" s="299"/>
    </row>
    <row r="1770" spans="1:12">
      <c r="A1770" s="299"/>
      <c r="B1770" s="322"/>
      <c r="G1770" s="299"/>
      <c r="H1770" s="299"/>
      <c r="I1770" s="299"/>
      <c r="J1770" s="299"/>
      <c r="K1770" s="299"/>
      <c r="L1770" s="299"/>
    </row>
    <row r="1771" spans="1:12">
      <c r="A1771" s="299"/>
      <c r="B1771" s="322"/>
      <c r="G1771" s="299"/>
      <c r="H1771" s="299"/>
      <c r="I1771" s="299"/>
      <c r="J1771" s="299"/>
      <c r="K1771" s="299"/>
      <c r="L1771" s="299"/>
    </row>
    <row r="1772" spans="1:12">
      <c r="A1772" s="299"/>
      <c r="B1772" s="322"/>
      <c r="G1772" s="299"/>
      <c r="H1772" s="299"/>
      <c r="I1772" s="299"/>
      <c r="J1772" s="299"/>
      <c r="K1772" s="299"/>
      <c r="L1772" s="299"/>
    </row>
    <row r="1773" spans="1:12">
      <c r="A1773" s="299"/>
      <c r="B1773" s="322"/>
      <c r="G1773" s="299"/>
      <c r="H1773" s="299"/>
      <c r="I1773" s="299"/>
      <c r="J1773" s="299"/>
      <c r="K1773" s="299"/>
      <c r="L1773" s="299"/>
    </row>
    <row r="1774" spans="1:12">
      <c r="A1774" s="299"/>
      <c r="B1774" s="322"/>
      <c r="G1774" s="299"/>
      <c r="H1774" s="299"/>
      <c r="I1774" s="299"/>
      <c r="J1774" s="299"/>
      <c r="K1774" s="299"/>
      <c r="L1774" s="299"/>
    </row>
    <row r="1775" spans="1:12">
      <c r="A1775" s="299"/>
      <c r="B1775" s="322"/>
      <c r="G1775" s="299"/>
      <c r="H1775" s="299"/>
      <c r="I1775" s="299"/>
      <c r="J1775" s="299"/>
      <c r="K1775" s="299"/>
      <c r="L1775" s="299"/>
    </row>
    <row r="1776" spans="1:12">
      <c r="A1776" s="299"/>
      <c r="B1776" s="322"/>
      <c r="G1776" s="299"/>
      <c r="H1776" s="299"/>
      <c r="I1776" s="299"/>
      <c r="J1776" s="299"/>
      <c r="K1776" s="299"/>
      <c r="L1776" s="299"/>
    </row>
    <row r="1777" spans="1:12">
      <c r="A1777" s="299"/>
      <c r="B1777" s="322"/>
      <c r="G1777" s="299"/>
      <c r="H1777" s="299"/>
      <c r="I1777" s="299"/>
      <c r="J1777" s="299"/>
      <c r="K1777" s="299"/>
      <c r="L1777" s="299"/>
    </row>
    <row r="1778" spans="1:12">
      <c r="A1778" s="299"/>
      <c r="B1778" s="322"/>
      <c r="G1778" s="299"/>
      <c r="H1778" s="299"/>
      <c r="I1778" s="299"/>
      <c r="J1778" s="299"/>
      <c r="K1778" s="299"/>
      <c r="L1778" s="299"/>
    </row>
    <row r="1779" spans="1:12">
      <c r="A1779" s="299"/>
      <c r="B1779" s="322"/>
      <c r="G1779" s="299"/>
      <c r="H1779" s="299"/>
      <c r="I1779" s="299"/>
      <c r="J1779" s="299"/>
      <c r="K1779" s="299"/>
      <c r="L1779" s="299"/>
    </row>
    <row r="1780" spans="1:12">
      <c r="A1780" s="299"/>
      <c r="B1780" s="322"/>
      <c r="G1780" s="299"/>
      <c r="H1780" s="299"/>
      <c r="I1780" s="299"/>
      <c r="J1780" s="299"/>
      <c r="K1780" s="299"/>
      <c r="L1780" s="299"/>
    </row>
    <row r="1781" spans="1:12">
      <c r="A1781" s="299"/>
      <c r="B1781" s="322"/>
      <c r="G1781" s="299"/>
      <c r="H1781" s="299"/>
      <c r="I1781" s="299"/>
      <c r="J1781" s="299"/>
      <c r="K1781" s="299"/>
      <c r="L1781" s="299"/>
    </row>
    <row r="1782" spans="1:12">
      <c r="A1782" s="299"/>
      <c r="B1782" s="322"/>
      <c r="G1782" s="299"/>
      <c r="H1782" s="299"/>
      <c r="I1782" s="299"/>
      <c r="J1782" s="299"/>
      <c r="K1782" s="299"/>
      <c r="L1782" s="299"/>
    </row>
    <row r="1783" spans="1:12">
      <c r="A1783" s="299"/>
      <c r="B1783" s="322"/>
      <c r="G1783" s="299"/>
      <c r="H1783" s="299"/>
      <c r="I1783" s="299"/>
      <c r="J1783" s="299"/>
      <c r="K1783" s="299"/>
      <c r="L1783" s="299"/>
    </row>
    <row r="1784" spans="1:12">
      <c r="A1784" s="299"/>
      <c r="B1784" s="322"/>
      <c r="G1784" s="299"/>
      <c r="H1784" s="299"/>
      <c r="I1784" s="299"/>
      <c r="J1784" s="299"/>
      <c r="K1784" s="299"/>
      <c r="L1784" s="299"/>
    </row>
    <row r="1785" spans="1:12">
      <c r="A1785" s="299"/>
      <c r="B1785" s="322"/>
      <c r="G1785" s="299"/>
      <c r="H1785" s="299"/>
      <c r="I1785" s="299"/>
      <c r="J1785" s="299"/>
      <c r="K1785" s="299"/>
      <c r="L1785" s="299"/>
    </row>
    <row r="1786" spans="1:12">
      <c r="A1786" s="299"/>
      <c r="B1786" s="322"/>
      <c r="G1786" s="299"/>
      <c r="H1786" s="299"/>
      <c r="I1786" s="299"/>
      <c r="J1786" s="299"/>
      <c r="K1786" s="299"/>
      <c r="L1786" s="299"/>
    </row>
    <row r="1787" spans="1:12">
      <c r="A1787" s="299"/>
      <c r="B1787" s="322"/>
      <c r="G1787" s="299"/>
      <c r="H1787" s="299"/>
      <c r="I1787" s="299"/>
      <c r="J1787" s="299"/>
      <c r="K1787" s="299"/>
      <c r="L1787" s="299"/>
    </row>
    <row r="1788" spans="1:12">
      <c r="A1788" s="299"/>
      <c r="B1788" s="322"/>
      <c r="G1788" s="299"/>
      <c r="H1788" s="299"/>
      <c r="I1788" s="299"/>
      <c r="J1788" s="299"/>
      <c r="K1788" s="299"/>
      <c r="L1788" s="299"/>
    </row>
    <row r="1789" spans="1:12">
      <c r="A1789" s="299"/>
      <c r="B1789" s="322"/>
      <c r="G1789" s="299"/>
      <c r="H1789" s="299"/>
      <c r="I1789" s="299"/>
      <c r="J1789" s="299"/>
      <c r="K1789" s="299"/>
      <c r="L1789" s="299"/>
    </row>
    <row r="1790" spans="1:12">
      <c r="A1790" s="299"/>
      <c r="B1790" s="322"/>
      <c r="G1790" s="299"/>
      <c r="H1790" s="299"/>
      <c r="I1790" s="299"/>
      <c r="J1790" s="299"/>
      <c r="K1790" s="299"/>
      <c r="L1790" s="299"/>
    </row>
    <row r="1791" spans="1:12">
      <c r="A1791" s="299"/>
      <c r="B1791" s="322"/>
      <c r="G1791" s="299"/>
      <c r="H1791" s="299"/>
      <c r="I1791" s="299"/>
      <c r="J1791" s="299"/>
      <c r="K1791" s="299"/>
      <c r="L1791" s="299"/>
    </row>
    <row r="1792" spans="1:12">
      <c r="A1792" s="299"/>
      <c r="B1792" s="322"/>
      <c r="G1792" s="299"/>
      <c r="H1792" s="299"/>
      <c r="I1792" s="299"/>
      <c r="J1792" s="299"/>
      <c r="K1792" s="299"/>
      <c r="L1792" s="299"/>
    </row>
    <row r="1793" spans="1:12">
      <c r="A1793" s="299"/>
      <c r="B1793" s="322"/>
      <c r="G1793" s="299"/>
      <c r="H1793" s="299"/>
      <c r="I1793" s="299"/>
      <c r="J1793" s="299"/>
      <c r="K1793" s="299"/>
      <c r="L1793" s="299"/>
    </row>
    <row r="1794" spans="1:12">
      <c r="A1794" s="299"/>
      <c r="B1794" s="322"/>
      <c r="G1794" s="299"/>
      <c r="H1794" s="299"/>
      <c r="I1794" s="299"/>
      <c r="J1794" s="299"/>
      <c r="K1794" s="299"/>
      <c r="L1794" s="299"/>
    </row>
    <row r="1795" spans="1:12">
      <c r="A1795" s="299"/>
      <c r="B1795" s="322"/>
      <c r="G1795" s="299"/>
      <c r="H1795" s="299"/>
      <c r="I1795" s="299"/>
      <c r="J1795" s="299"/>
      <c r="K1795" s="299"/>
      <c r="L1795" s="299"/>
    </row>
    <row r="1796" spans="1:12">
      <c r="A1796" s="299"/>
      <c r="B1796" s="322"/>
      <c r="G1796" s="299"/>
      <c r="H1796" s="299"/>
      <c r="I1796" s="299"/>
      <c r="J1796" s="299"/>
      <c r="K1796" s="299"/>
      <c r="L1796" s="299"/>
    </row>
    <row r="1797" spans="1:12">
      <c r="A1797" s="299"/>
      <c r="B1797" s="322"/>
      <c r="G1797" s="299"/>
      <c r="H1797" s="299"/>
      <c r="I1797" s="299"/>
      <c r="J1797" s="299"/>
      <c r="K1797" s="299"/>
      <c r="L1797" s="299"/>
    </row>
    <row r="1798" spans="1:12">
      <c r="A1798" s="299"/>
      <c r="B1798" s="322"/>
      <c r="G1798" s="299"/>
      <c r="H1798" s="299"/>
      <c r="I1798" s="299"/>
      <c r="J1798" s="299"/>
      <c r="K1798" s="299"/>
      <c r="L1798" s="299"/>
    </row>
    <row r="1799" spans="1:12">
      <c r="A1799" s="299"/>
      <c r="B1799" s="322"/>
      <c r="G1799" s="299"/>
      <c r="H1799" s="299"/>
      <c r="I1799" s="299"/>
      <c r="J1799" s="299"/>
      <c r="K1799" s="299"/>
      <c r="L1799" s="299"/>
    </row>
    <row r="1800" spans="1:12">
      <c r="A1800" s="299"/>
      <c r="B1800" s="322"/>
      <c r="G1800" s="299"/>
      <c r="H1800" s="299"/>
      <c r="I1800" s="299"/>
      <c r="J1800" s="299"/>
      <c r="K1800" s="299"/>
      <c r="L1800" s="299"/>
    </row>
    <row r="1801" spans="1:12">
      <c r="A1801" s="299"/>
      <c r="B1801" s="322"/>
      <c r="G1801" s="299"/>
      <c r="H1801" s="299"/>
      <c r="I1801" s="299"/>
      <c r="J1801" s="299"/>
      <c r="K1801" s="299"/>
      <c r="L1801" s="299"/>
    </row>
    <row r="1802" spans="1:12">
      <c r="A1802" s="299"/>
      <c r="B1802" s="322"/>
      <c r="G1802" s="299"/>
      <c r="H1802" s="299"/>
      <c r="I1802" s="299"/>
      <c r="J1802" s="299"/>
      <c r="K1802" s="299"/>
      <c r="L1802" s="299"/>
    </row>
    <row r="1803" spans="1:12">
      <c r="A1803" s="299"/>
      <c r="B1803" s="322"/>
      <c r="G1803" s="299"/>
      <c r="H1803" s="299"/>
      <c r="I1803" s="299"/>
      <c r="J1803" s="299"/>
      <c r="K1803" s="299"/>
      <c r="L1803" s="299"/>
    </row>
    <row r="1804" spans="1:12">
      <c r="A1804" s="299"/>
      <c r="B1804" s="322"/>
      <c r="G1804" s="299"/>
      <c r="H1804" s="299"/>
      <c r="I1804" s="299"/>
      <c r="J1804" s="299"/>
      <c r="K1804" s="299"/>
      <c r="L1804" s="299"/>
    </row>
    <row r="1805" spans="1:12">
      <c r="A1805" s="299"/>
      <c r="B1805" s="322"/>
      <c r="G1805" s="299"/>
      <c r="H1805" s="299"/>
      <c r="I1805" s="299"/>
      <c r="J1805" s="299"/>
      <c r="K1805" s="299"/>
      <c r="L1805" s="299"/>
    </row>
    <row r="1806" spans="1:12">
      <c r="A1806" s="299"/>
      <c r="B1806" s="322"/>
      <c r="G1806" s="299"/>
      <c r="H1806" s="299"/>
      <c r="I1806" s="299"/>
      <c r="J1806" s="299"/>
      <c r="K1806" s="299"/>
      <c r="L1806" s="299"/>
    </row>
    <row r="1807" spans="1:12">
      <c r="A1807" s="299"/>
      <c r="B1807" s="322"/>
      <c r="G1807" s="299"/>
      <c r="H1807" s="299"/>
      <c r="I1807" s="299"/>
      <c r="J1807" s="299"/>
      <c r="K1807" s="299"/>
      <c r="L1807" s="299"/>
    </row>
    <row r="1808" spans="1:12">
      <c r="A1808" s="299"/>
      <c r="B1808" s="322"/>
      <c r="G1808" s="299"/>
      <c r="H1808" s="299"/>
      <c r="I1808" s="299"/>
      <c r="J1808" s="299"/>
      <c r="K1808" s="299"/>
      <c r="L1808" s="299"/>
    </row>
    <row r="1809" spans="1:12">
      <c r="A1809" s="299"/>
      <c r="B1809" s="322"/>
      <c r="G1809" s="299"/>
      <c r="H1809" s="299"/>
      <c r="I1809" s="299"/>
      <c r="J1809" s="299"/>
      <c r="K1809" s="299"/>
      <c r="L1809" s="299"/>
    </row>
    <row r="1810" spans="1:12">
      <c r="A1810" s="299"/>
      <c r="B1810" s="322"/>
      <c r="G1810" s="299"/>
      <c r="H1810" s="299"/>
      <c r="I1810" s="299"/>
      <c r="J1810" s="299"/>
      <c r="K1810" s="299"/>
      <c r="L1810" s="299"/>
    </row>
    <row r="1811" spans="1:12">
      <c r="A1811" s="299"/>
      <c r="B1811" s="322"/>
      <c r="G1811" s="299"/>
      <c r="H1811" s="299"/>
      <c r="I1811" s="299"/>
      <c r="J1811" s="299"/>
      <c r="K1811" s="299"/>
      <c r="L1811" s="299"/>
    </row>
    <row r="1812" spans="1:12">
      <c r="A1812" s="299"/>
      <c r="B1812" s="322"/>
      <c r="G1812" s="299"/>
      <c r="H1812" s="299"/>
      <c r="I1812" s="299"/>
      <c r="J1812" s="299"/>
      <c r="K1812" s="299"/>
      <c r="L1812" s="299"/>
    </row>
    <row r="1813" spans="1:12">
      <c r="A1813" s="299"/>
      <c r="B1813" s="322"/>
      <c r="G1813" s="299"/>
      <c r="H1813" s="299"/>
      <c r="I1813" s="299"/>
      <c r="J1813" s="299"/>
      <c r="K1813" s="299"/>
      <c r="L1813" s="299"/>
    </row>
    <row r="1814" spans="1:12">
      <c r="A1814" s="299"/>
      <c r="B1814" s="322"/>
      <c r="G1814" s="299"/>
      <c r="H1814" s="299"/>
      <c r="I1814" s="299"/>
      <c r="J1814" s="299"/>
      <c r="K1814" s="299"/>
      <c r="L1814" s="299"/>
    </row>
    <row r="1815" spans="1:12">
      <c r="A1815" s="299"/>
      <c r="B1815" s="322"/>
      <c r="G1815" s="299"/>
      <c r="H1815" s="299"/>
      <c r="I1815" s="299"/>
      <c r="J1815" s="299"/>
      <c r="K1815" s="299"/>
      <c r="L1815" s="299"/>
    </row>
    <row r="1816" spans="1:12">
      <c r="A1816" s="299"/>
      <c r="B1816" s="322"/>
      <c r="G1816" s="299"/>
      <c r="H1816" s="299"/>
      <c r="I1816" s="299"/>
      <c r="J1816" s="299"/>
      <c r="K1816" s="299"/>
      <c r="L1816" s="299"/>
    </row>
    <row r="1817" spans="1:12">
      <c r="A1817" s="299"/>
      <c r="B1817" s="322"/>
      <c r="G1817" s="299"/>
      <c r="H1817" s="299"/>
      <c r="I1817" s="299"/>
      <c r="J1817" s="299"/>
      <c r="K1817" s="299"/>
      <c r="L1817" s="299"/>
    </row>
    <row r="1818" spans="1:12">
      <c r="A1818" s="299"/>
      <c r="B1818" s="322"/>
      <c r="G1818" s="299"/>
      <c r="H1818" s="299"/>
      <c r="I1818" s="299"/>
      <c r="J1818" s="299"/>
      <c r="K1818" s="299"/>
      <c r="L1818" s="299"/>
    </row>
    <row r="1819" spans="1:12">
      <c r="A1819" s="299"/>
      <c r="B1819" s="322"/>
      <c r="G1819" s="299"/>
      <c r="H1819" s="299"/>
      <c r="I1819" s="299"/>
      <c r="J1819" s="299"/>
      <c r="K1819" s="299"/>
      <c r="L1819" s="299"/>
    </row>
    <row r="1820" spans="1:12">
      <c r="A1820" s="299"/>
      <c r="B1820" s="322"/>
      <c r="G1820" s="299"/>
      <c r="H1820" s="299"/>
      <c r="I1820" s="299"/>
      <c r="J1820" s="299"/>
      <c r="K1820" s="299"/>
      <c r="L1820" s="299"/>
    </row>
    <row r="1821" spans="1:12">
      <c r="A1821" s="299"/>
      <c r="B1821" s="322"/>
      <c r="G1821" s="299"/>
      <c r="H1821" s="299"/>
      <c r="I1821" s="299"/>
      <c r="J1821" s="299"/>
      <c r="K1821" s="299"/>
      <c r="L1821" s="299"/>
    </row>
    <row r="1822" spans="1:12">
      <c r="A1822" s="299"/>
      <c r="B1822" s="322"/>
      <c r="G1822" s="299"/>
      <c r="H1822" s="299"/>
      <c r="I1822" s="299"/>
      <c r="J1822" s="299"/>
      <c r="K1822" s="299"/>
      <c r="L1822" s="299"/>
    </row>
    <row r="1823" spans="1:12">
      <c r="A1823" s="299"/>
      <c r="B1823" s="322"/>
      <c r="G1823" s="299"/>
      <c r="H1823" s="299"/>
      <c r="I1823" s="299"/>
      <c r="J1823" s="299"/>
      <c r="K1823" s="299"/>
      <c r="L1823" s="299"/>
    </row>
    <row r="1824" spans="1:12">
      <c r="A1824" s="299"/>
      <c r="B1824" s="322"/>
      <c r="G1824" s="299"/>
      <c r="H1824" s="299"/>
      <c r="I1824" s="299"/>
      <c r="J1824" s="299"/>
      <c r="K1824" s="299"/>
      <c r="L1824" s="299"/>
    </row>
    <row r="1825" spans="1:12">
      <c r="A1825" s="299"/>
      <c r="B1825" s="322"/>
      <c r="G1825" s="299"/>
      <c r="H1825" s="299"/>
      <c r="I1825" s="299"/>
      <c r="J1825" s="299"/>
      <c r="K1825" s="299"/>
      <c r="L1825" s="299"/>
    </row>
    <row r="1826" spans="1:12">
      <c r="A1826" s="299"/>
      <c r="B1826" s="322"/>
      <c r="G1826" s="299"/>
      <c r="H1826" s="299"/>
      <c r="I1826" s="299"/>
      <c r="J1826" s="299"/>
      <c r="K1826" s="299"/>
      <c r="L1826" s="299"/>
    </row>
    <row r="1827" spans="1:12">
      <c r="A1827" s="299"/>
      <c r="B1827" s="322"/>
      <c r="G1827" s="299"/>
      <c r="H1827" s="299"/>
      <c r="I1827" s="299"/>
      <c r="J1827" s="299"/>
      <c r="K1827" s="299"/>
      <c r="L1827" s="299"/>
    </row>
    <row r="1828" spans="1:12">
      <c r="A1828" s="299"/>
      <c r="B1828" s="322"/>
      <c r="G1828" s="299"/>
      <c r="H1828" s="299"/>
      <c r="I1828" s="299"/>
      <c r="J1828" s="299"/>
      <c r="K1828" s="299"/>
      <c r="L1828" s="299"/>
    </row>
    <row r="1829" spans="1:12">
      <c r="A1829" s="299"/>
      <c r="B1829" s="322"/>
      <c r="G1829" s="299"/>
      <c r="H1829" s="299"/>
      <c r="I1829" s="299"/>
      <c r="J1829" s="299"/>
      <c r="K1829" s="299"/>
      <c r="L1829" s="299"/>
    </row>
    <row r="1830" spans="1:12">
      <c r="A1830" s="299"/>
      <c r="B1830" s="322"/>
      <c r="G1830" s="299"/>
      <c r="H1830" s="299"/>
      <c r="I1830" s="299"/>
      <c r="J1830" s="299"/>
      <c r="K1830" s="299"/>
      <c r="L1830" s="299"/>
    </row>
    <row r="1831" spans="1:12">
      <c r="A1831" s="299"/>
      <c r="B1831" s="322"/>
      <c r="G1831" s="299"/>
      <c r="H1831" s="299"/>
      <c r="I1831" s="299"/>
      <c r="J1831" s="299"/>
      <c r="K1831" s="299"/>
      <c r="L1831" s="299"/>
    </row>
    <row r="1832" spans="1:12">
      <c r="A1832" s="299"/>
      <c r="B1832" s="322"/>
      <c r="G1832" s="299"/>
      <c r="H1832" s="299"/>
      <c r="I1832" s="299"/>
      <c r="J1832" s="299"/>
      <c r="K1832" s="299"/>
      <c r="L1832" s="299"/>
    </row>
    <row r="1833" spans="1:12">
      <c r="A1833" s="299"/>
      <c r="B1833" s="322"/>
      <c r="G1833" s="299"/>
      <c r="H1833" s="299"/>
      <c r="I1833" s="299"/>
      <c r="J1833" s="299"/>
      <c r="K1833" s="299"/>
      <c r="L1833" s="299"/>
    </row>
    <row r="1834" spans="1:12">
      <c r="A1834" s="299"/>
      <c r="B1834" s="322"/>
      <c r="G1834" s="299"/>
      <c r="H1834" s="299"/>
      <c r="I1834" s="299"/>
      <c r="J1834" s="299"/>
      <c r="K1834" s="299"/>
      <c r="L1834" s="299"/>
    </row>
    <row r="1835" spans="1:12">
      <c r="A1835" s="299"/>
      <c r="B1835" s="322"/>
      <c r="G1835" s="299"/>
      <c r="H1835" s="299"/>
      <c r="I1835" s="299"/>
      <c r="J1835" s="299"/>
      <c r="K1835" s="299"/>
      <c r="L1835" s="299"/>
    </row>
    <row r="1836" spans="1:12">
      <c r="A1836" s="299"/>
      <c r="B1836" s="322"/>
      <c r="G1836" s="299"/>
      <c r="H1836" s="299"/>
      <c r="I1836" s="299"/>
      <c r="J1836" s="299"/>
      <c r="K1836" s="299"/>
      <c r="L1836" s="299"/>
    </row>
    <row r="1837" spans="1:12">
      <c r="A1837" s="299"/>
      <c r="B1837" s="322"/>
      <c r="G1837" s="299"/>
      <c r="H1837" s="299"/>
      <c r="I1837" s="299"/>
      <c r="J1837" s="299"/>
      <c r="K1837" s="299"/>
      <c r="L1837" s="299"/>
    </row>
    <row r="1838" spans="1:12">
      <c r="A1838" s="299"/>
      <c r="B1838" s="322"/>
      <c r="G1838" s="299"/>
      <c r="H1838" s="299"/>
      <c r="I1838" s="299"/>
      <c r="J1838" s="299"/>
      <c r="K1838" s="299"/>
      <c r="L1838" s="299"/>
    </row>
    <row r="1839" spans="1:12">
      <c r="A1839" s="299"/>
      <c r="B1839" s="322"/>
      <c r="G1839" s="299"/>
      <c r="H1839" s="299"/>
      <c r="I1839" s="299"/>
      <c r="J1839" s="299"/>
      <c r="K1839" s="299"/>
      <c r="L1839" s="299"/>
    </row>
    <row r="1840" spans="1:12">
      <c r="A1840" s="299"/>
      <c r="B1840" s="322"/>
      <c r="G1840" s="299"/>
      <c r="H1840" s="299"/>
      <c r="I1840" s="299"/>
      <c r="J1840" s="299"/>
      <c r="K1840" s="299"/>
      <c r="L1840" s="299"/>
    </row>
    <row r="1841" spans="1:12">
      <c r="A1841" s="299"/>
      <c r="B1841" s="322"/>
      <c r="G1841" s="299"/>
      <c r="H1841" s="299"/>
      <c r="I1841" s="299"/>
      <c r="J1841" s="299"/>
      <c r="K1841" s="299"/>
      <c r="L1841" s="299"/>
    </row>
    <row r="1842" spans="1:12">
      <c r="A1842" s="299"/>
      <c r="B1842" s="322"/>
      <c r="G1842" s="299"/>
      <c r="H1842" s="299"/>
      <c r="I1842" s="299"/>
      <c r="J1842" s="299"/>
      <c r="K1842" s="299"/>
      <c r="L1842" s="299"/>
    </row>
    <row r="1843" spans="1:12">
      <c r="A1843" s="299"/>
      <c r="B1843" s="322"/>
      <c r="G1843" s="299"/>
      <c r="H1843" s="299"/>
      <c r="I1843" s="299"/>
      <c r="J1843" s="299"/>
      <c r="K1843" s="299"/>
      <c r="L1843" s="299"/>
    </row>
    <row r="1844" spans="1:12">
      <c r="A1844" s="299"/>
      <c r="B1844" s="322"/>
      <c r="G1844" s="299"/>
      <c r="H1844" s="299"/>
      <c r="I1844" s="299"/>
      <c r="J1844" s="299"/>
      <c r="K1844" s="299"/>
      <c r="L1844" s="299"/>
    </row>
    <row r="1845" spans="1:12">
      <c r="A1845" s="299"/>
      <c r="B1845" s="322"/>
      <c r="G1845" s="299"/>
      <c r="H1845" s="299"/>
      <c r="I1845" s="299"/>
      <c r="J1845" s="299"/>
      <c r="K1845" s="299"/>
      <c r="L1845" s="299"/>
    </row>
    <row r="1846" spans="1:12">
      <c r="A1846" s="299"/>
      <c r="B1846" s="322"/>
      <c r="G1846" s="299"/>
      <c r="H1846" s="299"/>
      <c r="I1846" s="299"/>
      <c r="J1846" s="299"/>
      <c r="K1846" s="299"/>
      <c r="L1846" s="299"/>
    </row>
    <row r="1847" spans="1:12">
      <c r="A1847" s="299"/>
      <c r="B1847" s="322"/>
      <c r="G1847" s="299"/>
      <c r="H1847" s="299"/>
      <c r="I1847" s="299"/>
      <c r="J1847" s="299"/>
      <c r="K1847" s="299"/>
      <c r="L1847" s="299"/>
    </row>
    <row r="1848" spans="1:12">
      <c r="A1848" s="299"/>
      <c r="B1848" s="322"/>
      <c r="G1848" s="299"/>
      <c r="H1848" s="299"/>
      <c r="I1848" s="299"/>
      <c r="J1848" s="299"/>
      <c r="K1848" s="299"/>
      <c r="L1848" s="299"/>
    </row>
    <row r="1849" spans="1:12">
      <c r="A1849" s="299"/>
      <c r="B1849" s="322"/>
      <c r="G1849" s="299"/>
      <c r="H1849" s="299"/>
      <c r="I1849" s="299"/>
      <c r="J1849" s="299"/>
      <c r="K1849" s="299"/>
      <c r="L1849" s="299"/>
    </row>
    <row r="1850" spans="1:12">
      <c r="A1850" s="299"/>
      <c r="B1850" s="322"/>
      <c r="G1850" s="299"/>
      <c r="H1850" s="299"/>
      <c r="I1850" s="299"/>
      <c r="J1850" s="299"/>
      <c r="K1850" s="299"/>
      <c r="L1850" s="299"/>
    </row>
    <row r="1851" spans="1:12">
      <c r="A1851" s="299"/>
      <c r="B1851" s="322"/>
      <c r="G1851" s="299"/>
      <c r="H1851" s="299"/>
      <c r="I1851" s="299"/>
      <c r="J1851" s="299"/>
      <c r="K1851" s="299"/>
      <c r="L1851" s="299"/>
    </row>
    <row r="1852" spans="1:12">
      <c r="A1852" s="299"/>
      <c r="B1852" s="322"/>
      <c r="G1852" s="299"/>
      <c r="H1852" s="299"/>
      <c r="I1852" s="299"/>
      <c r="J1852" s="299"/>
      <c r="K1852" s="299"/>
      <c r="L1852" s="299"/>
    </row>
    <row r="1853" spans="1:12">
      <c r="A1853" s="299"/>
      <c r="B1853" s="322"/>
      <c r="G1853" s="299"/>
      <c r="H1853" s="299"/>
      <c r="I1853" s="299"/>
      <c r="J1853" s="299"/>
      <c r="K1853" s="299"/>
      <c r="L1853" s="299"/>
    </row>
    <row r="1854" spans="1:12">
      <c r="A1854" s="299"/>
      <c r="B1854" s="322"/>
      <c r="G1854" s="299"/>
      <c r="H1854" s="299"/>
      <c r="I1854" s="299"/>
      <c r="J1854" s="299"/>
      <c r="K1854" s="299"/>
      <c r="L1854" s="299"/>
    </row>
    <row r="1855" spans="1:12">
      <c r="A1855" s="299"/>
      <c r="B1855" s="322"/>
      <c r="G1855" s="299"/>
      <c r="H1855" s="299"/>
      <c r="I1855" s="299"/>
      <c r="J1855" s="299"/>
      <c r="K1855" s="299"/>
      <c r="L1855" s="299"/>
    </row>
    <row r="1856" spans="1:12">
      <c r="A1856" s="299"/>
      <c r="B1856" s="322"/>
      <c r="G1856" s="299"/>
      <c r="H1856" s="299"/>
      <c r="I1856" s="299"/>
      <c r="J1856" s="299"/>
      <c r="K1856" s="299"/>
      <c r="L1856" s="299"/>
    </row>
    <row r="1857" spans="1:12">
      <c r="A1857" s="299"/>
      <c r="B1857" s="322"/>
      <c r="G1857" s="299"/>
      <c r="H1857" s="299"/>
      <c r="I1857" s="299"/>
      <c r="J1857" s="299"/>
      <c r="K1857" s="299"/>
      <c r="L1857" s="299"/>
    </row>
    <row r="1858" spans="1:12">
      <c r="A1858" s="299"/>
      <c r="B1858" s="322"/>
      <c r="G1858" s="299"/>
      <c r="H1858" s="299"/>
      <c r="I1858" s="299"/>
      <c r="J1858" s="299"/>
      <c r="K1858" s="299"/>
      <c r="L1858" s="299"/>
    </row>
    <row r="1859" spans="1:12">
      <c r="A1859" s="299"/>
      <c r="B1859" s="322"/>
      <c r="G1859" s="299"/>
      <c r="H1859" s="299"/>
      <c r="I1859" s="299"/>
      <c r="J1859" s="299"/>
      <c r="K1859" s="299"/>
      <c r="L1859" s="299"/>
    </row>
    <row r="1860" spans="1:12">
      <c r="A1860" s="299"/>
      <c r="B1860" s="322"/>
      <c r="G1860" s="299"/>
      <c r="H1860" s="299"/>
      <c r="I1860" s="299"/>
      <c r="J1860" s="299"/>
      <c r="K1860" s="299"/>
      <c r="L1860" s="299"/>
    </row>
    <row r="1861" spans="1:12">
      <c r="A1861" s="299"/>
      <c r="B1861" s="322"/>
      <c r="G1861" s="299"/>
      <c r="H1861" s="299"/>
      <c r="I1861" s="299"/>
      <c r="J1861" s="299"/>
      <c r="K1861" s="299"/>
      <c r="L1861" s="299"/>
    </row>
    <row r="1862" spans="1:12">
      <c r="A1862" s="299"/>
      <c r="B1862" s="322"/>
      <c r="G1862" s="299"/>
      <c r="H1862" s="299"/>
      <c r="I1862" s="299"/>
      <c r="J1862" s="299"/>
      <c r="K1862" s="299"/>
      <c r="L1862" s="299"/>
    </row>
    <row r="1863" spans="1:12">
      <c r="A1863" s="299"/>
      <c r="B1863" s="322"/>
      <c r="G1863" s="299"/>
      <c r="H1863" s="299"/>
      <c r="I1863" s="299"/>
      <c r="J1863" s="299"/>
      <c r="K1863" s="299"/>
      <c r="L1863" s="299"/>
    </row>
    <row r="1864" spans="1:12">
      <c r="A1864" s="299"/>
      <c r="B1864" s="322"/>
      <c r="G1864" s="299"/>
      <c r="H1864" s="299"/>
      <c r="I1864" s="299"/>
      <c r="J1864" s="299"/>
      <c r="K1864" s="299"/>
      <c r="L1864" s="299"/>
    </row>
    <row r="1865" spans="1:12">
      <c r="A1865" s="299"/>
      <c r="B1865" s="322"/>
      <c r="G1865" s="299"/>
      <c r="H1865" s="299"/>
      <c r="I1865" s="299"/>
      <c r="J1865" s="299"/>
      <c r="K1865" s="299"/>
      <c r="L1865" s="299"/>
    </row>
    <row r="1866" spans="1:12">
      <c r="A1866" s="299"/>
      <c r="B1866" s="322"/>
      <c r="G1866" s="299"/>
      <c r="H1866" s="299"/>
      <c r="I1866" s="299"/>
      <c r="J1866" s="299"/>
      <c r="K1866" s="299"/>
      <c r="L1866" s="299"/>
    </row>
    <row r="1867" spans="1:12">
      <c r="A1867" s="299"/>
      <c r="B1867" s="322"/>
      <c r="G1867" s="299"/>
      <c r="H1867" s="299"/>
      <c r="I1867" s="299"/>
      <c r="J1867" s="299"/>
      <c r="K1867" s="299"/>
      <c r="L1867" s="299"/>
    </row>
    <row r="1868" spans="1:12">
      <c r="A1868" s="299"/>
      <c r="B1868" s="322"/>
      <c r="G1868" s="299"/>
      <c r="H1868" s="299"/>
      <c r="I1868" s="299"/>
      <c r="J1868" s="299"/>
      <c r="K1868" s="299"/>
      <c r="L1868" s="299"/>
    </row>
    <row r="1869" spans="1:12">
      <c r="A1869" s="299"/>
      <c r="B1869" s="322"/>
      <c r="G1869" s="299"/>
      <c r="H1869" s="299"/>
      <c r="I1869" s="299"/>
      <c r="J1869" s="299"/>
      <c r="K1869" s="299"/>
      <c r="L1869" s="299"/>
    </row>
    <row r="1870" spans="1:12">
      <c r="A1870" s="299"/>
      <c r="B1870" s="322"/>
      <c r="G1870" s="299"/>
      <c r="H1870" s="299"/>
      <c r="I1870" s="299"/>
      <c r="J1870" s="299"/>
      <c r="K1870" s="299"/>
      <c r="L1870" s="299"/>
    </row>
    <row r="1871" spans="1:12">
      <c r="A1871" s="299"/>
      <c r="B1871" s="322"/>
      <c r="G1871" s="299"/>
      <c r="H1871" s="299"/>
      <c r="I1871" s="299"/>
      <c r="J1871" s="299"/>
      <c r="K1871" s="299"/>
      <c r="L1871" s="299"/>
    </row>
    <row r="1872" spans="1:12">
      <c r="A1872" s="299"/>
      <c r="B1872" s="322"/>
      <c r="G1872" s="299"/>
      <c r="H1872" s="299"/>
      <c r="I1872" s="299"/>
      <c r="J1872" s="299"/>
      <c r="K1872" s="299"/>
      <c r="L1872" s="299"/>
    </row>
    <row r="1873" spans="1:12">
      <c r="A1873" s="299"/>
      <c r="B1873" s="322"/>
      <c r="G1873" s="299"/>
      <c r="H1873" s="299"/>
      <c r="I1873" s="299"/>
      <c r="J1873" s="299"/>
      <c r="K1873" s="299"/>
      <c r="L1873" s="299"/>
    </row>
    <row r="1874" spans="1:12">
      <c r="A1874" s="299"/>
      <c r="B1874" s="322"/>
      <c r="G1874" s="299"/>
      <c r="H1874" s="299"/>
      <c r="I1874" s="299"/>
      <c r="J1874" s="299"/>
      <c r="K1874" s="299"/>
      <c r="L1874" s="299"/>
    </row>
    <row r="1875" spans="1:12">
      <c r="A1875" s="299"/>
      <c r="B1875" s="322"/>
      <c r="G1875" s="299"/>
      <c r="H1875" s="299"/>
      <c r="I1875" s="299"/>
      <c r="J1875" s="299"/>
      <c r="K1875" s="299"/>
      <c r="L1875" s="299"/>
    </row>
    <row r="1876" spans="1:12">
      <c r="A1876" s="299"/>
      <c r="B1876" s="322"/>
      <c r="G1876" s="299"/>
      <c r="H1876" s="299"/>
      <c r="I1876" s="299"/>
      <c r="J1876" s="299"/>
      <c r="K1876" s="299"/>
      <c r="L1876" s="299"/>
    </row>
    <row r="1877" spans="1:12">
      <c r="A1877" s="299"/>
      <c r="B1877" s="322"/>
      <c r="G1877" s="299"/>
      <c r="H1877" s="299"/>
      <c r="I1877" s="299"/>
      <c r="J1877" s="299"/>
      <c r="K1877" s="299"/>
      <c r="L1877" s="299"/>
    </row>
    <row r="1878" spans="1:12">
      <c r="A1878" s="299"/>
      <c r="B1878" s="322"/>
      <c r="G1878" s="299"/>
      <c r="H1878" s="299"/>
      <c r="I1878" s="299"/>
      <c r="J1878" s="299"/>
      <c r="K1878" s="299"/>
      <c r="L1878" s="299"/>
    </row>
    <row r="1879" spans="1:12">
      <c r="A1879" s="299"/>
      <c r="B1879" s="322"/>
      <c r="G1879" s="299"/>
      <c r="H1879" s="299"/>
      <c r="I1879" s="299"/>
      <c r="J1879" s="299"/>
      <c r="K1879" s="299"/>
      <c r="L1879" s="299"/>
    </row>
    <row r="1880" spans="1:12">
      <c r="A1880" s="299"/>
      <c r="B1880" s="322"/>
      <c r="G1880" s="299"/>
      <c r="H1880" s="299"/>
      <c r="I1880" s="299"/>
      <c r="J1880" s="299"/>
      <c r="K1880" s="299"/>
      <c r="L1880" s="299"/>
    </row>
    <row r="1881" spans="1:12">
      <c r="A1881" s="299"/>
      <c r="B1881" s="322"/>
      <c r="G1881" s="299"/>
      <c r="H1881" s="299"/>
      <c r="I1881" s="299"/>
      <c r="J1881" s="299"/>
      <c r="K1881" s="299"/>
      <c r="L1881" s="299"/>
    </row>
    <row r="1882" spans="1:12">
      <c r="A1882" s="299"/>
      <c r="B1882" s="322"/>
      <c r="G1882" s="299"/>
      <c r="H1882" s="299"/>
      <c r="I1882" s="299"/>
      <c r="J1882" s="299"/>
      <c r="K1882" s="299"/>
      <c r="L1882" s="299"/>
    </row>
    <row r="1883" spans="1:12">
      <c r="A1883" s="299"/>
      <c r="B1883" s="322"/>
      <c r="G1883" s="299"/>
      <c r="H1883" s="299"/>
      <c r="I1883" s="299"/>
      <c r="J1883" s="299"/>
      <c r="K1883" s="299"/>
      <c r="L1883" s="299"/>
    </row>
    <row r="1884" spans="1:12">
      <c r="A1884" s="299"/>
      <c r="B1884" s="322"/>
      <c r="G1884" s="299"/>
      <c r="H1884" s="299"/>
      <c r="I1884" s="299"/>
      <c r="J1884" s="299"/>
      <c r="K1884" s="299"/>
      <c r="L1884" s="299"/>
    </row>
    <row r="1885" spans="1:12">
      <c r="A1885" s="299"/>
      <c r="B1885" s="322"/>
      <c r="G1885" s="299"/>
      <c r="H1885" s="299"/>
      <c r="I1885" s="299"/>
      <c r="J1885" s="299"/>
      <c r="K1885" s="299"/>
      <c r="L1885" s="299"/>
    </row>
    <row r="1886" spans="1:12">
      <c r="A1886" s="299"/>
      <c r="B1886" s="322"/>
      <c r="G1886" s="299"/>
      <c r="H1886" s="299"/>
      <c r="I1886" s="299"/>
      <c r="J1886" s="299"/>
      <c r="K1886" s="299"/>
      <c r="L1886" s="299"/>
    </row>
    <row r="1887" spans="1:12">
      <c r="A1887" s="299"/>
      <c r="B1887" s="322"/>
      <c r="G1887" s="299"/>
      <c r="H1887" s="299"/>
      <c r="I1887" s="299"/>
      <c r="J1887" s="299"/>
      <c r="K1887" s="299"/>
      <c r="L1887" s="299"/>
    </row>
    <row r="1888" spans="1:12">
      <c r="A1888" s="299"/>
      <c r="B1888" s="322"/>
      <c r="G1888" s="299"/>
      <c r="H1888" s="299"/>
      <c r="I1888" s="299"/>
      <c r="J1888" s="299"/>
      <c r="K1888" s="299"/>
      <c r="L1888" s="299"/>
    </row>
    <row r="1889" spans="1:12">
      <c r="A1889" s="299"/>
      <c r="B1889" s="322"/>
      <c r="G1889" s="299"/>
      <c r="H1889" s="299"/>
      <c r="I1889" s="299"/>
      <c r="J1889" s="299"/>
      <c r="K1889" s="299"/>
      <c r="L1889" s="299"/>
    </row>
    <row r="1890" spans="1:12">
      <c r="A1890" s="299"/>
      <c r="B1890" s="322"/>
      <c r="G1890" s="299"/>
      <c r="H1890" s="299"/>
      <c r="I1890" s="299"/>
      <c r="J1890" s="299"/>
      <c r="K1890" s="299"/>
      <c r="L1890" s="299"/>
    </row>
    <row r="1891" spans="1:12">
      <c r="A1891" s="299"/>
      <c r="B1891" s="322"/>
      <c r="G1891" s="299"/>
      <c r="H1891" s="299"/>
      <c r="I1891" s="299"/>
      <c r="J1891" s="299"/>
      <c r="K1891" s="299"/>
      <c r="L1891" s="299"/>
    </row>
    <row r="1892" spans="1:12">
      <c r="A1892" s="299"/>
      <c r="B1892" s="322"/>
      <c r="G1892" s="299"/>
      <c r="H1892" s="299"/>
      <c r="I1892" s="299"/>
      <c r="J1892" s="299"/>
      <c r="K1892" s="299"/>
      <c r="L1892" s="299"/>
    </row>
    <row r="1893" spans="1:12">
      <c r="A1893" s="299"/>
      <c r="B1893" s="322"/>
      <c r="G1893" s="299"/>
      <c r="H1893" s="299"/>
      <c r="I1893" s="299"/>
      <c r="J1893" s="299"/>
      <c r="K1893" s="299"/>
      <c r="L1893" s="299"/>
    </row>
    <row r="1894" spans="1:12">
      <c r="A1894" s="299"/>
      <c r="B1894" s="322"/>
      <c r="G1894" s="299"/>
      <c r="H1894" s="299"/>
      <c r="I1894" s="299"/>
      <c r="J1894" s="299"/>
      <c r="K1894" s="299"/>
      <c r="L1894" s="299"/>
    </row>
    <row r="1895" spans="1:12">
      <c r="A1895" s="299"/>
      <c r="B1895" s="322"/>
      <c r="G1895" s="299"/>
      <c r="H1895" s="299"/>
      <c r="I1895" s="299"/>
      <c r="J1895" s="299"/>
      <c r="K1895" s="299"/>
      <c r="L1895" s="299"/>
    </row>
    <row r="1896" spans="1:12">
      <c r="A1896" s="299"/>
      <c r="B1896" s="322"/>
      <c r="G1896" s="299"/>
      <c r="H1896" s="299"/>
      <c r="I1896" s="299"/>
      <c r="J1896" s="299"/>
      <c r="K1896" s="299"/>
      <c r="L1896" s="299"/>
    </row>
    <row r="1897" spans="1:12">
      <c r="A1897" s="299"/>
      <c r="B1897" s="322"/>
      <c r="G1897" s="299"/>
      <c r="H1897" s="299"/>
      <c r="I1897" s="299"/>
      <c r="J1897" s="299"/>
      <c r="K1897" s="299"/>
      <c r="L1897" s="299"/>
    </row>
    <row r="1898" spans="1:12">
      <c r="A1898" s="299"/>
      <c r="B1898" s="322"/>
      <c r="G1898" s="299"/>
      <c r="H1898" s="299"/>
      <c r="I1898" s="299"/>
      <c r="J1898" s="299"/>
      <c r="K1898" s="299"/>
      <c r="L1898" s="299"/>
    </row>
    <row r="1899" spans="1:12">
      <c r="A1899" s="299"/>
      <c r="B1899" s="322"/>
      <c r="G1899" s="299"/>
      <c r="H1899" s="299"/>
      <c r="I1899" s="299"/>
      <c r="J1899" s="299"/>
      <c r="K1899" s="299"/>
      <c r="L1899" s="299"/>
    </row>
    <row r="1900" spans="1:12">
      <c r="A1900" s="299"/>
      <c r="B1900" s="322"/>
      <c r="G1900" s="299"/>
      <c r="H1900" s="299"/>
      <c r="I1900" s="299"/>
      <c r="J1900" s="299"/>
      <c r="K1900" s="299"/>
      <c r="L1900" s="299"/>
    </row>
    <row r="1901" spans="1:12">
      <c r="A1901" s="299"/>
      <c r="B1901" s="322"/>
      <c r="G1901" s="299"/>
      <c r="H1901" s="299"/>
      <c r="I1901" s="299"/>
      <c r="J1901" s="299"/>
      <c r="K1901" s="299"/>
      <c r="L1901" s="299"/>
    </row>
    <row r="1902" spans="1:12">
      <c r="A1902" s="299"/>
      <c r="B1902" s="322"/>
      <c r="G1902" s="299"/>
      <c r="H1902" s="299"/>
      <c r="I1902" s="299"/>
      <c r="J1902" s="299"/>
      <c r="K1902" s="299"/>
      <c r="L1902" s="299"/>
    </row>
    <row r="1903" spans="1:12">
      <c r="A1903" s="299"/>
      <c r="B1903" s="322"/>
      <c r="G1903" s="299"/>
      <c r="H1903" s="299"/>
      <c r="I1903" s="299"/>
      <c r="J1903" s="299"/>
      <c r="K1903" s="299"/>
      <c r="L1903" s="299"/>
    </row>
    <row r="1904" spans="1:12">
      <c r="A1904" s="299"/>
      <c r="B1904" s="322"/>
      <c r="G1904" s="299"/>
      <c r="H1904" s="299"/>
      <c r="I1904" s="299"/>
      <c r="J1904" s="299"/>
      <c r="K1904" s="299"/>
      <c r="L1904" s="299"/>
    </row>
    <row r="1905" spans="1:12">
      <c r="A1905" s="299"/>
      <c r="B1905" s="322"/>
      <c r="G1905" s="299"/>
      <c r="H1905" s="299"/>
      <c r="I1905" s="299"/>
      <c r="J1905" s="299"/>
      <c r="K1905" s="299"/>
      <c r="L1905" s="299"/>
    </row>
    <row r="1906" spans="1:12">
      <c r="A1906" s="299"/>
      <c r="B1906" s="322"/>
      <c r="G1906" s="299"/>
      <c r="H1906" s="299"/>
      <c r="I1906" s="299"/>
      <c r="J1906" s="299"/>
      <c r="K1906" s="299"/>
      <c r="L1906" s="299"/>
    </row>
    <row r="1907" spans="1:12">
      <c r="A1907" s="299"/>
      <c r="B1907" s="322"/>
      <c r="G1907" s="299"/>
      <c r="H1907" s="299"/>
      <c r="I1907" s="299"/>
      <c r="J1907" s="299"/>
      <c r="K1907" s="299"/>
      <c r="L1907" s="299"/>
    </row>
    <row r="1908" spans="1:12">
      <c r="A1908" s="299"/>
      <c r="B1908" s="322"/>
      <c r="G1908" s="299"/>
      <c r="H1908" s="299"/>
      <c r="I1908" s="299"/>
      <c r="J1908" s="299"/>
      <c r="K1908" s="299"/>
      <c r="L1908" s="299"/>
    </row>
    <row r="1909" spans="1:12">
      <c r="A1909" s="299"/>
      <c r="B1909" s="322"/>
      <c r="G1909" s="299"/>
      <c r="H1909" s="299"/>
      <c r="I1909" s="299"/>
      <c r="J1909" s="299"/>
      <c r="K1909" s="299"/>
      <c r="L1909" s="299"/>
    </row>
    <row r="1910" spans="1:12">
      <c r="A1910" s="299"/>
      <c r="B1910" s="322"/>
      <c r="G1910" s="299"/>
      <c r="H1910" s="299"/>
      <c r="I1910" s="299"/>
      <c r="J1910" s="299"/>
      <c r="K1910" s="299"/>
      <c r="L1910" s="299"/>
    </row>
    <row r="1911" spans="1:12">
      <c r="A1911" s="299"/>
      <c r="B1911" s="322"/>
      <c r="G1911" s="299"/>
      <c r="H1911" s="299"/>
      <c r="I1911" s="299"/>
      <c r="J1911" s="299"/>
      <c r="K1911" s="299"/>
      <c r="L1911" s="299"/>
    </row>
    <row r="1912" spans="1:12">
      <c r="A1912" s="299"/>
      <c r="B1912" s="322"/>
      <c r="G1912" s="299"/>
      <c r="H1912" s="299"/>
      <c r="I1912" s="299"/>
      <c r="J1912" s="299"/>
      <c r="K1912" s="299"/>
      <c r="L1912" s="299"/>
    </row>
    <row r="1913" spans="1:12">
      <c r="A1913" s="299"/>
      <c r="B1913" s="322"/>
      <c r="G1913" s="299"/>
      <c r="H1913" s="299"/>
      <c r="I1913" s="299"/>
      <c r="J1913" s="299"/>
      <c r="K1913" s="299"/>
      <c r="L1913" s="299"/>
    </row>
    <row r="1914" spans="1:12">
      <c r="A1914" s="299"/>
      <c r="B1914" s="322"/>
      <c r="G1914" s="299"/>
      <c r="H1914" s="299"/>
      <c r="I1914" s="299"/>
      <c r="J1914" s="299"/>
      <c r="K1914" s="299"/>
      <c r="L1914" s="299"/>
    </row>
    <row r="1915" spans="1:12">
      <c r="A1915" s="299"/>
      <c r="B1915" s="322"/>
      <c r="G1915" s="299"/>
      <c r="H1915" s="299"/>
      <c r="I1915" s="299"/>
      <c r="J1915" s="299"/>
      <c r="K1915" s="299"/>
      <c r="L1915" s="299"/>
    </row>
    <row r="1916" spans="1:12">
      <c r="A1916" s="299"/>
      <c r="B1916" s="322"/>
      <c r="G1916" s="299"/>
      <c r="H1916" s="299"/>
      <c r="I1916" s="299"/>
      <c r="J1916" s="299"/>
      <c r="K1916" s="299"/>
      <c r="L1916" s="299"/>
    </row>
    <row r="1917" spans="1:12">
      <c r="A1917" s="299"/>
      <c r="B1917" s="322"/>
      <c r="G1917" s="299"/>
      <c r="H1917" s="299"/>
      <c r="I1917" s="299"/>
      <c r="J1917" s="299"/>
      <c r="K1917" s="299"/>
      <c r="L1917" s="299"/>
    </row>
    <row r="1918" spans="1:12">
      <c r="A1918" s="299"/>
      <c r="B1918" s="322"/>
      <c r="G1918" s="299"/>
      <c r="H1918" s="299"/>
      <c r="I1918" s="299"/>
      <c r="J1918" s="299"/>
      <c r="K1918" s="299"/>
      <c r="L1918" s="299"/>
    </row>
    <row r="1919" spans="1:12">
      <c r="A1919" s="299"/>
      <c r="B1919" s="322"/>
      <c r="G1919" s="299"/>
      <c r="H1919" s="299"/>
      <c r="I1919" s="299"/>
      <c r="J1919" s="299"/>
      <c r="K1919" s="299"/>
      <c r="L1919" s="299"/>
    </row>
    <row r="1920" spans="1:12">
      <c r="A1920" s="299"/>
      <c r="B1920" s="322"/>
      <c r="G1920" s="299"/>
      <c r="H1920" s="299"/>
      <c r="I1920" s="299"/>
      <c r="J1920" s="299"/>
      <c r="K1920" s="299"/>
      <c r="L1920" s="299"/>
    </row>
    <row r="1921" spans="1:12">
      <c r="A1921" s="299"/>
      <c r="B1921" s="322"/>
      <c r="G1921" s="299"/>
      <c r="H1921" s="299"/>
      <c r="I1921" s="299"/>
      <c r="J1921" s="299"/>
      <c r="K1921" s="299"/>
      <c r="L1921" s="299"/>
    </row>
    <row r="1922" spans="1:12">
      <c r="A1922" s="299"/>
      <c r="B1922" s="322"/>
      <c r="G1922" s="299"/>
      <c r="H1922" s="299"/>
      <c r="I1922" s="299"/>
      <c r="J1922" s="299"/>
      <c r="K1922" s="299"/>
      <c r="L1922" s="299"/>
    </row>
    <row r="1923" spans="1:12">
      <c r="A1923" s="299"/>
      <c r="B1923" s="322"/>
      <c r="G1923" s="299"/>
      <c r="H1923" s="299"/>
      <c r="I1923" s="299"/>
      <c r="J1923" s="299"/>
      <c r="K1923" s="299"/>
      <c r="L1923" s="299"/>
    </row>
    <row r="1924" spans="1:12">
      <c r="A1924" s="299"/>
      <c r="B1924" s="322"/>
      <c r="G1924" s="299"/>
      <c r="H1924" s="299"/>
      <c r="I1924" s="299"/>
      <c r="J1924" s="299"/>
      <c r="K1924" s="299"/>
      <c r="L1924" s="299"/>
    </row>
    <row r="1925" spans="1:12">
      <c r="A1925" s="299"/>
      <c r="B1925" s="322"/>
      <c r="G1925" s="299"/>
      <c r="H1925" s="299"/>
      <c r="I1925" s="299"/>
      <c r="J1925" s="299"/>
      <c r="K1925" s="299"/>
      <c r="L1925" s="299"/>
    </row>
    <row r="1926" spans="1:12">
      <c r="A1926" s="299"/>
      <c r="B1926" s="322"/>
      <c r="G1926" s="299"/>
      <c r="H1926" s="299"/>
      <c r="I1926" s="299"/>
      <c r="J1926" s="299"/>
      <c r="K1926" s="299"/>
      <c r="L1926" s="299"/>
    </row>
    <row r="1927" spans="1:12">
      <c r="A1927" s="299"/>
      <c r="B1927" s="322"/>
      <c r="G1927" s="299"/>
      <c r="H1927" s="299"/>
      <c r="I1927" s="299"/>
      <c r="J1927" s="299"/>
      <c r="K1927" s="299"/>
      <c r="L1927" s="299"/>
    </row>
    <row r="1928" spans="1:12">
      <c r="A1928" s="299"/>
      <c r="B1928" s="322"/>
      <c r="G1928" s="299"/>
      <c r="H1928" s="299"/>
      <c r="I1928" s="299"/>
      <c r="J1928" s="299"/>
      <c r="K1928" s="299"/>
      <c r="L1928" s="299"/>
    </row>
    <row r="1929" spans="1:12">
      <c r="A1929" s="299"/>
      <c r="B1929" s="322"/>
      <c r="G1929" s="299"/>
      <c r="H1929" s="299"/>
      <c r="I1929" s="299"/>
      <c r="J1929" s="299"/>
      <c r="K1929" s="299"/>
      <c r="L1929" s="299"/>
    </row>
    <row r="1930" spans="1:12">
      <c r="A1930" s="299"/>
      <c r="B1930" s="322"/>
      <c r="G1930" s="299"/>
      <c r="H1930" s="299"/>
      <c r="I1930" s="299"/>
      <c r="J1930" s="299"/>
      <c r="K1930" s="299"/>
      <c r="L1930" s="299"/>
    </row>
    <row r="1931" spans="1:12">
      <c r="A1931" s="299"/>
      <c r="B1931" s="322"/>
      <c r="G1931" s="299"/>
      <c r="H1931" s="299"/>
      <c r="I1931" s="299"/>
      <c r="J1931" s="299"/>
      <c r="K1931" s="299"/>
      <c r="L1931" s="299"/>
    </row>
    <row r="1932" spans="1:12">
      <c r="A1932" s="299"/>
      <c r="B1932" s="322"/>
      <c r="G1932" s="299"/>
      <c r="H1932" s="299"/>
      <c r="I1932" s="299"/>
      <c r="J1932" s="299"/>
      <c r="K1932" s="299"/>
      <c r="L1932" s="299"/>
    </row>
    <row r="1933" spans="1:12">
      <c r="A1933" s="299"/>
      <c r="B1933" s="322"/>
      <c r="G1933" s="299"/>
      <c r="H1933" s="299"/>
      <c r="I1933" s="299"/>
      <c r="J1933" s="299"/>
      <c r="K1933" s="299"/>
      <c r="L1933" s="299"/>
    </row>
    <row r="1934" spans="1:12">
      <c r="A1934" s="299"/>
      <c r="B1934" s="322"/>
      <c r="G1934" s="299"/>
      <c r="H1934" s="299"/>
      <c r="I1934" s="299"/>
      <c r="J1934" s="299"/>
      <c r="K1934" s="299"/>
      <c r="L1934" s="299"/>
    </row>
    <row r="1935" spans="1:12">
      <c r="A1935" s="299"/>
      <c r="B1935" s="322"/>
      <c r="G1935" s="299"/>
      <c r="H1935" s="299"/>
      <c r="I1935" s="299"/>
      <c r="J1935" s="299"/>
      <c r="K1935" s="299"/>
      <c r="L1935" s="299"/>
    </row>
    <row r="1936" spans="1:12">
      <c r="A1936" s="299"/>
      <c r="B1936" s="322"/>
      <c r="G1936" s="299"/>
      <c r="H1936" s="299"/>
      <c r="I1936" s="299"/>
      <c r="J1936" s="299"/>
      <c r="K1936" s="299"/>
      <c r="L1936" s="299"/>
    </row>
    <row r="1937" spans="1:12">
      <c r="A1937" s="299"/>
      <c r="B1937" s="322"/>
      <c r="G1937" s="299"/>
      <c r="H1937" s="299"/>
      <c r="I1937" s="299"/>
      <c r="J1937" s="299"/>
      <c r="K1937" s="299"/>
      <c r="L1937" s="299"/>
    </row>
    <row r="1938" spans="1:12">
      <c r="A1938" s="299"/>
      <c r="B1938" s="322"/>
      <c r="G1938" s="299"/>
      <c r="H1938" s="299"/>
      <c r="I1938" s="299"/>
      <c r="J1938" s="299"/>
      <c r="K1938" s="299"/>
      <c r="L1938" s="299"/>
    </row>
    <row r="1939" spans="1:12">
      <c r="A1939" s="299"/>
      <c r="B1939" s="322"/>
      <c r="G1939" s="299"/>
      <c r="H1939" s="299"/>
      <c r="I1939" s="299"/>
      <c r="J1939" s="299"/>
      <c r="K1939" s="299"/>
      <c r="L1939" s="299"/>
    </row>
    <row r="1940" spans="1:12">
      <c r="A1940" s="299"/>
      <c r="B1940" s="322"/>
      <c r="G1940" s="299"/>
      <c r="H1940" s="299"/>
      <c r="I1940" s="299"/>
      <c r="J1940" s="299"/>
      <c r="K1940" s="299"/>
      <c r="L1940" s="299"/>
    </row>
    <row r="1941" spans="1:12">
      <c r="A1941" s="299"/>
      <c r="B1941" s="322"/>
      <c r="G1941" s="299"/>
      <c r="H1941" s="299"/>
      <c r="I1941" s="299"/>
      <c r="J1941" s="299"/>
      <c r="K1941" s="299"/>
      <c r="L1941" s="299"/>
    </row>
    <row r="1942" spans="1:12">
      <c r="A1942" s="299"/>
      <c r="B1942" s="322"/>
      <c r="G1942" s="299"/>
      <c r="H1942" s="299"/>
      <c r="I1942" s="299"/>
      <c r="J1942" s="299"/>
      <c r="K1942" s="299"/>
      <c r="L1942" s="299"/>
    </row>
    <row r="1943" spans="1:12">
      <c r="A1943" s="299"/>
      <c r="B1943" s="322"/>
      <c r="G1943" s="299"/>
      <c r="H1943" s="299"/>
      <c r="I1943" s="299"/>
      <c r="J1943" s="299"/>
      <c r="K1943" s="299"/>
      <c r="L1943" s="299"/>
    </row>
    <row r="1944" spans="1:12">
      <c r="A1944" s="299"/>
      <c r="B1944" s="322"/>
      <c r="G1944" s="299"/>
      <c r="H1944" s="299"/>
      <c r="I1944" s="299"/>
      <c r="J1944" s="299"/>
      <c r="K1944" s="299"/>
      <c r="L1944" s="299"/>
    </row>
    <row r="1945" spans="1:12">
      <c r="A1945" s="299"/>
      <c r="B1945" s="322"/>
      <c r="G1945" s="299"/>
      <c r="H1945" s="299"/>
      <c r="I1945" s="299"/>
      <c r="J1945" s="299"/>
      <c r="K1945" s="299"/>
      <c r="L1945" s="299"/>
    </row>
    <row r="1946" spans="1:12">
      <c r="A1946" s="299"/>
      <c r="B1946" s="322"/>
      <c r="G1946" s="299"/>
      <c r="H1946" s="299"/>
      <c r="I1946" s="299"/>
      <c r="J1946" s="299"/>
      <c r="K1946" s="299"/>
      <c r="L1946" s="299"/>
    </row>
    <row r="1947" spans="1:12">
      <c r="A1947" s="299"/>
      <c r="B1947" s="322"/>
      <c r="G1947" s="299"/>
      <c r="H1947" s="299"/>
      <c r="I1947" s="299"/>
      <c r="J1947" s="299"/>
      <c r="K1947" s="299"/>
      <c r="L1947" s="299"/>
    </row>
    <row r="1948" spans="1:12">
      <c r="A1948" s="299"/>
      <c r="B1948" s="322"/>
      <c r="G1948" s="299"/>
      <c r="H1948" s="299"/>
      <c r="I1948" s="299"/>
      <c r="J1948" s="299"/>
      <c r="K1948" s="299"/>
      <c r="L1948" s="299"/>
    </row>
    <row r="1949" spans="1:12">
      <c r="A1949" s="299"/>
      <c r="B1949" s="322"/>
      <c r="G1949" s="299"/>
      <c r="H1949" s="299"/>
      <c r="I1949" s="299"/>
      <c r="J1949" s="299"/>
      <c r="K1949" s="299"/>
      <c r="L1949" s="299"/>
    </row>
    <row r="1950" spans="1:12">
      <c r="A1950" s="299"/>
      <c r="B1950" s="322"/>
      <c r="G1950" s="299"/>
      <c r="H1950" s="299"/>
      <c r="I1950" s="299"/>
      <c r="J1950" s="299"/>
      <c r="K1950" s="299"/>
      <c r="L1950" s="299"/>
    </row>
    <row r="1951" spans="1:12">
      <c r="A1951" s="299"/>
      <c r="B1951" s="322"/>
      <c r="G1951" s="299"/>
      <c r="H1951" s="299"/>
      <c r="I1951" s="299"/>
      <c r="J1951" s="299"/>
      <c r="K1951" s="299"/>
      <c r="L1951" s="299"/>
    </row>
    <row r="1952" spans="1:12">
      <c r="A1952" s="299"/>
      <c r="B1952" s="322"/>
      <c r="G1952" s="299"/>
      <c r="H1952" s="299"/>
      <c r="I1952" s="299"/>
      <c r="J1952" s="299"/>
      <c r="K1952" s="299"/>
      <c r="L1952" s="299"/>
    </row>
    <row r="1953" spans="1:12">
      <c r="A1953" s="299"/>
      <c r="B1953" s="322"/>
      <c r="G1953" s="299"/>
      <c r="H1953" s="299"/>
      <c r="I1953" s="299"/>
      <c r="J1953" s="299"/>
      <c r="K1953" s="299"/>
      <c r="L1953" s="299"/>
    </row>
    <row r="1954" spans="1:12">
      <c r="A1954" s="299"/>
      <c r="B1954" s="322"/>
      <c r="G1954" s="299"/>
      <c r="H1954" s="299"/>
      <c r="I1954" s="299"/>
      <c r="J1954" s="299"/>
      <c r="K1954" s="299"/>
      <c r="L1954" s="299"/>
    </row>
    <row r="1955" spans="1:12">
      <c r="A1955" s="299"/>
      <c r="B1955" s="322"/>
      <c r="G1955" s="299"/>
      <c r="H1955" s="299"/>
      <c r="I1955" s="299"/>
      <c r="J1955" s="299"/>
      <c r="K1955" s="299"/>
      <c r="L1955" s="299"/>
    </row>
    <row r="1956" spans="1:12">
      <c r="A1956" s="299"/>
      <c r="B1956" s="322"/>
      <c r="G1956" s="299"/>
      <c r="H1956" s="299"/>
      <c r="I1956" s="299"/>
      <c r="J1956" s="299"/>
      <c r="K1956" s="299"/>
      <c r="L1956" s="299"/>
    </row>
    <row r="1957" spans="1:12">
      <c r="A1957" s="299"/>
      <c r="B1957" s="322"/>
      <c r="G1957" s="299"/>
      <c r="H1957" s="299"/>
      <c r="I1957" s="299"/>
      <c r="J1957" s="299"/>
      <c r="K1957" s="299"/>
      <c r="L1957" s="299"/>
    </row>
    <row r="1958" spans="1:12">
      <c r="A1958" s="299"/>
      <c r="B1958" s="322"/>
      <c r="G1958" s="299"/>
      <c r="H1958" s="299"/>
      <c r="I1958" s="299"/>
      <c r="J1958" s="299"/>
      <c r="K1958" s="299"/>
      <c r="L1958" s="299"/>
    </row>
    <row r="1959" spans="1:12">
      <c r="A1959" s="299"/>
      <c r="B1959" s="322"/>
      <c r="G1959" s="299"/>
      <c r="H1959" s="299"/>
      <c r="I1959" s="299"/>
      <c r="J1959" s="299"/>
      <c r="K1959" s="299"/>
      <c r="L1959" s="299"/>
    </row>
    <row r="1960" spans="1:12">
      <c r="A1960" s="299"/>
      <c r="B1960" s="322"/>
      <c r="G1960" s="299"/>
      <c r="H1960" s="299"/>
      <c r="I1960" s="299"/>
      <c r="J1960" s="299"/>
      <c r="K1960" s="299"/>
      <c r="L1960" s="299"/>
    </row>
    <row r="1961" spans="1:12">
      <c r="A1961" s="299"/>
      <c r="B1961" s="322"/>
      <c r="G1961" s="299"/>
      <c r="H1961" s="299"/>
      <c r="I1961" s="299"/>
      <c r="J1961" s="299"/>
      <c r="K1961" s="299"/>
      <c r="L1961" s="299"/>
    </row>
    <row r="1962" spans="1:12">
      <c r="A1962" s="299"/>
      <c r="B1962" s="322"/>
      <c r="G1962" s="299"/>
      <c r="H1962" s="299"/>
      <c r="I1962" s="299"/>
      <c r="J1962" s="299"/>
      <c r="K1962" s="299"/>
      <c r="L1962" s="299"/>
    </row>
    <row r="1963" spans="1:12">
      <c r="A1963" s="299"/>
      <c r="B1963" s="322"/>
      <c r="G1963" s="299"/>
      <c r="H1963" s="299"/>
      <c r="I1963" s="299"/>
      <c r="J1963" s="299"/>
      <c r="K1963" s="299"/>
      <c r="L1963" s="299"/>
    </row>
    <row r="1964" spans="1:12">
      <c r="A1964" s="299"/>
      <c r="B1964" s="322"/>
      <c r="G1964" s="299"/>
      <c r="H1964" s="299"/>
      <c r="I1964" s="299"/>
      <c r="J1964" s="299"/>
      <c r="K1964" s="299"/>
      <c r="L1964" s="299"/>
    </row>
    <row r="1965" spans="1:12">
      <c r="A1965" s="299"/>
      <c r="B1965" s="322"/>
      <c r="G1965" s="299"/>
      <c r="H1965" s="299"/>
      <c r="I1965" s="299"/>
      <c r="J1965" s="299"/>
      <c r="K1965" s="299"/>
      <c r="L1965" s="299"/>
    </row>
    <row r="1966" spans="1:12">
      <c r="A1966" s="299"/>
      <c r="B1966" s="322"/>
      <c r="G1966" s="299"/>
      <c r="H1966" s="299"/>
      <c r="I1966" s="299"/>
      <c r="J1966" s="299"/>
      <c r="K1966" s="299"/>
      <c r="L1966" s="299"/>
    </row>
    <row r="1967" spans="1:12">
      <c r="A1967" s="299"/>
      <c r="B1967" s="322"/>
      <c r="G1967" s="299"/>
      <c r="H1967" s="299"/>
      <c r="I1967" s="299"/>
      <c r="J1967" s="299"/>
      <c r="K1967" s="299"/>
      <c r="L1967" s="299"/>
    </row>
    <row r="1968" spans="1:12">
      <c r="A1968" s="299"/>
      <c r="B1968" s="322"/>
      <c r="G1968" s="299"/>
      <c r="H1968" s="299"/>
      <c r="I1968" s="299"/>
      <c r="J1968" s="299"/>
      <c r="K1968" s="299"/>
      <c r="L1968" s="299"/>
    </row>
    <row r="1969" spans="1:12">
      <c r="A1969" s="299"/>
      <c r="B1969" s="322"/>
      <c r="G1969" s="299"/>
      <c r="H1969" s="299"/>
      <c r="I1969" s="299"/>
      <c r="J1969" s="299"/>
      <c r="K1969" s="299"/>
      <c r="L1969" s="299"/>
    </row>
    <row r="1970" spans="1:12">
      <c r="A1970" s="299"/>
      <c r="B1970" s="322"/>
      <c r="G1970" s="299"/>
      <c r="H1970" s="299"/>
      <c r="I1970" s="299"/>
      <c r="J1970" s="299"/>
      <c r="K1970" s="299"/>
      <c r="L1970" s="299"/>
    </row>
    <row r="1971" spans="1:12">
      <c r="A1971" s="299"/>
      <c r="B1971" s="322"/>
      <c r="G1971" s="299"/>
      <c r="H1971" s="299"/>
      <c r="I1971" s="299"/>
      <c r="J1971" s="299"/>
      <c r="K1971" s="299"/>
      <c r="L1971" s="299"/>
    </row>
    <row r="1972" spans="1:12">
      <c r="A1972" s="299"/>
      <c r="B1972" s="322"/>
      <c r="G1972" s="299"/>
      <c r="H1972" s="299"/>
      <c r="I1972" s="299"/>
      <c r="J1972" s="299"/>
      <c r="K1972" s="299"/>
      <c r="L1972" s="299"/>
    </row>
    <row r="1973" spans="1:12">
      <c r="A1973" s="299"/>
      <c r="B1973" s="322"/>
      <c r="G1973" s="299"/>
      <c r="H1973" s="299"/>
      <c r="I1973" s="299"/>
      <c r="J1973" s="299"/>
      <c r="K1973" s="299"/>
      <c r="L1973" s="299"/>
    </row>
    <row r="1974" spans="1:12">
      <c r="A1974" s="299"/>
      <c r="B1974" s="322"/>
      <c r="G1974" s="299"/>
      <c r="H1974" s="299"/>
      <c r="I1974" s="299"/>
      <c r="J1974" s="299"/>
      <c r="K1974" s="299"/>
      <c r="L1974" s="299"/>
    </row>
    <row r="1975" spans="1:12">
      <c r="A1975" s="299"/>
      <c r="B1975" s="322"/>
      <c r="G1975" s="299"/>
      <c r="H1975" s="299"/>
      <c r="I1975" s="299"/>
      <c r="J1975" s="299"/>
      <c r="K1975" s="299"/>
      <c r="L1975" s="299"/>
    </row>
    <row r="1976" spans="1:12">
      <c r="A1976" s="299"/>
      <c r="B1976" s="322"/>
      <c r="G1976" s="299"/>
      <c r="H1976" s="299"/>
      <c r="I1976" s="299"/>
      <c r="J1976" s="299"/>
      <c r="K1976" s="299"/>
      <c r="L1976" s="299"/>
    </row>
    <row r="1977" spans="1:12">
      <c r="A1977" s="299"/>
      <c r="B1977" s="322"/>
      <c r="G1977" s="299"/>
      <c r="H1977" s="299"/>
      <c r="I1977" s="299"/>
      <c r="J1977" s="299"/>
      <c r="K1977" s="299"/>
      <c r="L1977" s="299"/>
    </row>
    <row r="1978" spans="1:12">
      <c r="A1978" s="299"/>
      <c r="B1978" s="322"/>
      <c r="G1978" s="299"/>
      <c r="H1978" s="299"/>
      <c r="I1978" s="299"/>
      <c r="J1978" s="299"/>
      <c r="K1978" s="299"/>
      <c r="L1978" s="299"/>
    </row>
    <row r="1979" spans="1:12">
      <c r="A1979" s="299"/>
      <c r="B1979" s="322"/>
      <c r="G1979" s="299"/>
      <c r="H1979" s="299"/>
      <c r="I1979" s="299"/>
      <c r="J1979" s="299"/>
      <c r="K1979" s="299"/>
      <c r="L1979" s="299"/>
    </row>
    <row r="1980" spans="1:12">
      <c r="A1980" s="299"/>
      <c r="B1980" s="322"/>
      <c r="G1980" s="299"/>
      <c r="H1980" s="299"/>
      <c r="I1980" s="299"/>
      <c r="J1980" s="299"/>
      <c r="K1980" s="299"/>
      <c r="L1980" s="299"/>
    </row>
    <row r="1981" spans="1:12">
      <c r="A1981" s="299"/>
      <c r="B1981" s="322"/>
      <c r="G1981" s="299"/>
      <c r="H1981" s="299"/>
      <c r="I1981" s="299"/>
      <c r="J1981" s="299"/>
      <c r="K1981" s="299"/>
      <c r="L1981" s="299"/>
    </row>
    <row r="1982" spans="1:12">
      <c r="A1982" s="299"/>
      <c r="B1982" s="322"/>
      <c r="G1982" s="299"/>
      <c r="H1982" s="299"/>
      <c r="I1982" s="299"/>
      <c r="J1982" s="299"/>
      <c r="K1982" s="299"/>
      <c r="L1982" s="299"/>
    </row>
    <row r="1983" spans="1:12">
      <c r="A1983" s="299"/>
      <c r="B1983" s="322"/>
      <c r="G1983" s="299"/>
      <c r="H1983" s="299"/>
      <c r="I1983" s="299"/>
      <c r="J1983" s="299"/>
      <c r="K1983" s="299"/>
      <c r="L1983" s="299"/>
    </row>
    <row r="1984" spans="1:12">
      <c r="A1984" s="299"/>
      <c r="B1984" s="322"/>
      <c r="G1984" s="299"/>
      <c r="H1984" s="299"/>
      <c r="I1984" s="299"/>
      <c r="J1984" s="299"/>
      <c r="K1984" s="299"/>
      <c r="L1984" s="299"/>
    </row>
    <row r="1985" spans="1:12">
      <c r="A1985" s="299"/>
      <c r="B1985" s="322"/>
      <c r="G1985" s="299"/>
      <c r="H1985" s="299"/>
      <c r="I1985" s="299"/>
      <c r="J1985" s="299"/>
      <c r="K1985" s="299"/>
      <c r="L1985" s="299"/>
    </row>
    <row r="1986" spans="1:12">
      <c r="A1986" s="299"/>
      <c r="B1986" s="322"/>
      <c r="G1986" s="299"/>
      <c r="H1986" s="299"/>
      <c r="I1986" s="299"/>
      <c r="J1986" s="299"/>
      <c r="K1986" s="299"/>
      <c r="L1986" s="299"/>
    </row>
    <row r="1987" spans="1:12">
      <c r="A1987" s="299"/>
      <c r="B1987" s="322"/>
      <c r="G1987" s="299"/>
      <c r="H1987" s="299"/>
      <c r="I1987" s="299"/>
      <c r="J1987" s="299"/>
      <c r="K1987" s="299"/>
      <c r="L1987" s="299"/>
    </row>
    <row r="1988" spans="1:12">
      <c r="A1988" s="299"/>
      <c r="B1988" s="322"/>
      <c r="G1988" s="299"/>
      <c r="H1988" s="299"/>
      <c r="I1988" s="299"/>
      <c r="J1988" s="299"/>
      <c r="K1988" s="299"/>
      <c r="L1988" s="299"/>
    </row>
    <row r="1989" spans="1:12">
      <c r="A1989" s="299"/>
      <c r="B1989" s="322"/>
      <c r="G1989" s="299"/>
      <c r="H1989" s="299"/>
      <c r="I1989" s="299"/>
      <c r="J1989" s="299"/>
      <c r="K1989" s="299"/>
      <c r="L1989" s="299"/>
    </row>
    <row r="1990" spans="1:12">
      <c r="A1990" s="299"/>
      <c r="B1990" s="322"/>
      <c r="G1990" s="299"/>
      <c r="H1990" s="299"/>
      <c r="I1990" s="299"/>
      <c r="J1990" s="299"/>
      <c r="K1990" s="299"/>
      <c r="L1990" s="299"/>
    </row>
    <row r="1991" spans="1:12">
      <c r="A1991" s="299"/>
      <c r="B1991" s="322"/>
      <c r="G1991" s="299"/>
      <c r="H1991" s="299"/>
      <c r="I1991" s="299"/>
      <c r="J1991" s="299"/>
      <c r="K1991" s="299"/>
      <c r="L1991" s="299"/>
    </row>
    <row r="1992" spans="1:12">
      <c r="A1992" s="299"/>
      <c r="B1992" s="322"/>
      <c r="G1992" s="299"/>
      <c r="H1992" s="299"/>
      <c r="I1992" s="299"/>
      <c r="J1992" s="299"/>
      <c r="K1992" s="299"/>
      <c r="L1992" s="299"/>
    </row>
    <row r="1993" spans="1:12">
      <c r="A1993" s="299"/>
      <c r="B1993" s="322"/>
      <c r="G1993" s="299"/>
      <c r="H1993" s="299"/>
      <c r="I1993" s="299"/>
      <c r="J1993" s="299"/>
      <c r="K1993" s="299"/>
      <c r="L1993" s="299"/>
    </row>
    <row r="1994" spans="1:12">
      <c r="A1994" s="299"/>
      <c r="B1994" s="322"/>
      <c r="G1994" s="299"/>
      <c r="H1994" s="299"/>
      <c r="I1994" s="299"/>
      <c r="J1994" s="299"/>
      <c r="K1994" s="299"/>
      <c r="L1994" s="299"/>
    </row>
    <row r="1995" spans="1:12">
      <c r="A1995" s="299"/>
      <c r="B1995" s="322"/>
      <c r="G1995" s="299"/>
      <c r="H1995" s="299"/>
      <c r="I1995" s="299"/>
      <c r="J1995" s="299"/>
      <c r="K1995" s="299"/>
      <c r="L1995" s="299"/>
    </row>
    <row r="1996" spans="1:12">
      <c r="A1996" s="299"/>
      <c r="B1996" s="322"/>
      <c r="G1996" s="299"/>
      <c r="H1996" s="299"/>
      <c r="I1996" s="299"/>
      <c r="J1996" s="299"/>
      <c r="K1996" s="299"/>
      <c r="L1996" s="299"/>
    </row>
    <row r="1997" spans="1:12">
      <c r="A1997" s="299"/>
      <c r="B1997" s="322"/>
      <c r="G1997" s="299"/>
      <c r="H1997" s="299"/>
      <c r="I1997" s="299"/>
      <c r="J1997" s="299"/>
      <c r="K1997" s="299"/>
      <c r="L1997" s="299"/>
    </row>
    <row r="1998" spans="1:12">
      <c r="A1998" s="299"/>
      <c r="B1998" s="322"/>
      <c r="G1998" s="299"/>
      <c r="H1998" s="299"/>
      <c r="I1998" s="299"/>
      <c r="J1998" s="299"/>
      <c r="K1998" s="299"/>
      <c r="L1998" s="299"/>
    </row>
    <row r="1999" spans="1:12">
      <c r="A1999" s="299"/>
      <c r="B1999" s="322"/>
      <c r="G1999" s="299"/>
      <c r="H1999" s="299"/>
      <c r="I1999" s="299"/>
      <c r="J1999" s="299"/>
      <c r="K1999" s="299"/>
      <c r="L1999" s="299"/>
    </row>
    <row r="2000" spans="1:12">
      <c r="A2000" s="299"/>
      <c r="B2000" s="322"/>
      <c r="G2000" s="299"/>
      <c r="H2000" s="299"/>
      <c r="I2000" s="299"/>
      <c r="J2000" s="299"/>
      <c r="K2000" s="299"/>
      <c r="L2000" s="299"/>
    </row>
    <row r="2001" spans="1:12">
      <c r="A2001" s="299"/>
      <c r="B2001" s="322"/>
      <c r="G2001" s="299"/>
      <c r="H2001" s="299"/>
      <c r="I2001" s="299"/>
      <c r="J2001" s="299"/>
      <c r="K2001" s="299"/>
      <c r="L2001" s="299"/>
    </row>
    <row r="2002" spans="1:12">
      <c r="A2002" s="299"/>
      <c r="B2002" s="322"/>
      <c r="G2002" s="299"/>
      <c r="H2002" s="299"/>
      <c r="I2002" s="299"/>
      <c r="J2002" s="299"/>
      <c r="K2002" s="299"/>
      <c r="L2002" s="299"/>
    </row>
    <row r="2003" spans="1:12">
      <c r="A2003" s="299"/>
      <c r="B2003" s="322"/>
      <c r="G2003" s="299"/>
      <c r="H2003" s="299"/>
      <c r="I2003" s="299"/>
      <c r="J2003" s="299"/>
      <c r="K2003" s="299"/>
      <c r="L2003" s="299"/>
    </row>
    <row r="2004" spans="1:12">
      <c r="A2004" s="299"/>
      <c r="B2004" s="322"/>
      <c r="G2004" s="299"/>
      <c r="H2004" s="299"/>
      <c r="I2004" s="299"/>
      <c r="J2004" s="299"/>
      <c r="K2004" s="299"/>
      <c r="L2004" s="299"/>
    </row>
    <row r="2005" spans="1:12">
      <c r="A2005" s="299"/>
      <c r="B2005" s="322"/>
      <c r="G2005" s="299"/>
      <c r="H2005" s="299"/>
      <c r="I2005" s="299"/>
      <c r="J2005" s="299"/>
      <c r="K2005" s="299"/>
      <c r="L2005" s="299"/>
    </row>
    <row r="2006" spans="1:12">
      <c r="A2006" s="299"/>
      <c r="B2006" s="322"/>
      <c r="G2006" s="299"/>
      <c r="H2006" s="299"/>
      <c r="I2006" s="299"/>
      <c r="J2006" s="299"/>
      <c r="K2006" s="299"/>
      <c r="L2006" s="299"/>
    </row>
    <row r="2007" spans="1:12">
      <c r="A2007" s="299"/>
      <c r="B2007" s="322"/>
      <c r="G2007" s="299"/>
      <c r="H2007" s="299"/>
      <c r="I2007" s="299"/>
      <c r="J2007" s="299"/>
      <c r="K2007" s="299"/>
      <c r="L2007" s="299"/>
    </row>
    <row r="2008" spans="1:12">
      <c r="A2008" s="299"/>
      <c r="B2008" s="322"/>
      <c r="G2008" s="299"/>
      <c r="H2008" s="299"/>
      <c r="I2008" s="299"/>
      <c r="J2008" s="299"/>
      <c r="K2008" s="299"/>
      <c r="L2008" s="299"/>
    </row>
    <row r="2009" spans="1:12">
      <c r="A2009" s="299"/>
      <c r="B2009" s="322"/>
      <c r="G2009" s="299"/>
      <c r="H2009" s="299"/>
      <c r="I2009" s="299"/>
      <c r="J2009" s="299"/>
      <c r="K2009" s="299"/>
      <c r="L2009" s="299"/>
    </row>
    <row r="2010" spans="1:12">
      <c r="A2010" s="299"/>
      <c r="B2010" s="322"/>
      <c r="G2010" s="299"/>
      <c r="H2010" s="299"/>
      <c r="I2010" s="299"/>
      <c r="J2010" s="299"/>
      <c r="K2010" s="299"/>
      <c r="L2010" s="299"/>
    </row>
    <row r="2011" spans="1:12">
      <c r="A2011" s="299"/>
      <c r="B2011" s="322"/>
      <c r="G2011" s="299"/>
      <c r="H2011" s="299"/>
      <c r="I2011" s="299"/>
      <c r="J2011" s="299"/>
      <c r="K2011" s="299"/>
      <c r="L2011" s="299"/>
    </row>
    <row r="2012" spans="1:12">
      <c r="A2012" s="299"/>
      <c r="B2012" s="322"/>
      <c r="G2012" s="299"/>
      <c r="H2012" s="299"/>
      <c r="I2012" s="299"/>
      <c r="J2012" s="299"/>
      <c r="K2012" s="299"/>
      <c r="L2012" s="299"/>
    </row>
    <row r="2013" spans="1:12">
      <c r="A2013" s="299"/>
      <c r="B2013" s="322"/>
      <c r="G2013" s="299"/>
      <c r="H2013" s="299"/>
      <c r="I2013" s="299"/>
      <c r="J2013" s="299"/>
      <c r="K2013" s="299"/>
      <c r="L2013" s="299"/>
    </row>
    <row r="2014" spans="1:12">
      <c r="A2014" s="299"/>
      <c r="B2014" s="322"/>
      <c r="G2014" s="299"/>
      <c r="H2014" s="299"/>
      <c r="I2014" s="299"/>
      <c r="J2014" s="299"/>
      <c r="K2014" s="299"/>
      <c r="L2014" s="299"/>
    </row>
    <row r="2015" spans="1:12">
      <c r="A2015" s="299"/>
      <c r="B2015" s="322"/>
      <c r="G2015" s="299"/>
      <c r="H2015" s="299"/>
      <c r="I2015" s="299"/>
      <c r="J2015" s="299"/>
      <c r="K2015" s="299"/>
      <c r="L2015" s="299"/>
    </row>
    <row r="2016" spans="1:12">
      <c r="A2016" s="299"/>
      <c r="B2016" s="322"/>
      <c r="G2016" s="299"/>
      <c r="H2016" s="299"/>
      <c r="I2016" s="299"/>
      <c r="J2016" s="299"/>
      <c r="K2016" s="299"/>
      <c r="L2016" s="299"/>
    </row>
    <row r="2017" spans="1:12">
      <c r="A2017" s="299"/>
      <c r="B2017" s="322"/>
      <c r="G2017" s="299"/>
      <c r="H2017" s="299"/>
      <c r="I2017" s="299"/>
      <c r="J2017" s="299"/>
      <c r="K2017" s="299"/>
      <c r="L2017" s="299"/>
    </row>
    <row r="2018" spans="1:12">
      <c r="A2018" s="299"/>
      <c r="B2018" s="322"/>
      <c r="G2018" s="299"/>
      <c r="H2018" s="299"/>
      <c r="I2018" s="299"/>
      <c r="J2018" s="299"/>
      <c r="K2018" s="299"/>
      <c r="L2018" s="299"/>
    </row>
    <row r="2019" spans="1:12">
      <c r="A2019" s="299"/>
      <c r="B2019" s="322"/>
      <c r="G2019" s="299"/>
      <c r="H2019" s="299"/>
      <c r="I2019" s="299"/>
      <c r="J2019" s="299"/>
      <c r="K2019" s="299"/>
      <c r="L2019" s="299"/>
    </row>
    <row r="2020" spans="1:12">
      <c r="A2020" s="299"/>
      <c r="B2020" s="322"/>
      <c r="G2020" s="299"/>
      <c r="H2020" s="299"/>
      <c r="I2020" s="299"/>
      <c r="J2020" s="299"/>
      <c r="K2020" s="299"/>
      <c r="L2020" s="299"/>
    </row>
    <row r="2021" spans="1:12">
      <c r="A2021" s="299"/>
      <c r="B2021" s="322"/>
      <c r="G2021" s="299"/>
      <c r="H2021" s="299"/>
      <c r="I2021" s="299"/>
      <c r="J2021" s="299"/>
      <c r="K2021" s="299"/>
      <c r="L2021" s="299"/>
    </row>
    <row r="2022" spans="1:12">
      <c r="A2022" s="299"/>
      <c r="B2022" s="322"/>
      <c r="G2022" s="299"/>
      <c r="H2022" s="299"/>
      <c r="I2022" s="299"/>
      <c r="J2022" s="299"/>
      <c r="K2022" s="299"/>
      <c r="L2022" s="299"/>
    </row>
    <row r="2023" spans="1:12">
      <c r="A2023" s="299"/>
      <c r="B2023" s="322"/>
      <c r="G2023" s="299"/>
      <c r="H2023" s="299"/>
      <c r="I2023" s="299"/>
      <c r="J2023" s="299"/>
      <c r="K2023" s="299"/>
      <c r="L2023" s="299"/>
    </row>
    <row r="2024" spans="1:12">
      <c r="A2024" s="299"/>
      <c r="B2024" s="322"/>
      <c r="G2024" s="299"/>
      <c r="H2024" s="299"/>
      <c r="I2024" s="299"/>
      <c r="J2024" s="299"/>
      <c r="K2024" s="299"/>
      <c r="L2024" s="299"/>
    </row>
    <row r="2025" spans="1:12">
      <c r="A2025" s="299"/>
      <c r="B2025" s="322"/>
      <c r="G2025" s="299"/>
      <c r="H2025" s="299"/>
      <c r="I2025" s="299"/>
      <c r="J2025" s="299"/>
      <c r="K2025" s="299"/>
      <c r="L2025" s="299"/>
    </row>
    <row r="2026" spans="1:12">
      <c r="A2026" s="299"/>
      <c r="B2026" s="322"/>
      <c r="G2026" s="299"/>
      <c r="H2026" s="299"/>
      <c r="I2026" s="299"/>
      <c r="J2026" s="299"/>
      <c r="K2026" s="299"/>
      <c r="L2026" s="299"/>
    </row>
    <row r="2027" spans="1:12">
      <c r="A2027" s="299"/>
      <c r="B2027" s="322"/>
      <c r="G2027" s="299"/>
      <c r="H2027" s="299"/>
      <c r="I2027" s="299"/>
      <c r="J2027" s="299"/>
      <c r="K2027" s="299"/>
      <c r="L2027" s="299"/>
    </row>
    <row r="2028" spans="1:12">
      <c r="A2028" s="299"/>
      <c r="B2028" s="322"/>
      <c r="G2028" s="299"/>
      <c r="H2028" s="299"/>
      <c r="I2028" s="299"/>
      <c r="J2028" s="299"/>
      <c r="K2028" s="299"/>
      <c r="L2028" s="299"/>
    </row>
    <row r="2029" spans="1:12">
      <c r="A2029" s="299"/>
      <c r="B2029" s="322"/>
      <c r="G2029" s="299"/>
      <c r="H2029" s="299"/>
      <c r="I2029" s="299"/>
      <c r="J2029" s="299"/>
      <c r="K2029" s="299"/>
      <c r="L2029" s="299"/>
    </row>
    <row r="2030" spans="1:12">
      <c r="A2030" s="299"/>
      <c r="B2030" s="322"/>
      <c r="G2030" s="299"/>
      <c r="H2030" s="299"/>
      <c r="I2030" s="299"/>
      <c r="J2030" s="299"/>
      <c r="K2030" s="299"/>
      <c r="L2030" s="299"/>
    </row>
    <row r="2031" spans="1:12">
      <c r="A2031" s="299"/>
      <c r="B2031" s="322"/>
      <c r="G2031" s="299"/>
      <c r="H2031" s="299"/>
      <c r="I2031" s="299"/>
      <c r="J2031" s="299"/>
      <c r="K2031" s="299"/>
      <c r="L2031" s="299"/>
    </row>
    <row r="2032" spans="1:12">
      <c r="A2032" s="299"/>
      <c r="B2032" s="322"/>
      <c r="G2032" s="299"/>
      <c r="H2032" s="299"/>
      <c r="I2032" s="299"/>
      <c r="J2032" s="299"/>
      <c r="K2032" s="299"/>
      <c r="L2032" s="299"/>
    </row>
    <row r="2033" spans="1:12">
      <c r="A2033" s="299"/>
      <c r="B2033" s="322"/>
      <c r="G2033" s="299"/>
      <c r="H2033" s="299"/>
      <c r="I2033" s="299"/>
      <c r="J2033" s="299"/>
      <c r="K2033" s="299"/>
      <c r="L2033" s="299"/>
    </row>
    <row r="2034" spans="1:12">
      <c r="A2034" s="299"/>
      <c r="B2034" s="322"/>
      <c r="G2034" s="299"/>
      <c r="H2034" s="299"/>
      <c r="I2034" s="299"/>
      <c r="J2034" s="299"/>
      <c r="K2034" s="299"/>
      <c r="L2034" s="299"/>
    </row>
    <row r="2035" spans="1:12">
      <c r="A2035" s="299"/>
      <c r="B2035" s="322"/>
      <c r="G2035" s="299"/>
      <c r="H2035" s="299"/>
      <c r="I2035" s="299"/>
      <c r="J2035" s="299"/>
      <c r="K2035" s="299"/>
      <c r="L2035" s="299"/>
    </row>
    <row r="2036" spans="1:12">
      <c r="A2036" s="299"/>
      <c r="B2036" s="322"/>
      <c r="G2036" s="299"/>
      <c r="H2036" s="299"/>
      <c r="I2036" s="299"/>
      <c r="J2036" s="299"/>
      <c r="K2036" s="299"/>
      <c r="L2036" s="299"/>
    </row>
    <row r="2037" spans="1:12">
      <c r="A2037" s="299"/>
      <c r="B2037" s="322"/>
      <c r="G2037" s="299"/>
      <c r="H2037" s="299"/>
      <c r="I2037" s="299"/>
      <c r="J2037" s="299"/>
      <c r="K2037" s="299"/>
      <c r="L2037" s="299"/>
    </row>
    <row r="2038" spans="1:12">
      <c r="A2038" s="299"/>
      <c r="B2038" s="322"/>
      <c r="G2038" s="299"/>
      <c r="H2038" s="299"/>
      <c r="I2038" s="299"/>
      <c r="J2038" s="299"/>
      <c r="K2038" s="299"/>
      <c r="L2038" s="299"/>
    </row>
    <row r="2039" spans="1:12">
      <c r="A2039" s="299"/>
      <c r="B2039" s="322"/>
      <c r="G2039" s="299"/>
      <c r="H2039" s="299"/>
      <c r="I2039" s="299"/>
      <c r="J2039" s="299"/>
      <c r="K2039" s="299"/>
      <c r="L2039" s="299"/>
    </row>
    <row r="2040" spans="1:12">
      <c r="A2040" s="299"/>
      <c r="B2040" s="322"/>
      <c r="G2040" s="299"/>
      <c r="H2040" s="299"/>
      <c r="I2040" s="299"/>
      <c r="J2040" s="299"/>
      <c r="K2040" s="299"/>
      <c r="L2040" s="299"/>
    </row>
    <row r="2041" spans="1:12">
      <c r="A2041" s="299"/>
      <c r="B2041" s="322"/>
      <c r="G2041" s="299"/>
      <c r="H2041" s="299"/>
      <c r="I2041" s="299"/>
      <c r="J2041" s="299"/>
      <c r="K2041" s="299"/>
      <c r="L2041" s="299"/>
    </row>
    <row r="2042" spans="1:12">
      <c r="A2042" s="299"/>
      <c r="B2042" s="322"/>
      <c r="G2042" s="299"/>
      <c r="H2042" s="299"/>
      <c r="I2042" s="299"/>
      <c r="J2042" s="299"/>
      <c r="K2042" s="299"/>
      <c r="L2042" s="299"/>
    </row>
    <row r="2043" spans="1:12">
      <c r="A2043" s="299"/>
      <c r="B2043" s="322"/>
      <c r="G2043" s="299"/>
      <c r="H2043" s="299"/>
      <c r="I2043" s="299"/>
      <c r="J2043" s="299"/>
      <c r="K2043" s="299"/>
      <c r="L2043" s="299"/>
    </row>
    <row r="2044" spans="1:12">
      <c r="A2044" s="299"/>
      <c r="B2044" s="322"/>
      <c r="G2044" s="299"/>
      <c r="H2044" s="299"/>
      <c r="I2044" s="299"/>
      <c r="J2044" s="299"/>
      <c r="K2044" s="299"/>
      <c r="L2044" s="299"/>
    </row>
    <row r="2045" spans="1:12">
      <c r="A2045" s="299"/>
      <c r="B2045" s="322"/>
      <c r="G2045" s="299"/>
      <c r="H2045" s="299"/>
      <c r="I2045" s="299"/>
      <c r="J2045" s="299"/>
      <c r="K2045" s="299"/>
      <c r="L2045" s="299"/>
    </row>
    <row r="2046" spans="1:12">
      <c r="A2046" s="299"/>
      <c r="B2046" s="322"/>
      <c r="G2046" s="299"/>
      <c r="H2046" s="299"/>
      <c r="I2046" s="299"/>
      <c r="J2046" s="299"/>
      <c r="K2046" s="299"/>
      <c r="L2046" s="299"/>
    </row>
    <row r="2047" spans="1:12">
      <c r="A2047" s="299"/>
      <c r="B2047" s="322"/>
      <c r="G2047" s="299"/>
      <c r="H2047" s="299"/>
      <c r="I2047" s="299"/>
      <c r="J2047" s="299"/>
      <c r="K2047" s="299"/>
      <c r="L2047" s="299"/>
    </row>
    <row r="2048" spans="1:12">
      <c r="A2048" s="299"/>
      <c r="B2048" s="322"/>
      <c r="G2048" s="299"/>
      <c r="H2048" s="299"/>
      <c r="I2048" s="299"/>
      <c r="J2048" s="299"/>
      <c r="K2048" s="299"/>
      <c r="L2048" s="299"/>
    </row>
    <row r="2049" spans="1:12">
      <c r="A2049" s="299"/>
      <c r="B2049" s="322"/>
      <c r="G2049" s="299"/>
      <c r="H2049" s="299"/>
      <c r="I2049" s="299"/>
      <c r="J2049" s="299"/>
      <c r="K2049" s="299"/>
      <c r="L2049" s="299"/>
    </row>
    <row r="2050" spans="1:12">
      <c r="A2050" s="299"/>
      <c r="B2050" s="322"/>
      <c r="G2050" s="299"/>
      <c r="H2050" s="299"/>
      <c r="I2050" s="299"/>
      <c r="J2050" s="299"/>
      <c r="K2050" s="299"/>
      <c r="L2050" s="299"/>
    </row>
    <row r="2051" spans="1:12">
      <c r="A2051" s="299"/>
      <c r="B2051" s="322"/>
      <c r="G2051" s="299"/>
      <c r="H2051" s="299"/>
      <c r="I2051" s="299"/>
      <c r="J2051" s="299"/>
      <c r="K2051" s="299"/>
      <c r="L2051" s="299"/>
    </row>
    <row r="2052" spans="1:12">
      <c r="A2052" s="299"/>
      <c r="B2052" s="322"/>
      <c r="G2052" s="299"/>
      <c r="H2052" s="299"/>
      <c r="I2052" s="299"/>
      <c r="J2052" s="299"/>
      <c r="K2052" s="299"/>
      <c r="L2052" s="299"/>
    </row>
    <row r="2053" spans="1:12">
      <c r="A2053" s="299"/>
      <c r="B2053" s="322"/>
      <c r="G2053" s="299"/>
      <c r="H2053" s="299"/>
      <c r="I2053" s="299"/>
      <c r="J2053" s="299"/>
      <c r="K2053" s="299"/>
      <c r="L2053" s="299"/>
    </row>
    <row r="2054" spans="1:12">
      <c r="A2054" s="299"/>
      <c r="B2054" s="322"/>
      <c r="G2054" s="299"/>
      <c r="H2054" s="299"/>
      <c r="I2054" s="299"/>
      <c r="J2054" s="299"/>
      <c r="K2054" s="299"/>
      <c r="L2054" s="299"/>
    </row>
    <row r="2055" spans="1:12">
      <c r="A2055" s="299"/>
      <c r="B2055" s="322"/>
      <c r="G2055" s="299"/>
      <c r="H2055" s="299"/>
      <c r="I2055" s="299"/>
      <c r="J2055" s="299"/>
      <c r="K2055" s="299"/>
      <c r="L2055" s="299"/>
    </row>
    <row r="2056" spans="1:12">
      <c r="A2056" s="299"/>
      <c r="B2056" s="322"/>
      <c r="G2056" s="299"/>
      <c r="H2056" s="299"/>
      <c r="I2056" s="299"/>
      <c r="J2056" s="299"/>
      <c r="K2056" s="299"/>
      <c r="L2056" s="299"/>
    </row>
    <row r="2057" spans="1:12">
      <c r="A2057" s="299"/>
      <c r="B2057" s="322"/>
      <c r="G2057" s="299"/>
      <c r="H2057" s="299"/>
      <c r="I2057" s="299"/>
      <c r="J2057" s="299"/>
      <c r="K2057" s="299"/>
      <c r="L2057" s="299"/>
    </row>
    <row r="2058" spans="1:12">
      <c r="A2058" s="299"/>
      <c r="B2058" s="322"/>
      <c r="G2058" s="299"/>
      <c r="H2058" s="299"/>
      <c r="I2058" s="299"/>
      <c r="J2058" s="299"/>
      <c r="K2058" s="299"/>
      <c r="L2058" s="299"/>
    </row>
    <row r="2059" spans="1:12">
      <c r="A2059" s="299"/>
      <c r="B2059" s="322"/>
      <c r="G2059" s="299"/>
      <c r="H2059" s="299"/>
      <c r="I2059" s="299"/>
      <c r="J2059" s="299"/>
      <c r="K2059" s="299"/>
      <c r="L2059" s="299"/>
    </row>
    <row r="2060" spans="1:12">
      <c r="A2060" s="299"/>
      <c r="B2060" s="322"/>
      <c r="G2060" s="299"/>
      <c r="H2060" s="299"/>
      <c r="I2060" s="299"/>
      <c r="J2060" s="299"/>
      <c r="K2060" s="299"/>
      <c r="L2060" s="299"/>
    </row>
    <row r="2061" spans="1:12">
      <c r="A2061" s="299"/>
      <c r="B2061" s="322"/>
      <c r="G2061" s="299"/>
      <c r="H2061" s="299"/>
      <c r="I2061" s="299"/>
      <c r="J2061" s="299"/>
      <c r="K2061" s="299"/>
      <c r="L2061" s="299"/>
    </row>
    <row r="2062" spans="1:12">
      <c r="A2062" s="299"/>
      <c r="B2062" s="322"/>
      <c r="G2062" s="299"/>
      <c r="H2062" s="299"/>
      <c r="I2062" s="299"/>
      <c r="J2062" s="299"/>
      <c r="K2062" s="299"/>
      <c r="L2062" s="299"/>
    </row>
    <row r="2063" spans="1:12">
      <c r="A2063" s="299"/>
      <c r="B2063" s="322"/>
      <c r="G2063" s="299"/>
      <c r="H2063" s="299"/>
      <c r="I2063" s="299"/>
      <c r="J2063" s="299"/>
      <c r="K2063" s="299"/>
      <c r="L2063" s="299"/>
    </row>
    <row r="2064" spans="1:12">
      <c r="A2064" s="299"/>
      <c r="B2064" s="322"/>
      <c r="G2064" s="299"/>
      <c r="H2064" s="299"/>
      <c r="I2064" s="299"/>
      <c r="J2064" s="299"/>
      <c r="K2064" s="299"/>
      <c r="L2064" s="299"/>
    </row>
    <row r="2065" spans="1:12">
      <c r="A2065" s="299"/>
      <c r="B2065" s="322"/>
      <c r="G2065" s="299"/>
      <c r="H2065" s="299"/>
      <c r="I2065" s="299"/>
      <c r="J2065" s="299"/>
      <c r="K2065" s="299"/>
      <c r="L2065" s="299"/>
    </row>
    <row r="2066" spans="1:12">
      <c r="A2066" s="299"/>
      <c r="B2066" s="322"/>
      <c r="G2066" s="299"/>
      <c r="H2066" s="299"/>
      <c r="I2066" s="299"/>
      <c r="J2066" s="299"/>
      <c r="K2066" s="299"/>
      <c r="L2066" s="299"/>
    </row>
    <row r="2067" spans="1:12">
      <c r="A2067" s="299"/>
      <c r="B2067" s="322"/>
      <c r="G2067" s="299"/>
      <c r="H2067" s="299"/>
      <c r="I2067" s="299"/>
      <c r="J2067" s="299"/>
      <c r="K2067" s="299"/>
      <c r="L2067" s="299"/>
    </row>
    <row r="2068" spans="1:12">
      <c r="A2068" s="299"/>
      <c r="B2068" s="322"/>
      <c r="G2068" s="299"/>
      <c r="H2068" s="299"/>
      <c r="I2068" s="299"/>
      <c r="J2068" s="299"/>
      <c r="K2068" s="299"/>
      <c r="L2068" s="299"/>
    </row>
    <row r="2069" spans="1:12">
      <c r="A2069" s="299"/>
      <c r="B2069" s="322"/>
      <c r="G2069" s="299"/>
      <c r="H2069" s="299"/>
      <c r="I2069" s="299"/>
      <c r="J2069" s="299"/>
      <c r="K2069" s="299"/>
      <c r="L2069" s="299"/>
    </row>
    <row r="2070" spans="1:12">
      <c r="A2070" s="299"/>
      <c r="B2070" s="322"/>
      <c r="G2070" s="299"/>
      <c r="H2070" s="299"/>
      <c r="I2070" s="299"/>
      <c r="J2070" s="299"/>
      <c r="K2070" s="299"/>
      <c r="L2070" s="299"/>
    </row>
    <row r="2071" spans="1:12">
      <c r="A2071" s="299"/>
      <c r="B2071" s="322"/>
      <c r="G2071" s="299"/>
      <c r="H2071" s="299"/>
      <c r="I2071" s="299"/>
      <c r="J2071" s="299"/>
      <c r="K2071" s="299"/>
      <c r="L2071" s="299"/>
    </row>
    <row r="2072" spans="1:12">
      <c r="A2072" s="299"/>
      <c r="B2072" s="322"/>
      <c r="G2072" s="299"/>
      <c r="H2072" s="299"/>
      <c r="I2072" s="299"/>
      <c r="J2072" s="299"/>
      <c r="K2072" s="299"/>
      <c r="L2072" s="299"/>
    </row>
    <row r="2073" spans="1:12">
      <c r="A2073" s="299"/>
      <c r="B2073" s="322"/>
      <c r="G2073" s="299"/>
      <c r="H2073" s="299"/>
      <c r="I2073" s="299"/>
      <c r="J2073" s="299"/>
      <c r="K2073" s="299"/>
      <c r="L2073" s="299"/>
    </row>
    <row r="2074" spans="1:12">
      <c r="A2074" s="299"/>
      <c r="B2074" s="322"/>
      <c r="G2074" s="299"/>
      <c r="H2074" s="299"/>
      <c r="I2074" s="299"/>
      <c r="J2074" s="299"/>
      <c r="K2074" s="299"/>
      <c r="L2074" s="299"/>
    </row>
    <row r="2075" spans="1:12">
      <c r="A2075" s="299"/>
      <c r="B2075" s="322"/>
      <c r="G2075" s="299"/>
      <c r="H2075" s="299"/>
      <c r="I2075" s="299"/>
      <c r="J2075" s="299"/>
      <c r="K2075" s="299"/>
      <c r="L2075" s="299"/>
    </row>
    <row r="2076" spans="1:12">
      <c r="A2076" s="299"/>
      <c r="B2076" s="322"/>
      <c r="G2076" s="299"/>
      <c r="H2076" s="299"/>
      <c r="I2076" s="299"/>
      <c r="J2076" s="299"/>
      <c r="K2076" s="299"/>
      <c r="L2076" s="299"/>
    </row>
    <row r="2077" spans="1:12">
      <c r="A2077" s="299"/>
      <c r="B2077" s="322"/>
      <c r="G2077" s="299"/>
      <c r="H2077" s="299"/>
      <c r="I2077" s="299"/>
      <c r="J2077" s="299"/>
      <c r="K2077" s="299"/>
      <c r="L2077" s="299"/>
    </row>
    <row r="2078" spans="1:12">
      <c r="A2078" s="299"/>
      <c r="B2078" s="322"/>
      <c r="G2078" s="299"/>
      <c r="H2078" s="299"/>
      <c r="I2078" s="299"/>
      <c r="J2078" s="299"/>
      <c r="K2078" s="299"/>
      <c r="L2078" s="299"/>
    </row>
    <row r="2079" spans="1:12">
      <c r="A2079" s="299"/>
      <c r="B2079" s="322"/>
      <c r="G2079" s="299"/>
      <c r="H2079" s="299"/>
      <c r="I2079" s="299"/>
      <c r="J2079" s="299"/>
      <c r="K2079" s="299"/>
      <c r="L2079" s="299"/>
    </row>
    <row r="2080" spans="1:12">
      <c r="A2080" s="299"/>
      <c r="B2080" s="322"/>
      <c r="G2080" s="299"/>
      <c r="H2080" s="299"/>
      <c r="I2080" s="299"/>
      <c r="J2080" s="299"/>
      <c r="K2080" s="299"/>
      <c r="L2080" s="299"/>
    </row>
    <row r="2081" spans="1:12">
      <c r="A2081" s="299"/>
      <c r="B2081" s="322"/>
      <c r="G2081" s="299"/>
      <c r="H2081" s="299"/>
      <c r="I2081" s="299"/>
      <c r="J2081" s="299"/>
      <c r="K2081" s="299"/>
      <c r="L2081" s="299"/>
    </row>
    <row r="2082" spans="1:12">
      <c r="A2082" s="299"/>
      <c r="B2082" s="322"/>
      <c r="G2082" s="299"/>
      <c r="H2082" s="299"/>
      <c r="I2082" s="299"/>
      <c r="J2082" s="299"/>
      <c r="K2082" s="299"/>
      <c r="L2082" s="299"/>
    </row>
    <row r="2083" spans="1:12">
      <c r="A2083" s="299"/>
      <c r="B2083" s="322"/>
      <c r="G2083" s="299"/>
      <c r="H2083" s="299"/>
      <c r="I2083" s="299"/>
      <c r="J2083" s="299"/>
      <c r="K2083" s="299"/>
      <c r="L2083" s="299"/>
    </row>
    <row r="2084" spans="1:12">
      <c r="A2084" s="299"/>
      <c r="B2084" s="322"/>
      <c r="G2084" s="299"/>
      <c r="H2084" s="299"/>
      <c r="I2084" s="299"/>
      <c r="J2084" s="299"/>
      <c r="K2084" s="299"/>
      <c r="L2084" s="299"/>
    </row>
    <row r="2085" spans="1:12">
      <c r="A2085" s="299"/>
      <c r="B2085" s="322"/>
      <c r="G2085" s="299"/>
      <c r="H2085" s="299"/>
      <c r="I2085" s="299"/>
      <c r="J2085" s="299"/>
      <c r="K2085" s="299"/>
      <c r="L2085" s="299"/>
    </row>
    <row r="2086" spans="1:12">
      <c r="A2086" s="299"/>
      <c r="B2086" s="322"/>
      <c r="G2086" s="299"/>
      <c r="H2086" s="299"/>
      <c r="I2086" s="299"/>
      <c r="J2086" s="299"/>
      <c r="K2086" s="299"/>
      <c r="L2086" s="299"/>
    </row>
    <row r="2087" spans="1:12">
      <c r="A2087" s="299"/>
      <c r="B2087" s="322"/>
      <c r="G2087" s="299"/>
      <c r="H2087" s="299"/>
      <c r="I2087" s="299"/>
      <c r="J2087" s="299"/>
      <c r="K2087" s="299"/>
      <c r="L2087" s="299"/>
    </row>
    <row r="2088" spans="1:12">
      <c r="A2088" s="299"/>
      <c r="B2088" s="322"/>
      <c r="G2088" s="299"/>
      <c r="H2088" s="299"/>
      <c r="I2088" s="299"/>
      <c r="J2088" s="299"/>
      <c r="K2088" s="299"/>
      <c r="L2088" s="299"/>
    </row>
    <row r="2089" spans="1:12">
      <c r="A2089" s="299"/>
      <c r="B2089" s="322"/>
      <c r="G2089" s="299"/>
      <c r="H2089" s="299"/>
      <c r="I2089" s="299"/>
      <c r="J2089" s="299"/>
      <c r="K2089" s="299"/>
      <c r="L2089" s="299"/>
    </row>
    <row r="2090" spans="1:12">
      <c r="A2090" s="299"/>
      <c r="B2090" s="322"/>
      <c r="G2090" s="299"/>
      <c r="H2090" s="299"/>
      <c r="I2090" s="299"/>
      <c r="J2090" s="299"/>
      <c r="K2090" s="299"/>
      <c r="L2090" s="299"/>
    </row>
    <row r="2091" spans="1:12">
      <c r="A2091" s="299"/>
      <c r="B2091" s="322"/>
      <c r="G2091" s="299"/>
      <c r="H2091" s="299"/>
      <c r="I2091" s="299"/>
      <c r="J2091" s="299"/>
      <c r="K2091" s="299"/>
      <c r="L2091" s="299"/>
    </row>
    <row r="2092" spans="1:12">
      <c r="A2092" s="299"/>
      <c r="B2092" s="322"/>
      <c r="G2092" s="299"/>
      <c r="H2092" s="299"/>
      <c r="I2092" s="299"/>
      <c r="J2092" s="299"/>
      <c r="K2092" s="299"/>
      <c r="L2092" s="299"/>
    </row>
    <row r="2093" spans="1:12">
      <c r="A2093" s="299"/>
      <c r="B2093" s="322"/>
      <c r="G2093" s="299"/>
      <c r="H2093" s="299"/>
      <c r="I2093" s="299"/>
      <c r="J2093" s="299"/>
      <c r="K2093" s="299"/>
      <c r="L2093" s="299"/>
    </row>
    <row r="2094" spans="1:12">
      <c r="A2094" s="299"/>
      <c r="B2094" s="322"/>
      <c r="G2094" s="299"/>
      <c r="H2094" s="299"/>
      <c r="I2094" s="299"/>
      <c r="J2094" s="299"/>
      <c r="K2094" s="299"/>
      <c r="L2094" s="299"/>
    </row>
    <row r="2095" spans="1:12">
      <c r="A2095" s="299"/>
      <c r="B2095" s="322"/>
      <c r="G2095" s="299"/>
      <c r="H2095" s="299"/>
      <c r="I2095" s="299"/>
      <c r="J2095" s="299"/>
      <c r="K2095" s="299"/>
      <c r="L2095" s="299"/>
    </row>
    <row r="2096" spans="1:12">
      <c r="A2096" s="299"/>
      <c r="B2096" s="322"/>
      <c r="G2096" s="299"/>
      <c r="H2096" s="299"/>
      <c r="I2096" s="299"/>
      <c r="J2096" s="299"/>
      <c r="K2096" s="299"/>
      <c r="L2096" s="299"/>
    </row>
    <row r="2097" spans="1:12">
      <c r="A2097" s="299"/>
      <c r="B2097" s="322"/>
      <c r="G2097" s="299"/>
      <c r="H2097" s="299"/>
      <c r="I2097" s="299"/>
      <c r="J2097" s="299"/>
      <c r="K2097" s="299"/>
      <c r="L2097" s="299"/>
    </row>
    <row r="2098" spans="1:12">
      <c r="A2098" s="299"/>
      <c r="B2098" s="322"/>
      <c r="G2098" s="299"/>
      <c r="H2098" s="299"/>
      <c r="I2098" s="299"/>
      <c r="J2098" s="299"/>
      <c r="K2098" s="299"/>
      <c r="L2098" s="299"/>
    </row>
    <row r="2099" spans="1:12">
      <c r="A2099" s="299"/>
      <c r="B2099" s="322"/>
      <c r="G2099" s="299"/>
      <c r="H2099" s="299"/>
      <c r="I2099" s="299"/>
      <c r="J2099" s="299"/>
      <c r="K2099" s="299"/>
      <c r="L2099" s="299"/>
    </row>
    <row r="2100" spans="1:12">
      <c r="A2100" s="299"/>
      <c r="B2100" s="322"/>
      <c r="G2100" s="299"/>
      <c r="H2100" s="299"/>
      <c r="I2100" s="299"/>
      <c r="J2100" s="299"/>
      <c r="K2100" s="299"/>
      <c r="L2100" s="299"/>
    </row>
    <row r="2101" spans="1:12">
      <c r="A2101" s="299"/>
      <c r="B2101" s="322"/>
      <c r="G2101" s="299"/>
      <c r="H2101" s="299"/>
      <c r="I2101" s="299"/>
      <c r="J2101" s="299"/>
      <c r="K2101" s="299"/>
      <c r="L2101" s="299"/>
    </row>
    <row r="2102" spans="1:12">
      <c r="A2102" s="299"/>
      <c r="B2102" s="322"/>
      <c r="G2102" s="299"/>
      <c r="H2102" s="299"/>
      <c r="I2102" s="299"/>
      <c r="J2102" s="299"/>
      <c r="K2102" s="299"/>
      <c r="L2102" s="299"/>
    </row>
    <row r="2103" spans="1:12">
      <c r="A2103" s="299"/>
      <c r="B2103" s="322"/>
      <c r="G2103" s="299"/>
      <c r="H2103" s="299"/>
      <c r="I2103" s="299"/>
      <c r="J2103" s="299"/>
      <c r="K2103" s="299"/>
      <c r="L2103" s="299"/>
    </row>
    <row r="2104" spans="1:12">
      <c r="A2104" s="299"/>
      <c r="B2104" s="322"/>
      <c r="G2104" s="299"/>
      <c r="H2104" s="299"/>
      <c r="I2104" s="299"/>
      <c r="J2104" s="299"/>
      <c r="K2104" s="299"/>
      <c r="L2104" s="299"/>
    </row>
    <row r="2105" spans="1:12">
      <c r="A2105" s="299"/>
      <c r="B2105" s="322"/>
      <c r="G2105" s="299"/>
      <c r="H2105" s="299"/>
      <c r="I2105" s="299"/>
      <c r="J2105" s="299"/>
      <c r="K2105" s="299"/>
      <c r="L2105" s="299"/>
    </row>
    <row r="2106" spans="1:12">
      <c r="A2106" s="299"/>
      <c r="B2106" s="322"/>
      <c r="G2106" s="299"/>
      <c r="H2106" s="299"/>
      <c r="I2106" s="299"/>
      <c r="J2106" s="299"/>
      <c r="K2106" s="299"/>
      <c r="L2106" s="299"/>
    </row>
    <row r="2107" spans="1:12">
      <c r="A2107" s="299"/>
      <c r="B2107" s="322"/>
      <c r="G2107" s="299"/>
      <c r="H2107" s="299"/>
      <c r="I2107" s="299"/>
      <c r="J2107" s="299"/>
      <c r="K2107" s="299"/>
      <c r="L2107" s="299"/>
    </row>
    <row r="2108" spans="1:12">
      <c r="A2108" s="299"/>
      <c r="B2108" s="322"/>
      <c r="G2108" s="299"/>
      <c r="H2108" s="299"/>
      <c r="I2108" s="299"/>
      <c r="J2108" s="299"/>
      <c r="K2108" s="299"/>
      <c r="L2108" s="299"/>
    </row>
    <row r="2109" spans="1:12">
      <c r="A2109" s="299"/>
      <c r="B2109" s="322"/>
      <c r="G2109" s="299"/>
      <c r="H2109" s="299"/>
      <c r="I2109" s="299"/>
      <c r="J2109" s="299"/>
      <c r="K2109" s="299"/>
      <c r="L2109" s="299"/>
    </row>
    <row r="2110" spans="1:12">
      <c r="A2110" s="299"/>
      <c r="B2110" s="322"/>
      <c r="G2110" s="299"/>
      <c r="H2110" s="299"/>
      <c r="I2110" s="299"/>
      <c r="J2110" s="299"/>
      <c r="K2110" s="299"/>
      <c r="L2110" s="299"/>
    </row>
    <row r="2111" spans="1:12">
      <c r="A2111" s="299"/>
      <c r="B2111" s="322"/>
      <c r="G2111" s="299"/>
      <c r="H2111" s="299"/>
      <c r="I2111" s="299"/>
      <c r="J2111" s="299"/>
      <c r="K2111" s="299"/>
      <c r="L2111" s="299"/>
    </row>
    <row r="2112" spans="1:12">
      <c r="A2112" s="299"/>
      <c r="B2112" s="322"/>
      <c r="G2112" s="299"/>
      <c r="H2112" s="299"/>
      <c r="I2112" s="299"/>
      <c r="J2112" s="299"/>
      <c r="K2112" s="299"/>
      <c r="L2112" s="299"/>
    </row>
    <row r="2113" spans="1:12">
      <c r="A2113" s="299"/>
      <c r="B2113" s="322"/>
      <c r="G2113" s="299"/>
      <c r="H2113" s="299"/>
      <c r="I2113" s="299"/>
      <c r="J2113" s="299"/>
      <c r="K2113" s="299"/>
      <c r="L2113" s="299"/>
    </row>
    <row r="2114" spans="1:12">
      <c r="A2114" s="299"/>
      <c r="B2114" s="322"/>
      <c r="G2114" s="299"/>
      <c r="H2114" s="299"/>
      <c r="I2114" s="299"/>
      <c r="J2114" s="299"/>
      <c r="K2114" s="299"/>
      <c r="L2114" s="299"/>
    </row>
    <row r="2115" spans="1:12">
      <c r="A2115" s="299"/>
      <c r="B2115" s="322"/>
      <c r="G2115" s="299"/>
      <c r="H2115" s="299"/>
      <c r="I2115" s="299"/>
      <c r="J2115" s="299"/>
      <c r="K2115" s="299"/>
      <c r="L2115" s="299"/>
    </row>
    <row r="2116" spans="1:12">
      <c r="A2116" s="299"/>
      <c r="B2116" s="322"/>
      <c r="G2116" s="299"/>
      <c r="H2116" s="299"/>
      <c r="I2116" s="299"/>
      <c r="J2116" s="299"/>
      <c r="K2116" s="299"/>
      <c r="L2116" s="299"/>
    </row>
    <row r="2117" spans="1:12">
      <c r="A2117" s="299"/>
      <c r="B2117" s="322"/>
      <c r="G2117" s="299"/>
      <c r="H2117" s="299"/>
      <c r="I2117" s="299"/>
      <c r="J2117" s="299"/>
      <c r="K2117" s="299"/>
      <c r="L2117" s="299"/>
    </row>
    <row r="2118" spans="1:12">
      <c r="A2118" s="299"/>
      <c r="B2118" s="322"/>
      <c r="G2118" s="299"/>
      <c r="H2118" s="299"/>
      <c r="I2118" s="299"/>
      <c r="J2118" s="299"/>
      <c r="K2118" s="299"/>
      <c r="L2118" s="299"/>
    </row>
    <row r="2119" spans="1:12">
      <c r="A2119" s="299"/>
      <c r="B2119" s="322"/>
      <c r="G2119" s="299"/>
      <c r="H2119" s="299"/>
      <c r="I2119" s="299"/>
      <c r="J2119" s="299"/>
      <c r="K2119" s="299"/>
      <c r="L2119" s="299"/>
    </row>
    <row r="2120" spans="1:12">
      <c r="A2120" s="299"/>
      <c r="B2120" s="322"/>
      <c r="G2120" s="299"/>
      <c r="H2120" s="299"/>
      <c r="I2120" s="299"/>
      <c r="J2120" s="299"/>
      <c r="K2120" s="299"/>
      <c r="L2120" s="299"/>
    </row>
    <row r="2121" spans="1:12">
      <c r="A2121" s="299"/>
      <c r="B2121" s="322"/>
      <c r="G2121" s="299"/>
      <c r="H2121" s="299"/>
      <c r="I2121" s="299"/>
      <c r="J2121" s="299"/>
      <c r="K2121" s="299"/>
      <c r="L2121" s="299"/>
    </row>
    <row r="2122" spans="1:12">
      <c r="A2122" s="299"/>
      <c r="B2122" s="322"/>
      <c r="G2122" s="299"/>
      <c r="H2122" s="299"/>
      <c r="I2122" s="299"/>
      <c r="J2122" s="299"/>
      <c r="K2122" s="299"/>
      <c r="L2122" s="299"/>
    </row>
    <row r="2123" spans="1:12">
      <c r="A2123" s="299"/>
      <c r="B2123" s="322"/>
      <c r="G2123" s="299"/>
      <c r="H2123" s="299"/>
      <c r="I2123" s="299"/>
      <c r="J2123" s="299"/>
      <c r="K2123" s="299"/>
      <c r="L2123" s="299"/>
    </row>
    <row r="2124" spans="1:12">
      <c r="A2124" s="299"/>
      <c r="B2124" s="322"/>
      <c r="G2124" s="299"/>
      <c r="H2124" s="299"/>
      <c r="I2124" s="299"/>
      <c r="J2124" s="299"/>
      <c r="K2124" s="299"/>
      <c r="L2124" s="299"/>
    </row>
    <row r="2125" spans="1:12">
      <c r="A2125" s="299"/>
      <c r="B2125" s="322"/>
      <c r="G2125" s="299"/>
      <c r="H2125" s="299"/>
      <c r="I2125" s="299"/>
      <c r="J2125" s="299"/>
      <c r="K2125" s="299"/>
      <c r="L2125" s="299"/>
    </row>
    <row r="2126" spans="1:12">
      <c r="A2126" s="299"/>
      <c r="B2126" s="322"/>
      <c r="G2126" s="299"/>
      <c r="H2126" s="299"/>
      <c r="I2126" s="299"/>
      <c r="J2126" s="299"/>
      <c r="K2126" s="299"/>
      <c r="L2126" s="299"/>
    </row>
    <row r="2127" spans="1:12">
      <c r="A2127" s="299"/>
      <c r="B2127" s="322"/>
      <c r="G2127" s="299"/>
      <c r="H2127" s="299"/>
      <c r="I2127" s="299"/>
      <c r="J2127" s="299"/>
      <c r="K2127" s="299"/>
      <c r="L2127" s="299"/>
    </row>
    <row r="2128" spans="1:12">
      <c r="A2128" s="299"/>
      <c r="B2128" s="322"/>
      <c r="G2128" s="299"/>
      <c r="H2128" s="299"/>
      <c r="I2128" s="299"/>
      <c r="J2128" s="299"/>
      <c r="K2128" s="299"/>
      <c r="L2128" s="299"/>
    </row>
    <row r="2129" spans="1:12">
      <c r="A2129" s="299"/>
      <c r="B2129" s="322"/>
      <c r="G2129" s="299"/>
      <c r="H2129" s="299"/>
      <c r="I2129" s="299"/>
      <c r="J2129" s="299"/>
      <c r="K2129" s="299"/>
      <c r="L2129" s="299"/>
    </row>
    <row r="2130" spans="1:12">
      <c r="A2130" s="299"/>
      <c r="B2130" s="322"/>
      <c r="G2130" s="299"/>
      <c r="H2130" s="299"/>
      <c r="I2130" s="299"/>
      <c r="J2130" s="299"/>
      <c r="K2130" s="299"/>
      <c r="L2130" s="299"/>
    </row>
    <row r="2131" spans="1:12">
      <c r="A2131" s="299"/>
      <c r="B2131" s="322"/>
      <c r="G2131" s="299"/>
      <c r="H2131" s="299"/>
      <c r="I2131" s="299"/>
      <c r="J2131" s="299"/>
      <c r="K2131" s="299"/>
      <c r="L2131" s="299"/>
    </row>
    <row r="2132" spans="1:12">
      <c r="A2132" s="299"/>
      <c r="B2132" s="322"/>
      <c r="G2132" s="299"/>
      <c r="H2132" s="299"/>
      <c r="I2132" s="299"/>
      <c r="J2132" s="299"/>
      <c r="K2132" s="299"/>
      <c r="L2132" s="299"/>
    </row>
    <row r="2133" spans="1:12">
      <c r="A2133" s="299"/>
      <c r="B2133" s="322"/>
      <c r="G2133" s="299"/>
      <c r="H2133" s="299"/>
      <c r="I2133" s="299"/>
      <c r="J2133" s="299"/>
      <c r="K2133" s="299"/>
      <c r="L2133" s="299"/>
    </row>
    <row r="2134" spans="1:12">
      <c r="A2134" s="299"/>
      <c r="B2134" s="322"/>
      <c r="G2134" s="299"/>
      <c r="H2134" s="299"/>
      <c r="I2134" s="299"/>
      <c r="J2134" s="299"/>
      <c r="K2134" s="299"/>
      <c r="L2134" s="299"/>
    </row>
    <row r="2135" spans="1:12">
      <c r="A2135" s="299"/>
      <c r="B2135" s="322"/>
      <c r="G2135" s="299"/>
      <c r="H2135" s="299"/>
      <c r="I2135" s="299"/>
      <c r="J2135" s="299"/>
      <c r="K2135" s="299"/>
      <c r="L2135" s="299"/>
    </row>
    <row r="2136" spans="1:12">
      <c r="A2136" s="299"/>
      <c r="B2136" s="322"/>
      <c r="G2136" s="299"/>
      <c r="H2136" s="299"/>
      <c r="I2136" s="299"/>
      <c r="J2136" s="299"/>
      <c r="K2136" s="299"/>
      <c r="L2136" s="299"/>
    </row>
    <row r="2137" spans="1:12">
      <c r="A2137" s="299"/>
      <c r="B2137" s="322"/>
      <c r="G2137" s="299"/>
      <c r="H2137" s="299"/>
      <c r="I2137" s="299"/>
      <c r="J2137" s="299"/>
      <c r="K2137" s="299"/>
      <c r="L2137" s="299"/>
    </row>
    <row r="2138" spans="1:12">
      <c r="A2138" s="299"/>
      <c r="B2138" s="322"/>
      <c r="G2138" s="299"/>
      <c r="H2138" s="299"/>
      <c r="I2138" s="299"/>
      <c r="J2138" s="299"/>
      <c r="K2138" s="299"/>
      <c r="L2138" s="299"/>
    </row>
    <row r="2139" spans="1:12">
      <c r="A2139" s="299"/>
      <c r="B2139" s="322"/>
      <c r="G2139" s="299"/>
      <c r="H2139" s="299"/>
      <c r="I2139" s="299"/>
      <c r="J2139" s="299"/>
      <c r="K2139" s="299"/>
      <c r="L2139" s="299"/>
    </row>
    <row r="2140" spans="1:12">
      <c r="A2140" s="299"/>
      <c r="B2140" s="322"/>
      <c r="G2140" s="299"/>
      <c r="H2140" s="299"/>
      <c r="I2140" s="299"/>
      <c r="J2140" s="299"/>
      <c r="K2140" s="299"/>
      <c r="L2140" s="299"/>
    </row>
    <row r="2141" spans="1:12">
      <c r="A2141" s="299"/>
      <c r="B2141" s="322"/>
      <c r="G2141" s="299"/>
      <c r="H2141" s="299"/>
      <c r="I2141" s="299"/>
      <c r="J2141" s="299"/>
      <c r="K2141" s="299"/>
      <c r="L2141" s="299"/>
    </row>
    <row r="2142" spans="1:12">
      <c r="A2142" s="299"/>
      <c r="B2142" s="322"/>
      <c r="G2142" s="299"/>
      <c r="H2142" s="299"/>
      <c r="I2142" s="299"/>
      <c r="J2142" s="299"/>
      <c r="K2142" s="299"/>
      <c r="L2142" s="299"/>
    </row>
    <row r="2143" spans="1:12">
      <c r="A2143" s="299"/>
      <c r="B2143" s="322"/>
      <c r="G2143" s="299"/>
      <c r="H2143" s="299"/>
      <c r="I2143" s="299"/>
      <c r="J2143" s="299"/>
      <c r="K2143" s="299"/>
      <c r="L2143" s="299"/>
    </row>
    <row r="2144" spans="1:12">
      <c r="A2144" s="299"/>
      <c r="B2144" s="322"/>
      <c r="G2144" s="299"/>
      <c r="H2144" s="299"/>
      <c r="I2144" s="299"/>
      <c r="J2144" s="299"/>
      <c r="K2144" s="299"/>
      <c r="L2144" s="299"/>
    </row>
    <row r="2145" spans="1:12">
      <c r="A2145" s="299"/>
      <c r="B2145" s="322"/>
      <c r="G2145" s="299"/>
      <c r="H2145" s="299"/>
      <c r="I2145" s="299"/>
      <c r="J2145" s="299"/>
      <c r="K2145" s="299"/>
      <c r="L2145" s="299"/>
    </row>
    <row r="2146" spans="1:12">
      <c r="A2146" s="299"/>
      <c r="B2146" s="322"/>
      <c r="G2146" s="299"/>
      <c r="H2146" s="299"/>
      <c r="I2146" s="299"/>
      <c r="J2146" s="299"/>
      <c r="K2146" s="299"/>
      <c r="L2146" s="299"/>
    </row>
    <row r="2147" spans="1:12">
      <c r="A2147" s="299"/>
      <c r="B2147" s="322"/>
      <c r="G2147" s="299"/>
      <c r="H2147" s="299"/>
      <c r="I2147" s="299"/>
      <c r="J2147" s="299"/>
      <c r="K2147" s="299"/>
      <c r="L2147" s="299"/>
    </row>
    <row r="2148" spans="1:12">
      <c r="A2148" s="299"/>
      <c r="B2148" s="322"/>
      <c r="G2148" s="299"/>
      <c r="H2148" s="299"/>
      <c r="I2148" s="299"/>
      <c r="J2148" s="299"/>
      <c r="K2148" s="299"/>
      <c r="L2148" s="299"/>
    </row>
    <row r="2149" spans="1:12">
      <c r="A2149" s="299"/>
      <c r="B2149" s="322"/>
      <c r="G2149" s="299"/>
      <c r="H2149" s="299"/>
      <c r="I2149" s="299"/>
      <c r="J2149" s="299"/>
      <c r="K2149" s="299"/>
      <c r="L2149" s="299"/>
    </row>
    <row r="2150" spans="1:12">
      <c r="A2150" s="299"/>
      <c r="B2150" s="322"/>
      <c r="G2150" s="299"/>
      <c r="H2150" s="299"/>
      <c r="I2150" s="299"/>
      <c r="J2150" s="299"/>
      <c r="K2150" s="299"/>
      <c r="L2150" s="299"/>
    </row>
    <row r="2151" spans="1:12">
      <c r="A2151" s="299"/>
      <c r="B2151" s="322"/>
      <c r="G2151" s="299"/>
      <c r="H2151" s="299"/>
      <c r="I2151" s="299"/>
      <c r="J2151" s="299"/>
      <c r="K2151" s="299"/>
      <c r="L2151" s="299"/>
    </row>
    <row r="2152" spans="1:12">
      <c r="A2152" s="299"/>
      <c r="B2152" s="322"/>
      <c r="G2152" s="299"/>
      <c r="H2152" s="299"/>
      <c r="I2152" s="299"/>
      <c r="J2152" s="299"/>
      <c r="K2152" s="299"/>
      <c r="L2152" s="299"/>
    </row>
    <row r="2153" spans="1:12">
      <c r="A2153" s="299"/>
      <c r="B2153" s="322"/>
      <c r="G2153" s="299"/>
      <c r="H2153" s="299"/>
      <c r="I2153" s="299"/>
      <c r="J2153" s="299"/>
      <c r="K2153" s="299"/>
      <c r="L2153" s="299"/>
    </row>
    <row r="2154" spans="1:12">
      <c r="A2154" s="299"/>
      <c r="B2154" s="322"/>
      <c r="G2154" s="299"/>
      <c r="H2154" s="299"/>
      <c r="I2154" s="299"/>
      <c r="J2154" s="299"/>
      <c r="K2154" s="299"/>
      <c r="L2154" s="299"/>
    </row>
    <row r="2155" spans="1:12">
      <c r="A2155" s="299"/>
      <c r="B2155" s="322"/>
      <c r="G2155" s="299"/>
      <c r="H2155" s="299"/>
      <c r="I2155" s="299"/>
      <c r="J2155" s="299"/>
      <c r="K2155" s="299"/>
      <c r="L2155" s="299"/>
    </row>
    <row r="2156" spans="1:12">
      <c r="A2156" s="299"/>
      <c r="B2156" s="322"/>
      <c r="G2156" s="299"/>
      <c r="H2156" s="299"/>
      <c r="I2156" s="299"/>
      <c r="J2156" s="299"/>
      <c r="K2156" s="299"/>
      <c r="L2156" s="299"/>
    </row>
    <row r="2157" spans="1:12">
      <c r="A2157" s="299"/>
      <c r="B2157" s="322"/>
      <c r="G2157" s="299"/>
      <c r="H2157" s="299"/>
      <c r="I2157" s="299"/>
      <c r="J2157" s="299"/>
      <c r="K2157" s="299"/>
      <c r="L2157" s="299"/>
    </row>
    <row r="2158" spans="1:12">
      <c r="A2158" s="299"/>
      <c r="B2158" s="322"/>
      <c r="G2158" s="299"/>
      <c r="H2158" s="299"/>
      <c r="I2158" s="299"/>
      <c r="J2158" s="299"/>
      <c r="K2158" s="299"/>
      <c r="L2158" s="299"/>
    </row>
    <row r="2159" spans="1:12">
      <c r="A2159" s="299"/>
      <c r="B2159" s="322"/>
      <c r="G2159" s="299"/>
      <c r="H2159" s="299"/>
      <c r="I2159" s="299"/>
      <c r="J2159" s="299"/>
      <c r="K2159" s="299"/>
      <c r="L2159" s="299"/>
    </row>
    <row r="2160" spans="1:12">
      <c r="A2160" s="299"/>
      <c r="B2160" s="322"/>
      <c r="G2160" s="299"/>
      <c r="H2160" s="299"/>
      <c r="I2160" s="299"/>
      <c r="J2160" s="299"/>
      <c r="K2160" s="299"/>
      <c r="L2160" s="299"/>
    </row>
    <row r="2161" spans="1:12">
      <c r="A2161" s="299"/>
      <c r="B2161" s="322"/>
      <c r="G2161" s="299"/>
      <c r="H2161" s="299"/>
      <c r="I2161" s="299"/>
      <c r="J2161" s="299"/>
      <c r="K2161" s="299"/>
      <c r="L2161" s="299"/>
    </row>
    <row r="2162" spans="1:12">
      <c r="A2162" s="299"/>
      <c r="B2162" s="322"/>
      <c r="G2162" s="299"/>
      <c r="H2162" s="299"/>
      <c r="I2162" s="299"/>
      <c r="J2162" s="299"/>
      <c r="K2162" s="299"/>
      <c r="L2162" s="299"/>
    </row>
    <row r="2163" spans="1:12">
      <c r="A2163" s="299"/>
      <c r="B2163" s="322"/>
      <c r="G2163" s="299"/>
      <c r="H2163" s="299"/>
      <c r="I2163" s="299"/>
      <c r="J2163" s="299"/>
      <c r="K2163" s="299"/>
      <c r="L2163" s="299"/>
    </row>
    <row r="2164" spans="1:12">
      <c r="A2164" s="299"/>
      <c r="B2164" s="322"/>
      <c r="G2164" s="299"/>
      <c r="H2164" s="299"/>
      <c r="I2164" s="299"/>
      <c r="J2164" s="299"/>
      <c r="K2164" s="299"/>
      <c r="L2164" s="299"/>
    </row>
    <row r="2165" spans="1:12">
      <c r="A2165" s="299"/>
      <c r="B2165" s="322"/>
      <c r="G2165" s="299"/>
      <c r="H2165" s="299"/>
      <c r="I2165" s="299"/>
      <c r="J2165" s="299"/>
      <c r="K2165" s="299"/>
      <c r="L2165" s="299"/>
    </row>
    <row r="2166" spans="1:12">
      <c r="A2166" s="299"/>
      <c r="B2166" s="322"/>
      <c r="G2166" s="299"/>
      <c r="H2166" s="299"/>
      <c r="I2166" s="299"/>
      <c r="J2166" s="299"/>
      <c r="K2166" s="299"/>
      <c r="L2166" s="299"/>
    </row>
    <row r="2167" spans="1:12">
      <c r="A2167" s="299"/>
      <c r="B2167" s="322"/>
      <c r="G2167" s="299"/>
      <c r="H2167" s="299"/>
      <c r="I2167" s="299"/>
      <c r="J2167" s="299"/>
      <c r="K2167" s="299"/>
      <c r="L2167" s="299"/>
    </row>
    <row r="2168" spans="1:12">
      <c r="A2168" s="299"/>
      <c r="B2168" s="322"/>
      <c r="G2168" s="299"/>
      <c r="H2168" s="299"/>
      <c r="I2168" s="299"/>
      <c r="J2168" s="299"/>
      <c r="K2168" s="299"/>
      <c r="L2168" s="299"/>
    </row>
    <row r="2169" spans="1:12">
      <c r="A2169" s="299"/>
      <c r="B2169" s="322"/>
      <c r="G2169" s="299"/>
      <c r="H2169" s="299"/>
      <c r="I2169" s="299"/>
      <c r="J2169" s="299"/>
      <c r="K2169" s="299"/>
      <c r="L2169" s="299"/>
    </row>
    <row r="2170" spans="1:12">
      <c r="A2170" s="299"/>
      <c r="B2170" s="322"/>
      <c r="G2170" s="299"/>
      <c r="H2170" s="299"/>
      <c r="I2170" s="299"/>
      <c r="J2170" s="299"/>
      <c r="K2170" s="299"/>
      <c r="L2170" s="299"/>
    </row>
    <row r="2171" spans="1:12">
      <c r="A2171" s="299"/>
      <c r="B2171" s="322"/>
      <c r="G2171" s="299"/>
      <c r="H2171" s="299"/>
      <c r="I2171" s="299"/>
      <c r="J2171" s="299"/>
      <c r="K2171" s="299"/>
      <c r="L2171" s="299"/>
    </row>
    <row r="2172" spans="1:12">
      <c r="A2172" s="299"/>
      <c r="B2172" s="322"/>
      <c r="G2172" s="299"/>
      <c r="H2172" s="299"/>
      <c r="I2172" s="299"/>
      <c r="J2172" s="299"/>
      <c r="K2172" s="299"/>
      <c r="L2172" s="299"/>
    </row>
    <row r="2173" spans="1:12">
      <c r="A2173" s="299"/>
      <c r="B2173" s="322"/>
      <c r="G2173" s="299"/>
      <c r="H2173" s="299"/>
      <c r="I2173" s="299"/>
      <c r="J2173" s="299"/>
      <c r="K2173" s="299"/>
      <c r="L2173" s="299"/>
    </row>
    <row r="2174" spans="1:12">
      <c r="A2174" s="299"/>
      <c r="B2174" s="322"/>
      <c r="G2174" s="299"/>
      <c r="H2174" s="299"/>
      <c r="I2174" s="299"/>
      <c r="J2174" s="299"/>
      <c r="K2174" s="299"/>
      <c r="L2174" s="299"/>
    </row>
    <row r="2175" spans="1:12">
      <c r="A2175" s="299"/>
      <c r="B2175" s="322"/>
      <c r="G2175" s="299"/>
      <c r="H2175" s="299"/>
      <c r="I2175" s="299"/>
      <c r="J2175" s="299"/>
      <c r="K2175" s="299"/>
      <c r="L2175" s="299"/>
    </row>
    <row r="2176" spans="1:12">
      <c r="A2176" s="299"/>
      <c r="B2176" s="322"/>
      <c r="G2176" s="299"/>
      <c r="H2176" s="299"/>
      <c r="I2176" s="299"/>
      <c r="J2176" s="299"/>
      <c r="K2176" s="299"/>
      <c r="L2176" s="299"/>
    </row>
    <row r="2177" spans="1:12">
      <c r="A2177" s="299"/>
      <c r="B2177" s="322"/>
      <c r="G2177" s="299"/>
      <c r="H2177" s="299"/>
      <c r="I2177" s="299"/>
      <c r="J2177" s="299"/>
      <c r="K2177" s="299"/>
      <c r="L2177" s="299"/>
    </row>
    <row r="2178" spans="1:12">
      <c r="A2178" s="299"/>
      <c r="B2178" s="322"/>
      <c r="G2178" s="299"/>
      <c r="H2178" s="299"/>
      <c r="I2178" s="299"/>
      <c r="J2178" s="299"/>
      <c r="K2178" s="299"/>
      <c r="L2178" s="299"/>
    </row>
    <row r="2179" spans="1:12">
      <c r="A2179" s="299"/>
      <c r="B2179" s="322"/>
      <c r="G2179" s="299"/>
      <c r="H2179" s="299"/>
      <c r="I2179" s="299"/>
      <c r="J2179" s="299"/>
      <c r="K2179" s="299"/>
      <c r="L2179" s="299"/>
    </row>
    <row r="2180" spans="1:12">
      <c r="A2180" s="299"/>
      <c r="B2180" s="322"/>
      <c r="G2180" s="299"/>
      <c r="H2180" s="299"/>
      <c r="I2180" s="299"/>
      <c r="J2180" s="299"/>
      <c r="K2180" s="299"/>
      <c r="L2180" s="299"/>
    </row>
    <row r="2181" spans="1:12">
      <c r="A2181" s="299"/>
      <c r="B2181" s="322"/>
      <c r="G2181" s="299"/>
      <c r="H2181" s="299"/>
      <c r="I2181" s="299"/>
      <c r="J2181" s="299"/>
      <c r="K2181" s="299"/>
      <c r="L2181" s="299"/>
    </row>
    <row r="2182" spans="1:12">
      <c r="A2182" s="299"/>
      <c r="B2182" s="322"/>
      <c r="G2182" s="299"/>
      <c r="H2182" s="299"/>
      <c r="I2182" s="299"/>
      <c r="J2182" s="299"/>
      <c r="K2182" s="299"/>
      <c r="L2182" s="299"/>
    </row>
    <row r="2183" spans="1:12">
      <c r="A2183" s="299"/>
      <c r="B2183" s="322"/>
      <c r="G2183" s="299"/>
      <c r="H2183" s="299"/>
      <c r="I2183" s="299"/>
      <c r="J2183" s="299"/>
      <c r="K2183" s="299"/>
      <c r="L2183" s="299"/>
    </row>
    <row r="2184" spans="1:12">
      <c r="A2184" s="299"/>
      <c r="B2184" s="322"/>
      <c r="G2184" s="299"/>
      <c r="H2184" s="299"/>
      <c r="I2184" s="299"/>
      <c r="J2184" s="299"/>
      <c r="K2184" s="299"/>
      <c r="L2184" s="299"/>
    </row>
    <row r="2185" spans="1:12">
      <c r="A2185" s="299"/>
      <c r="B2185" s="322"/>
      <c r="G2185" s="299"/>
      <c r="H2185" s="299"/>
      <c r="I2185" s="299"/>
      <c r="J2185" s="299"/>
      <c r="K2185" s="299"/>
      <c r="L2185" s="299"/>
    </row>
    <row r="2186" spans="1:12">
      <c r="A2186" s="299"/>
      <c r="B2186" s="322"/>
      <c r="G2186" s="299"/>
      <c r="H2186" s="299"/>
      <c r="I2186" s="299"/>
      <c r="J2186" s="299"/>
      <c r="K2186" s="299"/>
      <c r="L2186" s="299"/>
    </row>
    <row r="2187" spans="1:12">
      <c r="A2187" s="299"/>
      <c r="B2187" s="322"/>
      <c r="G2187" s="299"/>
      <c r="H2187" s="299"/>
      <c r="I2187" s="299"/>
      <c r="J2187" s="299"/>
      <c r="K2187" s="299"/>
      <c r="L2187" s="299"/>
    </row>
    <row r="2188" spans="1:12">
      <c r="A2188" s="299"/>
      <c r="B2188" s="322"/>
      <c r="G2188" s="299"/>
      <c r="H2188" s="299"/>
      <c r="I2188" s="299"/>
      <c r="J2188" s="299"/>
      <c r="K2188" s="299"/>
      <c r="L2188" s="299"/>
    </row>
    <row r="2189" spans="1:12">
      <c r="A2189" s="299"/>
      <c r="B2189" s="322"/>
      <c r="G2189" s="299"/>
      <c r="H2189" s="299"/>
      <c r="I2189" s="299"/>
      <c r="J2189" s="299"/>
      <c r="K2189" s="299"/>
      <c r="L2189" s="299"/>
    </row>
    <row r="2190" spans="1:12">
      <c r="A2190" s="299"/>
      <c r="B2190" s="322"/>
      <c r="G2190" s="299"/>
      <c r="H2190" s="299"/>
      <c r="I2190" s="299"/>
      <c r="J2190" s="299"/>
      <c r="K2190" s="299"/>
      <c r="L2190" s="299"/>
    </row>
    <row r="2191" spans="1:12">
      <c r="A2191" s="299"/>
      <c r="B2191" s="322"/>
      <c r="G2191" s="299"/>
      <c r="H2191" s="299"/>
      <c r="I2191" s="299"/>
      <c r="J2191" s="299"/>
      <c r="K2191" s="299"/>
      <c r="L2191" s="299"/>
    </row>
    <row r="2192" spans="1:12">
      <c r="A2192" s="299"/>
      <c r="B2192" s="322"/>
      <c r="G2192" s="299"/>
      <c r="H2192" s="299"/>
      <c r="I2192" s="299"/>
      <c r="J2192" s="299"/>
      <c r="K2192" s="299"/>
      <c r="L2192" s="299"/>
    </row>
    <row r="2193" spans="1:12">
      <c r="A2193" s="299"/>
      <c r="B2193" s="322"/>
      <c r="G2193" s="299"/>
      <c r="H2193" s="299"/>
      <c r="I2193" s="299"/>
      <c r="J2193" s="299"/>
      <c r="K2193" s="299"/>
      <c r="L2193" s="299"/>
    </row>
    <row r="2194" spans="1:12">
      <c r="A2194" s="299"/>
      <c r="B2194" s="322"/>
      <c r="G2194" s="299"/>
      <c r="H2194" s="299"/>
      <c r="I2194" s="299"/>
      <c r="J2194" s="299"/>
      <c r="K2194" s="299"/>
      <c r="L2194" s="299"/>
    </row>
    <row r="2195" spans="1:12">
      <c r="A2195" s="299"/>
      <c r="B2195" s="322"/>
      <c r="G2195" s="299"/>
      <c r="H2195" s="299"/>
      <c r="I2195" s="299"/>
      <c r="J2195" s="299"/>
      <c r="K2195" s="299"/>
      <c r="L2195" s="299"/>
    </row>
    <row r="2196" spans="1:12">
      <c r="A2196" s="299"/>
      <c r="B2196" s="322"/>
      <c r="G2196" s="299"/>
      <c r="H2196" s="299"/>
      <c r="I2196" s="299"/>
      <c r="J2196" s="299"/>
      <c r="K2196" s="299"/>
      <c r="L2196" s="299"/>
    </row>
    <row r="2197" spans="1:12">
      <c r="A2197" s="299"/>
      <c r="B2197" s="322"/>
      <c r="G2197" s="299"/>
      <c r="H2197" s="299"/>
      <c r="I2197" s="299"/>
      <c r="J2197" s="299"/>
      <c r="K2197" s="299"/>
      <c r="L2197" s="299"/>
    </row>
    <row r="2198" spans="1:12">
      <c r="A2198" s="299"/>
      <c r="B2198" s="322"/>
      <c r="G2198" s="299"/>
      <c r="H2198" s="299"/>
      <c r="I2198" s="299"/>
      <c r="J2198" s="299"/>
      <c r="K2198" s="299"/>
      <c r="L2198" s="299"/>
    </row>
    <row r="2199" spans="1:12">
      <c r="A2199" s="299"/>
      <c r="B2199" s="322"/>
      <c r="G2199" s="299"/>
      <c r="H2199" s="299"/>
      <c r="I2199" s="299"/>
      <c r="J2199" s="299"/>
      <c r="K2199" s="299"/>
      <c r="L2199" s="299"/>
    </row>
    <row r="2200" spans="1:12">
      <c r="A2200" s="299"/>
      <c r="B2200" s="322"/>
      <c r="G2200" s="299"/>
      <c r="H2200" s="299"/>
      <c r="I2200" s="299"/>
      <c r="J2200" s="299"/>
      <c r="K2200" s="299"/>
      <c r="L2200" s="299"/>
    </row>
    <row r="2201" spans="1:12">
      <c r="A2201" s="299"/>
      <c r="B2201" s="322"/>
      <c r="G2201" s="299"/>
      <c r="H2201" s="299"/>
      <c r="I2201" s="299"/>
      <c r="J2201" s="299"/>
      <c r="K2201" s="299"/>
      <c r="L2201" s="299"/>
    </row>
    <row r="2202" spans="1:12">
      <c r="A2202" s="299"/>
      <c r="B2202" s="322"/>
      <c r="G2202" s="299"/>
      <c r="H2202" s="299"/>
      <c r="I2202" s="299"/>
      <c r="J2202" s="299"/>
      <c r="K2202" s="299"/>
      <c r="L2202" s="299"/>
    </row>
    <row r="2203" spans="1:12">
      <c r="A2203" s="299"/>
      <c r="B2203" s="322"/>
      <c r="G2203" s="299"/>
      <c r="H2203" s="299"/>
      <c r="I2203" s="299"/>
      <c r="J2203" s="299"/>
      <c r="K2203" s="299"/>
      <c r="L2203" s="299"/>
    </row>
    <row r="2204" spans="1:12">
      <c r="A2204" s="299"/>
      <c r="B2204" s="322"/>
      <c r="G2204" s="299"/>
      <c r="H2204" s="299"/>
      <c r="I2204" s="299"/>
      <c r="J2204" s="299"/>
      <c r="K2204" s="299"/>
      <c r="L2204" s="299"/>
    </row>
    <row r="2205" spans="1:12">
      <c r="A2205" s="299"/>
      <c r="B2205" s="322"/>
      <c r="G2205" s="299"/>
      <c r="H2205" s="299"/>
      <c r="I2205" s="299"/>
      <c r="J2205" s="299"/>
      <c r="K2205" s="299"/>
      <c r="L2205" s="299"/>
    </row>
    <row r="2206" spans="1:12">
      <c r="A2206" s="299"/>
      <c r="B2206" s="322"/>
      <c r="G2206" s="299"/>
      <c r="H2206" s="299"/>
      <c r="I2206" s="299"/>
      <c r="J2206" s="299"/>
      <c r="K2206" s="299"/>
      <c r="L2206" s="299"/>
    </row>
    <row r="2207" spans="1:12">
      <c r="A2207" s="299"/>
      <c r="B2207" s="322"/>
      <c r="G2207" s="299"/>
      <c r="H2207" s="299"/>
      <c r="I2207" s="299"/>
      <c r="J2207" s="299"/>
      <c r="K2207" s="299"/>
      <c r="L2207" s="299"/>
    </row>
    <row r="2208" spans="1:12">
      <c r="A2208" s="299"/>
      <c r="B2208" s="322"/>
      <c r="G2208" s="299"/>
      <c r="H2208" s="299"/>
      <c r="I2208" s="299"/>
      <c r="J2208" s="299"/>
      <c r="K2208" s="299"/>
      <c r="L2208" s="299"/>
    </row>
    <row r="2209" spans="1:12">
      <c r="A2209" s="299"/>
      <c r="B2209" s="322"/>
      <c r="G2209" s="299"/>
      <c r="H2209" s="299"/>
      <c r="I2209" s="299"/>
      <c r="J2209" s="299"/>
      <c r="K2209" s="299"/>
      <c r="L2209" s="299"/>
    </row>
    <row r="2210" spans="1:12">
      <c r="A2210" s="299"/>
      <c r="B2210" s="322"/>
      <c r="G2210" s="299"/>
      <c r="H2210" s="299"/>
      <c r="I2210" s="299"/>
      <c r="J2210" s="299"/>
      <c r="K2210" s="299"/>
      <c r="L2210" s="299"/>
    </row>
    <row r="2211" spans="1:12">
      <c r="A2211" s="299"/>
      <c r="B2211" s="322"/>
      <c r="G2211" s="299"/>
      <c r="H2211" s="299"/>
      <c r="I2211" s="299"/>
      <c r="J2211" s="299"/>
      <c r="K2211" s="299"/>
      <c r="L2211" s="299"/>
    </row>
    <row r="2212" spans="1:12">
      <c r="A2212" s="299"/>
      <c r="B2212" s="322"/>
      <c r="G2212" s="299"/>
      <c r="H2212" s="299"/>
      <c r="I2212" s="299"/>
      <c r="J2212" s="299"/>
      <c r="K2212" s="299"/>
      <c r="L2212" s="299"/>
    </row>
    <row r="2213" spans="1:12">
      <c r="A2213" s="299"/>
      <c r="B2213" s="322"/>
      <c r="G2213" s="299"/>
      <c r="H2213" s="299"/>
      <c r="I2213" s="299"/>
      <c r="J2213" s="299"/>
      <c r="K2213" s="299"/>
      <c r="L2213" s="299"/>
    </row>
    <row r="2214" spans="1:12">
      <c r="A2214" s="299"/>
      <c r="B2214" s="322"/>
      <c r="G2214" s="299"/>
      <c r="H2214" s="299"/>
      <c r="I2214" s="299"/>
      <c r="J2214" s="299"/>
      <c r="K2214" s="299"/>
      <c r="L2214" s="299"/>
    </row>
    <row r="2215" spans="1:12">
      <c r="A2215" s="299"/>
      <c r="B2215" s="322"/>
      <c r="G2215" s="299"/>
      <c r="H2215" s="299"/>
      <c r="I2215" s="299"/>
      <c r="J2215" s="299"/>
      <c r="K2215" s="299"/>
      <c r="L2215" s="299"/>
    </row>
    <row r="2216" spans="1:12">
      <c r="A2216" s="299"/>
      <c r="B2216" s="322"/>
      <c r="G2216" s="299"/>
      <c r="H2216" s="299"/>
      <c r="I2216" s="299"/>
      <c r="J2216" s="299"/>
      <c r="K2216" s="299"/>
      <c r="L2216" s="299"/>
    </row>
    <row r="2217" spans="1:12">
      <c r="A2217" s="299"/>
      <c r="B2217" s="322"/>
      <c r="G2217" s="299"/>
      <c r="H2217" s="299"/>
      <c r="I2217" s="299"/>
      <c r="J2217" s="299"/>
      <c r="K2217" s="299"/>
      <c r="L2217" s="299"/>
    </row>
    <row r="2218" spans="1:12">
      <c r="A2218" s="299"/>
      <c r="B2218" s="322"/>
      <c r="G2218" s="299"/>
      <c r="H2218" s="299"/>
      <c r="I2218" s="299"/>
      <c r="J2218" s="299"/>
      <c r="K2218" s="299"/>
      <c r="L2218" s="299"/>
    </row>
    <row r="2219" spans="1:12">
      <c r="A2219" s="299"/>
      <c r="B2219" s="322"/>
      <c r="G2219" s="299"/>
      <c r="H2219" s="299"/>
      <c r="I2219" s="299"/>
      <c r="J2219" s="299"/>
      <c r="K2219" s="299"/>
      <c r="L2219" s="299"/>
    </row>
    <row r="2220" spans="1:12">
      <c r="A2220" s="299"/>
      <c r="B2220" s="322"/>
      <c r="G2220" s="299"/>
      <c r="H2220" s="299"/>
      <c r="I2220" s="299"/>
      <c r="J2220" s="299"/>
      <c r="K2220" s="299"/>
      <c r="L2220" s="299"/>
    </row>
    <row r="2221" spans="1:12">
      <c r="A2221" s="299"/>
      <c r="B2221" s="322"/>
      <c r="G2221" s="299"/>
      <c r="H2221" s="299"/>
      <c r="I2221" s="299"/>
      <c r="J2221" s="299"/>
      <c r="K2221" s="299"/>
      <c r="L2221" s="299"/>
    </row>
    <row r="2222" spans="1:12">
      <c r="A2222" s="299"/>
      <c r="B2222" s="322"/>
      <c r="G2222" s="299"/>
      <c r="H2222" s="299"/>
      <c r="I2222" s="299"/>
      <c r="J2222" s="299"/>
      <c r="K2222" s="299"/>
      <c r="L2222" s="299"/>
    </row>
    <row r="2223" spans="1:12">
      <c r="A2223" s="299"/>
      <c r="B2223" s="322"/>
      <c r="G2223" s="299"/>
      <c r="H2223" s="299"/>
      <c r="I2223" s="299"/>
      <c r="J2223" s="299"/>
      <c r="K2223" s="299"/>
      <c r="L2223" s="299"/>
    </row>
    <row r="2224" spans="1:12">
      <c r="A2224" s="299"/>
      <c r="B2224" s="322"/>
      <c r="G2224" s="299"/>
      <c r="H2224" s="299"/>
      <c r="I2224" s="299"/>
      <c r="J2224" s="299"/>
      <c r="K2224" s="299"/>
      <c r="L2224" s="299"/>
    </row>
    <row r="2225" spans="1:12">
      <c r="A2225" s="299"/>
      <c r="B2225" s="322"/>
      <c r="G2225" s="299"/>
      <c r="H2225" s="299"/>
      <c r="I2225" s="299"/>
      <c r="J2225" s="299"/>
      <c r="K2225" s="299"/>
      <c r="L2225" s="299"/>
    </row>
    <row r="2226" spans="1:12">
      <c r="A2226" s="299"/>
      <c r="B2226" s="322"/>
      <c r="G2226" s="299"/>
      <c r="H2226" s="299"/>
      <c r="I2226" s="299"/>
      <c r="J2226" s="299"/>
      <c r="K2226" s="299"/>
      <c r="L2226" s="299"/>
    </row>
    <row r="2227" spans="1:12">
      <c r="A2227" s="299"/>
      <c r="B2227" s="322"/>
      <c r="G2227" s="299"/>
      <c r="H2227" s="299"/>
      <c r="I2227" s="299"/>
      <c r="J2227" s="299"/>
      <c r="K2227" s="299"/>
      <c r="L2227" s="299"/>
    </row>
    <row r="2228" spans="1:12">
      <c r="A2228" s="299"/>
      <c r="B2228" s="322"/>
      <c r="G2228" s="299"/>
      <c r="H2228" s="299"/>
      <c r="I2228" s="299"/>
      <c r="J2228" s="299"/>
      <c r="K2228" s="299"/>
      <c r="L2228" s="299"/>
    </row>
    <row r="2229" spans="1:12">
      <c r="A2229" s="299"/>
      <c r="B2229" s="322"/>
      <c r="G2229" s="299"/>
      <c r="H2229" s="299"/>
      <c r="I2229" s="299"/>
      <c r="J2229" s="299"/>
      <c r="K2229" s="299"/>
      <c r="L2229" s="299"/>
    </row>
    <row r="2230" spans="1:12">
      <c r="A2230" s="299"/>
      <c r="B2230" s="322"/>
      <c r="G2230" s="299"/>
      <c r="H2230" s="299"/>
      <c r="I2230" s="299"/>
      <c r="J2230" s="299"/>
      <c r="K2230" s="299"/>
      <c r="L2230" s="299"/>
    </row>
    <row r="2231" spans="1:12">
      <c r="A2231" s="299"/>
      <c r="B2231" s="322"/>
      <c r="G2231" s="299"/>
      <c r="H2231" s="299"/>
      <c r="I2231" s="299"/>
      <c r="J2231" s="299"/>
      <c r="K2231" s="299"/>
      <c r="L2231" s="299"/>
    </row>
    <row r="2232" spans="1:12">
      <c r="A2232" s="299"/>
      <c r="B2232" s="322"/>
      <c r="G2232" s="299"/>
      <c r="H2232" s="299"/>
      <c r="I2232" s="299"/>
      <c r="J2232" s="299"/>
      <c r="K2232" s="299"/>
      <c r="L2232" s="299"/>
    </row>
    <row r="2233" spans="1:12">
      <c r="A2233" s="299"/>
      <c r="B2233" s="322"/>
      <c r="G2233" s="299"/>
      <c r="H2233" s="299"/>
      <c r="I2233" s="299"/>
      <c r="J2233" s="299"/>
      <c r="K2233" s="299"/>
      <c r="L2233" s="299"/>
    </row>
    <row r="2234" spans="1:12">
      <c r="A2234" s="299"/>
      <c r="B2234" s="322"/>
      <c r="G2234" s="299"/>
      <c r="H2234" s="299"/>
      <c r="I2234" s="299"/>
      <c r="J2234" s="299"/>
      <c r="K2234" s="299"/>
      <c r="L2234" s="299"/>
    </row>
    <row r="2235" spans="1:12">
      <c r="A2235" s="299"/>
      <c r="B2235" s="322"/>
      <c r="G2235" s="299"/>
      <c r="H2235" s="299"/>
      <c r="I2235" s="299"/>
      <c r="J2235" s="299"/>
      <c r="K2235" s="299"/>
      <c r="L2235" s="299"/>
    </row>
    <row r="2236" spans="1:12">
      <c r="A2236" s="299"/>
      <c r="B2236" s="322"/>
      <c r="G2236" s="299"/>
      <c r="H2236" s="299"/>
      <c r="I2236" s="299"/>
      <c r="J2236" s="299"/>
      <c r="K2236" s="299"/>
      <c r="L2236" s="299"/>
    </row>
    <row r="2237" spans="1:12">
      <c r="A2237" s="299"/>
      <c r="B2237" s="322"/>
      <c r="G2237" s="299"/>
      <c r="H2237" s="299"/>
      <c r="I2237" s="299"/>
      <c r="J2237" s="299"/>
      <c r="K2237" s="299"/>
      <c r="L2237" s="299"/>
    </row>
    <row r="2238" spans="1:12">
      <c r="A2238" s="299"/>
      <c r="B2238" s="322"/>
      <c r="G2238" s="299"/>
      <c r="H2238" s="299"/>
      <c r="I2238" s="299"/>
      <c r="J2238" s="299"/>
      <c r="K2238" s="299"/>
      <c r="L2238" s="299"/>
    </row>
    <row r="2239" spans="1:12">
      <c r="A2239" s="299"/>
      <c r="B2239" s="322"/>
      <c r="G2239" s="299"/>
      <c r="H2239" s="299"/>
      <c r="I2239" s="299"/>
      <c r="J2239" s="299"/>
      <c r="K2239" s="299"/>
      <c r="L2239" s="299"/>
    </row>
    <row r="2240" spans="1:12">
      <c r="A2240" s="299"/>
      <c r="B2240" s="322"/>
      <c r="G2240" s="299"/>
      <c r="H2240" s="299"/>
      <c r="I2240" s="299"/>
      <c r="J2240" s="299"/>
      <c r="K2240" s="299"/>
      <c r="L2240" s="299"/>
    </row>
    <row r="2241" spans="1:12">
      <c r="A2241" s="299"/>
      <c r="B2241" s="322"/>
      <c r="G2241" s="299"/>
      <c r="H2241" s="299"/>
      <c r="I2241" s="299"/>
      <c r="J2241" s="299"/>
      <c r="K2241" s="299"/>
      <c r="L2241" s="299"/>
    </row>
    <row r="2242" spans="1:12">
      <c r="A2242" s="299"/>
      <c r="B2242" s="322"/>
      <c r="G2242" s="299"/>
      <c r="H2242" s="299"/>
      <c r="I2242" s="299"/>
      <c r="J2242" s="299"/>
      <c r="K2242" s="299"/>
      <c r="L2242" s="299"/>
    </row>
    <row r="2243" spans="1:12">
      <c r="A2243" s="299"/>
      <c r="B2243" s="322"/>
      <c r="G2243" s="299"/>
      <c r="H2243" s="299"/>
      <c r="I2243" s="299"/>
      <c r="J2243" s="299"/>
      <c r="K2243" s="299"/>
      <c r="L2243" s="299"/>
    </row>
    <row r="2244" spans="1:12">
      <c r="A2244" s="299"/>
      <c r="B2244" s="322"/>
      <c r="G2244" s="299"/>
      <c r="H2244" s="299"/>
      <c r="I2244" s="299"/>
      <c r="J2244" s="299"/>
      <c r="K2244" s="299"/>
      <c r="L2244" s="299"/>
    </row>
    <row r="2245" spans="1:12">
      <c r="A2245" s="299"/>
      <c r="B2245" s="322"/>
      <c r="G2245" s="299"/>
      <c r="H2245" s="299"/>
      <c r="I2245" s="299"/>
      <c r="J2245" s="299"/>
      <c r="K2245" s="299"/>
      <c r="L2245" s="299"/>
    </row>
    <row r="2246" spans="1:12">
      <c r="A2246" s="299"/>
      <c r="B2246" s="322"/>
      <c r="G2246" s="299"/>
      <c r="H2246" s="299"/>
      <c r="I2246" s="299"/>
      <c r="J2246" s="299"/>
      <c r="K2246" s="299"/>
      <c r="L2246" s="299"/>
    </row>
    <row r="2247" spans="1:12">
      <c r="A2247" s="299"/>
      <c r="B2247" s="322"/>
      <c r="G2247" s="299"/>
      <c r="H2247" s="299"/>
      <c r="I2247" s="299"/>
      <c r="J2247" s="299"/>
      <c r="K2247" s="299"/>
      <c r="L2247" s="299"/>
    </row>
    <row r="2248" spans="1:12">
      <c r="A2248" s="299"/>
      <c r="B2248" s="322"/>
      <c r="G2248" s="299"/>
      <c r="H2248" s="299"/>
      <c r="I2248" s="299"/>
      <c r="J2248" s="299"/>
      <c r="K2248" s="299"/>
      <c r="L2248" s="299"/>
    </row>
    <row r="2249" spans="1:12">
      <c r="A2249" s="299"/>
      <c r="B2249" s="322"/>
      <c r="G2249" s="299"/>
      <c r="H2249" s="299"/>
      <c r="I2249" s="299"/>
      <c r="J2249" s="299"/>
      <c r="K2249" s="299"/>
      <c r="L2249" s="299"/>
    </row>
    <row r="2250" spans="1:12">
      <c r="A2250" s="299"/>
      <c r="B2250" s="322"/>
      <c r="G2250" s="299"/>
      <c r="H2250" s="299"/>
      <c r="I2250" s="299"/>
      <c r="J2250" s="299"/>
      <c r="K2250" s="299"/>
      <c r="L2250" s="299"/>
    </row>
    <row r="2251" spans="1:12">
      <c r="A2251" s="299"/>
      <c r="B2251" s="322"/>
      <c r="G2251" s="299"/>
      <c r="H2251" s="299"/>
      <c r="I2251" s="299"/>
      <c r="J2251" s="299"/>
      <c r="K2251" s="299"/>
      <c r="L2251" s="299"/>
    </row>
    <row r="2252" spans="1:12">
      <c r="A2252" s="299"/>
      <c r="B2252" s="322"/>
      <c r="G2252" s="299"/>
      <c r="H2252" s="299"/>
      <c r="I2252" s="299"/>
      <c r="J2252" s="299"/>
      <c r="K2252" s="299"/>
      <c r="L2252" s="299"/>
    </row>
    <row r="2253" spans="1:12">
      <c r="A2253" s="299"/>
      <c r="B2253" s="322"/>
      <c r="G2253" s="299"/>
      <c r="H2253" s="299"/>
      <c r="I2253" s="299"/>
      <c r="J2253" s="299"/>
      <c r="K2253" s="299"/>
      <c r="L2253" s="299"/>
    </row>
    <row r="2254" spans="1:12">
      <c r="A2254" s="299"/>
      <c r="B2254" s="322"/>
      <c r="G2254" s="299"/>
      <c r="H2254" s="299"/>
      <c r="I2254" s="299"/>
      <c r="J2254" s="299"/>
      <c r="K2254" s="299"/>
      <c r="L2254" s="299"/>
    </row>
    <row r="2255" spans="1:12">
      <c r="A2255" s="299"/>
      <c r="B2255" s="322"/>
      <c r="G2255" s="299"/>
      <c r="H2255" s="299"/>
      <c r="I2255" s="299"/>
      <c r="J2255" s="299"/>
      <c r="K2255" s="299"/>
      <c r="L2255" s="299"/>
    </row>
    <row r="2256" spans="1:12">
      <c r="A2256" s="299"/>
      <c r="B2256" s="322"/>
      <c r="G2256" s="299"/>
      <c r="H2256" s="299"/>
      <c r="I2256" s="299"/>
      <c r="J2256" s="299"/>
      <c r="K2256" s="299"/>
      <c r="L2256" s="299"/>
    </row>
    <row r="2257" spans="1:12">
      <c r="A2257" s="299"/>
      <c r="B2257" s="322"/>
      <c r="G2257" s="299"/>
      <c r="H2257" s="299"/>
      <c r="I2257" s="299"/>
      <c r="J2257" s="299"/>
      <c r="K2257" s="299"/>
      <c r="L2257" s="299"/>
    </row>
    <row r="2258" spans="1:12">
      <c r="A2258" s="299"/>
      <c r="B2258" s="322"/>
      <c r="G2258" s="299"/>
      <c r="H2258" s="299"/>
      <c r="I2258" s="299"/>
      <c r="J2258" s="299"/>
      <c r="K2258" s="299"/>
      <c r="L2258" s="299"/>
    </row>
    <row r="2259" spans="1:12">
      <c r="A2259" s="299"/>
      <c r="B2259" s="322"/>
      <c r="G2259" s="299"/>
      <c r="H2259" s="299"/>
      <c r="I2259" s="299"/>
      <c r="J2259" s="299"/>
      <c r="K2259" s="299"/>
      <c r="L2259" s="299"/>
    </row>
    <row r="2260" spans="1:12">
      <c r="A2260" s="299"/>
      <c r="B2260" s="322"/>
      <c r="G2260" s="299"/>
      <c r="H2260" s="299"/>
      <c r="I2260" s="299"/>
      <c r="J2260" s="299"/>
      <c r="K2260" s="299"/>
      <c r="L2260" s="299"/>
    </row>
    <row r="2261" spans="1:12">
      <c r="A2261" s="299"/>
      <c r="B2261" s="322"/>
      <c r="G2261" s="299"/>
      <c r="H2261" s="299"/>
      <c r="I2261" s="299"/>
      <c r="J2261" s="299"/>
      <c r="K2261" s="299"/>
      <c r="L2261" s="299"/>
    </row>
    <row r="2262" spans="1:12">
      <c r="A2262" s="299"/>
      <c r="B2262" s="322"/>
      <c r="G2262" s="299"/>
      <c r="H2262" s="299"/>
      <c r="I2262" s="299"/>
      <c r="J2262" s="299"/>
      <c r="K2262" s="299"/>
      <c r="L2262" s="299"/>
    </row>
    <row r="2263" spans="1:12">
      <c r="A2263" s="299"/>
      <c r="B2263" s="322"/>
      <c r="G2263" s="299"/>
      <c r="H2263" s="299"/>
      <c r="I2263" s="299"/>
      <c r="J2263" s="299"/>
      <c r="K2263" s="299"/>
      <c r="L2263" s="299"/>
    </row>
    <row r="2264" spans="1:12">
      <c r="A2264" s="299"/>
      <c r="B2264" s="322"/>
      <c r="G2264" s="299"/>
      <c r="H2264" s="299"/>
      <c r="I2264" s="299"/>
      <c r="J2264" s="299"/>
      <c r="K2264" s="299"/>
      <c r="L2264" s="299"/>
    </row>
    <row r="2265" spans="1:12">
      <c r="A2265" s="299"/>
      <c r="B2265" s="322"/>
      <c r="G2265" s="299"/>
      <c r="H2265" s="299"/>
      <c r="I2265" s="299"/>
      <c r="J2265" s="299"/>
      <c r="K2265" s="299"/>
      <c r="L2265" s="299"/>
    </row>
    <row r="2266" spans="1:12">
      <c r="A2266" s="299"/>
      <c r="B2266" s="322"/>
      <c r="G2266" s="299"/>
      <c r="H2266" s="299"/>
      <c r="I2266" s="299"/>
      <c r="J2266" s="299"/>
      <c r="K2266" s="299"/>
      <c r="L2266" s="299"/>
    </row>
    <row r="2267" spans="1:12">
      <c r="A2267" s="299"/>
      <c r="B2267" s="322"/>
      <c r="G2267" s="299"/>
      <c r="H2267" s="299"/>
      <c r="I2267" s="299"/>
      <c r="J2267" s="299"/>
      <c r="K2267" s="299"/>
      <c r="L2267" s="299"/>
    </row>
    <row r="2268" spans="1:12">
      <c r="A2268" s="299"/>
      <c r="B2268" s="322"/>
      <c r="G2268" s="299"/>
      <c r="H2268" s="299"/>
      <c r="I2268" s="299"/>
      <c r="J2268" s="299"/>
      <c r="K2268" s="299"/>
      <c r="L2268" s="299"/>
    </row>
    <row r="2269" spans="1:12">
      <c r="A2269" s="299"/>
      <c r="B2269" s="322"/>
      <c r="G2269" s="299"/>
      <c r="H2269" s="299"/>
      <c r="I2269" s="299"/>
      <c r="J2269" s="299"/>
      <c r="K2269" s="299"/>
      <c r="L2269" s="299"/>
    </row>
    <row r="2270" spans="1:12">
      <c r="A2270" s="299"/>
      <c r="B2270" s="322"/>
      <c r="G2270" s="299"/>
      <c r="H2270" s="299"/>
      <c r="I2270" s="299"/>
      <c r="J2270" s="299"/>
      <c r="K2270" s="299"/>
      <c r="L2270" s="299"/>
    </row>
    <row r="2271" spans="1:12">
      <c r="A2271" s="299"/>
      <c r="B2271" s="322"/>
      <c r="G2271" s="299"/>
      <c r="H2271" s="299"/>
      <c r="I2271" s="299"/>
      <c r="J2271" s="299"/>
      <c r="K2271" s="299"/>
      <c r="L2271" s="299"/>
    </row>
    <row r="2272" spans="1:12">
      <c r="A2272" s="299"/>
      <c r="B2272" s="322"/>
      <c r="G2272" s="299"/>
      <c r="H2272" s="299"/>
      <c r="I2272" s="299"/>
      <c r="J2272" s="299"/>
      <c r="K2272" s="299"/>
      <c r="L2272" s="299"/>
    </row>
    <row r="2273" spans="1:12">
      <c r="A2273" s="299"/>
      <c r="B2273" s="322"/>
      <c r="G2273" s="299"/>
      <c r="H2273" s="299"/>
      <c r="I2273" s="299"/>
      <c r="J2273" s="299"/>
      <c r="K2273" s="299"/>
      <c r="L2273" s="299"/>
    </row>
    <row r="2274" spans="1:12">
      <c r="A2274" s="299"/>
      <c r="B2274" s="322"/>
      <c r="G2274" s="299"/>
      <c r="H2274" s="299"/>
      <c r="I2274" s="299"/>
      <c r="J2274" s="299"/>
      <c r="K2274" s="299"/>
      <c r="L2274" s="299"/>
    </row>
    <row r="2275" spans="1:12">
      <c r="A2275" s="299"/>
      <c r="B2275" s="322"/>
      <c r="G2275" s="299"/>
      <c r="H2275" s="299"/>
      <c r="I2275" s="299"/>
      <c r="J2275" s="299"/>
      <c r="K2275" s="299"/>
      <c r="L2275" s="299"/>
    </row>
    <row r="2276" spans="1:12">
      <c r="A2276" s="299"/>
      <c r="B2276" s="322"/>
      <c r="G2276" s="299"/>
      <c r="H2276" s="299"/>
      <c r="I2276" s="299"/>
      <c r="J2276" s="299"/>
      <c r="K2276" s="299"/>
      <c r="L2276" s="299"/>
    </row>
    <row r="2277" spans="1:12">
      <c r="A2277" s="299"/>
      <c r="B2277" s="322"/>
      <c r="G2277" s="299"/>
      <c r="H2277" s="299"/>
      <c r="I2277" s="299"/>
      <c r="J2277" s="299"/>
      <c r="K2277" s="299"/>
      <c r="L2277" s="299"/>
    </row>
    <row r="2278" spans="1:12">
      <c r="A2278" s="299"/>
      <c r="B2278" s="322"/>
      <c r="G2278" s="299"/>
      <c r="H2278" s="299"/>
      <c r="I2278" s="299"/>
      <c r="J2278" s="299"/>
      <c r="K2278" s="299"/>
      <c r="L2278" s="299"/>
    </row>
    <row r="2279" spans="1:12">
      <c r="A2279" s="299"/>
      <c r="B2279" s="322"/>
      <c r="G2279" s="299"/>
      <c r="H2279" s="299"/>
      <c r="I2279" s="299"/>
      <c r="J2279" s="299"/>
      <c r="K2279" s="299"/>
      <c r="L2279" s="299"/>
    </row>
    <row r="2280" spans="1:12">
      <c r="A2280" s="299"/>
      <c r="B2280" s="322"/>
      <c r="G2280" s="299"/>
      <c r="H2280" s="299"/>
      <c r="I2280" s="299"/>
      <c r="J2280" s="299"/>
      <c r="K2280" s="299"/>
      <c r="L2280" s="299"/>
    </row>
    <row r="2281" spans="1:12">
      <c r="A2281" s="299"/>
      <c r="B2281" s="322"/>
      <c r="G2281" s="299"/>
      <c r="H2281" s="299"/>
      <c r="I2281" s="299"/>
      <c r="J2281" s="299"/>
      <c r="K2281" s="299"/>
      <c r="L2281" s="299"/>
    </row>
    <row r="2282" spans="1:12">
      <c r="A2282" s="299"/>
      <c r="B2282" s="322"/>
      <c r="G2282" s="299"/>
      <c r="H2282" s="299"/>
      <c r="I2282" s="299"/>
      <c r="J2282" s="299"/>
      <c r="K2282" s="299"/>
      <c r="L2282" s="299"/>
    </row>
    <row r="2283" spans="1:12">
      <c r="A2283" s="299"/>
      <c r="B2283" s="322"/>
      <c r="G2283" s="299"/>
      <c r="H2283" s="299"/>
      <c r="I2283" s="299"/>
      <c r="J2283" s="299"/>
      <c r="K2283" s="299"/>
      <c r="L2283" s="299"/>
    </row>
    <row r="2284" spans="1:12">
      <c r="A2284" s="299"/>
      <c r="B2284" s="322"/>
      <c r="G2284" s="299"/>
      <c r="H2284" s="299"/>
      <c r="I2284" s="299"/>
      <c r="J2284" s="299"/>
      <c r="K2284" s="299"/>
      <c r="L2284" s="299"/>
    </row>
    <row r="2285" spans="1:12">
      <c r="A2285" s="299"/>
      <c r="B2285" s="322"/>
      <c r="G2285" s="299"/>
      <c r="H2285" s="299"/>
      <c r="I2285" s="299"/>
      <c r="J2285" s="299"/>
      <c r="K2285" s="299"/>
      <c r="L2285" s="299"/>
    </row>
    <row r="2286" spans="1:12">
      <c r="A2286" s="299"/>
      <c r="B2286" s="322"/>
      <c r="G2286" s="299"/>
      <c r="H2286" s="299"/>
      <c r="I2286" s="299"/>
      <c r="J2286" s="299"/>
      <c r="K2286" s="299"/>
      <c r="L2286" s="299"/>
    </row>
    <row r="2287" spans="1:12">
      <c r="A2287" s="299"/>
      <c r="B2287" s="322"/>
      <c r="G2287" s="299"/>
      <c r="H2287" s="299"/>
      <c r="I2287" s="299"/>
      <c r="J2287" s="299"/>
      <c r="K2287" s="299"/>
      <c r="L2287" s="299"/>
    </row>
    <row r="2288" spans="1:12">
      <c r="A2288" s="299"/>
      <c r="B2288" s="322"/>
      <c r="G2288" s="299"/>
      <c r="H2288" s="299"/>
      <c r="I2288" s="299"/>
      <c r="J2288" s="299"/>
      <c r="K2288" s="299"/>
      <c r="L2288" s="299"/>
    </row>
    <row r="2289" spans="1:12">
      <c r="A2289" s="299"/>
      <c r="B2289" s="322"/>
      <c r="G2289" s="299"/>
      <c r="H2289" s="299"/>
      <c r="I2289" s="299"/>
      <c r="J2289" s="299"/>
      <c r="K2289" s="299"/>
      <c r="L2289" s="299"/>
    </row>
    <row r="2290" spans="1:12">
      <c r="A2290" s="299"/>
      <c r="B2290" s="322"/>
      <c r="G2290" s="299"/>
      <c r="H2290" s="299"/>
      <c r="I2290" s="299"/>
      <c r="J2290" s="299"/>
      <c r="K2290" s="299"/>
      <c r="L2290" s="299"/>
    </row>
    <row r="2291" spans="1:12">
      <c r="A2291" s="299"/>
      <c r="B2291" s="322"/>
      <c r="G2291" s="299"/>
      <c r="H2291" s="299"/>
      <c r="I2291" s="299"/>
      <c r="J2291" s="299"/>
      <c r="K2291" s="299"/>
      <c r="L2291" s="299"/>
    </row>
    <row r="2292" spans="1:12">
      <c r="A2292" s="299"/>
      <c r="B2292" s="322"/>
      <c r="G2292" s="299"/>
      <c r="H2292" s="299"/>
      <c r="I2292" s="299"/>
      <c r="J2292" s="299"/>
      <c r="K2292" s="299"/>
      <c r="L2292" s="299"/>
    </row>
    <row r="2293" spans="1:12">
      <c r="A2293" s="299"/>
      <c r="B2293" s="322"/>
      <c r="G2293" s="299"/>
      <c r="H2293" s="299"/>
      <c r="I2293" s="299"/>
      <c r="J2293" s="299"/>
      <c r="K2293" s="299"/>
      <c r="L2293" s="299"/>
    </row>
    <row r="2294" spans="1:12">
      <c r="A2294" s="299"/>
      <c r="B2294" s="322"/>
      <c r="G2294" s="299"/>
      <c r="H2294" s="299"/>
      <c r="I2294" s="299"/>
      <c r="J2294" s="299"/>
      <c r="K2294" s="299"/>
      <c r="L2294" s="299"/>
    </row>
    <row r="2295" spans="1:12">
      <c r="A2295" s="299"/>
      <c r="B2295" s="322"/>
      <c r="G2295" s="299"/>
      <c r="H2295" s="299"/>
      <c r="I2295" s="299"/>
      <c r="J2295" s="299"/>
      <c r="K2295" s="299"/>
      <c r="L2295" s="299"/>
    </row>
    <row r="2296" spans="1:12">
      <c r="A2296" s="299"/>
      <c r="B2296" s="322"/>
      <c r="G2296" s="299"/>
      <c r="H2296" s="299"/>
      <c r="I2296" s="299"/>
      <c r="J2296" s="299"/>
      <c r="K2296" s="299"/>
      <c r="L2296" s="299"/>
    </row>
    <row r="2297" spans="1:12">
      <c r="A2297" s="299"/>
      <c r="B2297" s="322"/>
      <c r="G2297" s="299"/>
      <c r="H2297" s="299"/>
      <c r="I2297" s="299"/>
      <c r="J2297" s="299"/>
      <c r="K2297" s="299"/>
      <c r="L2297" s="299"/>
    </row>
    <row r="2298" spans="1:12">
      <c r="A2298" s="299"/>
      <c r="B2298" s="322"/>
      <c r="G2298" s="299"/>
      <c r="H2298" s="299"/>
      <c r="I2298" s="299"/>
      <c r="J2298" s="299"/>
      <c r="K2298" s="299"/>
      <c r="L2298" s="299"/>
    </row>
    <row r="2299" spans="1:12">
      <c r="A2299" s="299"/>
      <c r="B2299" s="322"/>
      <c r="G2299" s="299"/>
      <c r="H2299" s="299"/>
      <c r="I2299" s="299"/>
      <c r="J2299" s="299"/>
      <c r="K2299" s="299"/>
      <c r="L2299" s="299"/>
    </row>
    <row r="2300" spans="1:12">
      <c r="A2300" s="299"/>
      <c r="B2300" s="322"/>
      <c r="G2300" s="299"/>
      <c r="H2300" s="299"/>
      <c r="I2300" s="299"/>
      <c r="J2300" s="299"/>
      <c r="K2300" s="299"/>
      <c r="L2300" s="299"/>
    </row>
    <row r="2301" spans="1:12">
      <c r="A2301" s="299"/>
      <c r="B2301" s="322"/>
      <c r="G2301" s="299"/>
      <c r="H2301" s="299"/>
      <c r="I2301" s="299"/>
      <c r="J2301" s="299"/>
      <c r="K2301" s="299"/>
      <c r="L2301" s="299"/>
    </row>
    <row r="2302" spans="1:12">
      <c r="A2302" s="299"/>
      <c r="B2302" s="322"/>
      <c r="G2302" s="299"/>
      <c r="H2302" s="299"/>
      <c r="I2302" s="299"/>
      <c r="J2302" s="299"/>
      <c r="K2302" s="299"/>
      <c r="L2302" s="299"/>
    </row>
    <row r="2303" spans="1:12">
      <c r="A2303" s="299"/>
      <c r="B2303" s="322"/>
      <c r="G2303" s="299"/>
      <c r="H2303" s="299"/>
      <c r="I2303" s="299"/>
      <c r="J2303" s="299"/>
      <c r="K2303" s="299"/>
      <c r="L2303" s="299"/>
    </row>
    <row r="2304" spans="1:12">
      <c r="A2304" s="299"/>
      <c r="B2304" s="322"/>
      <c r="G2304" s="299"/>
      <c r="H2304" s="299"/>
      <c r="I2304" s="299"/>
      <c r="J2304" s="299"/>
      <c r="K2304" s="299"/>
      <c r="L2304" s="299"/>
    </row>
    <row r="2305" spans="1:12">
      <c r="A2305" s="299"/>
      <c r="B2305" s="322"/>
      <c r="G2305" s="299"/>
      <c r="H2305" s="299"/>
      <c r="I2305" s="299"/>
      <c r="J2305" s="299"/>
      <c r="K2305" s="299"/>
      <c r="L2305" s="299"/>
    </row>
    <row r="2306" spans="1:12">
      <c r="A2306" s="299"/>
      <c r="B2306" s="322"/>
      <c r="G2306" s="299"/>
      <c r="H2306" s="299"/>
      <c r="I2306" s="299"/>
      <c r="J2306" s="299"/>
      <c r="K2306" s="299"/>
      <c r="L2306" s="299"/>
    </row>
    <row r="2307" spans="1:12">
      <c r="A2307" s="299"/>
      <c r="B2307" s="322"/>
      <c r="G2307" s="299"/>
      <c r="H2307" s="299"/>
      <c r="I2307" s="299"/>
      <c r="J2307" s="299"/>
      <c r="K2307" s="299"/>
      <c r="L2307" s="299"/>
    </row>
    <row r="2308" spans="1:12">
      <c r="A2308" s="299"/>
      <c r="B2308" s="322"/>
      <c r="G2308" s="299"/>
      <c r="H2308" s="299"/>
      <c r="I2308" s="299"/>
      <c r="J2308" s="299"/>
      <c r="K2308" s="299"/>
      <c r="L2308" s="299"/>
    </row>
    <row r="2309" spans="1:12">
      <c r="A2309" s="299"/>
      <c r="B2309" s="322"/>
      <c r="G2309" s="299"/>
      <c r="H2309" s="299"/>
      <c r="I2309" s="299"/>
      <c r="J2309" s="299"/>
      <c r="K2309" s="299"/>
      <c r="L2309" s="299"/>
    </row>
    <row r="2310" spans="1:12">
      <c r="A2310" s="299"/>
      <c r="B2310" s="322"/>
      <c r="G2310" s="299"/>
      <c r="H2310" s="299"/>
      <c r="I2310" s="299"/>
      <c r="J2310" s="299"/>
      <c r="K2310" s="299"/>
      <c r="L2310" s="299"/>
    </row>
    <row r="2311" spans="1:12">
      <c r="A2311" s="299"/>
      <c r="B2311" s="322"/>
      <c r="G2311" s="299"/>
      <c r="H2311" s="299"/>
      <c r="I2311" s="299"/>
      <c r="J2311" s="299"/>
      <c r="K2311" s="299"/>
      <c r="L2311" s="299"/>
    </row>
    <row r="2312" spans="1:12">
      <c r="A2312" s="299"/>
      <c r="B2312" s="322"/>
      <c r="G2312" s="299"/>
      <c r="H2312" s="299"/>
      <c r="I2312" s="299"/>
      <c r="J2312" s="299"/>
      <c r="K2312" s="299"/>
      <c r="L2312" s="299"/>
    </row>
    <row r="2313" spans="1:12">
      <c r="A2313" s="299"/>
      <c r="B2313" s="322"/>
      <c r="G2313" s="299"/>
      <c r="H2313" s="299"/>
      <c r="I2313" s="299"/>
      <c r="J2313" s="299"/>
      <c r="K2313" s="299"/>
      <c r="L2313" s="299"/>
    </row>
    <row r="2314" spans="1:12">
      <c r="A2314" s="299"/>
      <c r="B2314" s="322"/>
      <c r="G2314" s="299"/>
      <c r="H2314" s="299"/>
      <c r="I2314" s="299"/>
      <c r="J2314" s="299"/>
      <c r="K2314" s="299"/>
      <c r="L2314" s="299"/>
    </row>
    <row r="2315" spans="1:12">
      <c r="A2315" s="299"/>
      <c r="B2315" s="322"/>
      <c r="G2315" s="299"/>
      <c r="H2315" s="299"/>
      <c r="I2315" s="299"/>
      <c r="J2315" s="299"/>
      <c r="K2315" s="299"/>
      <c r="L2315" s="299"/>
    </row>
    <row r="2316" spans="1:12">
      <c r="A2316" s="299"/>
      <c r="B2316" s="322"/>
      <c r="G2316" s="299"/>
      <c r="H2316" s="299"/>
      <c r="I2316" s="299"/>
      <c r="J2316" s="299"/>
      <c r="K2316" s="299"/>
      <c r="L2316" s="299"/>
    </row>
    <row r="2317" spans="1:12">
      <c r="A2317" s="299"/>
      <c r="B2317" s="322"/>
      <c r="G2317" s="299"/>
      <c r="H2317" s="299"/>
      <c r="I2317" s="299"/>
      <c r="J2317" s="299"/>
      <c r="K2317" s="299"/>
      <c r="L2317" s="299"/>
    </row>
    <row r="2318" spans="1:12">
      <c r="A2318" s="299"/>
      <c r="B2318" s="322"/>
      <c r="G2318" s="299"/>
      <c r="H2318" s="299"/>
      <c r="I2318" s="299"/>
      <c r="J2318" s="299"/>
      <c r="K2318" s="299"/>
      <c r="L2318" s="299"/>
    </row>
    <row r="2319" spans="1:12">
      <c r="A2319" s="299"/>
      <c r="B2319" s="322"/>
      <c r="G2319" s="299"/>
      <c r="H2319" s="299"/>
      <c r="I2319" s="299"/>
      <c r="J2319" s="299"/>
      <c r="K2319" s="299"/>
      <c r="L2319" s="299"/>
    </row>
    <row r="2320" spans="1:12">
      <c r="A2320" s="299"/>
      <c r="B2320" s="322"/>
      <c r="G2320" s="299"/>
      <c r="H2320" s="299"/>
      <c r="I2320" s="299"/>
      <c r="J2320" s="299"/>
      <c r="K2320" s="299"/>
      <c r="L2320" s="299"/>
    </row>
    <row r="2321" spans="1:12">
      <c r="A2321" s="299"/>
      <c r="B2321" s="322"/>
      <c r="G2321" s="299"/>
      <c r="H2321" s="299"/>
      <c r="I2321" s="299"/>
      <c r="J2321" s="299"/>
      <c r="K2321" s="299"/>
      <c r="L2321" s="299"/>
    </row>
    <row r="2322" spans="1:12">
      <c r="A2322" s="299"/>
      <c r="B2322" s="322"/>
      <c r="G2322" s="299"/>
      <c r="H2322" s="299"/>
      <c r="I2322" s="299"/>
      <c r="J2322" s="299"/>
      <c r="K2322" s="299"/>
      <c r="L2322" s="299"/>
    </row>
    <row r="2323" spans="1:12">
      <c r="A2323" s="299"/>
      <c r="B2323" s="322"/>
      <c r="G2323" s="299"/>
      <c r="H2323" s="299"/>
      <c r="I2323" s="299"/>
      <c r="J2323" s="299"/>
      <c r="K2323" s="299"/>
      <c r="L2323" s="299"/>
    </row>
    <row r="2324" spans="1:12">
      <c r="A2324" s="299"/>
      <c r="B2324" s="322"/>
      <c r="G2324" s="299"/>
      <c r="H2324" s="299"/>
      <c r="I2324" s="299"/>
      <c r="J2324" s="299"/>
      <c r="K2324" s="299"/>
      <c r="L2324" s="299"/>
    </row>
    <row r="2325" spans="1:12">
      <c r="A2325" s="299"/>
      <c r="B2325" s="322"/>
      <c r="G2325" s="299"/>
      <c r="H2325" s="299"/>
      <c r="I2325" s="299"/>
      <c r="J2325" s="299"/>
      <c r="K2325" s="299"/>
      <c r="L2325" s="299"/>
    </row>
    <row r="2326" spans="1:12">
      <c r="A2326" s="299"/>
      <c r="B2326" s="322"/>
      <c r="G2326" s="299"/>
      <c r="H2326" s="299"/>
      <c r="I2326" s="299"/>
      <c r="J2326" s="299"/>
      <c r="K2326" s="299"/>
      <c r="L2326" s="299"/>
    </row>
    <row r="2327" spans="1:12">
      <c r="A2327" s="299"/>
      <c r="B2327" s="322"/>
      <c r="G2327" s="299"/>
      <c r="H2327" s="299"/>
      <c r="I2327" s="299"/>
      <c r="J2327" s="299"/>
      <c r="K2327" s="299"/>
      <c r="L2327" s="299"/>
    </row>
    <row r="2328" spans="1:12">
      <c r="A2328" s="299"/>
      <c r="B2328" s="322"/>
      <c r="G2328" s="299"/>
      <c r="H2328" s="299"/>
      <c r="I2328" s="299"/>
      <c r="J2328" s="299"/>
      <c r="K2328" s="299"/>
      <c r="L2328" s="299"/>
    </row>
    <row r="2329" spans="1:12">
      <c r="A2329" s="299"/>
      <c r="B2329" s="322"/>
      <c r="G2329" s="299"/>
      <c r="H2329" s="299"/>
      <c r="I2329" s="299"/>
      <c r="J2329" s="299"/>
      <c r="K2329" s="299"/>
      <c r="L2329" s="299"/>
    </row>
    <row r="2330" spans="1:12">
      <c r="A2330" s="299"/>
      <c r="B2330" s="322"/>
      <c r="G2330" s="299"/>
      <c r="H2330" s="299"/>
      <c r="I2330" s="299"/>
      <c r="J2330" s="299"/>
      <c r="K2330" s="299"/>
      <c r="L2330" s="299"/>
    </row>
    <row r="2331" spans="1:12">
      <c r="A2331" s="299"/>
      <c r="B2331" s="322"/>
      <c r="G2331" s="299"/>
      <c r="H2331" s="299"/>
      <c r="I2331" s="299"/>
      <c r="J2331" s="299"/>
      <c r="K2331" s="299"/>
      <c r="L2331" s="299"/>
    </row>
    <row r="2332" spans="1:12">
      <c r="A2332" s="299"/>
      <c r="B2332" s="322"/>
      <c r="G2332" s="299"/>
      <c r="H2332" s="299"/>
      <c r="I2332" s="299"/>
      <c r="J2332" s="299"/>
      <c r="K2332" s="299"/>
      <c r="L2332" s="299"/>
    </row>
    <row r="2333" spans="1:12">
      <c r="A2333" s="299"/>
      <c r="B2333" s="322"/>
      <c r="G2333" s="299"/>
      <c r="H2333" s="299"/>
      <c r="I2333" s="299"/>
      <c r="J2333" s="299"/>
      <c r="K2333" s="299"/>
      <c r="L2333" s="299"/>
    </row>
    <row r="2334" spans="1:12">
      <c r="A2334" s="299"/>
      <c r="B2334" s="322"/>
      <c r="G2334" s="299"/>
      <c r="H2334" s="299"/>
      <c r="I2334" s="299"/>
      <c r="J2334" s="299"/>
      <c r="K2334" s="299"/>
      <c r="L2334" s="299"/>
    </row>
    <row r="2335" spans="1:12">
      <c r="A2335" s="299"/>
      <c r="B2335" s="322"/>
      <c r="G2335" s="299"/>
      <c r="H2335" s="299"/>
      <c r="I2335" s="299"/>
      <c r="J2335" s="299"/>
      <c r="K2335" s="299"/>
      <c r="L2335" s="299"/>
    </row>
    <row r="2336" spans="1:12">
      <c r="A2336" s="299"/>
      <c r="B2336" s="322"/>
      <c r="G2336" s="299"/>
      <c r="H2336" s="299"/>
      <c r="I2336" s="299"/>
      <c r="J2336" s="299"/>
      <c r="K2336" s="299"/>
      <c r="L2336" s="299"/>
    </row>
    <row r="2337" spans="1:12">
      <c r="A2337" s="299"/>
      <c r="B2337" s="322"/>
      <c r="G2337" s="299"/>
      <c r="H2337" s="299"/>
      <c r="I2337" s="299"/>
      <c r="J2337" s="299"/>
      <c r="K2337" s="299"/>
      <c r="L2337" s="299"/>
    </row>
    <row r="2338" spans="1:12">
      <c r="A2338" s="299"/>
      <c r="B2338" s="322"/>
      <c r="G2338" s="299"/>
      <c r="H2338" s="299"/>
      <c r="I2338" s="299"/>
      <c r="J2338" s="299"/>
      <c r="K2338" s="299"/>
      <c r="L2338" s="299"/>
    </row>
    <row r="2339" spans="1:12">
      <c r="A2339" s="299"/>
      <c r="B2339" s="322"/>
      <c r="G2339" s="299"/>
      <c r="H2339" s="299"/>
      <c r="I2339" s="299"/>
      <c r="J2339" s="299"/>
      <c r="K2339" s="299"/>
      <c r="L2339" s="299"/>
    </row>
    <row r="2340" spans="1:12">
      <c r="A2340" s="299"/>
      <c r="B2340" s="322"/>
      <c r="G2340" s="299"/>
      <c r="H2340" s="299"/>
      <c r="I2340" s="299"/>
      <c r="J2340" s="299"/>
      <c r="K2340" s="299"/>
      <c r="L2340" s="299"/>
    </row>
    <row r="2341" spans="1:12">
      <c r="A2341" s="299"/>
      <c r="B2341" s="322"/>
      <c r="G2341" s="299"/>
      <c r="H2341" s="299"/>
      <c r="I2341" s="299"/>
      <c r="J2341" s="299"/>
      <c r="K2341" s="299"/>
      <c r="L2341" s="299"/>
    </row>
    <row r="2342" spans="1:12">
      <c r="A2342" s="299"/>
      <c r="B2342" s="322"/>
      <c r="G2342" s="299"/>
      <c r="H2342" s="299"/>
      <c r="I2342" s="299"/>
      <c r="J2342" s="299"/>
      <c r="K2342" s="299"/>
      <c r="L2342" s="299"/>
    </row>
    <row r="2343" spans="1:12">
      <c r="A2343" s="299"/>
      <c r="B2343" s="322"/>
      <c r="G2343" s="299"/>
      <c r="H2343" s="299"/>
      <c r="I2343" s="299"/>
      <c r="J2343" s="299"/>
      <c r="K2343" s="299"/>
      <c r="L2343" s="299"/>
    </row>
    <row r="2344" spans="1:12">
      <c r="A2344" s="299"/>
      <c r="B2344" s="322"/>
      <c r="G2344" s="299"/>
      <c r="H2344" s="299"/>
      <c r="I2344" s="299"/>
      <c r="J2344" s="299"/>
      <c r="K2344" s="299"/>
      <c r="L2344" s="299"/>
    </row>
    <row r="2345" spans="1:12">
      <c r="A2345" s="299"/>
      <c r="B2345" s="322"/>
      <c r="G2345" s="299"/>
      <c r="H2345" s="299"/>
      <c r="I2345" s="299"/>
      <c r="J2345" s="299"/>
      <c r="K2345" s="299"/>
      <c r="L2345" s="299"/>
    </row>
    <row r="2346" spans="1:12">
      <c r="A2346" s="299"/>
      <c r="B2346" s="322"/>
      <c r="G2346" s="299"/>
      <c r="H2346" s="299"/>
      <c r="I2346" s="299"/>
      <c r="J2346" s="299"/>
      <c r="K2346" s="299"/>
      <c r="L2346" s="299"/>
    </row>
    <row r="2347" spans="1:12">
      <c r="A2347" s="299"/>
      <c r="B2347" s="322"/>
      <c r="G2347" s="299"/>
      <c r="H2347" s="299"/>
      <c r="I2347" s="299"/>
      <c r="J2347" s="299"/>
      <c r="K2347" s="299"/>
      <c r="L2347" s="299"/>
    </row>
    <row r="2348" spans="1:12">
      <c r="A2348" s="299"/>
      <c r="B2348" s="322"/>
      <c r="G2348" s="299"/>
      <c r="H2348" s="299"/>
      <c r="I2348" s="299"/>
      <c r="J2348" s="299"/>
      <c r="K2348" s="299"/>
      <c r="L2348" s="299"/>
    </row>
    <row r="2349" spans="1:12">
      <c r="A2349" s="299"/>
      <c r="B2349" s="322"/>
      <c r="G2349" s="299"/>
      <c r="H2349" s="299"/>
      <c r="I2349" s="299"/>
      <c r="J2349" s="299"/>
      <c r="K2349" s="299"/>
      <c r="L2349" s="299"/>
    </row>
    <row r="2350" spans="1:12">
      <c r="A2350" s="299"/>
      <c r="B2350" s="322"/>
      <c r="G2350" s="299"/>
      <c r="H2350" s="299"/>
      <c r="I2350" s="299"/>
      <c r="J2350" s="299"/>
      <c r="K2350" s="299"/>
      <c r="L2350" s="299"/>
    </row>
    <row r="2351" spans="1:12">
      <c r="A2351" s="299"/>
      <c r="B2351" s="322"/>
      <c r="G2351" s="299"/>
      <c r="H2351" s="299"/>
      <c r="I2351" s="299"/>
      <c r="J2351" s="299"/>
      <c r="K2351" s="299"/>
      <c r="L2351" s="299"/>
    </row>
    <row r="2352" spans="1:12">
      <c r="A2352" s="299"/>
      <c r="B2352" s="322"/>
      <c r="G2352" s="299"/>
      <c r="H2352" s="299"/>
      <c r="I2352" s="299"/>
      <c r="J2352" s="299"/>
      <c r="K2352" s="299"/>
      <c r="L2352" s="299"/>
    </row>
    <row r="2353" spans="1:12">
      <c r="A2353" s="299"/>
      <c r="B2353" s="322"/>
      <c r="G2353" s="299"/>
      <c r="H2353" s="299"/>
      <c r="I2353" s="299"/>
      <c r="J2353" s="299"/>
      <c r="K2353" s="299"/>
      <c r="L2353" s="299"/>
    </row>
    <row r="2354" spans="1:12">
      <c r="A2354" s="299"/>
      <c r="B2354" s="322"/>
      <c r="G2354" s="299"/>
      <c r="H2354" s="299"/>
      <c r="I2354" s="299"/>
      <c r="J2354" s="299"/>
      <c r="K2354" s="299"/>
      <c r="L2354" s="299"/>
    </row>
    <row r="2355" spans="1:12">
      <c r="A2355" s="299"/>
      <c r="B2355" s="322"/>
      <c r="G2355" s="299"/>
      <c r="H2355" s="299"/>
      <c r="I2355" s="299"/>
      <c r="J2355" s="299"/>
      <c r="K2355" s="299"/>
      <c r="L2355" s="299"/>
    </row>
    <row r="2356" spans="1:12">
      <c r="A2356" s="299"/>
      <c r="B2356" s="322"/>
      <c r="G2356" s="299"/>
      <c r="H2356" s="299"/>
      <c r="I2356" s="299"/>
      <c r="J2356" s="299"/>
      <c r="K2356" s="299"/>
      <c r="L2356" s="299"/>
    </row>
    <row r="2357" spans="1:12">
      <c r="A2357" s="299"/>
      <c r="B2357" s="322"/>
      <c r="G2357" s="299"/>
      <c r="H2357" s="299"/>
      <c r="I2357" s="299"/>
      <c r="J2357" s="299"/>
      <c r="K2357" s="299"/>
      <c r="L2357" s="299"/>
    </row>
    <row r="2358" spans="1:12">
      <c r="A2358" s="299"/>
      <c r="B2358" s="322"/>
      <c r="G2358" s="299"/>
      <c r="H2358" s="299"/>
      <c r="I2358" s="299"/>
      <c r="J2358" s="299"/>
      <c r="K2358" s="299"/>
      <c r="L2358" s="299"/>
    </row>
    <row r="2359" spans="1:12">
      <c r="A2359" s="299"/>
      <c r="B2359" s="322"/>
      <c r="G2359" s="299"/>
      <c r="H2359" s="299"/>
      <c r="I2359" s="299"/>
      <c r="J2359" s="299"/>
      <c r="K2359" s="299"/>
      <c r="L2359" s="299"/>
    </row>
    <row r="2360" spans="1:12">
      <c r="A2360" s="299"/>
      <c r="B2360" s="322"/>
      <c r="G2360" s="299"/>
      <c r="H2360" s="299"/>
      <c r="I2360" s="299"/>
      <c r="J2360" s="299"/>
      <c r="K2360" s="299"/>
      <c r="L2360" s="299"/>
    </row>
    <row r="2361" spans="1:12">
      <c r="A2361" s="299"/>
      <c r="B2361" s="322"/>
      <c r="G2361" s="299"/>
      <c r="H2361" s="299"/>
      <c r="I2361" s="299"/>
      <c r="J2361" s="299"/>
      <c r="K2361" s="299"/>
      <c r="L2361" s="299"/>
    </row>
    <row r="2362" spans="1:12">
      <c r="A2362" s="299"/>
      <c r="B2362" s="322"/>
      <c r="G2362" s="299"/>
      <c r="H2362" s="299"/>
      <c r="I2362" s="299"/>
      <c r="J2362" s="299"/>
      <c r="K2362" s="299"/>
      <c r="L2362" s="299"/>
    </row>
    <row r="2363" spans="1:12">
      <c r="A2363" s="299"/>
      <c r="B2363" s="322"/>
      <c r="G2363" s="299"/>
      <c r="H2363" s="299"/>
      <c r="I2363" s="299"/>
      <c r="J2363" s="299"/>
      <c r="K2363" s="299"/>
      <c r="L2363" s="299"/>
    </row>
    <row r="2364" spans="1:12">
      <c r="A2364" s="299"/>
      <c r="B2364" s="322"/>
      <c r="G2364" s="299"/>
      <c r="H2364" s="299"/>
      <c r="I2364" s="299"/>
      <c r="J2364" s="299"/>
      <c r="K2364" s="299"/>
      <c r="L2364" s="299"/>
    </row>
    <row r="2365" spans="1:12">
      <c r="A2365" s="299"/>
      <c r="B2365" s="322"/>
      <c r="G2365" s="299"/>
      <c r="H2365" s="299"/>
      <c r="I2365" s="299"/>
      <c r="J2365" s="299"/>
      <c r="K2365" s="299"/>
      <c r="L2365" s="299"/>
    </row>
    <row r="2366" spans="1:12">
      <c r="A2366" s="299"/>
      <c r="B2366" s="322"/>
      <c r="G2366" s="299"/>
      <c r="H2366" s="299"/>
      <c r="I2366" s="299"/>
      <c r="J2366" s="299"/>
      <c r="K2366" s="299"/>
      <c r="L2366" s="299"/>
    </row>
    <row r="2367" spans="1:12">
      <c r="A2367" s="299"/>
      <c r="B2367" s="322"/>
      <c r="G2367" s="299"/>
      <c r="H2367" s="299"/>
      <c r="I2367" s="299"/>
      <c r="J2367" s="299"/>
      <c r="K2367" s="299"/>
      <c r="L2367" s="299"/>
    </row>
    <row r="2368" spans="1:12">
      <c r="A2368" s="299"/>
      <c r="B2368" s="322"/>
      <c r="G2368" s="299"/>
      <c r="H2368" s="299"/>
      <c r="I2368" s="299"/>
      <c r="J2368" s="299"/>
      <c r="K2368" s="299"/>
      <c r="L2368" s="299"/>
    </row>
    <row r="2369" spans="1:12">
      <c r="A2369" s="299"/>
      <c r="B2369" s="322"/>
      <c r="G2369" s="299"/>
      <c r="H2369" s="299"/>
      <c r="I2369" s="299"/>
      <c r="J2369" s="299"/>
      <c r="K2369" s="299"/>
      <c r="L2369" s="299"/>
    </row>
    <row r="2370" spans="1:12">
      <c r="A2370" s="299"/>
      <c r="B2370" s="322"/>
      <c r="G2370" s="299"/>
      <c r="H2370" s="299"/>
      <c r="I2370" s="299"/>
      <c r="J2370" s="299"/>
      <c r="K2370" s="299"/>
      <c r="L2370" s="299"/>
    </row>
    <row r="2371" spans="1:12">
      <c r="A2371" s="299"/>
      <c r="B2371" s="322"/>
      <c r="G2371" s="299"/>
      <c r="H2371" s="299"/>
      <c r="I2371" s="299"/>
      <c r="J2371" s="299"/>
      <c r="K2371" s="299"/>
      <c r="L2371" s="299"/>
    </row>
    <row r="2372" spans="1:12">
      <c r="A2372" s="299"/>
      <c r="B2372" s="322"/>
      <c r="G2372" s="299"/>
      <c r="H2372" s="299"/>
      <c r="I2372" s="299"/>
      <c r="J2372" s="299"/>
      <c r="K2372" s="299"/>
      <c r="L2372" s="299"/>
    </row>
    <row r="2373" spans="1:12">
      <c r="A2373" s="299"/>
      <c r="B2373" s="322"/>
      <c r="G2373" s="299"/>
      <c r="H2373" s="299"/>
      <c r="I2373" s="299"/>
      <c r="J2373" s="299"/>
      <c r="K2373" s="299"/>
      <c r="L2373" s="299"/>
    </row>
    <row r="2374" spans="1:12">
      <c r="A2374" s="299"/>
      <c r="B2374" s="322"/>
      <c r="G2374" s="299"/>
      <c r="H2374" s="299"/>
      <c r="I2374" s="299"/>
      <c r="J2374" s="299"/>
      <c r="K2374" s="299"/>
      <c r="L2374" s="299"/>
    </row>
    <row r="2375" spans="1:12">
      <c r="A2375" s="299"/>
      <c r="B2375" s="322"/>
      <c r="G2375" s="299"/>
      <c r="H2375" s="299"/>
      <c r="I2375" s="299"/>
      <c r="J2375" s="299"/>
      <c r="K2375" s="299"/>
      <c r="L2375" s="299"/>
    </row>
    <row r="2376" spans="1:12">
      <c r="A2376" s="299"/>
      <c r="B2376" s="322"/>
      <c r="G2376" s="299"/>
      <c r="H2376" s="299"/>
      <c r="I2376" s="299"/>
      <c r="J2376" s="299"/>
      <c r="K2376" s="299"/>
      <c r="L2376" s="299"/>
    </row>
    <row r="2377" spans="1:12">
      <c r="A2377" s="299"/>
      <c r="B2377" s="322"/>
      <c r="G2377" s="299"/>
      <c r="H2377" s="299"/>
      <c r="I2377" s="299"/>
      <c r="J2377" s="299"/>
      <c r="K2377" s="299"/>
      <c r="L2377" s="299"/>
    </row>
    <row r="2378" spans="1:12">
      <c r="A2378" s="299"/>
      <c r="B2378" s="322"/>
      <c r="G2378" s="299"/>
      <c r="H2378" s="299"/>
      <c r="I2378" s="299"/>
      <c r="J2378" s="299"/>
      <c r="K2378" s="299"/>
      <c r="L2378" s="299"/>
    </row>
    <row r="2379" spans="1:12">
      <c r="A2379" s="299"/>
      <c r="B2379" s="322"/>
      <c r="G2379" s="299"/>
      <c r="H2379" s="299"/>
      <c r="I2379" s="299"/>
      <c r="J2379" s="299"/>
      <c r="K2379" s="299"/>
      <c r="L2379" s="299"/>
    </row>
    <row r="2380" spans="1:12">
      <c r="A2380" s="299"/>
      <c r="B2380" s="322"/>
      <c r="G2380" s="299"/>
      <c r="H2380" s="299"/>
      <c r="I2380" s="299"/>
      <c r="J2380" s="299"/>
      <c r="K2380" s="299"/>
      <c r="L2380" s="299"/>
    </row>
    <row r="2381" spans="1:12">
      <c r="A2381" s="299"/>
      <c r="B2381" s="322"/>
      <c r="G2381" s="299"/>
      <c r="H2381" s="299"/>
      <c r="I2381" s="299"/>
      <c r="J2381" s="299"/>
      <c r="K2381" s="299"/>
      <c r="L2381" s="299"/>
    </row>
    <row r="2382" spans="1:12">
      <c r="A2382" s="299"/>
      <c r="B2382" s="322"/>
      <c r="G2382" s="299"/>
      <c r="H2382" s="299"/>
      <c r="I2382" s="299"/>
      <c r="J2382" s="299"/>
      <c r="K2382" s="299"/>
      <c r="L2382" s="299"/>
    </row>
    <row r="2383" spans="1:12">
      <c r="A2383" s="299"/>
      <c r="B2383" s="322"/>
      <c r="G2383" s="299"/>
      <c r="H2383" s="299"/>
      <c r="I2383" s="299"/>
      <c r="J2383" s="299"/>
      <c r="K2383" s="299"/>
      <c r="L2383" s="299"/>
    </row>
    <row r="2384" spans="1:12">
      <c r="A2384" s="299"/>
      <c r="B2384" s="322"/>
      <c r="G2384" s="299"/>
      <c r="H2384" s="299"/>
      <c r="I2384" s="299"/>
      <c r="J2384" s="299"/>
      <c r="K2384" s="299"/>
      <c r="L2384" s="299"/>
    </row>
    <row r="2385" spans="1:12">
      <c r="A2385" s="299"/>
      <c r="B2385" s="322"/>
      <c r="G2385" s="299"/>
      <c r="H2385" s="299"/>
      <c r="I2385" s="299"/>
      <c r="J2385" s="299"/>
      <c r="K2385" s="299"/>
      <c r="L2385" s="299"/>
    </row>
    <row r="2386" spans="1:12">
      <c r="A2386" s="299"/>
      <c r="B2386" s="322"/>
      <c r="G2386" s="299"/>
      <c r="H2386" s="299"/>
      <c r="I2386" s="299"/>
      <c r="J2386" s="299"/>
      <c r="K2386" s="299"/>
      <c r="L2386" s="299"/>
    </row>
    <row r="2387" spans="1:12">
      <c r="A2387" s="299"/>
      <c r="B2387" s="322"/>
      <c r="G2387" s="299"/>
      <c r="H2387" s="299"/>
      <c r="I2387" s="299"/>
      <c r="J2387" s="299"/>
      <c r="K2387" s="299"/>
      <c r="L2387" s="299"/>
    </row>
    <row r="2388" spans="1:12">
      <c r="A2388" s="299"/>
      <c r="B2388" s="322"/>
      <c r="G2388" s="299"/>
      <c r="H2388" s="299"/>
      <c r="I2388" s="299"/>
      <c r="J2388" s="299"/>
      <c r="K2388" s="299"/>
      <c r="L2388" s="299"/>
    </row>
    <row r="2389" spans="1:12">
      <c r="A2389" s="299"/>
      <c r="B2389" s="322"/>
      <c r="G2389" s="299"/>
      <c r="H2389" s="299"/>
      <c r="I2389" s="299"/>
      <c r="J2389" s="299"/>
      <c r="K2389" s="299"/>
      <c r="L2389" s="299"/>
    </row>
    <row r="2390" spans="1:12">
      <c r="A2390" s="299"/>
      <c r="B2390" s="322"/>
      <c r="G2390" s="299"/>
      <c r="H2390" s="299"/>
      <c r="I2390" s="299"/>
      <c r="J2390" s="299"/>
      <c r="K2390" s="299"/>
      <c r="L2390" s="299"/>
    </row>
    <row r="2391" spans="1:12">
      <c r="A2391" s="299"/>
      <c r="B2391" s="322"/>
      <c r="G2391" s="299"/>
      <c r="H2391" s="299"/>
      <c r="I2391" s="299"/>
      <c r="J2391" s="299"/>
      <c r="K2391" s="299"/>
      <c r="L2391" s="299"/>
    </row>
    <row r="2392" spans="1:12">
      <c r="A2392" s="299"/>
      <c r="B2392" s="322"/>
      <c r="G2392" s="299"/>
      <c r="H2392" s="299"/>
      <c r="I2392" s="299"/>
      <c r="J2392" s="299"/>
      <c r="K2392" s="299"/>
      <c r="L2392" s="299"/>
    </row>
    <row r="2393" spans="1:12">
      <c r="A2393" s="299"/>
      <c r="B2393" s="322"/>
      <c r="G2393" s="299"/>
      <c r="H2393" s="299"/>
      <c r="I2393" s="299"/>
      <c r="J2393" s="299"/>
      <c r="K2393" s="299"/>
      <c r="L2393" s="299"/>
    </row>
    <row r="2394" spans="1:12">
      <c r="A2394" s="299"/>
      <c r="B2394" s="322"/>
      <c r="G2394" s="299"/>
      <c r="H2394" s="299"/>
      <c r="I2394" s="299"/>
      <c r="J2394" s="299"/>
      <c r="K2394" s="299"/>
      <c r="L2394" s="299"/>
    </row>
    <row r="2395" spans="1:12">
      <c r="A2395" s="299"/>
      <c r="B2395" s="322"/>
      <c r="G2395" s="299"/>
      <c r="H2395" s="299"/>
      <c r="I2395" s="299"/>
      <c r="J2395" s="299"/>
      <c r="K2395" s="299"/>
      <c r="L2395" s="299"/>
    </row>
    <row r="2396" spans="1:12">
      <c r="A2396" s="299"/>
      <c r="B2396" s="322"/>
      <c r="G2396" s="299"/>
      <c r="H2396" s="299"/>
      <c r="I2396" s="299"/>
      <c r="J2396" s="299"/>
      <c r="K2396" s="299"/>
      <c r="L2396" s="299"/>
    </row>
    <row r="2397" spans="1:12">
      <c r="A2397" s="299"/>
      <c r="B2397" s="322"/>
      <c r="G2397" s="299"/>
      <c r="H2397" s="299"/>
      <c r="I2397" s="299"/>
      <c r="J2397" s="299"/>
      <c r="K2397" s="299"/>
      <c r="L2397" s="299"/>
    </row>
    <row r="2398" spans="1:12">
      <c r="A2398" s="299"/>
      <c r="B2398" s="322"/>
      <c r="G2398" s="299"/>
      <c r="H2398" s="299"/>
      <c r="I2398" s="299"/>
      <c r="J2398" s="299"/>
      <c r="K2398" s="299"/>
      <c r="L2398" s="299"/>
    </row>
    <row r="2399" spans="1:12">
      <c r="A2399" s="299"/>
      <c r="B2399" s="322"/>
      <c r="G2399" s="299"/>
      <c r="H2399" s="299"/>
      <c r="I2399" s="299"/>
      <c r="J2399" s="299"/>
      <c r="K2399" s="299"/>
      <c r="L2399" s="299"/>
    </row>
    <row r="2400" spans="1:12">
      <c r="A2400" s="299"/>
      <c r="B2400" s="322"/>
      <c r="G2400" s="299"/>
      <c r="H2400" s="299"/>
      <c r="I2400" s="299"/>
      <c r="J2400" s="299"/>
      <c r="K2400" s="299"/>
      <c r="L2400" s="299"/>
    </row>
    <row r="2401" spans="1:12">
      <c r="A2401" s="299"/>
      <c r="B2401" s="322"/>
      <c r="G2401" s="299"/>
      <c r="H2401" s="299"/>
      <c r="I2401" s="299"/>
      <c r="J2401" s="299"/>
      <c r="K2401" s="299"/>
      <c r="L2401" s="299"/>
    </row>
    <row r="2402" spans="1:12">
      <c r="A2402" s="299"/>
      <c r="B2402" s="322"/>
      <c r="G2402" s="299"/>
      <c r="H2402" s="299"/>
      <c r="I2402" s="299"/>
      <c r="J2402" s="299"/>
      <c r="K2402" s="299"/>
      <c r="L2402" s="299"/>
    </row>
    <row r="2403" spans="1:12">
      <c r="A2403" s="299"/>
      <c r="B2403" s="322"/>
      <c r="G2403" s="299"/>
      <c r="H2403" s="299"/>
      <c r="I2403" s="299"/>
      <c r="J2403" s="299"/>
      <c r="K2403" s="299"/>
      <c r="L2403" s="299"/>
    </row>
    <row r="2404" spans="1:12">
      <c r="A2404" s="299"/>
      <c r="B2404" s="322"/>
      <c r="G2404" s="299"/>
      <c r="H2404" s="299"/>
      <c r="I2404" s="299"/>
      <c r="J2404" s="299"/>
      <c r="K2404" s="299"/>
      <c r="L2404" s="299"/>
    </row>
    <row r="2405" spans="1:12">
      <c r="A2405" s="299"/>
      <c r="B2405" s="322"/>
      <c r="G2405" s="299"/>
      <c r="H2405" s="299"/>
      <c r="I2405" s="299"/>
      <c r="J2405" s="299"/>
      <c r="K2405" s="299"/>
      <c r="L2405" s="299"/>
    </row>
    <row r="2406" spans="1:12">
      <c r="A2406" s="299"/>
      <c r="B2406" s="322"/>
      <c r="G2406" s="299"/>
      <c r="H2406" s="299"/>
      <c r="I2406" s="299"/>
      <c r="J2406" s="299"/>
      <c r="K2406" s="299"/>
      <c r="L2406" s="299"/>
    </row>
    <row r="2407" spans="1:12">
      <c r="A2407" s="299"/>
      <c r="B2407" s="322"/>
      <c r="G2407" s="299"/>
      <c r="H2407" s="299"/>
      <c r="I2407" s="299"/>
      <c r="J2407" s="299"/>
      <c r="K2407" s="299"/>
      <c r="L2407" s="299"/>
    </row>
    <row r="2408" spans="1:12">
      <c r="A2408" s="299"/>
      <c r="B2408" s="322"/>
      <c r="G2408" s="299"/>
      <c r="H2408" s="299"/>
      <c r="I2408" s="299"/>
      <c r="J2408" s="299"/>
      <c r="K2408" s="299"/>
      <c r="L2408" s="299"/>
    </row>
    <row r="2409" spans="1:12">
      <c r="A2409" s="299"/>
      <c r="B2409" s="322"/>
      <c r="G2409" s="299"/>
      <c r="H2409" s="299"/>
      <c r="I2409" s="299"/>
      <c r="J2409" s="299"/>
      <c r="K2409" s="299"/>
      <c r="L2409" s="299"/>
    </row>
    <row r="2410" spans="1:12">
      <c r="A2410" s="299"/>
      <c r="B2410" s="322"/>
      <c r="G2410" s="299"/>
      <c r="H2410" s="299"/>
      <c r="I2410" s="299"/>
      <c r="J2410" s="299"/>
      <c r="K2410" s="299"/>
      <c r="L2410" s="299"/>
    </row>
    <row r="2411" spans="1:12">
      <c r="A2411" s="299"/>
      <c r="B2411" s="322"/>
      <c r="G2411" s="299"/>
      <c r="H2411" s="299"/>
      <c r="I2411" s="299"/>
      <c r="J2411" s="299"/>
      <c r="K2411" s="299"/>
      <c r="L2411" s="299"/>
    </row>
    <row r="2412" spans="1:12">
      <c r="A2412" s="299"/>
      <c r="B2412" s="322"/>
      <c r="G2412" s="299"/>
      <c r="H2412" s="299"/>
      <c r="I2412" s="299"/>
      <c r="J2412" s="299"/>
      <c r="K2412" s="299"/>
      <c r="L2412" s="299"/>
    </row>
    <row r="2413" spans="1:12">
      <c r="A2413" s="299"/>
      <c r="B2413" s="322"/>
      <c r="G2413" s="299"/>
      <c r="H2413" s="299"/>
      <c r="I2413" s="299"/>
      <c r="J2413" s="299"/>
      <c r="K2413" s="299"/>
      <c r="L2413" s="299"/>
    </row>
    <row r="2414" spans="1:12">
      <c r="A2414" s="299"/>
      <c r="B2414" s="322"/>
      <c r="G2414" s="299"/>
      <c r="H2414" s="299"/>
      <c r="I2414" s="299"/>
      <c r="J2414" s="299"/>
      <c r="K2414" s="299"/>
      <c r="L2414" s="299"/>
    </row>
    <row r="2415" spans="1:12">
      <c r="A2415" s="299"/>
      <c r="B2415" s="322"/>
      <c r="G2415" s="299"/>
      <c r="H2415" s="299"/>
      <c r="I2415" s="299"/>
      <c r="J2415" s="299"/>
      <c r="K2415" s="299"/>
      <c r="L2415" s="299"/>
    </row>
    <row r="2416" spans="1:12">
      <c r="A2416" s="299"/>
      <c r="B2416" s="322"/>
      <c r="G2416" s="299"/>
      <c r="H2416" s="299"/>
      <c r="I2416" s="299"/>
      <c r="J2416" s="299"/>
      <c r="K2416" s="299"/>
      <c r="L2416" s="299"/>
    </row>
    <row r="2417" spans="1:12">
      <c r="A2417" s="299"/>
      <c r="B2417" s="322"/>
      <c r="G2417" s="299"/>
      <c r="H2417" s="299"/>
      <c r="I2417" s="299"/>
      <c r="J2417" s="299"/>
      <c r="K2417" s="299"/>
      <c r="L2417" s="299"/>
    </row>
    <row r="2418" spans="1:12">
      <c r="A2418" s="299"/>
      <c r="B2418" s="322"/>
      <c r="G2418" s="299"/>
      <c r="H2418" s="299"/>
      <c r="I2418" s="299"/>
      <c r="J2418" s="299"/>
      <c r="K2418" s="299"/>
      <c r="L2418" s="299"/>
    </row>
    <row r="2419" spans="1:12">
      <c r="A2419" s="299"/>
      <c r="B2419" s="322"/>
      <c r="G2419" s="299"/>
      <c r="H2419" s="299"/>
      <c r="I2419" s="299"/>
      <c r="J2419" s="299"/>
      <c r="K2419" s="299"/>
      <c r="L2419" s="299"/>
    </row>
    <row r="2420" spans="1:12">
      <c r="A2420" s="299"/>
      <c r="B2420" s="322"/>
      <c r="G2420" s="299"/>
      <c r="H2420" s="299"/>
      <c r="I2420" s="299"/>
      <c r="J2420" s="299"/>
      <c r="K2420" s="299"/>
      <c r="L2420" s="299"/>
    </row>
    <row r="2421" spans="1:12">
      <c r="A2421" s="299"/>
      <c r="B2421" s="322"/>
      <c r="G2421" s="299"/>
      <c r="H2421" s="299"/>
      <c r="I2421" s="299"/>
      <c r="J2421" s="299"/>
      <c r="K2421" s="299"/>
      <c r="L2421" s="299"/>
    </row>
    <row r="2422" spans="1:12">
      <c r="A2422" s="299"/>
      <c r="B2422" s="322"/>
      <c r="G2422" s="299"/>
      <c r="H2422" s="299"/>
      <c r="I2422" s="299"/>
      <c r="J2422" s="299"/>
      <c r="K2422" s="299"/>
      <c r="L2422" s="299"/>
    </row>
    <row r="2423" spans="1:12">
      <c r="A2423" s="299"/>
      <c r="B2423" s="322"/>
      <c r="G2423" s="299"/>
      <c r="H2423" s="299"/>
      <c r="I2423" s="299"/>
      <c r="J2423" s="299"/>
      <c r="K2423" s="299"/>
      <c r="L2423" s="299"/>
    </row>
    <row r="2424" spans="1:12">
      <c r="A2424" s="299"/>
      <c r="B2424" s="322"/>
      <c r="G2424" s="299"/>
      <c r="H2424" s="299"/>
      <c r="I2424" s="299"/>
      <c r="J2424" s="299"/>
      <c r="K2424" s="299"/>
      <c r="L2424" s="299"/>
    </row>
    <row r="2425" spans="1:12">
      <c r="A2425" s="299"/>
      <c r="B2425" s="322"/>
      <c r="G2425" s="299"/>
      <c r="H2425" s="299"/>
      <c r="I2425" s="299"/>
      <c r="J2425" s="299"/>
      <c r="K2425" s="299"/>
      <c r="L2425" s="299"/>
    </row>
    <row r="2426" spans="1:12">
      <c r="A2426" s="299"/>
      <c r="B2426" s="322"/>
      <c r="G2426" s="299"/>
      <c r="H2426" s="299"/>
      <c r="I2426" s="299"/>
      <c r="J2426" s="299"/>
      <c r="K2426" s="299"/>
      <c r="L2426" s="299"/>
    </row>
    <row r="2427" spans="1:12">
      <c r="A2427" s="299"/>
      <c r="B2427" s="322"/>
      <c r="G2427" s="299"/>
      <c r="H2427" s="299"/>
      <c r="I2427" s="299"/>
      <c r="J2427" s="299"/>
      <c r="K2427" s="299"/>
      <c r="L2427" s="299"/>
    </row>
    <row r="2428" spans="1:12">
      <c r="A2428" s="299"/>
      <c r="B2428" s="322"/>
      <c r="G2428" s="299"/>
      <c r="H2428" s="299"/>
      <c r="I2428" s="299"/>
      <c r="J2428" s="299"/>
      <c r="K2428" s="299"/>
      <c r="L2428" s="299"/>
    </row>
    <row r="2429" spans="1:12">
      <c r="A2429" s="299"/>
      <c r="B2429" s="322"/>
      <c r="G2429" s="299"/>
      <c r="H2429" s="299"/>
      <c r="I2429" s="299"/>
      <c r="J2429" s="299"/>
      <c r="K2429" s="299"/>
      <c r="L2429" s="299"/>
    </row>
    <row r="2430" spans="1:12">
      <c r="A2430" s="299"/>
      <c r="B2430" s="322"/>
      <c r="G2430" s="299"/>
      <c r="H2430" s="299"/>
      <c r="I2430" s="299"/>
      <c r="J2430" s="299"/>
      <c r="K2430" s="299"/>
      <c r="L2430" s="299"/>
    </row>
    <row r="2431" spans="1:12">
      <c r="A2431" s="299"/>
      <c r="B2431" s="322"/>
      <c r="G2431" s="299"/>
      <c r="H2431" s="299"/>
      <c r="I2431" s="299"/>
      <c r="J2431" s="299"/>
      <c r="K2431" s="299"/>
      <c r="L2431" s="299"/>
    </row>
    <row r="2432" spans="1:12">
      <c r="A2432" s="299"/>
      <c r="B2432" s="322"/>
      <c r="G2432" s="299"/>
      <c r="H2432" s="299"/>
      <c r="I2432" s="299"/>
      <c r="J2432" s="299"/>
      <c r="K2432" s="299"/>
      <c r="L2432" s="299"/>
    </row>
    <row r="2433" spans="1:12">
      <c r="A2433" s="299"/>
      <c r="B2433" s="322"/>
      <c r="G2433" s="299"/>
      <c r="H2433" s="299"/>
      <c r="I2433" s="299"/>
      <c r="J2433" s="299"/>
      <c r="K2433" s="299"/>
      <c r="L2433" s="299"/>
    </row>
    <row r="2434" spans="1:12">
      <c r="A2434" s="299"/>
      <c r="B2434" s="322"/>
      <c r="G2434" s="299"/>
      <c r="H2434" s="299"/>
      <c r="I2434" s="299"/>
      <c r="J2434" s="299"/>
      <c r="K2434" s="299"/>
      <c r="L2434" s="299"/>
    </row>
    <row r="2435" spans="1:12">
      <c r="A2435" s="299"/>
      <c r="B2435" s="322"/>
      <c r="G2435" s="299"/>
      <c r="H2435" s="299"/>
      <c r="I2435" s="299"/>
      <c r="J2435" s="299"/>
      <c r="K2435" s="299"/>
      <c r="L2435" s="299"/>
    </row>
    <row r="2436" spans="1:12">
      <c r="A2436" s="299"/>
      <c r="B2436" s="322"/>
      <c r="G2436" s="299"/>
      <c r="H2436" s="299"/>
      <c r="I2436" s="299"/>
      <c r="J2436" s="299"/>
      <c r="K2436" s="299"/>
      <c r="L2436" s="299"/>
    </row>
    <row r="2437" spans="1:12">
      <c r="A2437" s="299"/>
      <c r="B2437" s="322"/>
      <c r="G2437" s="299"/>
      <c r="H2437" s="299"/>
      <c r="I2437" s="299"/>
      <c r="J2437" s="299"/>
      <c r="K2437" s="299"/>
      <c r="L2437" s="299"/>
    </row>
    <row r="2438" spans="1:12">
      <c r="A2438" s="299"/>
      <c r="B2438" s="322"/>
      <c r="G2438" s="299"/>
      <c r="H2438" s="299"/>
      <c r="I2438" s="299"/>
      <c r="J2438" s="299"/>
      <c r="K2438" s="299"/>
      <c r="L2438" s="299"/>
    </row>
    <row r="2439" spans="1:12">
      <c r="A2439" s="299"/>
      <c r="B2439" s="322"/>
      <c r="G2439" s="299"/>
      <c r="H2439" s="299"/>
      <c r="I2439" s="299"/>
      <c r="J2439" s="299"/>
      <c r="K2439" s="299"/>
      <c r="L2439" s="299"/>
    </row>
    <row r="2440" spans="1:12">
      <c r="A2440" s="299"/>
      <c r="B2440" s="322"/>
      <c r="G2440" s="299"/>
      <c r="H2440" s="299"/>
      <c r="I2440" s="299"/>
      <c r="J2440" s="299"/>
      <c r="K2440" s="299"/>
      <c r="L2440" s="299"/>
    </row>
    <row r="2441" spans="1:12">
      <c r="A2441" s="299"/>
      <c r="B2441" s="322"/>
      <c r="G2441" s="299"/>
      <c r="H2441" s="299"/>
      <c r="I2441" s="299"/>
      <c r="J2441" s="299"/>
      <c r="K2441" s="299"/>
      <c r="L2441" s="299"/>
    </row>
    <row r="2442" spans="1:12">
      <c r="A2442" s="299"/>
      <c r="B2442" s="322"/>
      <c r="G2442" s="299"/>
      <c r="H2442" s="299"/>
      <c r="I2442" s="299"/>
      <c r="J2442" s="299"/>
      <c r="K2442" s="299"/>
      <c r="L2442" s="299"/>
    </row>
    <row r="2443" spans="1:12">
      <c r="A2443" s="299"/>
      <c r="B2443" s="322"/>
      <c r="G2443" s="299"/>
      <c r="H2443" s="299"/>
      <c r="I2443" s="299"/>
      <c r="J2443" s="299"/>
      <c r="K2443" s="299"/>
      <c r="L2443" s="299"/>
    </row>
    <row r="2444" spans="1:12">
      <c r="A2444" s="299"/>
      <c r="B2444" s="322"/>
      <c r="G2444" s="299"/>
      <c r="H2444" s="299"/>
      <c r="I2444" s="299"/>
      <c r="J2444" s="299"/>
      <c r="K2444" s="299"/>
      <c r="L2444" s="299"/>
    </row>
    <row r="2445" spans="1:12">
      <c r="A2445" s="299"/>
      <c r="B2445" s="322"/>
      <c r="G2445" s="299"/>
      <c r="H2445" s="299"/>
      <c r="I2445" s="299"/>
      <c r="J2445" s="299"/>
      <c r="K2445" s="299"/>
      <c r="L2445" s="299"/>
    </row>
    <row r="2446" spans="1:12">
      <c r="A2446" s="299"/>
      <c r="B2446" s="322"/>
      <c r="G2446" s="299"/>
      <c r="H2446" s="299"/>
      <c r="I2446" s="299"/>
      <c r="J2446" s="299"/>
      <c r="K2446" s="299"/>
      <c r="L2446" s="299"/>
    </row>
    <row r="2447" spans="1:12">
      <c r="A2447" s="299"/>
      <c r="B2447" s="322"/>
      <c r="G2447" s="299"/>
      <c r="H2447" s="299"/>
      <c r="I2447" s="299"/>
      <c r="J2447" s="299"/>
      <c r="K2447" s="299"/>
      <c r="L2447" s="299"/>
    </row>
    <row r="2448" spans="1:12">
      <c r="A2448" s="299"/>
      <c r="B2448" s="322"/>
      <c r="G2448" s="299"/>
      <c r="H2448" s="299"/>
      <c r="I2448" s="299"/>
      <c r="J2448" s="299"/>
      <c r="K2448" s="299"/>
      <c r="L2448" s="299"/>
    </row>
    <row r="2449" spans="1:12">
      <c r="A2449" s="299"/>
      <c r="B2449" s="322"/>
      <c r="G2449" s="299"/>
      <c r="H2449" s="299"/>
      <c r="I2449" s="299"/>
      <c r="J2449" s="299"/>
      <c r="K2449" s="299"/>
      <c r="L2449" s="299"/>
    </row>
    <row r="2450" spans="1:12">
      <c r="A2450" s="299"/>
      <c r="B2450" s="322"/>
      <c r="G2450" s="299"/>
      <c r="H2450" s="299"/>
      <c r="I2450" s="299"/>
      <c r="J2450" s="299"/>
      <c r="K2450" s="299"/>
      <c r="L2450" s="299"/>
    </row>
    <row r="2451" spans="1:12">
      <c r="A2451" s="299"/>
      <c r="B2451" s="322"/>
      <c r="G2451" s="299"/>
      <c r="H2451" s="299"/>
      <c r="I2451" s="299"/>
      <c r="J2451" s="299"/>
      <c r="K2451" s="299"/>
      <c r="L2451" s="299"/>
    </row>
    <row r="2452" spans="1:12">
      <c r="A2452" s="299"/>
      <c r="B2452" s="322"/>
      <c r="G2452" s="299"/>
      <c r="H2452" s="299"/>
      <c r="I2452" s="299"/>
      <c r="J2452" s="299"/>
      <c r="K2452" s="299"/>
      <c r="L2452" s="299"/>
    </row>
    <row r="2453" spans="1:12">
      <c r="A2453" s="299"/>
      <c r="B2453" s="322"/>
      <c r="G2453" s="299"/>
      <c r="H2453" s="299"/>
      <c r="I2453" s="299"/>
      <c r="J2453" s="299"/>
      <c r="K2453" s="299"/>
      <c r="L2453" s="299"/>
    </row>
    <row r="2454" spans="1:12">
      <c r="A2454" s="299"/>
      <c r="B2454" s="322"/>
      <c r="G2454" s="299"/>
      <c r="H2454" s="299"/>
      <c r="I2454" s="299"/>
      <c r="J2454" s="299"/>
      <c r="K2454" s="299"/>
      <c r="L2454" s="299"/>
    </row>
    <row r="2455" spans="1:12">
      <c r="A2455" s="299"/>
      <c r="B2455" s="322"/>
      <c r="G2455" s="299"/>
      <c r="H2455" s="299"/>
      <c r="I2455" s="299"/>
      <c r="J2455" s="299"/>
      <c r="K2455" s="299"/>
      <c r="L2455" s="299"/>
    </row>
    <row r="2456" spans="1:12">
      <c r="A2456" s="299"/>
      <c r="B2456" s="322"/>
      <c r="G2456" s="299"/>
      <c r="H2456" s="299"/>
      <c r="I2456" s="299"/>
      <c r="J2456" s="299"/>
      <c r="K2456" s="299"/>
      <c r="L2456" s="299"/>
    </row>
    <row r="2457" spans="1:12">
      <c r="A2457" s="299"/>
      <c r="B2457" s="322"/>
      <c r="G2457" s="299"/>
      <c r="H2457" s="299"/>
      <c r="I2457" s="299"/>
      <c r="J2457" s="299"/>
      <c r="K2457" s="299"/>
      <c r="L2457" s="299"/>
    </row>
    <row r="2458" spans="1:12">
      <c r="A2458" s="299"/>
      <c r="B2458" s="322"/>
      <c r="G2458" s="299"/>
      <c r="H2458" s="299"/>
      <c r="I2458" s="299"/>
      <c r="J2458" s="299"/>
      <c r="K2458" s="299"/>
      <c r="L2458" s="299"/>
    </row>
    <row r="2459" spans="1:12">
      <c r="A2459" s="299"/>
      <c r="B2459" s="322"/>
      <c r="G2459" s="299"/>
      <c r="H2459" s="299"/>
      <c r="I2459" s="299"/>
      <c r="J2459" s="299"/>
      <c r="K2459" s="299"/>
      <c r="L2459" s="299"/>
    </row>
    <row r="2460" spans="1:12">
      <c r="A2460" s="299"/>
      <c r="B2460" s="322"/>
      <c r="G2460" s="299"/>
      <c r="H2460" s="299"/>
      <c r="I2460" s="299"/>
      <c r="J2460" s="299"/>
      <c r="K2460" s="299"/>
      <c r="L2460" s="299"/>
    </row>
    <row r="2461" spans="1:12">
      <c r="A2461" s="299"/>
      <c r="B2461" s="322"/>
      <c r="G2461" s="299"/>
      <c r="H2461" s="299"/>
      <c r="I2461" s="299"/>
      <c r="J2461" s="299"/>
      <c r="K2461" s="299"/>
      <c r="L2461" s="299"/>
    </row>
    <row r="2462" spans="1:12">
      <c r="A2462" s="299"/>
      <c r="B2462" s="322"/>
      <c r="G2462" s="299"/>
      <c r="H2462" s="299"/>
      <c r="I2462" s="299"/>
      <c r="J2462" s="299"/>
      <c r="K2462" s="299"/>
      <c r="L2462" s="299"/>
    </row>
    <row r="2463" spans="1:12">
      <c r="A2463" s="299"/>
      <c r="B2463" s="322"/>
      <c r="G2463" s="299"/>
      <c r="H2463" s="299"/>
      <c r="I2463" s="299"/>
      <c r="J2463" s="299"/>
      <c r="K2463" s="299"/>
      <c r="L2463" s="299"/>
    </row>
    <row r="2464" spans="1:12">
      <c r="A2464" s="299"/>
      <c r="B2464" s="322"/>
      <c r="G2464" s="299"/>
      <c r="H2464" s="299"/>
      <c r="I2464" s="299"/>
      <c r="J2464" s="299"/>
      <c r="K2464" s="299"/>
      <c r="L2464" s="299"/>
    </row>
    <row r="2465" spans="1:12">
      <c r="A2465" s="299"/>
      <c r="B2465" s="322"/>
      <c r="G2465" s="299"/>
      <c r="H2465" s="299"/>
      <c r="I2465" s="299"/>
      <c r="J2465" s="299"/>
      <c r="K2465" s="299"/>
      <c r="L2465" s="299"/>
    </row>
    <row r="2466" spans="1:12">
      <c r="A2466" s="299"/>
      <c r="B2466" s="322"/>
      <c r="G2466" s="299"/>
      <c r="H2466" s="299"/>
      <c r="I2466" s="299"/>
      <c r="J2466" s="299"/>
      <c r="K2466" s="299"/>
      <c r="L2466" s="299"/>
    </row>
    <row r="2467" spans="1:12">
      <c r="A2467" s="299"/>
      <c r="B2467" s="322"/>
      <c r="G2467" s="299"/>
      <c r="H2467" s="299"/>
      <c r="I2467" s="299"/>
      <c r="J2467" s="299"/>
      <c r="K2467" s="299"/>
      <c r="L2467" s="299"/>
    </row>
    <row r="2468" spans="1:12">
      <c r="A2468" s="299"/>
      <c r="B2468" s="322"/>
      <c r="G2468" s="299"/>
      <c r="H2468" s="299"/>
      <c r="I2468" s="299"/>
      <c r="J2468" s="299"/>
      <c r="K2468" s="299"/>
      <c r="L2468" s="299"/>
    </row>
    <row r="2469" spans="1:12">
      <c r="A2469" s="299"/>
      <c r="B2469" s="322"/>
      <c r="G2469" s="299"/>
      <c r="H2469" s="299"/>
      <c r="I2469" s="299"/>
      <c r="J2469" s="299"/>
      <c r="K2469" s="299"/>
      <c r="L2469" s="299"/>
    </row>
    <row r="2470" spans="1:12">
      <c r="A2470" s="299"/>
      <c r="B2470" s="322"/>
      <c r="G2470" s="299"/>
      <c r="H2470" s="299"/>
      <c r="I2470" s="299"/>
      <c r="J2470" s="299"/>
      <c r="K2470" s="299"/>
      <c r="L2470" s="299"/>
    </row>
    <row r="2471" spans="1:12">
      <c r="A2471" s="299"/>
      <c r="B2471" s="322"/>
      <c r="G2471" s="299"/>
      <c r="H2471" s="299"/>
      <c r="I2471" s="299"/>
      <c r="J2471" s="299"/>
      <c r="K2471" s="299"/>
      <c r="L2471" s="299"/>
    </row>
    <row r="2472" spans="1:12">
      <c r="A2472" s="299"/>
      <c r="B2472" s="322"/>
      <c r="G2472" s="299"/>
      <c r="H2472" s="299"/>
      <c r="I2472" s="299"/>
      <c r="J2472" s="299"/>
      <c r="K2472" s="299"/>
      <c r="L2472" s="299"/>
    </row>
    <row r="2473" spans="1:12">
      <c r="A2473" s="299"/>
      <c r="B2473" s="322"/>
      <c r="G2473" s="299"/>
      <c r="H2473" s="299"/>
      <c r="I2473" s="299"/>
      <c r="J2473" s="299"/>
      <c r="K2473" s="299"/>
      <c r="L2473" s="299"/>
    </row>
    <row r="2474" spans="1:12">
      <c r="A2474" s="299"/>
      <c r="B2474" s="322"/>
      <c r="G2474" s="299"/>
      <c r="H2474" s="299"/>
      <c r="I2474" s="299"/>
      <c r="J2474" s="299"/>
      <c r="K2474" s="299"/>
      <c r="L2474" s="299"/>
    </row>
    <row r="2475" spans="1:12">
      <c r="A2475" s="299"/>
      <c r="B2475" s="322"/>
      <c r="G2475" s="299"/>
      <c r="H2475" s="299"/>
      <c r="I2475" s="299"/>
      <c r="J2475" s="299"/>
      <c r="K2475" s="299"/>
      <c r="L2475" s="299"/>
    </row>
    <row r="2476" spans="1:12">
      <c r="A2476" s="299"/>
      <c r="B2476" s="322"/>
      <c r="G2476" s="299"/>
      <c r="H2476" s="299"/>
      <c r="I2476" s="299"/>
      <c r="J2476" s="299"/>
      <c r="K2476" s="299"/>
      <c r="L2476" s="299"/>
    </row>
    <row r="2477" spans="1:12">
      <c r="A2477" s="299"/>
      <c r="B2477" s="322"/>
      <c r="G2477" s="299"/>
      <c r="H2477" s="299"/>
      <c r="I2477" s="299"/>
      <c r="J2477" s="299"/>
      <c r="K2477" s="299"/>
      <c r="L2477" s="299"/>
    </row>
    <row r="2478" spans="1:12">
      <c r="A2478" s="299"/>
      <c r="B2478" s="322"/>
      <c r="G2478" s="299"/>
      <c r="H2478" s="299"/>
      <c r="I2478" s="299"/>
      <c r="J2478" s="299"/>
      <c r="K2478" s="299"/>
      <c r="L2478" s="299"/>
    </row>
    <row r="2479" spans="1:12">
      <c r="A2479" s="299"/>
      <c r="B2479" s="322"/>
      <c r="G2479" s="299"/>
      <c r="H2479" s="299"/>
      <c r="I2479" s="299"/>
      <c r="J2479" s="299"/>
      <c r="K2479" s="299"/>
      <c r="L2479" s="299"/>
    </row>
    <row r="2480" spans="1:12">
      <c r="A2480" s="299"/>
      <c r="B2480" s="322"/>
      <c r="G2480" s="299"/>
      <c r="H2480" s="299"/>
      <c r="I2480" s="299"/>
      <c r="J2480" s="299"/>
      <c r="K2480" s="299"/>
      <c r="L2480" s="299"/>
    </row>
    <row r="2481" spans="1:12">
      <c r="A2481" s="299"/>
      <c r="B2481" s="322"/>
      <c r="G2481" s="299"/>
      <c r="H2481" s="299"/>
      <c r="I2481" s="299"/>
      <c r="J2481" s="299"/>
      <c r="K2481" s="299"/>
      <c r="L2481" s="299"/>
    </row>
    <row r="2482" spans="1:12">
      <c r="A2482" s="299"/>
      <c r="B2482" s="322"/>
      <c r="G2482" s="299"/>
      <c r="H2482" s="299"/>
      <c r="I2482" s="299"/>
      <c r="J2482" s="299"/>
      <c r="K2482" s="299"/>
      <c r="L2482" s="299"/>
    </row>
    <row r="2483" spans="1:12">
      <c r="A2483" s="299"/>
      <c r="B2483" s="322"/>
      <c r="G2483" s="299"/>
      <c r="H2483" s="299"/>
      <c r="I2483" s="299"/>
      <c r="J2483" s="299"/>
      <c r="K2483" s="299"/>
      <c r="L2483" s="299"/>
    </row>
    <row r="2484" spans="1:12">
      <c r="A2484" s="299"/>
      <c r="B2484" s="322"/>
      <c r="G2484" s="299"/>
      <c r="H2484" s="299"/>
      <c r="I2484" s="299"/>
      <c r="J2484" s="299"/>
      <c r="K2484" s="299"/>
      <c r="L2484" s="299"/>
    </row>
    <row r="2485" spans="1:12">
      <c r="A2485" s="299"/>
      <c r="B2485" s="322"/>
      <c r="G2485" s="299"/>
      <c r="H2485" s="299"/>
      <c r="I2485" s="299"/>
      <c r="J2485" s="299"/>
      <c r="K2485" s="299"/>
      <c r="L2485" s="299"/>
    </row>
    <row r="2486" spans="1:12">
      <c r="A2486" s="299"/>
      <c r="B2486" s="322"/>
      <c r="G2486" s="299"/>
      <c r="H2486" s="299"/>
      <c r="I2486" s="299"/>
      <c r="J2486" s="299"/>
      <c r="K2486" s="299"/>
      <c r="L2486" s="299"/>
    </row>
    <row r="2487" spans="1:12">
      <c r="A2487" s="299"/>
      <c r="B2487" s="322"/>
      <c r="G2487" s="299"/>
      <c r="H2487" s="299"/>
      <c r="I2487" s="299"/>
      <c r="J2487" s="299"/>
      <c r="K2487" s="299"/>
      <c r="L2487" s="299"/>
    </row>
    <row r="2488" spans="1:12">
      <c r="A2488" s="299"/>
      <c r="B2488" s="322"/>
      <c r="G2488" s="299"/>
      <c r="H2488" s="299"/>
      <c r="I2488" s="299"/>
      <c r="J2488" s="299"/>
      <c r="K2488" s="299"/>
      <c r="L2488" s="299"/>
    </row>
    <row r="2489" spans="1:12">
      <c r="A2489" s="299"/>
      <c r="B2489" s="322"/>
      <c r="G2489" s="299"/>
      <c r="H2489" s="299"/>
      <c r="I2489" s="299"/>
      <c r="J2489" s="299"/>
      <c r="K2489" s="299"/>
      <c r="L2489" s="299"/>
    </row>
    <row r="2490" spans="1:12">
      <c r="A2490" s="299"/>
      <c r="B2490" s="322"/>
      <c r="G2490" s="299"/>
      <c r="H2490" s="299"/>
      <c r="I2490" s="299"/>
      <c r="J2490" s="299"/>
      <c r="K2490" s="299"/>
      <c r="L2490" s="299"/>
    </row>
    <row r="2491" spans="1:12">
      <c r="A2491" s="299"/>
      <c r="B2491" s="322"/>
      <c r="G2491" s="299"/>
      <c r="H2491" s="299"/>
      <c r="I2491" s="299"/>
      <c r="J2491" s="299"/>
      <c r="K2491" s="299"/>
      <c r="L2491" s="299"/>
    </row>
    <row r="2492" spans="1:12">
      <c r="A2492" s="299"/>
      <c r="B2492" s="322"/>
      <c r="G2492" s="299"/>
      <c r="H2492" s="299"/>
      <c r="I2492" s="299"/>
      <c r="J2492" s="299"/>
      <c r="K2492" s="299"/>
      <c r="L2492" s="299"/>
    </row>
    <row r="2493" spans="1:12">
      <c r="A2493" s="299"/>
      <c r="B2493" s="322"/>
      <c r="G2493" s="299"/>
      <c r="H2493" s="299"/>
      <c r="I2493" s="299"/>
      <c r="J2493" s="299"/>
      <c r="K2493" s="299"/>
      <c r="L2493" s="299"/>
    </row>
    <row r="2494" spans="1:12">
      <c r="A2494" s="299"/>
      <c r="B2494" s="322"/>
      <c r="G2494" s="299"/>
      <c r="H2494" s="299"/>
      <c r="I2494" s="299"/>
      <c r="J2494" s="299"/>
      <c r="K2494" s="299"/>
      <c r="L2494" s="299"/>
    </row>
    <row r="2495" spans="1:12">
      <c r="A2495" s="299"/>
      <c r="B2495" s="322"/>
      <c r="G2495" s="299"/>
      <c r="H2495" s="299"/>
      <c r="I2495" s="299"/>
      <c r="J2495" s="299"/>
      <c r="K2495" s="299"/>
      <c r="L2495" s="299"/>
    </row>
    <row r="2496" spans="1:12">
      <c r="A2496" s="299"/>
      <c r="B2496" s="322"/>
      <c r="G2496" s="299"/>
      <c r="H2496" s="299"/>
      <c r="I2496" s="299"/>
      <c r="J2496" s="299"/>
      <c r="K2496" s="299"/>
      <c r="L2496" s="299"/>
    </row>
    <row r="2497" spans="1:12">
      <c r="A2497" s="299"/>
      <c r="B2497" s="322"/>
      <c r="G2497" s="299"/>
      <c r="H2497" s="299"/>
      <c r="I2497" s="299"/>
      <c r="J2497" s="299"/>
      <c r="K2497" s="299"/>
      <c r="L2497" s="299"/>
    </row>
    <row r="2498" spans="1:12">
      <c r="A2498" s="299"/>
      <c r="B2498" s="322"/>
      <c r="G2498" s="299"/>
      <c r="H2498" s="299"/>
      <c r="I2498" s="299"/>
      <c r="J2498" s="299"/>
      <c r="K2498" s="299"/>
      <c r="L2498" s="299"/>
    </row>
    <row r="2499" spans="1:12">
      <c r="A2499" s="299"/>
      <c r="B2499" s="322"/>
      <c r="G2499" s="299"/>
      <c r="H2499" s="299"/>
      <c r="I2499" s="299"/>
      <c r="J2499" s="299"/>
      <c r="K2499" s="299"/>
      <c r="L2499" s="299"/>
    </row>
    <row r="2500" spans="1:12">
      <c r="A2500" s="299"/>
      <c r="B2500" s="322"/>
      <c r="G2500" s="299"/>
      <c r="H2500" s="299"/>
      <c r="I2500" s="299"/>
      <c r="J2500" s="299"/>
      <c r="K2500" s="299"/>
      <c r="L2500" s="299"/>
    </row>
    <row r="2501" spans="1:12">
      <c r="A2501" s="299"/>
      <c r="B2501" s="322"/>
      <c r="G2501" s="299"/>
      <c r="H2501" s="299"/>
      <c r="I2501" s="299"/>
      <c r="J2501" s="299"/>
      <c r="K2501" s="299"/>
      <c r="L2501" s="299"/>
    </row>
    <row r="2502" spans="1:12">
      <c r="A2502" s="299"/>
      <c r="B2502" s="322"/>
      <c r="G2502" s="299"/>
      <c r="H2502" s="299"/>
      <c r="I2502" s="299"/>
      <c r="J2502" s="299"/>
      <c r="K2502" s="299"/>
      <c r="L2502" s="299"/>
    </row>
    <row r="2503" spans="1:12">
      <c r="A2503" s="299"/>
      <c r="B2503" s="322"/>
      <c r="G2503" s="299"/>
      <c r="H2503" s="299"/>
      <c r="I2503" s="299"/>
      <c r="J2503" s="299"/>
      <c r="K2503" s="299"/>
      <c r="L2503" s="299"/>
    </row>
    <row r="2504" spans="1:12">
      <c r="A2504" s="299"/>
      <c r="B2504" s="322"/>
      <c r="G2504" s="299"/>
      <c r="H2504" s="299"/>
      <c r="I2504" s="299"/>
      <c r="J2504" s="299"/>
      <c r="K2504" s="299"/>
      <c r="L2504" s="299"/>
    </row>
    <row r="2505" spans="1:12">
      <c r="A2505" s="299"/>
      <c r="B2505" s="322"/>
      <c r="G2505" s="299"/>
      <c r="H2505" s="299"/>
      <c r="I2505" s="299"/>
      <c r="J2505" s="299"/>
      <c r="K2505" s="299"/>
      <c r="L2505" s="299"/>
    </row>
    <row r="2506" spans="1:12">
      <c r="A2506" s="299"/>
      <c r="B2506" s="322"/>
      <c r="G2506" s="299"/>
      <c r="H2506" s="299"/>
      <c r="I2506" s="299"/>
      <c r="J2506" s="299"/>
      <c r="K2506" s="299"/>
      <c r="L2506" s="299"/>
    </row>
    <row r="2507" spans="1:12">
      <c r="A2507" s="299"/>
      <c r="B2507" s="322"/>
      <c r="G2507" s="299"/>
      <c r="H2507" s="299"/>
      <c r="I2507" s="299"/>
      <c r="J2507" s="299"/>
      <c r="K2507" s="299"/>
      <c r="L2507" s="299"/>
    </row>
    <row r="2508" spans="1:12">
      <c r="A2508" s="299"/>
      <c r="B2508" s="322"/>
      <c r="G2508" s="299"/>
      <c r="H2508" s="299"/>
      <c r="I2508" s="299"/>
      <c r="J2508" s="299"/>
      <c r="K2508" s="299"/>
      <c r="L2508" s="299"/>
    </row>
    <row r="2509" spans="1:12">
      <c r="A2509" s="299"/>
      <c r="B2509" s="322"/>
      <c r="G2509" s="299"/>
      <c r="H2509" s="299"/>
      <c r="I2509" s="299"/>
      <c r="J2509" s="299"/>
      <c r="K2509" s="299"/>
      <c r="L2509" s="299"/>
    </row>
    <row r="2510" spans="1:12">
      <c r="A2510" s="299"/>
      <c r="B2510" s="322"/>
      <c r="G2510" s="299"/>
      <c r="H2510" s="299"/>
      <c r="I2510" s="299"/>
      <c r="J2510" s="299"/>
      <c r="K2510" s="299"/>
      <c r="L2510" s="299"/>
    </row>
    <row r="2511" spans="1:12">
      <c r="A2511" s="299"/>
      <c r="B2511" s="322"/>
      <c r="G2511" s="299"/>
      <c r="H2511" s="299"/>
      <c r="I2511" s="299"/>
      <c r="J2511" s="299"/>
      <c r="K2511" s="299"/>
      <c r="L2511" s="299"/>
    </row>
    <row r="2512" spans="1:12">
      <c r="A2512" s="299"/>
      <c r="B2512" s="322"/>
      <c r="G2512" s="299"/>
      <c r="H2512" s="299"/>
      <c r="I2512" s="299"/>
      <c r="J2512" s="299"/>
      <c r="K2512" s="299"/>
      <c r="L2512" s="299"/>
    </row>
    <row r="2513" spans="1:12">
      <c r="A2513" s="299"/>
      <c r="B2513" s="322"/>
      <c r="G2513" s="299"/>
      <c r="H2513" s="299"/>
      <c r="I2513" s="299"/>
      <c r="J2513" s="299"/>
      <c r="K2513" s="299"/>
      <c r="L2513" s="299"/>
    </row>
    <row r="2514" spans="1:12">
      <c r="A2514" s="299"/>
      <c r="B2514" s="322"/>
      <c r="G2514" s="299"/>
      <c r="H2514" s="299"/>
      <c r="I2514" s="299"/>
      <c r="J2514" s="299"/>
      <c r="K2514" s="299"/>
      <c r="L2514" s="299"/>
    </row>
    <row r="2515" spans="1:12">
      <c r="A2515" s="299"/>
      <c r="B2515" s="322"/>
      <c r="G2515" s="299"/>
      <c r="H2515" s="299"/>
      <c r="I2515" s="299"/>
      <c r="J2515" s="299"/>
      <c r="K2515" s="299"/>
      <c r="L2515" s="299"/>
    </row>
    <row r="2516" spans="1:12">
      <c r="A2516" s="299"/>
      <c r="B2516" s="322"/>
      <c r="G2516" s="299"/>
      <c r="H2516" s="299"/>
      <c r="I2516" s="299"/>
      <c r="J2516" s="299"/>
      <c r="K2516" s="299"/>
      <c r="L2516" s="299"/>
    </row>
    <row r="2517" spans="1:12">
      <c r="A2517" s="299"/>
      <c r="B2517" s="322"/>
      <c r="G2517" s="299"/>
      <c r="H2517" s="299"/>
      <c r="I2517" s="299"/>
      <c r="J2517" s="299"/>
      <c r="K2517" s="299"/>
      <c r="L2517" s="299"/>
    </row>
    <row r="2518" spans="1:12">
      <c r="A2518" s="299"/>
      <c r="B2518" s="322"/>
      <c r="G2518" s="299"/>
      <c r="H2518" s="299"/>
      <c r="I2518" s="299"/>
      <c r="J2518" s="299"/>
      <c r="K2518" s="299"/>
      <c r="L2518" s="299"/>
    </row>
    <row r="2519" spans="1:12">
      <c r="A2519" s="299"/>
      <c r="B2519" s="322"/>
      <c r="G2519" s="299"/>
      <c r="H2519" s="299"/>
      <c r="I2519" s="299"/>
      <c r="J2519" s="299"/>
      <c r="K2519" s="299"/>
      <c r="L2519" s="299"/>
    </row>
    <row r="2520" spans="1:12">
      <c r="A2520" s="299"/>
      <c r="B2520" s="322"/>
      <c r="G2520" s="299"/>
      <c r="H2520" s="299"/>
      <c r="I2520" s="299"/>
      <c r="J2520" s="299"/>
      <c r="K2520" s="299"/>
      <c r="L2520" s="299"/>
    </row>
    <row r="2521" spans="1:12">
      <c r="A2521" s="299"/>
      <c r="B2521" s="322"/>
      <c r="G2521" s="299"/>
      <c r="H2521" s="299"/>
      <c r="I2521" s="299"/>
      <c r="J2521" s="299"/>
      <c r="K2521" s="299"/>
      <c r="L2521" s="299"/>
    </row>
    <row r="2522" spans="1:12">
      <c r="A2522" s="299"/>
      <c r="B2522" s="322"/>
      <c r="G2522" s="299"/>
      <c r="H2522" s="299"/>
      <c r="I2522" s="299"/>
      <c r="J2522" s="299"/>
      <c r="K2522" s="299"/>
      <c r="L2522" s="299"/>
    </row>
    <row r="2523" spans="1:12">
      <c r="A2523" s="299"/>
      <c r="B2523" s="322"/>
      <c r="G2523" s="299"/>
      <c r="H2523" s="299"/>
      <c r="I2523" s="299"/>
      <c r="J2523" s="299"/>
      <c r="K2523" s="299"/>
      <c r="L2523" s="299"/>
    </row>
    <row r="2524" spans="1:12">
      <c r="A2524" s="299"/>
      <c r="B2524" s="322"/>
      <c r="G2524" s="299"/>
      <c r="H2524" s="299"/>
      <c r="I2524" s="299"/>
      <c r="J2524" s="299"/>
      <c r="K2524" s="299"/>
      <c r="L2524" s="299"/>
    </row>
    <row r="2525" spans="1:12">
      <c r="A2525" s="299"/>
      <c r="B2525" s="322"/>
      <c r="G2525" s="299"/>
      <c r="H2525" s="299"/>
      <c r="I2525" s="299"/>
      <c r="J2525" s="299"/>
      <c r="K2525" s="299"/>
      <c r="L2525" s="299"/>
    </row>
    <row r="2526" spans="1:12">
      <c r="A2526" s="299"/>
      <c r="B2526" s="322"/>
      <c r="G2526" s="299"/>
      <c r="H2526" s="299"/>
      <c r="I2526" s="299"/>
      <c r="J2526" s="299"/>
      <c r="K2526" s="299"/>
      <c r="L2526" s="299"/>
    </row>
    <row r="2527" spans="1:12">
      <c r="A2527" s="299"/>
      <c r="B2527" s="322"/>
      <c r="G2527" s="299"/>
      <c r="H2527" s="299"/>
      <c r="I2527" s="299"/>
      <c r="J2527" s="299"/>
      <c r="K2527" s="299"/>
      <c r="L2527" s="299"/>
    </row>
    <row r="2528" spans="1:12">
      <c r="A2528" s="299"/>
      <c r="B2528" s="322"/>
      <c r="G2528" s="299"/>
      <c r="H2528" s="299"/>
      <c r="I2528" s="299"/>
      <c r="J2528" s="299"/>
      <c r="K2528" s="299"/>
      <c r="L2528" s="299"/>
    </row>
    <row r="2529" spans="1:12">
      <c r="A2529" s="299"/>
      <c r="B2529" s="322"/>
      <c r="G2529" s="299"/>
      <c r="H2529" s="299"/>
      <c r="I2529" s="299"/>
      <c r="J2529" s="299"/>
      <c r="K2529" s="299"/>
      <c r="L2529" s="299"/>
    </row>
    <row r="2530" spans="1:12">
      <c r="A2530" s="299"/>
      <c r="B2530" s="322"/>
      <c r="G2530" s="299"/>
      <c r="H2530" s="299"/>
      <c r="I2530" s="299"/>
      <c r="J2530" s="299"/>
      <c r="K2530" s="299"/>
      <c r="L2530" s="299"/>
    </row>
    <row r="2531" spans="1:12">
      <c r="A2531" s="299"/>
      <c r="B2531" s="322"/>
      <c r="G2531" s="299"/>
      <c r="H2531" s="299"/>
      <c r="I2531" s="299"/>
      <c r="J2531" s="299"/>
      <c r="K2531" s="299"/>
      <c r="L2531" s="299"/>
    </row>
    <row r="2532" spans="1:12">
      <c r="A2532" s="299"/>
      <c r="B2532" s="322"/>
      <c r="G2532" s="299"/>
      <c r="H2532" s="299"/>
      <c r="I2532" s="299"/>
      <c r="J2532" s="299"/>
      <c r="K2532" s="299"/>
      <c r="L2532" s="299"/>
    </row>
    <row r="2533" spans="1:12">
      <c r="A2533" s="299"/>
      <c r="B2533" s="322"/>
      <c r="G2533" s="299"/>
      <c r="H2533" s="299"/>
      <c r="I2533" s="299"/>
      <c r="J2533" s="299"/>
      <c r="K2533" s="299"/>
      <c r="L2533" s="299"/>
    </row>
    <row r="2534" spans="1:12">
      <c r="A2534" s="299"/>
      <c r="B2534" s="322"/>
      <c r="G2534" s="299"/>
      <c r="H2534" s="299"/>
      <c r="I2534" s="299"/>
      <c r="J2534" s="299"/>
      <c r="K2534" s="299"/>
      <c r="L2534" s="299"/>
    </row>
    <row r="2535" spans="1:12">
      <c r="A2535" s="299"/>
      <c r="B2535" s="322"/>
      <c r="G2535" s="299"/>
      <c r="H2535" s="299"/>
      <c r="I2535" s="299"/>
      <c r="J2535" s="299"/>
      <c r="K2535" s="299"/>
      <c r="L2535" s="299"/>
    </row>
    <row r="2536" spans="1:12">
      <c r="A2536" s="299"/>
      <c r="B2536" s="322"/>
      <c r="G2536" s="299"/>
      <c r="H2536" s="299"/>
      <c r="I2536" s="299"/>
      <c r="J2536" s="299"/>
      <c r="K2536" s="299"/>
      <c r="L2536" s="299"/>
    </row>
    <row r="2537" spans="1:12">
      <c r="A2537" s="299"/>
      <c r="B2537" s="322"/>
      <c r="G2537" s="299"/>
      <c r="H2537" s="299"/>
      <c r="I2537" s="299"/>
      <c r="J2537" s="299"/>
      <c r="K2537" s="299"/>
      <c r="L2537" s="299"/>
    </row>
    <row r="2538" spans="1:12">
      <c r="A2538" s="299"/>
      <c r="B2538" s="322"/>
      <c r="G2538" s="299"/>
      <c r="H2538" s="299"/>
      <c r="I2538" s="299"/>
      <c r="J2538" s="299"/>
      <c r="K2538" s="299"/>
      <c r="L2538" s="299"/>
    </row>
    <row r="2539" spans="1:12">
      <c r="A2539" s="299"/>
      <c r="B2539" s="322"/>
      <c r="G2539" s="299"/>
      <c r="H2539" s="299"/>
      <c r="I2539" s="299"/>
      <c r="J2539" s="299"/>
      <c r="K2539" s="299"/>
      <c r="L2539" s="299"/>
    </row>
    <row r="2540" spans="1:12">
      <c r="A2540" s="299"/>
      <c r="B2540" s="322"/>
      <c r="G2540" s="299"/>
      <c r="H2540" s="299"/>
      <c r="I2540" s="299"/>
      <c r="J2540" s="299"/>
      <c r="K2540" s="299"/>
      <c r="L2540" s="299"/>
    </row>
    <row r="2541" spans="1:12">
      <c r="A2541" s="299"/>
      <c r="B2541" s="322"/>
      <c r="G2541" s="299"/>
      <c r="H2541" s="299"/>
      <c r="I2541" s="299"/>
      <c r="J2541" s="299"/>
      <c r="K2541" s="299"/>
      <c r="L2541" s="299"/>
    </row>
    <row r="2542" spans="1:12">
      <c r="A2542" s="299"/>
      <c r="B2542" s="322"/>
      <c r="G2542" s="299"/>
      <c r="H2542" s="299"/>
      <c r="I2542" s="299"/>
      <c r="J2542" s="299"/>
      <c r="K2542" s="299"/>
      <c r="L2542" s="299"/>
    </row>
    <row r="2543" spans="1:12">
      <c r="A2543" s="299"/>
      <c r="B2543" s="322"/>
      <c r="G2543" s="299"/>
      <c r="H2543" s="299"/>
      <c r="I2543" s="299"/>
      <c r="J2543" s="299"/>
      <c r="K2543" s="299"/>
      <c r="L2543" s="299"/>
    </row>
    <row r="2544" spans="1:12">
      <c r="A2544" s="299"/>
      <c r="B2544" s="322"/>
      <c r="G2544" s="299"/>
      <c r="H2544" s="299"/>
      <c r="I2544" s="299"/>
      <c r="J2544" s="299"/>
      <c r="K2544" s="299"/>
      <c r="L2544" s="299"/>
    </row>
    <row r="2545" spans="1:12">
      <c r="A2545" s="299"/>
      <c r="B2545" s="322"/>
      <c r="G2545" s="299"/>
      <c r="H2545" s="299"/>
      <c r="I2545" s="299"/>
      <c r="J2545" s="299"/>
      <c r="K2545" s="299"/>
      <c r="L2545" s="299"/>
    </row>
    <row r="2546" spans="1:12">
      <c r="A2546" s="299"/>
      <c r="B2546" s="322"/>
      <c r="G2546" s="299"/>
      <c r="H2546" s="299"/>
      <c r="I2546" s="299"/>
      <c r="J2546" s="299"/>
      <c r="K2546" s="299"/>
      <c r="L2546" s="299"/>
    </row>
    <row r="2547" spans="1:12">
      <c r="A2547" s="299"/>
      <c r="B2547" s="322"/>
      <c r="G2547" s="299"/>
      <c r="H2547" s="299"/>
      <c r="I2547" s="299"/>
      <c r="J2547" s="299"/>
      <c r="K2547" s="299"/>
      <c r="L2547" s="299"/>
    </row>
    <row r="2548" spans="1:12">
      <c r="A2548" s="299"/>
      <c r="B2548" s="322"/>
      <c r="G2548" s="299"/>
      <c r="H2548" s="299"/>
      <c r="I2548" s="299"/>
      <c r="J2548" s="299"/>
      <c r="K2548" s="299"/>
      <c r="L2548" s="299"/>
    </row>
    <row r="2549" spans="1:12">
      <c r="A2549" s="299"/>
      <c r="B2549" s="322"/>
      <c r="G2549" s="299"/>
      <c r="H2549" s="299"/>
      <c r="I2549" s="299"/>
      <c r="J2549" s="299"/>
      <c r="K2549" s="299"/>
      <c r="L2549" s="299"/>
    </row>
    <row r="2550" spans="1:12">
      <c r="A2550" s="299"/>
      <c r="B2550" s="322"/>
      <c r="G2550" s="299"/>
      <c r="H2550" s="299"/>
      <c r="I2550" s="299"/>
      <c r="J2550" s="299"/>
      <c r="K2550" s="299"/>
      <c r="L2550" s="299"/>
    </row>
    <row r="2551" spans="1:12">
      <c r="A2551" s="299"/>
      <c r="B2551" s="322"/>
      <c r="G2551" s="299"/>
      <c r="H2551" s="299"/>
      <c r="I2551" s="299"/>
      <c r="J2551" s="299"/>
      <c r="K2551" s="299"/>
      <c r="L2551" s="299"/>
    </row>
    <row r="2552" spans="1:12">
      <c r="A2552" s="299"/>
      <c r="B2552" s="322"/>
      <c r="G2552" s="299"/>
      <c r="H2552" s="299"/>
      <c r="I2552" s="299"/>
      <c r="J2552" s="299"/>
      <c r="K2552" s="299"/>
      <c r="L2552" s="299"/>
    </row>
    <row r="2553" spans="1:12">
      <c r="A2553" s="299"/>
      <c r="B2553" s="322"/>
      <c r="G2553" s="299"/>
      <c r="H2553" s="299"/>
      <c r="I2553" s="299"/>
      <c r="J2553" s="299"/>
      <c r="K2553" s="299"/>
      <c r="L2553" s="299"/>
    </row>
    <row r="2554" spans="1:12">
      <c r="A2554" s="299"/>
      <c r="B2554" s="322"/>
      <c r="G2554" s="299"/>
      <c r="H2554" s="299"/>
      <c r="I2554" s="299"/>
      <c r="J2554" s="299"/>
      <c r="K2554" s="299"/>
      <c r="L2554" s="299"/>
    </row>
    <row r="2555" spans="1:12">
      <c r="A2555" s="299"/>
      <c r="B2555" s="322"/>
      <c r="G2555" s="299"/>
      <c r="H2555" s="299"/>
      <c r="I2555" s="299"/>
      <c r="J2555" s="299"/>
      <c r="K2555" s="299"/>
      <c r="L2555" s="299"/>
    </row>
    <row r="2556" spans="1:12">
      <c r="A2556" s="299"/>
      <c r="B2556" s="322"/>
      <c r="G2556" s="299"/>
      <c r="H2556" s="299"/>
      <c r="I2556" s="299"/>
      <c r="J2556" s="299"/>
      <c r="K2556" s="299"/>
      <c r="L2556" s="299"/>
    </row>
    <row r="2557" spans="1:12">
      <c r="A2557" s="299"/>
      <c r="B2557" s="322"/>
      <c r="G2557" s="299"/>
      <c r="H2557" s="299"/>
      <c r="I2557" s="299"/>
      <c r="J2557" s="299"/>
      <c r="K2557" s="299"/>
      <c r="L2557" s="299"/>
    </row>
    <row r="2558" spans="1:12">
      <c r="A2558" s="299"/>
      <c r="B2558" s="322"/>
      <c r="G2558" s="299"/>
      <c r="H2558" s="299"/>
      <c r="I2558" s="299"/>
      <c r="J2558" s="299"/>
      <c r="K2558" s="299"/>
      <c r="L2558" s="299"/>
    </row>
    <row r="2559" spans="1:12">
      <c r="A2559" s="299"/>
      <c r="B2559" s="322"/>
      <c r="G2559" s="299"/>
      <c r="H2559" s="299"/>
      <c r="I2559" s="299"/>
      <c r="J2559" s="299"/>
      <c r="K2559" s="299"/>
      <c r="L2559" s="299"/>
    </row>
    <row r="2560" spans="1:12">
      <c r="A2560" s="299"/>
      <c r="B2560" s="322"/>
      <c r="G2560" s="299"/>
      <c r="H2560" s="299"/>
      <c r="I2560" s="299"/>
      <c r="J2560" s="299"/>
      <c r="K2560" s="299"/>
      <c r="L2560" s="299"/>
    </row>
    <row r="2561" spans="1:12">
      <c r="A2561" s="299"/>
      <c r="B2561" s="322"/>
      <c r="G2561" s="299"/>
      <c r="H2561" s="299"/>
      <c r="I2561" s="299"/>
      <c r="J2561" s="299"/>
      <c r="K2561" s="299"/>
      <c r="L2561" s="299"/>
    </row>
    <row r="2562" spans="1:12">
      <c r="A2562" s="299"/>
      <c r="B2562" s="322"/>
      <c r="G2562" s="299"/>
      <c r="H2562" s="299"/>
      <c r="I2562" s="299"/>
      <c r="J2562" s="299"/>
      <c r="K2562" s="299"/>
      <c r="L2562" s="299"/>
    </row>
    <row r="2563" spans="1:12">
      <c r="A2563" s="299"/>
      <c r="B2563" s="322"/>
      <c r="G2563" s="299"/>
      <c r="H2563" s="299"/>
      <c r="I2563" s="299"/>
      <c r="J2563" s="299"/>
      <c r="K2563" s="299"/>
      <c r="L2563" s="299"/>
    </row>
    <row r="2564" spans="1:12">
      <c r="A2564" s="299"/>
      <c r="B2564" s="322"/>
      <c r="G2564" s="299"/>
      <c r="H2564" s="299"/>
      <c r="I2564" s="299"/>
      <c r="J2564" s="299"/>
      <c r="K2564" s="299"/>
      <c r="L2564" s="299"/>
    </row>
    <row r="2565" spans="1:12">
      <c r="A2565" s="299"/>
      <c r="B2565" s="322"/>
      <c r="G2565" s="299"/>
      <c r="H2565" s="299"/>
      <c r="I2565" s="299"/>
      <c r="J2565" s="299"/>
      <c r="K2565" s="299"/>
      <c r="L2565" s="299"/>
    </row>
    <row r="2566" spans="1:12">
      <c r="A2566" s="299"/>
      <c r="B2566" s="322"/>
      <c r="G2566" s="299"/>
      <c r="H2566" s="299"/>
      <c r="I2566" s="299"/>
      <c r="J2566" s="299"/>
      <c r="K2566" s="299"/>
      <c r="L2566" s="299"/>
    </row>
    <row r="2567" spans="1:12">
      <c r="A2567" s="299"/>
      <c r="B2567" s="322"/>
      <c r="G2567" s="299"/>
      <c r="H2567" s="299"/>
      <c r="I2567" s="299"/>
      <c r="J2567" s="299"/>
      <c r="K2567" s="299"/>
      <c r="L2567" s="299"/>
    </row>
    <row r="2568" spans="1:12">
      <c r="A2568" s="299"/>
      <c r="B2568" s="322"/>
      <c r="G2568" s="299"/>
      <c r="H2568" s="299"/>
      <c r="I2568" s="299"/>
      <c r="J2568" s="299"/>
      <c r="K2568" s="299"/>
      <c r="L2568" s="299"/>
    </row>
    <row r="2569" spans="1:12">
      <c r="A2569" s="299"/>
      <c r="B2569" s="322"/>
      <c r="G2569" s="299"/>
      <c r="H2569" s="299"/>
      <c r="I2569" s="299"/>
      <c r="J2569" s="299"/>
      <c r="K2569" s="299"/>
      <c r="L2569" s="299"/>
    </row>
    <row r="2570" spans="1:12">
      <c r="A2570" s="299"/>
      <c r="B2570" s="322"/>
      <c r="G2570" s="299"/>
      <c r="H2570" s="299"/>
      <c r="I2570" s="299"/>
      <c r="J2570" s="299"/>
      <c r="K2570" s="299"/>
      <c r="L2570" s="299"/>
    </row>
    <row r="2571" spans="1:12">
      <c r="A2571" s="299"/>
      <c r="B2571" s="322"/>
      <c r="G2571" s="299"/>
      <c r="H2571" s="299"/>
      <c r="I2571" s="299"/>
      <c r="J2571" s="299"/>
      <c r="K2571" s="299"/>
      <c r="L2571" s="299"/>
    </row>
    <row r="2572" spans="1:12">
      <c r="A2572" s="299"/>
      <c r="B2572" s="322"/>
      <c r="G2572" s="299"/>
      <c r="H2572" s="299"/>
      <c r="I2572" s="299"/>
      <c r="J2572" s="299"/>
      <c r="K2572" s="299"/>
      <c r="L2572" s="299"/>
    </row>
    <row r="2573" spans="1:12">
      <c r="A2573" s="299"/>
      <c r="B2573" s="322"/>
      <c r="G2573" s="299"/>
      <c r="H2573" s="299"/>
      <c r="I2573" s="299"/>
      <c r="J2573" s="299"/>
      <c r="K2573" s="299"/>
      <c r="L2573" s="299"/>
    </row>
    <row r="2574" spans="1:12">
      <c r="A2574" s="299"/>
      <c r="B2574" s="322"/>
      <c r="G2574" s="299"/>
      <c r="H2574" s="299"/>
      <c r="I2574" s="299"/>
      <c r="J2574" s="299"/>
      <c r="K2574" s="299"/>
      <c r="L2574" s="299"/>
    </row>
    <row r="2575" spans="1:12">
      <c r="A2575" s="299"/>
      <c r="B2575" s="322"/>
      <c r="G2575" s="299"/>
      <c r="H2575" s="299"/>
      <c r="I2575" s="299"/>
      <c r="J2575" s="299"/>
      <c r="K2575" s="299"/>
      <c r="L2575" s="299"/>
    </row>
    <row r="2576" spans="1:12">
      <c r="A2576" s="299"/>
      <c r="B2576" s="322"/>
      <c r="G2576" s="299"/>
      <c r="H2576" s="299"/>
      <c r="I2576" s="299"/>
      <c r="J2576" s="299"/>
      <c r="K2576" s="299"/>
      <c r="L2576" s="299"/>
    </row>
    <row r="2577" spans="1:12">
      <c r="A2577" s="299"/>
      <c r="B2577" s="322"/>
      <c r="G2577" s="299"/>
      <c r="H2577" s="299"/>
      <c r="I2577" s="299"/>
      <c r="J2577" s="299"/>
      <c r="K2577" s="299"/>
      <c r="L2577" s="299"/>
    </row>
    <row r="2578" spans="1:12">
      <c r="A2578" s="299"/>
      <c r="B2578" s="322"/>
      <c r="G2578" s="299"/>
      <c r="H2578" s="299"/>
      <c r="I2578" s="299"/>
      <c r="J2578" s="299"/>
      <c r="K2578" s="299"/>
      <c r="L2578" s="299"/>
    </row>
    <row r="2579" spans="1:12">
      <c r="A2579" s="299"/>
      <c r="B2579" s="322"/>
      <c r="G2579" s="299"/>
      <c r="H2579" s="299"/>
      <c r="I2579" s="299"/>
      <c r="J2579" s="299"/>
      <c r="K2579" s="299"/>
      <c r="L2579" s="299"/>
    </row>
    <row r="2580" spans="1:12">
      <c r="A2580" s="299"/>
      <c r="B2580" s="322"/>
      <c r="G2580" s="299"/>
      <c r="H2580" s="299"/>
      <c r="I2580" s="299"/>
      <c r="J2580" s="299"/>
      <c r="K2580" s="299"/>
      <c r="L2580" s="299"/>
    </row>
    <row r="2581" spans="1:12">
      <c r="A2581" s="299"/>
      <c r="B2581" s="322"/>
      <c r="G2581" s="299"/>
      <c r="H2581" s="299"/>
      <c r="I2581" s="299"/>
      <c r="J2581" s="299"/>
      <c r="K2581" s="299"/>
      <c r="L2581" s="299"/>
    </row>
    <row r="2582" spans="1:12">
      <c r="A2582" s="299"/>
      <c r="B2582" s="322"/>
      <c r="G2582" s="299"/>
      <c r="H2582" s="299"/>
      <c r="I2582" s="299"/>
      <c r="J2582" s="299"/>
      <c r="K2582" s="299"/>
      <c r="L2582" s="299"/>
    </row>
    <row r="2583" spans="1:12">
      <c r="A2583" s="299"/>
      <c r="B2583" s="322"/>
      <c r="G2583" s="299"/>
      <c r="H2583" s="299"/>
      <c r="I2583" s="299"/>
      <c r="J2583" s="299"/>
      <c r="K2583" s="299"/>
      <c r="L2583" s="299"/>
    </row>
    <row r="2584" spans="1:12">
      <c r="A2584" s="299"/>
      <c r="B2584" s="322"/>
      <c r="G2584" s="299"/>
      <c r="H2584" s="299"/>
      <c r="I2584" s="299"/>
      <c r="J2584" s="299"/>
      <c r="K2584" s="299"/>
      <c r="L2584" s="299"/>
    </row>
    <row r="2585" spans="1:12">
      <c r="A2585" s="299"/>
      <c r="B2585" s="322"/>
      <c r="G2585" s="299"/>
      <c r="H2585" s="299"/>
      <c r="I2585" s="299"/>
      <c r="J2585" s="299"/>
      <c r="K2585" s="299"/>
      <c r="L2585" s="299"/>
    </row>
    <row r="2586" spans="1:12">
      <c r="A2586" s="299"/>
      <c r="B2586" s="322"/>
      <c r="G2586" s="299"/>
      <c r="H2586" s="299"/>
      <c r="I2586" s="299"/>
      <c r="J2586" s="299"/>
      <c r="K2586" s="299"/>
      <c r="L2586" s="299"/>
    </row>
    <row r="2587" spans="1:12">
      <c r="A2587" s="299"/>
      <c r="B2587" s="322"/>
      <c r="G2587" s="299"/>
      <c r="H2587" s="299"/>
      <c r="I2587" s="299"/>
      <c r="J2587" s="299"/>
      <c r="K2587" s="299"/>
      <c r="L2587" s="299"/>
    </row>
    <row r="2588" spans="1:12">
      <c r="A2588" s="299"/>
      <c r="B2588" s="322"/>
      <c r="G2588" s="299"/>
      <c r="H2588" s="299"/>
      <c r="I2588" s="299"/>
      <c r="J2588" s="299"/>
      <c r="K2588" s="299"/>
      <c r="L2588" s="299"/>
    </row>
    <row r="2589" spans="1:12">
      <c r="A2589" s="299"/>
      <c r="B2589" s="322"/>
      <c r="G2589" s="299"/>
      <c r="H2589" s="299"/>
      <c r="I2589" s="299"/>
      <c r="J2589" s="299"/>
      <c r="K2589" s="299"/>
      <c r="L2589" s="299"/>
    </row>
    <row r="2590" spans="1:12">
      <c r="A2590" s="299"/>
      <c r="B2590" s="322"/>
      <c r="G2590" s="299"/>
      <c r="H2590" s="299"/>
      <c r="I2590" s="299"/>
      <c r="J2590" s="299"/>
      <c r="K2590" s="299"/>
      <c r="L2590" s="299"/>
    </row>
    <row r="2591" spans="1:12">
      <c r="A2591" s="299"/>
      <c r="B2591" s="322"/>
      <c r="G2591" s="299"/>
      <c r="H2591" s="299"/>
      <c r="I2591" s="299"/>
      <c r="J2591" s="299"/>
      <c r="K2591" s="299"/>
      <c r="L2591" s="299"/>
    </row>
    <row r="2592" spans="1:12">
      <c r="A2592" s="299"/>
      <c r="B2592" s="322"/>
      <c r="G2592" s="299"/>
      <c r="H2592" s="299"/>
      <c r="I2592" s="299"/>
      <c r="J2592" s="299"/>
      <c r="K2592" s="299"/>
      <c r="L2592" s="299"/>
    </row>
    <row r="2593" spans="1:12">
      <c r="A2593" s="299"/>
      <c r="B2593" s="322"/>
      <c r="G2593" s="299"/>
      <c r="H2593" s="299"/>
      <c r="I2593" s="299"/>
      <c r="J2593" s="299"/>
      <c r="K2593" s="299"/>
      <c r="L2593" s="299"/>
    </row>
    <row r="2594" spans="1:12">
      <c r="A2594" s="299"/>
      <c r="B2594" s="322"/>
      <c r="G2594" s="299"/>
      <c r="H2594" s="299"/>
      <c r="I2594" s="299"/>
      <c r="J2594" s="299"/>
      <c r="K2594" s="299"/>
      <c r="L2594" s="299"/>
    </row>
    <row r="2595" spans="1:12">
      <c r="A2595" s="299"/>
      <c r="B2595" s="322"/>
      <c r="G2595" s="299"/>
      <c r="H2595" s="299"/>
      <c r="I2595" s="299"/>
      <c r="J2595" s="299"/>
      <c r="K2595" s="299"/>
      <c r="L2595" s="299"/>
    </row>
    <row r="2596" spans="1:12">
      <c r="A2596" s="299"/>
      <c r="B2596" s="322"/>
      <c r="G2596" s="299"/>
      <c r="H2596" s="299"/>
      <c r="I2596" s="299"/>
      <c r="J2596" s="299"/>
      <c r="K2596" s="299"/>
      <c r="L2596" s="299"/>
    </row>
    <row r="2597" spans="1:12">
      <c r="A2597" s="299"/>
      <c r="B2597" s="322"/>
      <c r="G2597" s="299"/>
      <c r="H2597" s="299"/>
      <c r="I2597" s="299"/>
      <c r="J2597" s="299"/>
      <c r="K2597" s="299"/>
      <c r="L2597" s="299"/>
    </row>
    <row r="2598" spans="1:12">
      <c r="A2598" s="299"/>
      <c r="B2598" s="322"/>
      <c r="G2598" s="299"/>
      <c r="H2598" s="299"/>
      <c r="I2598" s="299"/>
      <c r="J2598" s="299"/>
      <c r="K2598" s="299"/>
      <c r="L2598" s="299"/>
    </row>
    <row r="2599" spans="1:12">
      <c r="A2599" s="299"/>
      <c r="B2599" s="322"/>
      <c r="G2599" s="299"/>
      <c r="H2599" s="299"/>
      <c r="I2599" s="299"/>
      <c r="J2599" s="299"/>
      <c r="K2599" s="299"/>
      <c r="L2599" s="299"/>
    </row>
    <row r="2600" spans="1:12">
      <c r="A2600" s="299"/>
      <c r="B2600" s="322"/>
      <c r="G2600" s="299"/>
      <c r="H2600" s="299"/>
      <c r="I2600" s="299"/>
      <c r="J2600" s="299"/>
      <c r="K2600" s="299"/>
      <c r="L2600" s="299"/>
    </row>
    <row r="2601" spans="1:12">
      <c r="A2601" s="299"/>
      <c r="B2601" s="322"/>
      <c r="G2601" s="299"/>
      <c r="H2601" s="299"/>
      <c r="I2601" s="299"/>
      <c r="J2601" s="299"/>
      <c r="K2601" s="299"/>
      <c r="L2601" s="299"/>
    </row>
    <row r="2602" spans="1:12">
      <c r="A2602" s="299"/>
      <c r="B2602" s="322"/>
      <c r="G2602" s="299"/>
      <c r="H2602" s="299"/>
      <c r="I2602" s="299"/>
      <c r="J2602" s="299"/>
      <c r="K2602" s="299"/>
      <c r="L2602" s="299"/>
    </row>
    <row r="2603" spans="1:12">
      <c r="A2603" s="299"/>
      <c r="B2603" s="322"/>
      <c r="G2603" s="299"/>
      <c r="H2603" s="299"/>
      <c r="I2603" s="299"/>
      <c r="J2603" s="299"/>
      <c r="K2603" s="299"/>
      <c r="L2603" s="299"/>
    </row>
    <row r="2604" spans="1:12">
      <c r="A2604" s="299"/>
      <c r="B2604" s="322"/>
      <c r="G2604" s="299"/>
      <c r="H2604" s="299"/>
      <c r="I2604" s="299"/>
      <c r="J2604" s="299"/>
      <c r="K2604" s="299"/>
      <c r="L2604" s="299"/>
    </row>
    <row r="2605" spans="1:12">
      <c r="A2605" s="299"/>
      <c r="B2605" s="322"/>
      <c r="G2605" s="299"/>
      <c r="H2605" s="299"/>
      <c r="I2605" s="299"/>
      <c r="J2605" s="299"/>
      <c r="K2605" s="299"/>
      <c r="L2605" s="299"/>
    </row>
    <row r="2606" spans="1:12">
      <c r="A2606" s="299"/>
      <c r="B2606" s="322"/>
      <c r="G2606" s="299"/>
      <c r="H2606" s="299"/>
      <c r="I2606" s="299"/>
      <c r="J2606" s="299"/>
      <c r="K2606" s="299"/>
      <c r="L2606" s="299"/>
    </row>
    <row r="2607" spans="1:12">
      <c r="A2607" s="299"/>
      <c r="B2607" s="322"/>
      <c r="G2607" s="299"/>
      <c r="H2607" s="299"/>
      <c r="I2607" s="299"/>
      <c r="J2607" s="299"/>
      <c r="K2607" s="299"/>
      <c r="L2607" s="299"/>
    </row>
    <row r="2608" spans="1:12">
      <c r="A2608" s="299"/>
      <c r="B2608" s="322"/>
      <c r="G2608" s="299"/>
      <c r="H2608" s="299"/>
      <c r="I2608" s="299"/>
      <c r="J2608" s="299"/>
      <c r="K2608" s="299"/>
      <c r="L2608" s="299"/>
    </row>
    <row r="2609" spans="1:12">
      <c r="A2609" s="299"/>
      <c r="B2609" s="322"/>
      <c r="G2609" s="299"/>
      <c r="H2609" s="299"/>
      <c r="I2609" s="299"/>
      <c r="J2609" s="299"/>
      <c r="K2609" s="299"/>
      <c r="L2609" s="299"/>
    </row>
    <row r="2610" spans="1:12">
      <c r="A2610" s="299"/>
      <c r="B2610" s="322"/>
      <c r="G2610" s="299"/>
      <c r="H2610" s="299"/>
      <c r="I2610" s="299"/>
      <c r="J2610" s="299"/>
      <c r="K2610" s="299"/>
      <c r="L2610" s="299"/>
    </row>
    <row r="2611" spans="1:12">
      <c r="A2611" s="299"/>
      <c r="B2611" s="322"/>
      <c r="G2611" s="299"/>
      <c r="H2611" s="299"/>
      <c r="I2611" s="299"/>
      <c r="J2611" s="299"/>
      <c r="K2611" s="299"/>
      <c r="L2611" s="299"/>
    </row>
    <row r="2612" spans="1:12">
      <c r="A2612" s="299"/>
      <c r="B2612" s="322"/>
      <c r="G2612" s="299"/>
      <c r="H2612" s="299"/>
      <c r="I2612" s="299"/>
      <c r="J2612" s="299"/>
      <c r="K2612" s="299"/>
      <c r="L2612" s="299"/>
    </row>
    <row r="2613" spans="1:12">
      <c r="A2613" s="299"/>
      <c r="B2613" s="322"/>
      <c r="G2613" s="299"/>
      <c r="H2613" s="299"/>
      <c r="I2613" s="299"/>
      <c r="J2613" s="299"/>
      <c r="K2613" s="299"/>
      <c r="L2613" s="299"/>
    </row>
    <row r="2614" spans="1:12">
      <c r="A2614" s="299"/>
      <c r="B2614" s="322"/>
      <c r="G2614" s="299"/>
      <c r="H2614" s="299"/>
      <c r="I2614" s="299"/>
      <c r="J2614" s="299"/>
      <c r="K2614" s="299"/>
      <c r="L2614" s="299"/>
    </row>
    <row r="2615" spans="1:12">
      <c r="A2615" s="299"/>
      <c r="B2615" s="322"/>
      <c r="G2615" s="299"/>
      <c r="H2615" s="299"/>
      <c r="I2615" s="299"/>
      <c r="J2615" s="299"/>
      <c r="K2615" s="299"/>
      <c r="L2615" s="299"/>
    </row>
    <row r="2616" spans="1:12">
      <c r="A2616" s="299"/>
      <c r="B2616" s="322"/>
      <c r="G2616" s="299"/>
      <c r="H2616" s="299"/>
      <c r="I2616" s="299"/>
      <c r="J2616" s="299"/>
      <c r="K2616" s="299"/>
      <c r="L2616" s="299"/>
    </row>
    <row r="2617" spans="1:12">
      <c r="A2617" s="299"/>
      <c r="B2617" s="322"/>
      <c r="G2617" s="299"/>
      <c r="H2617" s="299"/>
      <c r="I2617" s="299"/>
      <c r="J2617" s="299"/>
      <c r="K2617" s="299"/>
      <c r="L2617" s="299"/>
    </row>
    <row r="2618" spans="1:12">
      <c r="A2618" s="299"/>
      <c r="B2618" s="322"/>
      <c r="G2618" s="299"/>
      <c r="H2618" s="299"/>
      <c r="I2618" s="299"/>
      <c r="J2618" s="299"/>
      <c r="K2618" s="299"/>
      <c r="L2618" s="299"/>
    </row>
    <row r="2619" spans="1:12">
      <c r="A2619" s="299"/>
      <c r="B2619" s="322"/>
      <c r="G2619" s="299"/>
      <c r="H2619" s="299"/>
      <c r="I2619" s="299"/>
      <c r="J2619" s="299"/>
      <c r="K2619" s="299"/>
      <c r="L2619" s="299"/>
    </row>
    <row r="2620" spans="1:12">
      <c r="A2620" s="299"/>
      <c r="B2620" s="322"/>
      <c r="G2620" s="299"/>
      <c r="H2620" s="299"/>
      <c r="I2620" s="299"/>
      <c r="J2620" s="299"/>
      <c r="K2620" s="299"/>
      <c r="L2620" s="299"/>
    </row>
    <row r="2621" spans="1:12">
      <c r="A2621" s="299"/>
      <c r="B2621" s="322"/>
      <c r="G2621" s="299"/>
      <c r="H2621" s="299"/>
      <c r="I2621" s="299"/>
      <c r="J2621" s="299"/>
      <c r="K2621" s="299"/>
      <c r="L2621" s="299"/>
    </row>
    <row r="2622" spans="1:12">
      <c r="A2622" s="299"/>
      <c r="B2622" s="322"/>
      <c r="G2622" s="299"/>
      <c r="H2622" s="299"/>
      <c r="I2622" s="299"/>
      <c r="J2622" s="299"/>
      <c r="K2622" s="299"/>
      <c r="L2622" s="299"/>
    </row>
    <row r="2623" spans="1:12">
      <c r="A2623" s="299"/>
      <c r="B2623" s="322"/>
      <c r="G2623" s="299"/>
      <c r="H2623" s="299"/>
      <c r="I2623" s="299"/>
      <c r="J2623" s="299"/>
      <c r="K2623" s="299"/>
      <c r="L2623" s="299"/>
    </row>
    <row r="2624" spans="1:12">
      <c r="A2624" s="299"/>
      <c r="B2624" s="322"/>
      <c r="G2624" s="299"/>
      <c r="H2624" s="299"/>
      <c r="I2624" s="299"/>
      <c r="J2624" s="299"/>
      <c r="K2624" s="299"/>
      <c r="L2624" s="299"/>
    </row>
    <row r="2625" spans="1:12">
      <c r="A2625" s="299"/>
      <c r="B2625" s="322"/>
      <c r="G2625" s="299"/>
      <c r="H2625" s="299"/>
      <c r="I2625" s="299"/>
      <c r="J2625" s="299"/>
      <c r="K2625" s="299"/>
      <c r="L2625" s="299"/>
    </row>
    <row r="2626" spans="1:12">
      <c r="A2626" s="299"/>
      <c r="B2626" s="322"/>
      <c r="G2626" s="299"/>
      <c r="H2626" s="299"/>
      <c r="I2626" s="299"/>
      <c r="J2626" s="299"/>
      <c r="K2626" s="299"/>
      <c r="L2626" s="299"/>
    </row>
    <row r="2627" spans="1:12">
      <c r="A2627" s="299"/>
      <c r="B2627" s="322"/>
      <c r="G2627" s="299"/>
      <c r="H2627" s="299"/>
      <c r="I2627" s="299"/>
      <c r="J2627" s="299"/>
      <c r="K2627" s="299"/>
      <c r="L2627" s="299"/>
    </row>
    <row r="2628" spans="1:12">
      <c r="A2628" s="299"/>
      <c r="B2628" s="322"/>
      <c r="G2628" s="299"/>
      <c r="H2628" s="299"/>
      <c r="I2628" s="299"/>
      <c r="J2628" s="299"/>
      <c r="K2628" s="299"/>
      <c r="L2628" s="299"/>
    </row>
    <row r="2629" spans="1:12">
      <c r="A2629" s="299"/>
      <c r="B2629" s="322"/>
      <c r="G2629" s="299"/>
      <c r="H2629" s="299"/>
      <c r="I2629" s="299"/>
      <c r="J2629" s="299"/>
      <c r="K2629" s="299"/>
      <c r="L2629" s="299"/>
    </row>
    <row r="2630" spans="1:12">
      <c r="A2630" s="299"/>
      <c r="B2630" s="322"/>
      <c r="G2630" s="299"/>
      <c r="H2630" s="299"/>
      <c r="I2630" s="299"/>
      <c r="J2630" s="299"/>
      <c r="K2630" s="299"/>
      <c r="L2630" s="299"/>
    </row>
    <row r="2631" spans="1:12">
      <c r="A2631" s="299"/>
      <c r="B2631" s="322"/>
      <c r="G2631" s="299"/>
      <c r="H2631" s="299"/>
      <c r="I2631" s="299"/>
      <c r="J2631" s="299"/>
      <c r="K2631" s="299"/>
      <c r="L2631" s="299"/>
    </row>
    <row r="2632" spans="1:12">
      <c r="A2632" s="299"/>
      <c r="B2632" s="322"/>
      <c r="G2632" s="299"/>
      <c r="H2632" s="299"/>
      <c r="I2632" s="299"/>
      <c r="J2632" s="299"/>
      <c r="K2632" s="299"/>
      <c r="L2632" s="299"/>
    </row>
    <row r="2633" spans="1:12">
      <c r="A2633" s="299"/>
      <c r="B2633" s="322"/>
      <c r="G2633" s="299"/>
      <c r="H2633" s="299"/>
      <c r="I2633" s="299"/>
      <c r="J2633" s="299"/>
      <c r="K2633" s="299"/>
      <c r="L2633" s="299"/>
    </row>
    <row r="2634" spans="1:12">
      <c r="A2634" s="299"/>
      <c r="B2634" s="322"/>
      <c r="G2634" s="299"/>
      <c r="H2634" s="299"/>
      <c r="I2634" s="299"/>
      <c r="J2634" s="299"/>
      <c r="K2634" s="299"/>
      <c r="L2634" s="299"/>
    </row>
    <row r="2635" spans="1:12">
      <c r="A2635" s="299"/>
      <c r="B2635" s="322"/>
      <c r="G2635" s="299"/>
      <c r="H2635" s="299"/>
      <c r="I2635" s="299"/>
      <c r="J2635" s="299"/>
      <c r="K2635" s="299"/>
      <c r="L2635" s="299"/>
    </row>
    <row r="2636" spans="1:12">
      <c r="A2636" s="299"/>
      <c r="B2636" s="322"/>
      <c r="G2636" s="299"/>
      <c r="H2636" s="299"/>
      <c r="I2636" s="299"/>
      <c r="J2636" s="299"/>
      <c r="K2636" s="299"/>
      <c r="L2636" s="299"/>
    </row>
    <row r="2637" spans="1:12">
      <c r="A2637" s="299"/>
      <c r="B2637" s="322"/>
      <c r="G2637" s="299"/>
      <c r="H2637" s="299"/>
      <c r="I2637" s="299"/>
      <c r="J2637" s="299"/>
      <c r="K2637" s="299"/>
      <c r="L2637" s="299"/>
    </row>
    <row r="2638" spans="1:12">
      <c r="A2638" s="299"/>
      <c r="B2638" s="322"/>
      <c r="G2638" s="299"/>
      <c r="H2638" s="299"/>
      <c r="I2638" s="299"/>
      <c r="J2638" s="299"/>
      <c r="K2638" s="299"/>
      <c r="L2638" s="299"/>
    </row>
    <row r="2639" spans="1:12">
      <c r="A2639" s="299"/>
      <c r="B2639" s="322"/>
      <c r="G2639" s="299"/>
      <c r="H2639" s="299"/>
      <c r="I2639" s="299"/>
      <c r="J2639" s="299"/>
      <c r="K2639" s="299"/>
      <c r="L2639" s="299"/>
    </row>
    <row r="2640" spans="1:12">
      <c r="A2640" s="299"/>
      <c r="B2640" s="322"/>
      <c r="G2640" s="299"/>
      <c r="H2640" s="299"/>
      <c r="I2640" s="299"/>
      <c r="J2640" s="299"/>
      <c r="K2640" s="299"/>
      <c r="L2640" s="299"/>
    </row>
    <row r="2641" spans="1:12">
      <c r="A2641" s="299"/>
      <c r="B2641" s="322"/>
      <c r="G2641" s="299"/>
      <c r="H2641" s="299"/>
      <c r="I2641" s="299"/>
      <c r="J2641" s="299"/>
      <c r="K2641" s="299"/>
      <c r="L2641" s="299"/>
    </row>
    <row r="2642" spans="1:12">
      <c r="A2642" s="299"/>
      <c r="B2642" s="322"/>
      <c r="G2642" s="299"/>
      <c r="H2642" s="299"/>
      <c r="I2642" s="299"/>
      <c r="J2642" s="299"/>
      <c r="K2642" s="299"/>
      <c r="L2642" s="299"/>
    </row>
    <row r="2643" spans="1:12">
      <c r="A2643" s="299"/>
      <c r="B2643" s="322"/>
      <c r="G2643" s="299"/>
      <c r="H2643" s="299"/>
      <c r="I2643" s="299"/>
      <c r="J2643" s="299"/>
      <c r="K2643" s="299"/>
      <c r="L2643" s="299"/>
    </row>
    <row r="2644" spans="1:12">
      <c r="A2644" s="299"/>
      <c r="B2644" s="322"/>
      <c r="G2644" s="299"/>
      <c r="H2644" s="299"/>
      <c r="I2644" s="299"/>
      <c r="J2644" s="299"/>
      <c r="K2644" s="299"/>
      <c r="L2644" s="299"/>
    </row>
    <row r="2645" spans="1:12">
      <c r="A2645" s="299"/>
      <c r="B2645" s="322"/>
      <c r="G2645" s="299"/>
      <c r="H2645" s="299"/>
      <c r="I2645" s="299"/>
      <c r="J2645" s="299"/>
      <c r="K2645" s="299"/>
      <c r="L2645" s="299"/>
    </row>
    <row r="2646" spans="1:12">
      <c r="A2646" s="299"/>
      <c r="B2646" s="322"/>
      <c r="G2646" s="299"/>
      <c r="H2646" s="299"/>
      <c r="I2646" s="299"/>
      <c r="J2646" s="299"/>
      <c r="K2646" s="299"/>
      <c r="L2646" s="299"/>
    </row>
    <row r="2647" spans="1:12">
      <c r="A2647" s="299"/>
      <c r="B2647" s="322"/>
      <c r="G2647" s="299"/>
      <c r="H2647" s="299"/>
      <c r="I2647" s="299"/>
      <c r="J2647" s="299"/>
      <c r="K2647" s="299"/>
      <c r="L2647" s="299"/>
    </row>
    <row r="2648" spans="1:12">
      <c r="A2648" s="299"/>
      <c r="B2648" s="322"/>
      <c r="G2648" s="299"/>
      <c r="H2648" s="299"/>
      <c r="I2648" s="299"/>
      <c r="J2648" s="299"/>
      <c r="K2648" s="299"/>
      <c r="L2648" s="299"/>
    </row>
    <row r="2649" spans="1:12">
      <c r="A2649" s="299"/>
      <c r="B2649" s="322"/>
      <c r="G2649" s="299"/>
      <c r="H2649" s="299"/>
      <c r="I2649" s="299"/>
      <c r="J2649" s="299"/>
      <c r="K2649" s="299"/>
      <c r="L2649" s="299"/>
    </row>
    <row r="2650" spans="1:12">
      <c r="A2650" s="299"/>
      <c r="B2650" s="322"/>
      <c r="G2650" s="299"/>
      <c r="H2650" s="299"/>
      <c r="I2650" s="299"/>
      <c r="J2650" s="299"/>
      <c r="K2650" s="299"/>
      <c r="L2650" s="299"/>
    </row>
    <row r="2651" spans="1:12">
      <c r="A2651" s="299"/>
      <c r="B2651" s="322"/>
      <c r="G2651" s="299"/>
      <c r="H2651" s="299"/>
      <c r="I2651" s="299"/>
      <c r="J2651" s="299"/>
      <c r="K2651" s="299"/>
      <c r="L2651" s="299"/>
    </row>
    <row r="2652" spans="1:12">
      <c r="A2652" s="299"/>
      <c r="B2652" s="322"/>
      <c r="G2652" s="299"/>
      <c r="H2652" s="299"/>
      <c r="I2652" s="299"/>
      <c r="J2652" s="299"/>
      <c r="K2652" s="299"/>
      <c r="L2652" s="299"/>
    </row>
    <row r="2653" spans="1:12">
      <c r="A2653" s="299"/>
      <c r="B2653" s="322"/>
      <c r="G2653" s="299"/>
      <c r="H2653" s="299"/>
      <c r="I2653" s="299"/>
      <c r="J2653" s="299"/>
      <c r="K2653" s="299"/>
      <c r="L2653" s="299"/>
    </row>
    <row r="2654" spans="1:12">
      <c r="A2654" s="299"/>
      <c r="B2654" s="322"/>
      <c r="G2654" s="299"/>
      <c r="H2654" s="299"/>
      <c r="I2654" s="299"/>
      <c r="J2654" s="299"/>
      <c r="K2654" s="299"/>
      <c r="L2654" s="299"/>
    </row>
    <row r="2655" spans="1:12">
      <c r="A2655" s="299"/>
      <c r="B2655" s="322"/>
      <c r="G2655" s="299"/>
      <c r="H2655" s="299"/>
      <c r="I2655" s="299"/>
      <c r="J2655" s="299"/>
      <c r="K2655" s="299"/>
      <c r="L2655" s="299"/>
    </row>
    <row r="2656" spans="1:12">
      <c r="A2656" s="299"/>
      <c r="B2656" s="322"/>
      <c r="G2656" s="299"/>
      <c r="H2656" s="299"/>
      <c r="I2656" s="299"/>
      <c r="J2656" s="299"/>
      <c r="K2656" s="299"/>
      <c r="L2656" s="299"/>
    </row>
    <row r="2657" spans="1:12">
      <c r="A2657" s="299"/>
      <c r="B2657" s="322"/>
      <c r="G2657" s="299"/>
      <c r="H2657" s="299"/>
      <c r="I2657" s="299"/>
      <c r="J2657" s="299"/>
      <c r="K2657" s="299"/>
      <c r="L2657" s="299"/>
    </row>
    <row r="2658" spans="1:12">
      <c r="A2658" s="299"/>
      <c r="B2658" s="322"/>
      <c r="G2658" s="299"/>
      <c r="H2658" s="299"/>
      <c r="I2658" s="299"/>
      <c r="J2658" s="299"/>
      <c r="K2658" s="299"/>
      <c r="L2658" s="299"/>
    </row>
    <row r="2659" spans="1:12">
      <c r="A2659" s="299"/>
      <c r="B2659" s="322"/>
      <c r="G2659" s="299"/>
      <c r="H2659" s="299"/>
      <c r="I2659" s="299"/>
      <c r="J2659" s="299"/>
      <c r="K2659" s="299"/>
      <c r="L2659" s="299"/>
    </row>
    <row r="2660" spans="1:12">
      <c r="A2660" s="299"/>
      <c r="B2660" s="322"/>
      <c r="G2660" s="299"/>
      <c r="H2660" s="299"/>
      <c r="I2660" s="299"/>
      <c r="J2660" s="299"/>
      <c r="K2660" s="299"/>
      <c r="L2660" s="299"/>
    </row>
    <row r="2661" spans="1:12">
      <c r="A2661" s="299"/>
      <c r="B2661" s="322"/>
      <c r="G2661" s="299"/>
      <c r="H2661" s="299"/>
      <c r="I2661" s="299"/>
      <c r="J2661" s="299"/>
      <c r="K2661" s="299"/>
      <c r="L2661" s="299"/>
    </row>
    <row r="2662" spans="1:12">
      <c r="A2662" s="299"/>
      <c r="B2662" s="322"/>
      <c r="G2662" s="299"/>
      <c r="H2662" s="299"/>
      <c r="I2662" s="299"/>
      <c r="J2662" s="299"/>
      <c r="K2662" s="299"/>
      <c r="L2662" s="299"/>
    </row>
    <row r="2663" spans="1:12">
      <c r="A2663" s="299"/>
      <c r="B2663" s="322"/>
      <c r="G2663" s="299"/>
      <c r="H2663" s="299"/>
      <c r="I2663" s="299"/>
      <c r="J2663" s="299"/>
      <c r="K2663" s="299"/>
      <c r="L2663" s="299"/>
    </row>
    <row r="2664" spans="1:12">
      <c r="A2664" s="299"/>
      <c r="B2664" s="322"/>
      <c r="G2664" s="299"/>
      <c r="H2664" s="299"/>
      <c r="I2664" s="299"/>
      <c r="J2664" s="299"/>
      <c r="K2664" s="299"/>
      <c r="L2664" s="299"/>
    </row>
    <row r="2665" spans="1:12">
      <c r="A2665" s="299"/>
      <c r="B2665" s="322"/>
      <c r="G2665" s="299"/>
      <c r="H2665" s="299"/>
      <c r="I2665" s="299"/>
      <c r="J2665" s="299"/>
      <c r="K2665" s="299"/>
      <c r="L2665" s="299"/>
    </row>
    <row r="2666" spans="1:12">
      <c r="A2666" s="299"/>
      <c r="B2666" s="322"/>
      <c r="G2666" s="299"/>
      <c r="H2666" s="299"/>
      <c r="I2666" s="299"/>
      <c r="J2666" s="299"/>
      <c r="K2666" s="299"/>
      <c r="L2666" s="299"/>
    </row>
    <row r="2667" spans="1:12">
      <c r="A2667" s="299"/>
      <c r="B2667" s="322"/>
      <c r="G2667" s="299"/>
      <c r="H2667" s="299"/>
      <c r="I2667" s="299"/>
      <c r="J2667" s="299"/>
      <c r="K2667" s="299"/>
      <c r="L2667" s="299"/>
    </row>
    <row r="2668" spans="1:12">
      <c r="A2668" s="299"/>
      <c r="B2668" s="322"/>
      <c r="G2668" s="299"/>
      <c r="H2668" s="299"/>
      <c r="I2668" s="299"/>
      <c r="J2668" s="299"/>
      <c r="K2668" s="299"/>
      <c r="L2668" s="299"/>
    </row>
    <row r="2669" spans="1:12">
      <c r="A2669" s="299"/>
      <c r="B2669" s="322"/>
      <c r="G2669" s="299"/>
      <c r="H2669" s="299"/>
      <c r="I2669" s="299"/>
      <c r="J2669" s="299"/>
      <c r="K2669" s="299"/>
      <c r="L2669" s="299"/>
    </row>
    <row r="2670" spans="1:12">
      <c r="A2670" s="299"/>
      <c r="B2670" s="322"/>
      <c r="G2670" s="299"/>
      <c r="H2670" s="299"/>
      <c r="I2670" s="299"/>
      <c r="J2670" s="299"/>
      <c r="K2670" s="299"/>
      <c r="L2670" s="299"/>
    </row>
    <row r="2671" spans="1:12">
      <c r="A2671" s="299"/>
      <c r="B2671" s="322"/>
      <c r="G2671" s="299"/>
      <c r="H2671" s="299"/>
      <c r="I2671" s="299"/>
      <c r="J2671" s="299"/>
      <c r="K2671" s="299"/>
      <c r="L2671" s="299"/>
    </row>
    <row r="2672" spans="1:12">
      <c r="A2672" s="299"/>
      <c r="B2672" s="322"/>
      <c r="G2672" s="299"/>
      <c r="H2672" s="299"/>
      <c r="I2672" s="299"/>
      <c r="J2672" s="299"/>
      <c r="K2672" s="299"/>
      <c r="L2672" s="299"/>
    </row>
    <row r="2673" spans="1:12">
      <c r="A2673" s="299"/>
      <c r="B2673" s="322"/>
      <c r="G2673" s="299"/>
      <c r="H2673" s="299"/>
      <c r="I2673" s="299"/>
      <c r="J2673" s="299"/>
      <c r="K2673" s="299"/>
      <c r="L2673" s="299"/>
    </row>
    <row r="2674" spans="1:12">
      <c r="A2674" s="299"/>
      <c r="B2674" s="322"/>
      <c r="G2674" s="299"/>
      <c r="H2674" s="299"/>
      <c r="I2674" s="299"/>
      <c r="J2674" s="299"/>
      <c r="K2674" s="299"/>
      <c r="L2674" s="299"/>
    </row>
    <row r="2675" spans="1:12">
      <c r="A2675" s="299"/>
      <c r="B2675" s="322"/>
      <c r="G2675" s="299"/>
      <c r="H2675" s="299"/>
      <c r="I2675" s="299"/>
      <c r="J2675" s="299"/>
      <c r="K2675" s="299"/>
      <c r="L2675" s="299"/>
    </row>
    <row r="2676" spans="1:12">
      <c r="A2676" s="299"/>
      <c r="B2676" s="322"/>
      <c r="G2676" s="299"/>
      <c r="H2676" s="299"/>
      <c r="I2676" s="299"/>
      <c r="J2676" s="299"/>
      <c r="K2676" s="299"/>
      <c r="L2676" s="299"/>
    </row>
    <row r="2677" spans="1:12">
      <c r="A2677" s="299"/>
      <c r="B2677" s="322"/>
      <c r="G2677" s="299"/>
      <c r="H2677" s="299"/>
      <c r="I2677" s="299"/>
      <c r="J2677" s="299"/>
      <c r="K2677" s="299"/>
      <c r="L2677" s="299"/>
    </row>
    <row r="2678" spans="1:12">
      <c r="A2678" s="299"/>
      <c r="B2678" s="322"/>
      <c r="G2678" s="299"/>
      <c r="H2678" s="299"/>
      <c r="I2678" s="299"/>
      <c r="J2678" s="299"/>
      <c r="K2678" s="299"/>
      <c r="L2678" s="299"/>
    </row>
    <row r="2679" spans="1:12">
      <c r="A2679" s="299"/>
      <c r="B2679" s="322"/>
      <c r="G2679" s="299"/>
      <c r="H2679" s="299"/>
      <c r="I2679" s="299"/>
      <c r="J2679" s="299"/>
      <c r="K2679" s="299"/>
      <c r="L2679" s="299"/>
    </row>
    <row r="2680" spans="1:12">
      <c r="A2680" s="299"/>
      <c r="B2680" s="322"/>
      <c r="G2680" s="299"/>
      <c r="H2680" s="299"/>
      <c r="I2680" s="299"/>
      <c r="J2680" s="299"/>
      <c r="K2680" s="299"/>
      <c r="L2680" s="299"/>
    </row>
    <row r="2681" spans="1:12">
      <c r="A2681" s="299"/>
      <c r="B2681" s="322"/>
      <c r="G2681" s="299"/>
      <c r="H2681" s="299"/>
      <c r="I2681" s="299"/>
      <c r="J2681" s="299"/>
      <c r="K2681" s="299"/>
      <c r="L2681" s="299"/>
    </row>
    <row r="2682" spans="1:12">
      <c r="A2682" s="299"/>
      <c r="B2682" s="322"/>
      <c r="G2682" s="299"/>
      <c r="H2682" s="299"/>
      <c r="I2682" s="299"/>
      <c r="J2682" s="299"/>
      <c r="K2682" s="299"/>
      <c r="L2682" s="299"/>
    </row>
    <row r="2683" spans="1:12">
      <c r="A2683" s="299"/>
      <c r="B2683" s="322"/>
      <c r="G2683" s="299"/>
      <c r="H2683" s="299"/>
      <c r="I2683" s="299"/>
      <c r="J2683" s="299"/>
      <c r="K2683" s="299"/>
      <c r="L2683" s="299"/>
    </row>
    <row r="2684" spans="1:12">
      <c r="A2684" s="299"/>
      <c r="B2684" s="322"/>
      <c r="G2684" s="299"/>
      <c r="H2684" s="299"/>
      <c r="I2684" s="299"/>
      <c r="J2684" s="299"/>
      <c r="K2684" s="299"/>
      <c r="L2684" s="299"/>
    </row>
    <row r="2685" spans="1:12">
      <c r="A2685" s="299"/>
      <c r="B2685" s="322"/>
      <c r="G2685" s="299"/>
      <c r="H2685" s="299"/>
      <c r="I2685" s="299"/>
      <c r="J2685" s="299"/>
      <c r="K2685" s="299"/>
      <c r="L2685" s="299"/>
    </row>
    <row r="2686" spans="1:12">
      <c r="A2686" s="299"/>
      <c r="B2686" s="322"/>
      <c r="G2686" s="299"/>
      <c r="H2686" s="299"/>
      <c r="I2686" s="299"/>
      <c r="J2686" s="299"/>
      <c r="K2686" s="299"/>
      <c r="L2686" s="299"/>
    </row>
    <row r="2687" spans="1:12">
      <c r="A2687" s="299"/>
      <c r="B2687" s="322"/>
      <c r="G2687" s="299"/>
      <c r="H2687" s="299"/>
      <c r="I2687" s="299"/>
      <c r="J2687" s="299"/>
      <c r="K2687" s="299"/>
      <c r="L2687" s="299"/>
    </row>
    <row r="2688" spans="1:12">
      <c r="A2688" s="299"/>
      <c r="B2688" s="322"/>
      <c r="G2688" s="299"/>
      <c r="H2688" s="299"/>
      <c r="I2688" s="299"/>
      <c r="J2688" s="299"/>
      <c r="K2688" s="299"/>
      <c r="L2688" s="299"/>
    </row>
    <row r="2689" spans="1:12">
      <c r="A2689" s="299"/>
      <c r="B2689" s="322"/>
      <c r="G2689" s="299"/>
      <c r="H2689" s="299"/>
      <c r="I2689" s="299"/>
      <c r="J2689" s="299"/>
      <c r="K2689" s="299"/>
      <c r="L2689" s="299"/>
    </row>
    <row r="2690" spans="1:12">
      <c r="A2690" s="299"/>
      <c r="B2690" s="322"/>
      <c r="G2690" s="299"/>
      <c r="H2690" s="299"/>
      <c r="I2690" s="299"/>
      <c r="J2690" s="299"/>
      <c r="K2690" s="299"/>
      <c r="L2690" s="299"/>
    </row>
    <row r="2691" spans="1:12">
      <c r="A2691" s="299"/>
      <c r="B2691" s="322"/>
      <c r="G2691" s="299"/>
      <c r="H2691" s="299"/>
      <c r="I2691" s="299"/>
      <c r="J2691" s="299"/>
      <c r="K2691" s="299"/>
      <c r="L2691" s="299"/>
    </row>
    <row r="2692" spans="1:12">
      <c r="A2692" s="299"/>
      <c r="B2692" s="322"/>
      <c r="G2692" s="299"/>
      <c r="H2692" s="299"/>
      <c r="I2692" s="299"/>
      <c r="J2692" s="299"/>
      <c r="K2692" s="299"/>
      <c r="L2692" s="299"/>
    </row>
    <row r="2693" spans="1:12">
      <c r="A2693" s="299"/>
      <c r="B2693" s="322"/>
      <c r="G2693" s="299"/>
      <c r="H2693" s="299"/>
      <c r="I2693" s="299"/>
      <c r="J2693" s="299"/>
      <c r="K2693" s="299"/>
      <c r="L2693" s="299"/>
    </row>
    <row r="2694" spans="1:12">
      <c r="A2694" s="299"/>
      <c r="B2694" s="322"/>
      <c r="G2694" s="299"/>
      <c r="H2694" s="299"/>
      <c r="I2694" s="299"/>
      <c r="J2694" s="299"/>
      <c r="K2694" s="299"/>
      <c r="L2694" s="299"/>
    </row>
    <row r="2695" spans="1:12">
      <c r="A2695" s="299"/>
      <c r="B2695" s="322"/>
      <c r="G2695" s="299"/>
      <c r="H2695" s="299"/>
      <c r="I2695" s="299"/>
      <c r="J2695" s="299"/>
      <c r="K2695" s="299"/>
      <c r="L2695" s="299"/>
    </row>
    <row r="2696" spans="1:12">
      <c r="A2696" s="299"/>
      <c r="B2696" s="322"/>
      <c r="G2696" s="299"/>
      <c r="H2696" s="299"/>
      <c r="I2696" s="299"/>
      <c r="J2696" s="299"/>
      <c r="K2696" s="299"/>
      <c r="L2696" s="299"/>
    </row>
    <row r="2697" spans="1:12">
      <c r="A2697" s="299"/>
      <c r="B2697" s="322"/>
      <c r="G2697" s="299"/>
      <c r="H2697" s="299"/>
      <c r="I2697" s="299"/>
      <c r="J2697" s="299"/>
      <c r="K2697" s="299"/>
      <c r="L2697" s="299"/>
    </row>
    <row r="2698" spans="1:12">
      <c r="A2698" s="299"/>
      <c r="B2698" s="322"/>
      <c r="G2698" s="299"/>
      <c r="H2698" s="299"/>
      <c r="I2698" s="299"/>
      <c r="J2698" s="299"/>
      <c r="K2698" s="299"/>
      <c r="L2698" s="299"/>
    </row>
    <row r="2699" spans="1:12">
      <c r="A2699" s="299"/>
      <c r="B2699" s="322"/>
      <c r="G2699" s="299"/>
      <c r="H2699" s="299"/>
      <c r="I2699" s="299"/>
      <c r="J2699" s="299"/>
      <c r="K2699" s="299"/>
      <c r="L2699" s="299"/>
    </row>
    <row r="2700" spans="1:12">
      <c r="A2700" s="299"/>
      <c r="B2700" s="322"/>
      <c r="G2700" s="299"/>
      <c r="H2700" s="299"/>
      <c r="I2700" s="299"/>
      <c r="J2700" s="299"/>
      <c r="K2700" s="299"/>
      <c r="L2700" s="299"/>
    </row>
    <row r="2701" spans="1:12">
      <c r="A2701" s="299"/>
      <c r="B2701" s="322"/>
      <c r="G2701" s="299"/>
      <c r="H2701" s="299"/>
      <c r="I2701" s="299"/>
      <c r="J2701" s="299"/>
      <c r="K2701" s="299"/>
      <c r="L2701" s="299"/>
    </row>
    <row r="2702" spans="1:12">
      <c r="A2702" s="299"/>
      <c r="B2702" s="322"/>
      <c r="G2702" s="299"/>
      <c r="H2702" s="299"/>
      <c r="I2702" s="299"/>
      <c r="J2702" s="299"/>
      <c r="K2702" s="299"/>
      <c r="L2702" s="299"/>
    </row>
    <row r="2703" spans="1:12">
      <c r="A2703" s="299"/>
      <c r="B2703" s="322"/>
      <c r="G2703" s="299"/>
      <c r="H2703" s="299"/>
      <c r="I2703" s="299"/>
      <c r="J2703" s="299"/>
      <c r="K2703" s="299"/>
      <c r="L2703" s="299"/>
    </row>
    <row r="2704" spans="1:12">
      <c r="A2704" s="299"/>
      <c r="B2704" s="322"/>
      <c r="G2704" s="299"/>
      <c r="H2704" s="299"/>
      <c r="I2704" s="299"/>
      <c r="J2704" s="299"/>
      <c r="K2704" s="299"/>
      <c r="L2704" s="299"/>
    </row>
    <row r="2705" spans="1:12">
      <c r="A2705" s="299"/>
      <c r="B2705" s="322"/>
      <c r="G2705" s="299"/>
      <c r="H2705" s="299"/>
      <c r="I2705" s="299"/>
      <c r="J2705" s="299"/>
      <c r="K2705" s="299"/>
      <c r="L2705" s="299"/>
    </row>
    <row r="2706" spans="1:12">
      <c r="A2706" s="299"/>
      <c r="B2706" s="322"/>
      <c r="G2706" s="299"/>
      <c r="H2706" s="299"/>
      <c r="I2706" s="299"/>
      <c r="J2706" s="299"/>
      <c r="K2706" s="299"/>
      <c r="L2706" s="299"/>
    </row>
    <row r="2707" spans="1:12">
      <c r="A2707" s="299"/>
      <c r="B2707" s="322"/>
      <c r="G2707" s="299"/>
      <c r="H2707" s="299"/>
      <c r="I2707" s="299"/>
      <c r="J2707" s="299"/>
      <c r="K2707" s="299"/>
      <c r="L2707" s="299"/>
    </row>
    <row r="2708" spans="1:12">
      <c r="A2708" s="299"/>
      <c r="B2708" s="322"/>
      <c r="G2708" s="299"/>
      <c r="H2708" s="299"/>
      <c r="I2708" s="299"/>
      <c r="J2708" s="299"/>
      <c r="K2708" s="299"/>
      <c r="L2708" s="299"/>
    </row>
    <row r="2709" spans="1:12">
      <c r="A2709" s="299"/>
      <c r="B2709" s="322"/>
      <c r="G2709" s="299"/>
      <c r="H2709" s="299"/>
      <c r="I2709" s="299"/>
      <c r="J2709" s="299"/>
      <c r="K2709" s="299"/>
      <c r="L2709" s="299"/>
    </row>
    <row r="2710" spans="1:12">
      <c r="A2710" s="299"/>
      <c r="B2710" s="322"/>
      <c r="G2710" s="299"/>
      <c r="H2710" s="299"/>
      <c r="I2710" s="299"/>
      <c r="J2710" s="299"/>
      <c r="K2710" s="299"/>
      <c r="L2710" s="299"/>
    </row>
    <row r="2711" spans="1:12">
      <c r="A2711" s="299"/>
      <c r="B2711" s="322"/>
      <c r="G2711" s="299"/>
      <c r="H2711" s="299"/>
      <c r="I2711" s="299"/>
      <c r="J2711" s="299"/>
      <c r="K2711" s="299"/>
      <c r="L2711" s="299"/>
    </row>
    <row r="2712" spans="1:12">
      <c r="A2712" s="299"/>
      <c r="B2712" s="322"/>
      <c r="G2712" s="299"/>
      <c r="H2712" s="299"/>
      <c r="I2712" s="299"/>
      <c r="J2712" s="299"/>
      <c r="K2712" s="299"/>
      <c r="L2712" s="299"/>
    </row>
    <row r="2713" spans="1:12">
      <c r="A2713" s="299"/>
      <c r="B2713" s="322"/>
      <c r="G2713" s="299"/>
      <c r="H2713" s="299"/>
      <c r="I2713" s="299"/>
      <c r="J2713" s="299"/>
      <c r="K2713" s="299"/>
      <c r="L2713" s="299"/>
    </row>
    <row r="2714" spans="1:12">
      <c r="A2714" s="299"/>
      <c r="B2714" s="322"/>
      <c r="G2714" s="299"/>
      <c r="H2714" s="299"/>
      <c r="I2714" s="299"/>
      <c r="J2714" s="299"/>
      <c r="K2714" s="299"/>
      <c r="L2714" s="299"/>
    </row>
    <row r="2715" spans="1:12">
      <c r="A2715" s="299"/>
      <c r="B2715" s="322"/>
      <c r="G2715" s="299"/>
      <c r="H2715" s="299"/>
      <c r="I2715" s="299"/>
      <c r="J2715" s="299"/>
      <c r="K2715" s="299"/>
      <c r="L2715" s="299"/>
    </row>
    <row r="2716" spans="1:12">
      <c r="A2716" s="299"/>
      <c r="B2716" s="322"/>
      <c r="G2716" s="299"/>
      <c r="H2716" s="299"/>
      <c r="I2716" s="299"/>
      <c r="J2716" s="299"/>
      <c r="K2716" s="299"/>
      <c r="L2716" s="299"/>
    </row>
    <row r="2717" spans="1:12">
      <c r="A2717" s="299"/>
      <c r="B2717" s="322"/>
      <c r="G2717" s="299"/>
      <c r="H2717" s="299"/>
      <c r="I2717" s="299"/>
      <c r="J2717" s="299"/>
      <c r="K2717" s="299"/>
      <c r="L2717" s="299"/>
    </row>
    <row r="2718" spans="1:12">
      <c r="A2718" s="299"/>
      <c r="B2718" s="322"/>
      <c r="G2718" s="299"/>
      <c r="H2718" s="299"/>
      <c r="I2718" s="299"/>
      <c r="J2718" s="299"/>
      <c r="K2718" s="299"/>
      <c r="L2718" s="299"/>
    </row>
    <row r="2719" spans="1:12">
      <c r="A2719" s="299"/>
      <c r="B2719" s="322"/>
      <c r="G2719" s="299"/>
      <c r="H2719" s="299"/>
      <c r="I2719" s="299"/>
      <c r="J2719" s="299"/>
      <c r="K2719" s="299"/>
      <c r="L2719" s="299"/>
    </row>
    <row r="2720" spans="1:12">
      <c r="A2720" s="299"/>
      <c r="B2720" s="322"/>
      <c r="G2720" s="299"/>
      <c r="H2720" s="299"/>
      <c r="I2720" s="299"/>
      <c r="J2720" s="299"/>
      <c r="K2720" s="299"/>
      <c r="L2720" s="299"/>
    </row>
    <row r="2721" spans="1:12">
      <c r="A2721" s="299"/>
      <c r="B2721" s="322"/>
      <c r="G2721" s="299"/>
      <c r="H2721" s="299"/>
      <c r="I2721" s="299"/>
      <c r="J2721" s="299"/>
      <c r="K2721" s="299"/>
      <c r="L2721" s="299"/>
    </row>
    <row r="2722" spans="1:12">
      <c r="A2722" s="299"/>
      <c r="B2722" s="322"/>
      <c r="G2722" s="299"/>
      <c r="H2722" s="299"/>
      <c r="I2722" s="299"/>
      <c r="J2722" s="299"/>
      <c r="K2722" s="299"/>
      <c r="L2722" s="299"/>
    </row>
    <row r="2723" spans="1:12">
      <c r="A2723" s="299"/>
      <c r="B2723" s="322"/>
      <c r="G2723" s="299"/>
      <c r="H2723" s="299"/>
      <c r="I2723" s="299"/>
      <c r="J2723" s="299"/>
      <c r="K2723" s="299"/>
      <c r="L2723" s="299"/>
    </row>
    <row r="2724" spans="1:12">
      <c r="A2724" s="299"/>
      <c r="B2724" s="322"/>
      <c r="G2724" s="299"/>
      <c r="H2724" s="299"/>
      <c r="I2724" s="299"/>
      <c r="J2724" s="299"/>
      <c r="K2724" s="299"/>
      <c r="L2724" s="299"/>
    </row>
    <row r="2725" spans="1:12">
      <c r="A2725" s="299"/>
      <c r="B2725" s="322"/>
      <c r="G2725" s="299"/>
      <c r="H2725" s="299"/>
      <c r="I2725" s="299"/>
      <c r="J2725" s="299"/>
      <c r="K2725" s="299"/>
      <c r="L2725" s="299"/>
    </row>
    <row r="2726" spans="1:12">
      <c r="A2726" s="299"/>
      <c r="B2726" s="322"/>
      <c r="G2726" s="299"/>
      <c r="H2726" s="299"/>
      <c r="I2726" s="299"/>
      <c r="J2726" s="299"/>
      <c r="K2726" s="299"/>
      <c r="L2726" s="299"/>
    </row>
    <row r="2727" spans="1:12">
      <c r="A2727" s="299"/>
      <c r="B2727" s="322"/>
      <c r="G2727" s="299"/>
      <c r="H2727" s="299"/>
      <c r="I2727" s="299"/>
      <c r="J2727" s="299"/>
      <c r="K2727" s="299"/>
      <c r="L2727" s="299"/>
    </row>
    <row r="2728" spans="1:12">
      <c r="A2728" s="299"/>
      <c r="B2728" s="322"/>
      <c r="G2728" s="299"/>
      <c r="H2728" s="299"/>
      <c r="I2728" s="299"/>
      <c r="J2728" s="299"/>
      <c r="K2728" s="299"/>
      <c r="L2728" s="299"/>
    </row>
    <row r="2729" spans="1:12">
      <c r="A2729" s="299"/>
      <c r="B2729" s="322"/>
      <c r="G2729" s="299"/>
      <c r="H2729" s="299"/>
      <c r="I2729" s="299"/>
      <c r="J2729" s="299"/>
      <c r="K2729" s="299"/>
      <c r="L2729" s="299"/>
    </row>
    <row r="2730" spans="1:12">
      <c r="A2730" s="299"/>
      <c r="B2730" s="322"/>
      <c r="G2730" s="299"/>
      <c r="H2730" s="299"/>
      <c r="I2730" s="299"/>
      <c r="J2730" s="299"/>
      <c r="K2730" s="299"/>
      <c r="L2730" s="299"/>
    </row>
    <row r="2731" spans="1:12">
      <c r="A2731" s="299"/>
      <c r="B2731" s="322"/>
      <c r="G2731" s="299"/>
      <c r="H2731" s="299"/>
      <c r="I2731" s="299"/>
      <c r="J2731" s="299"/>
      <c r="K2731" s="299"/>
      <c r="L2731" s="299"/>
    </row>
    <row r="2732" spans="1:12">
      <c r="A2732" s="299"/>
      <c r="B2732" s="322"/>
      <c r="G2732" s="299"/>
      <c r="H2732" s="299"/>
      <c r="I2732" s="299"/>
      <c r="J2732" s="299"/>
      <c r="K2732" s="299"/>
      <c r="L2732" s="299"/>
    </row>
    <row r="2733" spans="1:12">
      <c r="A2733" s="299"/>
      <c r="B2733" s="322"/>
      <c r="G2733" s="299"/>
      <c r="H2733" s="299"/>
      <c r="I2733" s="299"/>
      <c r="J2733" s="299"/>
      <c r="K2733" s="299"/>
      <c r="L2733" s="299"/>
    </row>
    <row r="2734" spans="1:12">
      <c r="A2734" s="299"/>
      <c r="B2734" s="322"/>
      <c r="G2734" s="299"/>
      <c r="H2734" s="299"/>
      <c r="I2734" s="299"/>
      <c r="J2734" s="299"/>
      <c r="K2734" s="299"/>
      <c r="L2734" s="299"/>
    </row>
    <row r="2735" spans="1:12">
      <c r="A2735" s="299"/>
      <c r="B2735" s="322"/>
      <c r="G2735" s="299"/>
      <c r="H2735" s="299"/>
      <c r="I2735" s="299"/>
      <c r="J2735" s="299"/>
      <c r="K2735" s="299"/>
      <c r="L2735" s="299"/>
    </row>
    <row r="2736" spans="1:12">
      <c r="A2736" s="299"/>
      <c r="B2736" s="322"/>
      <c r="G2736" s="299"/>
      <c r="H2736" s="299"/>
      <c r="I2736" s="299"/>
      <c r="J2736" s="299"/>
      <c r="K2736" s="299"/>
      <c r="L2736" s="299"/>
    </row>
    <row r="2737" spans="1:12">
      <c r="A2737" s="299"/>
      <c r="B2737" s="322"/>
      <c r="G2737" s="299"/>
      <c r="H2737" s="299"/>
      <c r="I2737" s="299"/>
      <c r="J2737" s="299"/>
      <c r="K2737" s="299"/>
      <c r="L2737" s="299"/>
    </row>
    <row r="2738" spans="1:12">
      <c r="A2738" s="299"/>
      <c r="B2738" s="322"/>
      <c r="G2738" s="299"/>
      <c r="H2738" s="299"/>
      <c r="I2738" s="299"/>
      <c r="J2738" s="299"/>
      <c r="K2738" s="299"/>
      <c r="L2738" s="299"/>
    </row>
    <row r="2739" spans="1:12">
      <c r="A2739" s="299"/>
      <c r="B2739" s="322"/>
      <c r="G2739" s="299"/>
      <c r="H2739" s="299"/>
      <c r="I2739" s="299"/>
      <c r="J2739" s="299"/>
      <c r="K2739" s="299"/>
      <c r="L2739" s="299"/>
    </row>
    <row r="2740" spans="1:12">
      <c r="A2740" s="299"/>
      <c r="B2740" s="322"/>
      <c r="G2740" s="299"/>
      <c r="H2740" s="299"/>
      <c r="I2740" s="299"/>
      <c r="J2740" s="299"/>
      <c r="K2740" s="299"/>
      <c r="L2740" s="299"/>
    </row>
    <row r="2741" spans="1:12">
      <c r="A2741" s="299"/>
      <c r="B2741" s="322"/>
      <c r="G2741" s="299"/>
      <c r="H2741" s="299"/>
      <c r="I2741" s="299"/>
      <c r="J2741" s="299"/>
      <c r="K2741" s="299"/>
      <c r="L2741" s="299"/>
    </row>
    <row r="2742" spans="1:12">
      <c r="A2742" s="299"/>
      <c r="B2742" s="322"/>
      <c r="G2742" s="299"/>
      <c r="H2742" s="299"/>
      <c r="I2742" s="299"/>
      <c r="J2742" s="299"/>
      <c r="K2742" s="299"/>
      <c r="L2742" s="299"/>
    </row>
    <row r="2743" spans="1:12">
      <c r="A2743" s="299"/>
      <c r="B2743" s="322"/>
      <c r="G2743" s="299"/>
      <c r="H2743" s="299"/>
      <c r="I2743" s="299"/>
      <c r="J2743" s="299"/>
      <c r="K2743" s="299"/>
      <c r="L2743" s="299"/>
    </row>
    <row r="2744" spans="1:12">
      <c r="A2744" s="299"/>
      <c r="B2744" s="322"/>
      <c r="G2744" s="299"/>
      <c r="H2744" s="299"/>
      <c r="I2744" s="299"/>
      <c r="J2744" s="299"/>
      <c r="K2744" s="299"/>
      <c r="L2744" s="299"/>
    </row>
    <row r="2745" spans="1:12">
      <c r="A2745" s="299"/>
      <c r="B2745" s="322"/>
      <c r="G2745" s="299"/>
      <c r="H2745" s="299"/>
      <c r="I2745" s="299"/>
      <c r="J2745" s="299"/>
      <c r="K2745" s="299"/>
      <c r="L2745" s="299"/>
    </row>
    <row r="2746" spans="1:12">
      <c r="A2746" s="299"/>
      <c r="B2746" s="322"/>
      <c r="G2746" s="299"/>
      <c r="H2746" s="299"/>
      <c r="I2746" s="299"/>
      <c r="J2746" s="299"/>
      <c r="K2746" s="299"/>
      <c r="L2746" s="299"/>
    </row>
    <row r="2747" spans="1:12">
      <c r="A2747" s="299"/>
      <c r="B2747" s="322"/>
      <c r="G2747" s="299"/>
      <c r="H2747" s="299"/>
      <c r="I2747" s="299"/>
      <c r="J2747" s="299"/>
      <c r="K2747" s="299"/>
      <c r="L2747" s="299"/>
    </row>
    <row r="2748" spans="1:12">
      <c r="A2748" s="299"/>
      <c r="B2748" s="322"/>
      <c r="G2748" s="299"/>
      <c r="H2748" s="299"/>
      <c r="I2748" s="299"/>
      <c r="J2748" s="299"/>
      <c r="K2748" s="299"/>
      <c r="L2748" s="299"/>
    </row>
    <row r="2749" spans="1:12">
      <c r="A2749" s="299"/>
      <c r="B2749" s="322"/>
      <c r="G2749" s="299"/>
      <c r="H2749" s="299"/>
      <c r="I2749" s="299"/>
      <c r="J2749" s="299"/>
      <c r="K2749" s="299"/>
      <c r="L2749" s="299"/>
    </row>
    <row r="2750" spans="1:12">
      <c r="A2750" s="299"/>
      <c r="B2750" s="322"/>
      <c r="G2750" s="299"/>
      <c r="H2750" s="299"/>
      <c r="I2750" s="299"/>
      <c r="J2750" s="299"/>
      <c r="K2750" s="299"/>
      <c r="L2750" s="299"/>
    </row>
    <row r="2751" spans="1:12">
      <c r="A2751" s="299"/>
      <c r="B2751" s="322"/>
      <c r="G2751" s="299"/>
      <c r="H2751" s="299"/>
      <c r="I2751" s="299"/>
      <c r="J2751" s="299"/>
      <c r="K2751" s="299"/>
      <c r="L2751" s="299"/>
    </row>
    <row r="2752" spans="1:12">
      <c r="A2752" s="299"/>
      <c r="B2752" s="322"/>
      <c r="G2752" s="299"/>
      <c r="H2752" s="299"/>
      <c r="I2752" s="299"/>
      <c r="J2752" s="299"/>
      <c r="K2752" s="299"/>
      <c r="L2752" s="299"/>
    </row>
    <row r="2753" spans="1:12">
      <c r="A2753" s="299"/>
      <c r="B2753" s="322"/>
      <c r="G2753" s="299"/>
      <c r="H2753" s="299"/>
      <c r="I2753" s="299"/>
      <c r="J2753" s="299"/>
      <c r="K2753" s="299"/>
      <c r="L2753" s="299"/>
    </row>
    <row r="2754" spans="1:12">
      <c r="A2754" s="299"/>
      <c r="B2754" s="322"/>
      <c r="G2754" s="299"/>
      <c r="H2754" s="299"/>
      <c r="I2754" s="299"/>
      <c r="J2754" s="299"/>
      <c r="K2754" s="299"/>
      <c r="L2754" s="299"/>
    </row>
    <row r="2755" spans="1:12">
      <c r="A2755" s="299"/>
      <c r="B2755" s="322"/>
      <c r="G2755" s="299"/>
      <c r="H2755" s="299"/>
      <c r="I2755" s="299"/>
      <c r="J2755" s="299"/>
      <c r="K2755" s="299"/>
      <c r="L2755" s="299"/>
    </row>
    <row r="2756" spans="1:12">
      <c r="A2756" s="299"/>
      <c r="B2756" s="322"/>
      <c r="G2756" s="299"/>
      <c r="H2756" s="299"/>
      <c r="I2756" s="299"/>
      <c r="J2756" s="299"/>
      <c r="K2756" s="299"/>
      <c r="L2756" s="299"/>
    </row>
    <row r="2757" spans="1:12">
      <c r="A2757" s="299"/>
      <c r="B2757" s="322"/>
      <c r="G2757" s="299"/>
      <c r="H2757" s="299"/>
      <c r="I2757" s="299"/>
      <c r="J2757" s="299"/>
      <c r="K2757" s="299"/>
      <c r="L2757" s="299"/>
    </row>
    <row r="2758" spans="1:12">
      <c r="A2758" s="299"/>
      <c r="B2758" s="322"/>
      <c r="G2758" s="299"/>
      <c r="H2758" s="299"/>
      <c r="I2758" s="299"/>
      <c r="J2758" s="299"/>
      <c r="K2758" s="299"/>
      <c r="L2758" s="299"/>
    </row>
    <row r="2759" spans="1:12">
      <c r="A2759" s="299"/>
      <c r="B2759" s="322"/>
      <c r="G2759" s="299"/>
      <c r="H2759" s="299"/>
      <c r="I2759" s="299"/>
      <c r="J2759" s="299"/>
      <c r="K2759" s="299"/>
      <c r="L2759" s="299"/>
    </row>
    <row r="2760" spans="1:12">
      <c r="A2760" s="299"/>
      <c r="B2760" s="322"/>
      <c r="G2760" s="299"/>
      <c r="H2760" s="299"/>
      <c r="I2760" s="299"/>
      <c r="J2760" s="299"/>
      <c r="K2760" s="299"/>
      <c r="L2760" s="299"/>
    </row>
    <row r="2761" spans="1:12">
      <c r="A2761" s="299"/>
      <c r="B2761" s="322"/>
      <c r="G2761" s="299"/>
      <c r="H2761" s="299"/>
      <c r="I2761" s="299"/>
      <c r="J2761" s="299"/>
      <c r="K2761" s="299"/>
      <c r="L2761" s="299"/>
    </row>
    <row r="2762" spans="1:12">
      <c r="A2762" s="299"/>
      <c r="B2762" s="322"/>
      <c r="G2762" s="299"/>
      <c r="H2762" s="299"/>
      <c r="I2762" s="299"/>
      <c r="J2762" s="299"/>
      <c r="K2762" s="299"/>
      <c r="L2762" s="299"/>
    </row>
    <row r="2763" spans="1:12">
      <c r="A2763" s="299"/>
      <c r="B2763" s="322"/>
      <c r="G2763" s="299"/>
      <c r="H2763" s="299"/>
      <c r="I2763" s="299"/>
      <c r="J2763" s="299"/>
      <c r="K2763" s="299"/>
      <c r="L2763" s="299"/>
    </row>
    <row r="2764" spans="1:12">
      <c r="A2764" s="299"/>
      <c r="B2764" s="322"/>
      <c r="G2764" s="299"/>
      <c r="H2764" s="299"/>
      <c r="I2764" s="299"/>
      <c r="J2764" s="299"/>
      <c r="K2764" s="299"/>
      <c r="L2764" s="299"/>
    </row>
    <row r="2765" spans="1:12">
      <c r="A2765" s="299"/>
      <c r="B2765" s="322"/>
      <c r="G2765" s="299"/>
      <c r="H2765" s="299"/>
      <c r="I2765" s="299"/>
      <c r="J2765" s="299"/>
      <c r="K2765" s="299"/>
      <c r="L2765" s="299"/>
    </row>
    <row r="2766" spans="1:12">
      <c r="A2766" s="299"/>
      <c r="B2766" s="322"/>
      <c r="G2766" s="299"/>
      <c r="H2766" s="299"/>
      <c r="I2766" s="299"/>
      <c r="J2766" s="299"/>
      <c r="K2766" s="299"/>
      <c r="L2766" s="299"/>
    </row>
    <row r="2767" spans="1:12">
      <c r="A2767" s="299"/>
      <c r="B2767" s="322"/>
      <c r="G2767" s="299"/>
      <c r="H2767" s="299"/>
      <c r="I2767" s="299"/>
      <c r="J2767" s="299"/>
      <c r="K2767" s="299"/>
      <c r="L2767" s="299"/>
    </row>
    <row r="2768" spans="1:12">
      <c r="A2768" s="299"/>
      <c r="B2768" s="322"/>
      <c r="G2768" s="299"/>
      <c r="H2768" s="299"/>
      <c r="I2768" s="299"/>
      <c r="J2768" s="299"/>
      <c r="K2768" s="299"/>
      <c r="L2768" s="299"/>
    </row>
    <row r="2769" spans="1:12">
      <c r="A2769" s="299"/>
      <c r="B2769" s="322"/>
      <c r="G2769" s="299"/>
      <c r="H2769" s="299"/>
      <c r="I2769" s="299"/>
      <c r="J2769" s="299"/>
      <c r="K2769" s="299"/>
      <c r="L2769" s="299"/>
    </row>
    <row r="2770" spans="1:12">
      <c r="A2770" s="299"/>
      <c r="B2770" s="322"/>
      <c r="G2770" s="299"/>
      <c r="H2770" s="299"/>
      <c r="I2770" s="299"/>
      <c r="J2770" s="299"/>
      <c r="K2770" s="299"/>
      <c r="L2770" s="299"/>
    </row>
    <row r="2771" spans="1:12">
      <c r="A2771" s="299"/>
      <c r="B2771" s="322"/>
      <c r="G2771" s="299"/>
      <c r="H2771" s="299"/>
      <c r="I2771" s="299"/>
      <c r="J2771" s="299"/>
      <c r="K2771" s="299"/>
      <c r="L2771" s="299"/>
    </row>
    <row r="2772" spans="1:12">
      <c r="A2772" s="299"/>
      <c r="B2772" s="322"/>
      <c r="G2772" s="299"/>
      <c r="H2772" s="299"/>
      <c r="I2772" s="299"/>
      <c r="J2772" s="299"/>
      <c r="K2772" s="299"/>
      <c r="L2772" s="299"/>
    </row>
    <row r="2773" spans="1:12">
      <c r="A2773" s="299"/>
      <c r="B2773" s="322"/>
      <c r="G2773" s="299"/>
      <c r="H2773" s="299"/>
      <c r="I2773" s="299"/>
      <c r="J2773" s="299"/>
      <c r="K2773" s="299"/>
      <c r="L2773" s="299"/>
    </row>
    <row r="2774" spans="1:12">
      <c r="A2774" s="299"/>
      <c r="B2774" s="322"/>
      <c r="G2774" s="299"/>
      <c r="H2774" s="299"/>
      <c r="I2774" s="299"/>
      <c r="J2774" s="299"/>
      <c r="K2774" s="299"/>
      <c r="L2774" s="299"/>
    </row>
    <row r="2775" spans="1:12">
      <c r="A2775" s="299"/>
      <c r="B2775" s="322"/>
      <c r="G2775" s="299"/>
      <c r="H2775" s="299"/>
      <c r="I2775" s="299"/>
      <c r="J2775" s="299"/>
      <c r="K2775" s="299"/>
      <c r="L2775" s="299"/>
    </row>
    <row r="2776" spans="1:12">
      <c r="A2776" s="299"/>
      <c r="B2776" s="322"/>
      <c r="G2776" s="299"/>
      <c r="H2776" s="299"/>
      <c r="I2776" s="299"/>
      <c r="J2776" s="299"/>
      <c r="K2776" s="299"/>
      <c r="L2776" s="299"/>
    </row>
    <row r="2777" spans="1:12">
      <c r="A2777" s="299"/>
      <c r="B2777" s="322"/>
      <c r="G2777" s="299"/>
      <c r="H2777" s="299"/>
      <c r="I2777" s="299"/>
      <c r="J2777" s="299"/>
      <c r="K2777" s="299"/>
      <c r="L2777" s="299"/>
    </row>
    <row r="2778" spans="1:12">
      <c r="A2778" s="299"/>
      <c r="B2778" s="322"/>
      <c r="G2778" s="299"/>
      <c r="H2778" s="299"/>
      <c r="I2778" s="299"/>
      <c r="J2778" s="299"/>
      <c r="K2778" s="299"/>
      <c r="L2778" s="299"/>
    </row>
    <row r="2779" spans="1:12">
      <c r="A2779" s="299"/>
      <c r="B2779" s="322"/>
      <c r="G2779" s="299"/>
      <c r="H2779" s="299"/>
      <c r="I2779" s="299"/>
      <c r="J2779" s="299"/>
      <c r="K2779" s="299"/>
      <c r="L2779" s="299"/>
    </row>
    <row r="2780" spans="1:12">
      <c r="A2780" s="299"/>
      <c r="B2780" s="322"/>
      <c r="G2780" s="299"/>
      <c r="H2780" s="299"/>
      <c r="I2780" s="299"/>
      <c r="J2780" s="299"/>
      <c r="K2780" s="299"/>
      <c r="L2780" s="299"/>
    </row>
    <row r="2781" spans="1:12">
      <c r="A2781" s="299"/>
      <c r="B2781" s="322"/>
      <c r="G2781" s="299"/>
      <c r="H2781" s="299"/>
      <c r="I2781" s="299"/>
      <c r="J2781" s="299"/>
      <c r="K2781" s="299"/>
      <c r="L2781" s="299"/>
    </row>
    <row r="2782" spans="1:12">
      <c r="A2782" s="299"/>
      <c r="B2782" s="322"/>
      <c r="G2782" s="299"/>
      <c r="H2782" s="299"/>
      <c r="I2782" s="299"/>
      <c r="J2782" s="299"/>
      <c r="K2782" s="299"/>
      <c r="L2782" s="299"/>
    </row>
    <row r="2783" spans="1:12">
      <c r="A2783" s="299"/>
      <c r="B2783" s="322"/>
      <c r="G2783" s="299"/>
      <c r="H2783" s="299"/>
      <c r="I2783" s="299"/>
      <c r="J2783" s="299"/>
      <c r="K2783" s="299"/>
      <c r="L2783" s="299"/>
    </row>
    <row r="2784" spans="1:12">
      <c r="A2784" s="299"/>
      <c r="B2784" s="322"/>
      <c r="G2784" s="299"/>
      <c r="H2784" s="299"/>
      <c r="I2784" s="299"/>
      <c r="J2784" s="299"/>
      <c r="K2784" s="299"/>
      <c r="L2784" s="299"/>
    </row>
    <row r="2785" spans="1:12">
      <c r="A2785" s="299"/>
      <c r="B2785" s="322"/>
      <c r="G2785" s="299"/>
      <c r="H2785" s="299"/>
      <c r="I2785" s="299"/>
      <c r="J2785" s="299"/>
      <c r="K2785" s="299"/>
      <c r="L2785" s="299"/>
    </row>
    <row r="2786" spans="1:12">
      <c r="A2786" s="299"/>
      <c r="B2786" s="322"/>
      <c r="G2786" s="299"/>
      <c r="H2786" s="299"/>
      <c r="I2786" s="299"/>
      <c r="J2786" s="299"/>
      <c r="K2786" s="299"/>
      <c r="L2786" s="299"/>
    </row>
    <row r="2787" spans="1:12">
      <c r="A2787" s="299"/>
      <c r="B2787" s="322"/>
      <c r="G2787" s="299"/>
      <c r="H2787" s="299"/>
      <c r="I2787" s="299"/>
      <c r="J2787" s="299"/>
      <c r="K2787" s="299"/>
      <c r="L2787" s="299"/>
    </row>
    <row r="2788" spans="1:12">
      <c r="A2788" s="299"/>
      <c r="B2788" s="322"/>
      <c r="G2788" s="299"/>
      <c r="H2788" s="299"/>
      <c r="I2788" s="299"/>
      <c r="J2788" s="299"/>
      <c r="K2788" s="299"/>
      <c r="L2788" s="299"/>
    </row>
    <row r="2789" spans="1:12">
      <c r="A2789" s="299"/>
      <c r="B2789" s="322"/>
      <c r="G2789" s="299"/>
      <c r="H2789" s="299"/>
      <c r="I2789" s="299"/>
      <c r="J2789" s="299"/>
      <c r="K2789" s="299"/>
      <c r="L2789" s="299"/>
    </row>
    <row r="2790" spans="1:12">
      <c r="A2790" s="299"/>
      <c r="B2790" s="322"/>
      <c r="G2790" s="299"/>
      <c r="H2790" s="299"/>
      <c r="I2790" s="299"/>
      <c r="J2790" s="299"/>
      <c r="K2790" s="299"/>
      <c r="L2790" s="299"/>
    </row>
    <row r="2791" spans="1:12">
      <c r="A2791" s="299"/>
      <c r="B2791" s="322"/>
      <c r="G2791" s="299"/>
      <c r="H2791" s="299"/>
      <c r="I2791" s="299"/>
      <c r="J2791" s="299"/>
      <c r="K2791" s="299"/>
      <c r="L2791" s="299"/>
    </row>
    <row r="2792" spans="1:12">
      <c r="A2792" s="299"/>
      <c r="B2792" s="322"/>
      <c r="G2792" s="299"/>
      <c r="H2792" s="299"/>
      <c r="I2792" s="299"/>
      <c r="J2792" s="299"/>
      <c r="K2792" s="299"/>
      <c r="L2792" s="299"/>
    </row>
    <row r="2793" spans="1:12">
      <c r="A2793" s="299"/>
      <c r="B2793" s="322"/>
      <c r="G2793" s="299"/>
      <c r="H2793" s="299"/>
      <c r="I2793" s="299"/>
      <c r="J2793" s="299"/>
      <c r="K2793" s="299"/>
      <c r="L2793" s="299"/>
    </row>
    <row r="2794" spans="1:12">
      <c r="A2794" s="299"/>
      <c r="B2794" s="322"/>
      <c r="G2794" s="299"/>
      <c r="H2794" s="299"/>
      <c r="I2794" s="299"/>
      <c r="J2794" s="299"/>
      <c r="K2794" s="299"/>
      <c r="L2794" s="299"/>
    </row>
    <row r="2795" spans="1:12">
      <c r="A2795" s="299"/>
      <c r="B2795" s="322"/>
      <c r="G2795" s="299"/>
      <c r="H2795" s="299"/>
      <c r="I2795" s="299"/>
      <c r="J2795" s="299"/>
      <c r="K2795" s="299"/>
      <c r="L2795" s="299"/>
    </row>
    <row r="2796" spans="1:12">
      <c r="A2796" s="299"/>
      <c r="B2796" s="322"/>
      <c r="G2796" s="299"/>
      <c r="H2796" s="299"/>
      <c r="I2796" s="299"/>
      <c r="J2796" s="299"/>
      <c r="K2796" s="299"/>
      <c r="L2796" s="299"/>
    </row>
    <row r="2797" spans="1:12">
      <c r="A2797" s="299"/>
      <c r="B2797" s="322"/>
      <c r="G2797" s="299"/>
      <c r="H2797" s="299"/>
      <c r="I2797" s="299"/>
      <c r="J2797" s="299"/>
      <c r="K2797" s="299"/>
      <c r="L2797" s="299"/>
    </row>
    <row r="2798" spans="1:12">
      <c r="A2798" s="299"/>
      <c r="B2798" s="322"/>
      <c r="G2798" s="299"/>
      <c r="H2798" s="299"/>
      <c r="I2798" s="299"/>
      <c r="J2798" s="299"/>
      <c r="K2798" s="299"/>
      <c r="L2798" s="299"/>
    </row>
    <row r="2799" spans="1:12">
      <c r="A2799" s="299"/>
      <c r="B2799" s="322"/>
      <c r="G2799" s="299"/>
      <c r="H2799" s="299"/>
      <c r="I2799" s="299"/>
      <c r="J2799" s="299"/>
      <c r="K2799" s="299"/>
      <c r="L2799" s="299"/>
    </row>
    <row r="2800" spans="1:12">
      <c r="A2800" s="299"/>
      <c r="B2800" s="322"/>
      <c r="G2800" s="299"/>
      <c r="H2800" s="299"/>
      <c r="I2800" s="299"/>
      <c r="J2800" s="299"/>
      <c r="K2800" s="299"/>
      <c r="L2800" s="299"/>
    </row>
    <row r="2801" spans="1:12">
      <c r="A2801" s="299"/>
      <c r="B2801" s="322"/>
      <c r="G2801" s="299"/>
      <c r="H2801" s="299"/>
      <c r="I2801" s="299"/>
      <c r="J2801" s="299"/>
      <c r="K2801" s="299"/>
      <c r="L2801" s="299"/>
    </row>
    <row r="2802" spans="1:12">
      <c r="A2802" s="299"/>
      <c r="B2802" s="322"/>
      <c r="G2802" s="299"/>
      <c r="H2802" s="299"/>
      <c r="I2802" s="299"/>
      <c r="J2802" s="299"/>
      <c r="K2802" s="299"/>
      <c r="L2802" s="299"/>
    </row>
    <row r="2803" spans="1:12">
      <c r="A2803" s="299"/>
      <c r="B2803" s="322"/>
      <c r="G2803" s="299"/>
      <c r="H2803" s="299"/>
      <c r="I2803" s="299"/>
      <c r="J2803" s="299"/>
      <c r="K2803" s="299"/>
      <c r="L2803" s="299"/>
    </row>
    <row r="2804" spans="1:12">
      <c r="A2804" s="299"/>
      <c r="B2804" s="322"/>
      <c r="G2804" s="299"/>
      <c r="H2804" s="299"/>
      <c r="I2804" s="299"/>
      <c r="J2804" s="299"/>
      <c r="K2804" s="299"/>
      <c r="L2804" s="299"/>
    </row>
    <row r="2805" spans="1:12">
      <c r="A2805" s="299"/>
      <c r="B2805" s="322"/>
      <c r="G2805" s="299"/>
      <c r="H2805" s="299"/>
      <c r="I2805" s="299"/>
      <c r="J2805" s="299"/>
      <c r="K2805" s="299"/>
      <c r="L2805" s="299"/>
    </row>
    <row r="2806" spans="1:12">
      <c r="A2806" s="299"/>
      <c r="B2806" s="322"/>
      <c r="G2806" s="299"/>
      <c r="H2806" s="299"/>
      <c r="I2806" s="299"/>
      <c r="J2806" s="299"/>
      <c r="K2806" s="299"/>
      <c r="L2806" s="299"/>
    </row>
    <row r="2807" spans="1:12">
      <c r="A2807" s="299"/>
      <c r="B2807" s="322"/>
      <c r="G2807" s="299"/>
      <c r="H2807" s="299"/>
      <c r="I2807" s="299"/>
      <c r="J2807" s="299"/>
      <c r="K2807" s="299"/>
      <c r="L2807" s="299"/>
    </row>
    <row r="2808" spans="1:12">
      <c r="A2808" s="299"/>
      <c r="B2808" s="322"/>
      <c r="G2808" s="299"/>
      <c r="H2808" s="299"/>
      <c r="I2808" s="299"/>
      <c r="J2808" s="299"/>
      <c r="K2808" s="299"/>
      <c r="L2808" s="299"/>
    </row>
    <row r="2809" spans="1:12">
      <c r="A2809" s="299"/>
      <c r="B2809" s="322"/>
      <c r="G2809" s="299"/>
      <c r="H2809" s="299"/>
      <c r="I2809" s="299"/>
      <c r="J2809" s="299"/>
      <c r="K2809" s="299"/>
      <c r="L2809" s="299"/>
    </row>
    <row r="2810" spans="1:12">
      <c r="A2810" s="299"/>
      <c r="B2810" s="322"/>
      <c r="G2810" s="299"/>
      <c r="H2810" s="299"/>
      <c r="I2810" s="299"/>
      <c r="J2810" s="299"/>
      <c r="K2810" s="299"/>
      <c r="L2810" s="299"/>
    </row>
    <row r="2811" spans="1:12">
      <c r="A2811" s="299"/>
      <c r="B2811" s="322"/>
      <c r="G2811" s="299"/>
      <c r="H2811" s="299"/>
      <c r="I2811" s="299"/>
      <c r="J2811" s="299"/>
      <c r="K2811" s="299"/>
      <c r="L2811" s="299"/>
    </row>
    <row r="2812" spans="1:12">
      <c r="A2812" s="299"/>
      <c r="B2812" s="322"/>
      <c r="G2812" s="299"/>
      <c r="H2812" s="299"/>
      <c r="I2812" s="299"/>
      <c r="J2812" s="299"/>
      <c r="K2812" s="299"/>
      <c r="L2812" s="299"/>
    </row>
    <row r="2813" spans="1:12">
      <c r="A2813" s="299"/>
      <c r="B2813" s="322"/>
      <c r="G2813" s="299"/>
      <c r="H2813" s="299"/>
      <c r="I2813" s="299"/>
      <c r="J2813" s="299"/>
      <c r="K2813" s="299"/>
      <c r="L2813" s="299"/>
    </row>
    <row r="2814" spans="1:12">
      <c r="A2814" s="299"/>
      <c r="B2814" s="322"/>
      <c r="G2814" s="299"/>
      <c r="H2814" s="299"/>
      <c r="I2814" s="299"/>
      <c r="J2814" s="299"/>
      <c r="K2814" s="299"/>
      <c r="L2814" s="299"/>
    </row>
    <row r="2815" spans="1:12">
      <c r="A2815" s="299"/>
      <c r="B2815" s="322"/>
      <c r="G2815" s="299"/>
      <c r="H2815" s="299"/>
      <c r="I2815" s="299"/>
      <c r="J2815" s="299"/>
      <c r="K2815" s="299"/>
      <c r="L2815" s="299"/>
    </row>
    <row r="2816" spans="1:12">
      <c r="A2816" s="299"/>
      <c r="B2816" s="322"/>
      <c r="G2816" s="299"/>
      <c r="H2816" s="299"/>
      <c r="I2816" s="299"/>
      <c r="J2816" s="299"/>
      <c r="K2816" s="299"/>
      <c r="L2816" s="299"/>
    </row>
    <row r="2817" spans="1:12">
      <c r="A2817" s="299"/>
      <c r="B2817" s="322"/>
      <c r="G2817" s="299"/>
      <c r="H2817" s="299"/>
      <c r="I2817" s="299"/>
      <c r="J2817" s="299"/>
      <c r="K2817" s="299"/>
      <c r="L2817" s="299"/>
    </row>
    <row r="2818" spans="1:12">
      <c r="A2818" s="299"/>
      <c r="B2818" s="322"/>
      <c r="G2818" s="299"/>
      <c r="H2818" s="299"/>
      <c r="I2818" s="299"/>
      <c r="J2818" s="299"/>
      <c r="K2818" s="299"/>
      <c r="L2818" s="299"/>
    </row>
    <row r="2819" spans="1:12">
      <c r="A2819" s="299"/>
      <c r="B2819" s="322"/>
      <c r="G2819" s="299"/>
      <c r="H2819" s="299"/>
      <c r="I2819" s="299"/>
      <c r="J2819" s="299"/>
      <c r="K2819" s="299"/>
      <c r="L2819" s="299"/>
    </row>
    <row r="2820" spans="1:12">
      <c r="A2820" s="299"/>
      <c r="B2820" s="322"/>
      <c r="G2820" s="299"/>
      <c r="H2820" s="299"/>
      <c r="I2820" s="299"/>
      <c r="J2820" s="299"/>
      <c r="K2820" s="299"/>
      <c r="L2820" s="299"/>
    </row>
    <row r="2821" spans="1:12">
      <c r="A2821" s="299"/>
      <c r="B2821" s="322"/>
      <c r="G2821" s="299"/>
      <c r="H2821" s="299"/>
      <c r="I2821" s="299"/>
      <c r="J2821" s="299"/>
      <c r="K2821" s="299"/>
      <c r="L2821" s="299"/>
    </row>
    <row r="2822" spans="1:12">
      <c r="A2822" s="299"/>
      <c r="B2822" s="322"/>
      <c r="G2822" s="299"/>
      <c r="H2822" s="299"/>
      <c r="I2822" s="299"/>
      <c r="J2822" s="299"/>
      <c r="K2822" s="299"/>
      <c r="L2822" s="299"/>
    </row>
    <row r="2823" spans="1:12">
      <c r="A2823" s="299"/>
      <c r="B2823" s="322"/>
      <c r="G2823" s="299"/>
      <c r="H2823" s="299"/>
      <c r="I2823" s="299"/>
      <c r="J2823" s="299"/>
      <c r="K2823" s="299"/>
      <c r="L2823" s="299"/>
    </row>
    <row r="2824" spans="1:12">
      <c r="A2824" s="299"/>
      <c r="B2824" s="322"/>
      <c r="G2824" s="299"/>
      <c r="H2824" s="299"/>
      <c r="I2824" s="299"/>
      <c r="J2824" s="299"/>
      <c r="K2824" s="299"/>
      <c r="L2824" s="299"/>
    </row>
    <row r="2825" spans="1:12">
      <c r="A2825" s="299"/>
      <c r="B2825" s="322"/>
      <c r="G2825" s="299"/>
      <c r="H2825" s="299"/>
      <c r="I2825" s="299"/>
      <c r="J2825" s="299"/>
      <c r="K2825" s="299"/>
      <c r="L2825" s="299"/>
    </row>
    <row r="2826" spans="1:12">
      <c r="A2826" s="299"/>
      <c r="B2826" s="322"/>
      <c r="G2826" s="299"/>
      <c r="H2826" s="299"/>
      <c r="I2826" s="299"/>
      <c r="J2826" s="299"/>
      <c r="K2826" s="299"/>
      <c r="L2826" s="299"/>
    </row>
    <row r="2827" spans="1:12">
      <c r="A2827" s="299"/>
      <c r="B2827" s="322"/>
      <c r="G2827" s="299"/>
      <c r="H2827" s="299"/>
      <c r="I2827" s="299"/>
      <c r="J2827" s="299"/>
      <c r="K2827" s="299"/>
      <c r="L2827" s="299"/>
    </row>
    <row r="2828" spans="1:12">
      <c r="A2828" s="299"/>
      <c r="B2828" s="322"/>
      <c r="G2828" s="299"/>
      <c r="H2828" s="299"/>
      <c r="I2828" s="299"/>
      <c r="J2828" s="299"/>
      <c r="K2828" s="299"/>
      <c r="L2828" s="299"/>
    </row>
    <row r="2829" spans="1:12">
      <c r="A2829" s="299"/>
      <c r="B2829" s="322"/>
      <c r="G2829" s="299"/>
      <c r="H2829" s="299"/>
      <c r="I2829" s="299"/>
      <c r="J2829" s="299"/>
      <c r="K2829" s="299"/>
      <c r="L2829" s="299"/>
    </row>
    <row r="2830" spans="1:12">
      <c r="A2830" s="299"/>
      <c r="B2830" s="322"/>
      <c r="G2830" s="299"/>
      <c r="H2830" s="299"/>
      <c r="I2830" s="299"/>
      <c r="J2830" s="299"/>
      <c r="K2830" s="299"/>
      <c r="L2830" s="299"/>
    </row>
    <row r="2831" spans="1:12">
      <c r="A2831" s="299"/>
      <c r="B2831" s="322"/>
      <c r="G2831" s="299"/>
      <c r="H2831" s="299"/>
      <c r="I2831" s="299"/>
      <c r="J2831" s="299"/>
      <c r="K2831" s="299"/>
      <c r="L2831" s="299"/>
    </row>
    <row r="2832" spans="1:12">
      <c r="A2832" s="299"/>
      <c r="B2832" s="322"/>
      <c r="G2832" s="299"/>
      <c r="H2832" s="299"/>
      <c r="I2832" s="299"/>
      <c r="J2832" s="299"/>
      <c r="K2832" s="299"/>
      <c r="L2832" s="299"/>
    </row>
    <row r="2833" spans="1:12">
      <c r="A2833" s="299"/>
      <c r="B2833" s="322"/>
      <c r="G2833" s="299"/>
      <c r="H2833" s="299"/>
      <c r="I2833" s="299"/>
      <c r="J2833" s="299"/>
      <c r="K2833" s="299"/>
      <c r="L2833" s="299"/>
    </row>
    <row r="2834" spans="1:12">
      <c r="A2834" s="299"/>
      <c r="B2834" s="322"/>
      <c r="G2834" s="299"/>
      <c r="H2834" s="299"/>
      <c r="I2834" s="299"/>
      <c r="J2834" s="299"/>
      <c r="K2834" s="299"/>
      <c r="L2834" s="299"/>
    </row>
    <row r="2835" spans="1:12">
      <c r="A2835" s="299"/>
      <c r="B2835" s="322"/>
      <c r="G2835" s="299"/>
      <c r="H2835" s="299"/>
      <c r="I2835" s="299"/>
      <c r="J2835" s="299"/>
      <c r="K2835" s="299"/>
      <c r="L2835" s="299"/>
    </row>
    <row r="2836" spans="1:12">
      <c r="A2836" s="299"/>
      <c r="B2836" s="322"/>
      <c r="G2836" s="299"/>
      <c r="H2836" s="299"/>
      <c r="I2836" s="299"/>
      <c r="J2836" s="299"/>
      <c r="K2836" s="299"/>
      <c r="L2836" s="299"/>
    </row>
    <row r="2837" spans="1:12">
      <c r="A2837" s="299"/>
      <c r="B2837" s="322"/>
      <c r="G2837" s="299"/>
      <c r="H2837" s="299"/>
      <c r="I2837" s="299"/>
      <c r="J2837" s="299"/>
      <c r="K2837" s="299"/>
      <c r="L2837" s="299"/>
    </row>
    <row r="2838" spans="1:12">
      <c r="A2838" s="299"/>
      <c r="B2838" s="322"/>
      <c r="G2838" s="299"/>
      <c r="H2838" s="299"/>
      <c r="I2838" s="299"/>
      <c r="J2838" s="299"/>
      <c r="K2838" s="299"/>
      <c r="L2838" s="299"/>
    </row>
    <row r="2839" spans="1:12">
      <c r="A2839" s="299"/>
      <c r="B2839" s="322"/>
      <c r="G2839" s="299"/>
      <c r="H2839" s="299"/>
      <c r="I2839" s="299"/>
      <c r="J2839" s="299"/>
      <c r="K2839" s="299"/>
      <c r="L2839" s="299"/>
    </row>
    <row r="2840" spans="1:12">
      <c r="A2840" s="299"/>
      <c r="B2840" s="322"/>
      <c r="G2840" s="299"/>
      <c r="H2840" s="299"/>
      <c r="I2840" s="299"/>
      <c r="J2840" s="299"/>
      <c r="K2840" s="299"/>
      <c r="L2840" s="299"/>
    </row>
    <row r="2841" spans="1:12">
      <c r="A2841" s="299"/>
      <c r="B2841" s="322"/>
      <c r="G2841" s="299"/>
      <c r="H2841" s="299"/>
      <c r="I2841" s="299"/>
      <c r="J2841" s="299"/>
      <c r="K2841" s="299"/>
      <c r="L2841" s="299"/>
    </row>
    <row r="2842" spans="1:12">
      <c r="A2842" s="299"/>
      <c r="B2842" s="322"/>
      <c r="G2842" s="299"/>
      <c r="H2842" s="299"/>
      <c r="I2842" s="299"/>
      <c r="J2842" s="299"/>
      <c r="K2842" s="299"/>
      <c r="L2842" s="299"/>
    </row>
    <row r="2843" spans="1:12">
      <c r="A2843" s="299"/>
      <c r="B2843" s="322"/>
      <c r="G2843" s="299"/>
      <c r="H2843" s="299"/>
      <c r="I2843" s="299"/>
      <c r="J2843" s="299"/>
      <c r="K2843" s="299"/>
      <c r="L2843" s="299"/>
    </row>
    <row r="2844" spans="1:12">
      <c r="A2844" s="299"/>
      <c r="B2844" s="322"/>
      <c r="G2844" s="299"/>
      <c r="H2844" s="299"/>
      <c r="I2844" s="299"/>
      <c r="J2844" s="299"/>
      <c r="K2844" s="299"/>
      <c r="L2844" s="299"/>
    </row>
    <row r="2845" spans="1:12">
      <c r="A2845" s="299"/>
      <c r="B2845" s="322"/>
      <c r="G2845" s="299"/>
      <c r="H2845" s="299"/>
      <c r="I2845" s="299"/>
      <c r="J2845" s="299"/>
      <c r="K2845" s="299"/>
      <c r="L2845" s="299"/>
    </row>
    <row r="2846" spans="1:12">
      <c r="A2846" s="299"/>
      <c r="B2846" s="322"/>
      <c r="G2846" s="299"/>
      <c r="H2846" s="299"/>
      <c r="I2846" s="299"/>
      <c r="J2846" s="299"/>
      <c r="K2846" s="299"/>
      <c r="L2846" s="299"/>
    </row>
    <row r="2847" spans="1:12">
      <c r="A2847" s="299"/>
      <c r="B2847" s="322"/>
      <c r="G2847" s="299"/>
      <c r="H2847" s="299"/>
      <c r="I2847" s="299"/>
      <c r="J2847" s="299"/>
      <c r="K2847" s="299"/>
      <c r="L2847" s="299"/>
    </row>
    <row r="2848" spans="1:12">
      <c r="A2848" s="299"/>
      <c r="B2848" s="322"/>
      <c r="G2848" s="299"/>
      <c r="H2848" s="299"/>
      <c r="I2848" s="299"/>
      <c r="J2848" s="299"/>
      <c r="K2848" s="299"/>
      <c r="L2848" s="299"/>
    </row>
    <row r="2849" spans="1:12">
      <c r="A2849" s="299"/>
      <c r="B2849" s="322"/>
      <c r="G2849" s="299"/>
      <c r="H2849" s="299"/>
      <c r="I2849" s="299"/>
      <c r="J2849" s="299"/>
      <c r="K2849" s="299"/>
      <c r="L2849" s="299"/>
    </row>
    <row r="2850" spans="1:12">
      <c r="A2850" s="299"/>
      <c r="B2850" s="322"/>
      <c r="G2850" s="299"/>
      <c r="H2850" s="299"/>
      <c r="I2850" s="299"/>
      <c r="J2850" s="299"/>
      <c r="K2850" s="299"/>
      <c r="L2850" s="299"/>
    </row>
    <row r="2851" spans="1:12">
      <c r="A2851" s="299"/>
      <c r="B2851" s="322"/>
      <c r="G2851" s="299"/>
      <c r="H2851" s="299"/>
      <c r="I2851" s="299"/>
      <c r="J2851" s="299"/>
      <c r="K2851" s="299"/>
      <c r="L2851" s="299"/>
    </row>
    <row r="2852" spans="1:12">
      <c r="A2852" s="299"/>
      <c r="B2852" s="322"/>
      <c r="G2852" s="299"/>
      <c r="H2852" s="299"/>
      <c r="I2852" s="299"/>
      <c r="J2852" s="299"/>
      <c r="K2852" s="299"/>
      <c r="L2852" s="299"/>
    </row>
    <row r="2853" spans="1:12">
      <c r="A2853" s="299"/>
      <c r="B2853" s="322"/>
      <c r="G2853" s="299"/>
      <c r="H2853" s="299"/>
      <c r="I2853" s="299"/>
      <c r="J2853" s="299"/>
      <c r="K2853" s="299"/>
      <c r="L2853" s="299"/>
    </row>
    <row r="2854" spans="1:12">
      <c r="A2854" s="299"/>
      <c r="B2854" s="322"/>
      <c r="G2854" s="299"/>
      <c r="H2854" s="299"/>
      <c r="I2854" s="299"/>
      <c r="J2854" s="299"/>
      <c r="K2854" s="299"/>
      <c r="L2854" s="299"/>
    </row>
    <row r="2855" spans="1:12">
      <c r="A2855" s="299"/>
      <c r="B2855" s="322"/>
      <c r="G2855" s="299"/>
      <c r="H2855" s="299"/>
      <c r="I2855" s="299"/>
      <c r="J2855" s="299"/>
      <c r="K2855" s="299"/>
      <c r="L2855" s="299"/>
    </row>
    <row r="2856" spans="1:12">
      <c r="A2856" s="299"/>
      <c r="B2856" s="322"/>
      <c r="G2856" s="299"/>
      <c r="H2856" s="299"/>
      <c r="I2856" s="299"/>
      <c r="J2856" s="299"/>
      <c r="K2856" s="299"/>
      <c r="L2856" s="299"/>
    </row>
    <row r="2857" spans="1:12">
      <c r="A2857" s="299"/>
      <c r="B2857" s="322"/>
      <c r="G2857" s="299"/>
      <c r="H2857" s="299"/>
      <c r="I2857" s="299"/>
      <c r="J2857" s="299"/>
      <c r="K2857" s="299"/>
      <c r="L2857" s="299"/>
    </row>
    <row r="2858" spans="1:12">
      <c r="A2858" s="299"/>
      <c r="B2858" s="322"/>
      <c r="G2858" s="299"/>
      <c r="H2858" s="299"/>
      <c r="I2858" s="299"/>
      <c r="J2858" s="299"/>
      <c r="K2858" s="299"/>
      <c r="L2858" s="299"/>
    </row>
    <row r="2859" spans="1:12">
      <c r="A2859" s="299"/>
      <c r="B2859" s="322"/>
      <c r="G2859" s="299"/>
      <c r="H2859" s="299"/>
      <c r="I2859" s="299"/>
      <c r="J2859" s="299"/>
      <c r="K2859" s="299"/>
      <c r="L2859" s="299"/>
    </row>
    <row r="2860" spans="1:12">
      <c r="A2860" s="299"/>
      <c r="B2860" s="322"/>
      <c r="G2860" s="299"/>
      <c r="H2860" s="299"/>
      <c r="I2860" s="299"/>
      <c r="J2860" s="299"/>
      <c r="K2860" s="299"/>
      <c r="L2860" s="299"/>
    </row>
    <row r="2861" spans="1:12">
      <c r="A2861" s="299"/>
      <c r="B2861" s="322"/>
      <c r="G2861" s="299"/>
      <c r="H2861" s="299"/>
      <c r="I2861" s="299"/>
      <c r="J2861" s="299"/>
      <c r="K2861" s="299"/>
      <c r="L2861" s="299"/>
    </row>
    <row r="2862" spans="1:12">
      <c r="A2862" s="299"/>
      <c r="B2862" s="322"/>
      <c r="G2862" s="299"/>
      <c r="H2862" s="299"/>
      <c r="I2862" s="299"/>
      <c r="J2862" s="299"/>
      <c r="K2862" s="299"/>
      <c r="L2862" s="299"/>
    </row>
    <row r="2863" spans="1:12">
      <c r="A2863" s="299"/>
      <c r="B2863" s="322"/>
      <c r="G2863" s="299"/>
      <c r="H2863" s="299"/>
      <c r="I2863" s="299"/>
      <c r="J2863" s="299"/>
      <c r="K2863" s="299"/>
      <c r="L2863" s="299"/>
    </row>
    <row r="2864" spans="1:12">
      <c r="A2864" s="299"/>
      <c r="B2864" s="322"/>
      <c r="G2864" s="299"/>
      <c r="H2864" s="299"/>
      <c r="I2864" s="299"/>
      <c r="J2864" s="299"/>
      <c r="K2864" s="299"/>
      <c r="L2864" s="299"/>
    </row>
    <row r="2865" spans="1:12">
      <c r="A2865" s="299"/>
      <c r="B2865" s="322"/>
      <c r="G2865" s="299"/>
      <c r="H2865" s="299"/>
      <c r="I2865" s="299"/>
      <c r="J2865" s="299"/>
      <c r="K2865" s="299"/>
      <c r="L2865" s="299"/>
    </row>
    <row r="2866" spans="1:12">
      <c r="A2866" s="299"/>
      <c r="B2866" s="322"/>
      <c r="G2866" s="299"/>
      <c r="H2866" s="299"/>
      <c r="I2866" s="299"/>
      <c r="J2866" s="299"/>
      <c r="K2866" s="299"/>
      <c r="L2866" s="299"/>
    </row>
    <row r="2867" spans="1:12">
      <c r="A2867" s="299"/>
      <c r="B2867" s="322"/>
      <c r="G2867" s="299"/>
      <c r="H2867" s="299"/>
      <c r="I2867" s="299"/>
      <c r="J2867" s="299"/>
      <c r="K2867" s="299"/>
      <c r="L2867" s="299"/>
    </row>
    <row r="2868" spans="1:12">
      <c r="A2868" s="299"/>
      <c r="B2868" s="322"/>
      <c r="G2868" s="299"/>
      <c r="H2868" s="299"/>
      <c r="I2868" s="299"/>
      <c r="J2868" s="299"/>
      <c r="K2868" s="299"/>
      <c r="L2868" s="299"/>
    </row>
    <row r="2869" spans="1:12">
      <c r="A2869" s="299"/>
      <c r="B2869" s="322"/>
      <c r="G2869" s="299"/>
      <c r="H2869" s="299"/>
      <c r="I2869" s="299"/>
      <c r="J2869" s="299"/>
      <c r="K2869" s="299"/>
      <c r="L2869" s="299"/>
    </row>
    <row r="2870" spans="1:12">
      <c r="A2870" s="299"/>
      <c r="B2870" s="322"/>
      <c r="G2870" s="299"/>
      <c r="H2870" s="299"/>
      <c r="I2870" s="299"/>
      <c r="J2870" s="299"/>
      <c r="K2870" s="299"/>
      <c r="L2870" s="299"/>
    </row>
    <row r="2871" spans="1:12">
      <c r="A2871" s="299"/>
      <c r="B2871" s="322"/>
      <c r="G2871" s="299"/>
      <c r="H2871" s="299"/>
      <c r="I2871" s="299"/>
      <c r="J2871" s="299"/>
      <c r="K2871" s="299"/>
      <c r="L2871" s="299"/>
    </row>
    <row r="2872" spans="1:12">
      <c r="A2872" s="299"/>
      <c r="B2872" s="322"/>
      <c r="G2872" s="299"/>
      <c r="H2872" s="299"/>
      <c r="I2872" s="299"/>
      <c r="J2872" s="299"/>
      <c r="K2872" s="299"/>
      <c r="L2872" s="299"/>
    </row>
    <row r="2873" spans="1:12">
      <c r="A2873" s="299"/>
      <c r="B2873" s="322"/>
      <c r="G2873" s="299"/>
      <c r="H2873" s="299"/>
      <c r="I2873" s="299"/>
      <c r="J2873" s="299"/>
      <c r="K2873" s="299"/>
      <c r="L2873" s="299"/>
    </row>
    <row r="2874" spans="1:12">
      <c r="A2874" s="299"/>
      <c r="B2874" s="322"/>
      <c r="G2874" s="299"/>
      <c r="H2874" s="299"/>
      <c r="I2874" s="299"/>
      <c r="J2874" s="299"/>
      <c r="K2874" s="299"/>
      <c r="L2874" s="299"/>
    </row>
    <row r="2875" spans="1:12">
      <c r="A2875" s="299"/>
      <c r="B2875" s="322"/>
      <c r="G2875" s="299"/>
      <c r="H2875" s="299"/>
      <c r="I2875" s="299"/>
      <c r="J2875" s="299"/>
      <c r="K2875" s="299"/>
      <c r="L2875" s="299"/>
    </row>
    <row r="2876" spans="1:12">
      <c r="A2876" s="299"/>
      <c r="B2876" s="322"/>
      <c r="G2876" s="299"/>
      <c r="H2876" s="299"/>
      <c r="I2876" s="299"/>
      <c r="J2876" s="299"/>
      <c r="K2876" s="299"/>
      <c r="L2876" s="299"/>
    </row>
    <row r="2877" spans="1:12">
      <c r="A2877" s="299"/>
      <c r="B2877" s="322"/>
      <c r="G2877" s="299"/>
      <c r="H2877" s="299"/>
      <c r="I2877" s="299"/>
      <c r="J2877" s="299"/>
      <c r="K2877" s="299"/>
      <c r="L2877" s="299"/>
    </row>
    <row r="2878" spans="1:12">
      <c r="A2878" s="299"/>
      <c r="B2878" s="322"/>
      <c r="G2878" s="299"/>
      <c r="H2878" s="299"/>
      <c r="I2878" s="299"/>
      <c r="J2878" s="299"/>
      <c r="K2878" s="299"/>
      <c r="L2878" s="299"/>
    </row>
    <row r="2879" spans="1:12">
      <c r="A2879" s="299"/>
      <c r="B2879" s="322"/>
      <c r="G2879" s="299"/>
      <c r="H2879" s="299"/>
      <c r="I2879" s="299"/>
      <c r="J2879" s="299"/>
      <c r="K2879" s="299"/>
      <c r="L2879" s="299"/>
    </row>
    <row r="2880" spans="1:12">
      <c r="A2880" s="299"/>
      <c r="B2880" s="322"/>
      <c r="G2880" s="299"/>
      <c r="H2880" s="299"/>
      <c r="I2880" s="299"/>
      <c r="J2880" s="299"/>
      <c r="K2880" s="299"/>
      <c r="L2880" s="299"/>
    </row>
    <row r="2881" spans="1:12">
      <c r="A2881" s="299"/>
      <c r="B2881" s="322"/>
      <c r="G2881" s="299"/>
      <c r="H2881" s="299"/>
      <c r="I2881" s="299"/>
      <c r="J2881" s="299"/>
      <c r="K2881" s="299"/>
      <c r="L2881" s="299"/>
    </row>
    <row r="2882" spans="1:12">
      <c r="A2882" s="299"/>
      <c r="B2882" s="322"/>
      <c r="G2882" s="299"/>
      <c r="H2882" s="299"/>
      <c r="I2882" s="299"/>
      <c r="J2882" s="299"/>
      <c r="K2882" s="299"/>
      <c r="L2882" s="299"/>
    </row>
    <row r="2883" spans="1:12">
      <c r="A2883" s="299"/>
      <c r="B2883" s="322"/>
      <c r="G2883" s="299"/>
      <c r="H2883" s="299"/>
      <c r="I2883" s="299"/>
      <c r="J2883" s="299"/>
      <c r="K2883" s="299"/>
      <c r="L2883" s="299"/>
    </row>
    <row r="2884" spans="1:12">
      <c r="A2884" s="299"/>
      <c r="B2884" s="322"/>
      <c r="G2884" s="299"/>
      <c r="H2884" s="299"/>
      <c r="I2884" s="299"/>
      <c r="J2884" s="299"/>
      <c r="K2884" s="299"/>
      <c r="L2884" s="299"/>
    </row>
    <row r="2885" spans="1:12">
      <c r="A2885" s="299"/>
      <c r="B2885" s="322"/>
      <c r="G2885" s="299"/>
      <c r="H2885" s="299"/>
      <c r="I2885" s="299"/>
      <c r="J2885" s="299"/>
      <c r="K2885" s="299"/>
      <c r="L2885" s="299"/>
    </row>
    <row r="2886" spans="1:12">
      <c r="A2886" s="299"/>
      <c r="B2886" s="322"/>
      <c r="G2886" s="299"/>
      <c r="H2886" s="299"/>
      <c r="I2886" s="299"/>
      <c r="J2886" s="299"/>
      <c r="K2886" s="299"/>
      <c r="L2886" s="299"/>
    </row>
    <row r="2887" spans="1:12">
      <c r="A2887" s="299"/>
      <c r="B2887" s="322"/>
      <c r="G2887" s="299"/>
      <c r="H2887" s="299"/>
      <c r="I2887" s="299"/>
      <c r="J2887" s="299"/>
      <c r="K2887" s="299"/>
      <c r="L2887" s="299"/>
    </row>
    <row r="2888" spans="1:12">
      <c r="A2888" s="299"/>
      <c r="B2888" s="322"/>
      <c r="G2888" s="299"/>
      <c r="H2888" s="299"/>
      <c r="I2888" s="299"/>
      <c r="J2888" s="299"/>
      <c r="K2888" s="299"/>
      <c r="L2888" s="299"/>
    </row>
    <row r="2889" spans="1:12">
      <c r="A2889" s="299"/>
      <c r="B2889" s="322"/>
      <c r="G2889" s="299"/>
      <c r="H2889" s="299"/>
      <c r="I2889" s="299"/>
      <c r="J2889" s="299"/>
      <c r="K2889" s="299"/>
      <c r="L2889" s="299"/>
    </row>
    <row r="2890" spans="1:12">
      <c r="A2890" s="299"/>
      <c r="B2890" s="322"/>
      <c r="G2890" s="299"/>
      <c r="H2890" s="299"/>
      <c r="I2890" s="299"/>
      <c r="J2890" s="299"/>
      <c r="K2890" s="299"/>
      <c r="L2890" s="299"/>
    </row>
    <row r="2891" spans="1:12">
      <c r="A2891" s="299"/>
      <c r="B2891" s="322"/>
      <c r="G2891" s="299"/>
      <c r="H2891" s="299"/>
      <c r="I2891" s="299"/>
      <c r="J2891" s="299"/>
      <c r="K2891" s="299"/>
      <c r="L2891" s="299"/>
    </row>
    <row r="2892" spans="1:12">
      <c r="A2892" s="299"/>
      <c r="B2892" s="322"/>
      <c r="G2892" s="299"/>
      <c r="H2892" s="299"/>
      <c r="I2892" s="299"/>
      <c r="J2892" s="299"/>
      <c r="K2892" s="299"/>
      <c r="L2892" s="299"/>
    </row>
    <row r="2893" spans="1:12">
      <c r="A2893" s="299"/>
      <c r="B2893" s="322"/>
      <c r="G2893" s="299"/>
      <c r="H2893" s="299"/>
      <c r="I2893" s="299"/>
      <c r="J2893" s="299"/>
      <c r="K2893" s="299"/>
      <c r="L2893" s="299"/>
    </row>
    <row r="2894" spans="1:12">
      <c r="A2894" s="299"/>
      <c r="B2894" s="322"/>
      <c r="G2894" s="299"/>
      <c r="H2894" s="299"/>
      <c r="I2894" s="299"/>
      <c r="J2894" s="299"/>
      <c r="K2894" s="299"/>
      <c r="L2894" s="299"/>
    </row>
    <row r="2895" spans="1:12">
      <c r="A2895" s="299"/>
      <c r="B2895" s="322"/>
      <c r="G2895" s="299"/>
      <c r="H2895" s="299"/>
      <c r="I2895" s="299"/>
      <c r="J2895" s="299"/>
      <c r="K2895" s="299"/>
      <c r="L2895" s="299"/>
    </row>
    <row r="2896" spans="1:12">
      <c r="A2896" s="299"/>
      <c r="B2896" s="322"/>
      <c r="G2896" s="299"/>
      <c r="H2896" s="299"/>
      <c r="I2896" s="299"/>
      <c r="J2896" s="299"/>
      <c r="K2896" s="299"/>
      <c r="L2896" s="299"/>
    </row>
    <row r="2897" spans="1:12">
      <c r="A2897" s="299"/>
      <c r="B2897" s="322"/>
      <c r="G2897" s="299"/>
      <c r="H2897" s="299"/>
      <c r="I2897" s="299"/>
      <c r="J2897" s="299"/>
      <c r="K2897" s="299"/>
      <c r="L2897" s="299"/>
    </row>
    <row r="2898" spans="1:12">
      <c r="A2898" s="299"/>
      <c r="B2898" s="322"/>
      <c r="G2898" s="299"/>
      <c r="H2898" s="299"/>
      <c r="I2898" s="299"/>
      <c r="J2898" s="299"/>
      <c r="K2898" s="299"/>
      <c r="L2898" s="299"/>
    </row>
    <row r="2899" spans="1:12">
      <c r="A2899" s="299"/>
      <c r="B2899" s="322"/>
      <c r="G2899" s="299"/>
      <c r="H2899" s="299"/>
      <c r="I2899" s="299"/>
      <c r="J2899" s="299"/>
      <c r="K2899" s="299"/>
      <c r="L2899" s="299"/>
    </row>
    <row r="2900" spans="1:12">
      <c r="A2900" s="299"/>
      <c r="B2900" s="322"/>
      <c r="G2900" s="299"/>
      <c r="H2900" s="299"/>
      <c r="I2900" s="299"/>
      <c r="J2900" s="299"/>
      <c r="K2900" s="299"/>
      <c r="L2900" s="299"/>
    </row>
    <row r="2901" spans="1:12">
      <c r="A2901" s="299"/>
      <c r="B2901" s="322"/>
      <c r="G2901" s="299"/>
      <c r="H2901" s="299"/>
      <c r="I2901" s="299"/>
      <c r="J2901" s="299"/>
      <c r="K2901" s="299"/>
      <c r="L2901" s="299"/>
    </row>
    <row r="2902" spans="1:12">
      <c r="A2902" s="299"/>
      <c r="B2902" s="322"/>
      <c r="G2902" s="299"/>
      <c r="H2902" s="299"/>
      <c r="I2902" s="299"/>
      <c r="J2902" s="299"/>
      <c r="K2902" s="299"/>
      <c r="L2902" s="299"/>
    </row>
    <row r="2903" spans="1:12">
      <c r="A2903" s="299"/>
      <c r="B2903" s="322"/>
      <c r="G2903" s="299"/>
      <c r="H2903" s="299"/>
      <c r="I2903" s="299"/>
      <c r="J2903" s="299"/>
      <c r="K2903" s="299"/>
      <c r="L2903" s="299"/>
    </row>
    <row r="2904" spans="1:12">
      <c r="A2904" s="299"/>
      <c r="B2904" s="322"/>
      <c r="G2904" s="299"/>
      <c r="H2904" s="299"/>
      <c r="I2904" s="299"/>
      <c r="J2904" s="299"/>
      <c r="K2904" s="299"/>
      <c r="L2904" s="299"/>
    </row>
    <row r="2905" spans="1:12">
      <c r="A2905" s="299"/>
      <c r="B2905" s="322"/>
      <c r="G2905" s="299"/>
      <c r="H2905" s="299"/>
      <c r="I2905" s="299"/>
      <c r="J2905" s="299"/>
      <c r="K2905" s="299"/>
      <c r="L2905" s="299"/>
    </row>
    <row r="2906" spans="1:12">
      <c r="A2906" s="299"/>
      <c r="B2906" s="322"/>
      <c r="G2906" s="299"/>
      <c r="H2906" s="299"/>
      <c r="I2906" s="299"/>
      <c r="J2906" s="299"/>
      <c r="K2906" s="299"/>
      <c r="L2906" s="299"/>
    </row>
    <row r="2907" spans="1:12">
      <c r="A2907" s="299"/>
      <c r="B2907" s="322"/>
      <c r="G2907" s="299"/>
      <c r="H2907" s="299"/>
      <c r="I2907" s="299"/>
      <c r="J2907" s="299"/>
      <c r="K2907" s="299"/>
      <c r="L2907" s="299"/>
    </row>
    <row r="2908" spans="1:12">
      <c r="A2908" s="299"/>
      <c r="B2908" s="322"/>
      <c r="G2908" s="299"/>
      <c r="H2908" s="299"/>
      <c r="I2908" s="299"/>
      <c r="J2908" s="299"/>
      <c r="K2908" s="299"/>
      <c r="L2908" s="299"/>
    </row>
    <row r="2909" spans="1:12">
      <c r="A2909" s="299"/>
      <c r="B2909" s="322"/>
      <c r="G2909" s="299"/>
      <c r="H2909" s="299"/>
      <c r="I2909" s="299"/>
      <c r="J2909" s="299"/>
      <c r="K2909" s="299"/>
      <c r="L2909" s="299"/>
    </row>
    <row r="2910" spans="1:12">
      <c r="A2910" s="299"/>
      <c r="B2910" s="322"/>
      <c r="G2910" s="299"/>
      <c r="H2910" s="299"/>
      <c r="I2910" s="299"/>
      <c r="J2910" s="299"/>
      <c r="K2910" s="299"/>
      <c r="L2910" s="299"/>
    </row>
    <row r="2911" spans="1:12">
      <c r="A2911" s="299"/>
      <c r="B2911" s="322"/>
      <c r="G2911" s="299"/>
      <c r="H2911" s="299"/>
      <c r="I2911" s="299"/>
      <c r="J2911" s="299"/>
      <c r="K2911" s="299"/>
      <c r="L2911" s="299"/>
    </row>
    <row r="2912" spans="1:12">
      <c r="A2912" s="299"/>
      <c r="B2912" s="322"/>
      <c r="G2912" s="299"/>
      <c r="H2912" s="299"/>
      <c r="I2912" s="299"/>
      <c r="J2912" s="299"/>
      <c r="K2912" s="299"/>
      <c r="L2912" s="299"/>
    </row>
    <row r="2913" spans="1:12">
      <c r="A2913" s="299"/>
      <c r="B2913" s="322"/>
      <c r="G2913" s="299"/>
      <c r="H2913" s="299"/>
      <c r="I2913" s="299"/>
      <c r="J2913" s="299"/>
      <c r="K2913" s="299"/>
      <c r="L2913" s="299"/>
    </row>
    <row r="2914" spans="1:12">
      <c r="A2914" s="299"/>
      <c r="B2914" s="322"/>
      <c r="G2914" s="299"/>
      <c r="H2914" s="299"/>
      <c r="I2914" s="299"/>
      <c r="J2914" s="299"/>
      <c r="K2914" s="299"/>
      <c r="L2914" s="299"/>
    </row>
    <row r="2915" spans="1:12">
      <c r="A2915" s="299"/>
      <c r="B2915" s="322"/>
      <c r="G2915" s="299"/>
      <c r="H2915" s="299"/>
      <c r="I2915" s="299"/>
      <c r="J2915" s="299"/>
      <c r="K2915" s="299"/>
      <c r="L2915" s="299"/>
    </row>
    <row r="2916" spans="1:12">
      <c r="A2916" s="299"/>
      <c r="B2916" s="322"/>
      <c r="G2916" s="299"/>
      <c r="H2916" s="299"/>
      <c r="I2916" s="299"/>
      <c r="J2916" s="299"/>
      <c r="K2916" s="299"/>
      <c r="L2916" s="299"/>
    </row>
    <row r="2917" spans="1:12">
      <c r="A2917" s="299"/>
      <c r="B2917" s="322"/>
      <c r="G2917" s="299"/>
      <c r="H2917" s="299"/>
      <c r="I2917" s="299"/>
      <c r="J2917" s="299"/>
      <c r="K2917" s="299"/>
      <c r="L2917" s="299"/>
    </row>
    <row r="2918" spans="1:12">
      <c r="A2918" s="299"/>
      <c r="B2918" s="322"/>
      <c r="G2918" s="299"/>
      <c r="H2918" s="299"/>
      <c r="I2918" s="299"/>
      <c r="J2918" s="299"/>
      <c r="K2918" s="299"/>
      <c r="L2918" s="299"/>
    </row>
    <row r="2919" spans="1:12">
      <c r="A2919" s="299"/>
      <c r="B2919" s="322"/>
      <c r="G2919" s="299"/>
      <c r="H2919" s="299"/>
      <c r="I2919" s="299"/>
      <c r="J2919" s="299"/>
      <c r="K2919" s="299"/>
      <c r="L2919" s="299"/>
    </row>
    <row r="2920" spans="1:12">
      <c r="A2920" s="299"/>
      <c r="B2920" s="322"/>
      <c r="G2920" s="299"/>
      <c r="H2920" s="299"/>
      <c r="I2920" s="299"/>
      <c r="J2920" s="299"/>
      <c r="K2920" s="299"/>
      <c r="L2920" s="299"/>
    </row>
    <row r="2921" spans="1:12">
      <c r="A2921" s="299"/>
      <c r="B2921" s="322"/>
      <c r="G2921" s="299"/>
      <c r="H2921" s="299"/>
      <c r="I2921" s="299"/>
      <c r="J2921" s="299"/>
      <c r="K2921" s="299"/>
      <c r="L2921" s="299"/>
    </row>
    <row r="2922" spans="1:12">
      <c r="A2922" s="299"/>
      <c r="B2922" s="322"/>
      <c r="G2922" s="299"/>
      <c r="H2922" s="299"/>
      <c r="I2922" s="299"/>
      <c r="J2922" s="299"/>
      <c r="K2922" s="299"/>
      <c r="L2922" s="299"/>
    </row>
    <row r="2923" spans="1:12">
      <c r="A2923" s="299"/>
      <c r="B2923" s="322"/>
      <c r="G2923" s="299"/>
      <c r="H2923" s="299"/>
      <c r="I2923" s="299"/>
      <c r="J2923" s="299"/>
      <c r="K2923" s="299"/>
      <c r="L2923" s="299"/>
    </row>
    <row r="2924" spans="1:12">
      <c r="A2924" s="299"/>
      <c r="B2924" s="322"/>
      <c r="G2924" s="299"/>
      <c r="H2924" s="299"/>
      <c r="I2924" s="299"/>
      <c r="J2924" s="299"/>
      <c r="K2924" s="299"/>
      <c r="L2924" s="299"/>
    </row>
    <row r="2925" spans="1:12">
      <c r="A2925" s="299"/>
      <c r="B2925" s="322"/>
      <c r="G2925" s="299"/>
      <c r="H2925" s="299"/>
      <c r="I2925" s="299"/>
      <c r="J2925" s="299"/>
      <c r="K2925" s="299"/>
      <c r="L2925" s="299"/>
    </row>
    <row r="2926" spans="1:12">
      <c r="A2926" s="299"/>
      <c r="B2926" s="322"/>
      <c r="G2926" s="299"/>
      <c r="H2926" s="299"/>
      <c r="I2926" s="299"/>
      <c r="J2926" s="299"/>
      <c r="K2926" s="299"/>
      <c r="L2926" s="299"/>
    </row>
    <row r="2927" spans="1:12">
      <c r="A2927" s="299"/>
      <c r="B2927" s="322"/>
      <c r="G2927" s="299"/>
      <c r="H2927" s="299"/>
      <c r="I2927" s="299"/>
      <c r="J2927" s="299"/>
      <c r="K2927" s="299"/>
      <c r="L2927" s="299"/>
    </row>
    <row r="2928" spans="1:12">
      <c r="A2928" s="299"/>
      <c r="B2928" s="322"/>
      <c r="G2928" s="299"/>
      <c r="H2928" s="299"/>
      <c r="I2928" s="299"/>
      <c r="J2928" s="299"/>
      <c r="K2928" s="299"/>
      <c r="L2928" s="299"/>
    </row>
    <row r="2929" spans="1:12">
      <c r="A2929" s="299"/>
      <c r="B2929" s="322"/>
      <c r="G2929" s="299"/>
      <c r="H2929" s="299"/>
      <c r="I2929" s="299"/>
      <c r="J2929" s="299"/>
      <c r="K2929" s="299"/>
      <c r="L2929" s="299"/>
    </row>
    <row r="2930" spans="1:12">
      <c r="A2930" s="299"/>
      <c r="B2930" s="322"/>
      <c r="G2930" s="299"/>
      <c r="H2930" s="299"/>
      <c r="I2930" s="299"/>
      <c r="J2930" s="299"/>
      <c r="K2930" s="299"/>
      <c r="L2930" s="299"/>
    </row>
    <row r="2931" spans="1:12">
      <c r="A2931" s="299"/>
      <c r="B2931" s="322"/>
      <c r="G2931" s="299"/>
      <c r="H2931" s="299"/>
      <c r="I2931" s="299"/>
      <c r="J2931" s="299"/>
      <c r="K2931" s="299"/>
      <c r="L2931" s="299"/>
    </row>
    <row r="2932" spans="1:12">
      <c r="A2932" s="299"/>
      <c r="B2932" s="322"/>
      <c r="G2932" s="299"/>
      <c r="H2932" s="299"/>
      <c r="I2932" s="299"/>
      <c r="J2932" s="299"/>
      <c r="K2932" s="299"/>
      <c r="L2932" s="299"/>
    </row>
    <row r="2933" spans="1:12">
      <c r="A2933" s="299"/>
      <c r="B2933" s="322"/>
      <c r="G2933" s="299"/>
      <c r="H2933" s="299"/>
      <c r="I2933" s="299"/>
      <c r="J2933" s="299"/>
      <c r="K2933" s="299"/>
      <c r="L2933" s="299"/>
    </row>
    <row r="2934" spans="1:12">
      <c r="A2934" s="299"/>
      <c r="B2934" s="322"/>
      <c r="G2934" s="299"/>
      <c r="H2934" s="299"/>
      <c r="I2934" s="299"/>
      <c r="J2934" s="299"/>
      <c r="K2934" s="299"/>
      <c r="L2934" s="299"/>
    </row>
    <row r="2935" spans="1:12">
      <c r="A2935" s="299"/>
      <c r="B2935" s="322"/>
      <c r="G2935" s="299"/>
      <c r="H2935" s="299"/>
      <c r="I2935" s="299"/>
      <c r="J2935" s="299"/>
      <c r="K2935" s="299"/>
      <c r="L2935" s="299"/>
    </row>
    <row r="2936" spans="1:12">
      <c r="A2936" s="299"/>
      <c r="B2936" s="322"/>
      <c r="G2936" s="299"/>
      <c r="H2936" s="299"/>
      <c r="I2936" s="299"/>
      <c r="J2936" s="299"/>
      <c r="K2936" s="299"/>
      <c r="L2936" s="299"/>
    </row>
    <row r="2937" spans="1:12">
      <c r="A2937" s="299"/>
      <c r="B2937" s="322"/>
      <c r="G2937" s="299"/>
      <c r="H2937" s="299"/>
      <c r="I2937" s="299"/>
      <c r="J2937" s="299"/>
      <c r="K2937" s="299"/>
      <c r="L2937" s="299"/>
    </row>
    <row r="2938" spans="1:12">
      <c r="A2938" s="299"/>
      <c r="B2938" s="322"/>
      <c r="G2938" s="299"/>
      <c r="H2938" s="299"/>
      <c r="I2938" s="299"/>
      <c r="J2938" s="299"/>
      <c r="K2938" s="299"/>
      <c r="L2938" s="299"/>
    </row>
    <row r="2939" spans="1:12">
      <c r="A2939" s="299"/>
      <c r="B2939" s="322"/>
      <c r="G2939" s="299"/>
      <c r="H2939" s="299"/>
      <c r="I2939" s="299"/>
      <c r="J2939" s="299"/>
      <c r="K2939" s="299"/>
      <c r="L2939" s="299"/>
    </row>
    <row r="2940" spans="1:12">
      <c r="A2940" s="299"/>
      <c r="B2940" s="322"/>
      <c r="G2940" s="299"/>
      <c r="H2940" s="299"/>
      <c r="I2940" s="299"/>
      <c r="J2940" s="299"/>
      <c r="K2940" s="299"/>
      <c r="L2940" s="299"/>
    </row>
    <row r="2941" spans="1:12">
      <c r="A2941" s="299"/>
      <c r="B2941" s="322"/>
      <c r="G2941" s="299"/>
      <c r="H2941" s="299"/>
      <c r="I2941" s="299"/>
      <c r="J2941" s="299"/>
      <c r="K2941" s="299"/>
      <c r="L2941" s="299"/>
    </row>
    <row r="2942" spans="1:12">
      <c r="A2942" s="299"/>
      <c r="B2942" s="322"/>
      <c r="G2942" s="299"/>
      <c r="H2942" s="299"/>
      <c r="I2942" s="299"/>
      <c r="J2942" s="299"/>
      <c r="K2942" s="299"/>
      <c r="L2942" s="299"/>
    </row>
    <row r="2943" spans="1:12">
      <c r="A2943" s="299"/>
      <c r="B2943" s="322"/>
      <c r="G2943" s="299"/>
      <c r="H2943" s="299"/>
      <c r="I2943" s="299"/>
      <c r="J2943" s="299"/>
      <c r="K2943" s="299"/>
      <c r="L2943" s="299"/>
    </row>
    <row r="2944" spans="1:12">
      <c r="A2944" s="299"/>
      <c r="B2944" s="322"/>
      <c r="G2944" s="299"/>
      <c r="H2944" s="299"/>
      <c r="I2944" s="299"/>
      <c r="J2944" s="299"/>
      <c r="K2944" s="299"/>
      <c r="L2944" s="299"/>
    </row>
    <row r="2945" spans="1:12">
      <c r="A2945" s="299"/>
      <c r="B2945" s="322"/>
      <c r="G2945" s="299"/>
      <c r="H2945" s="299"/>
      <c r="I2945" s="299"/>
      <c r="J2945" s="299"/>
      <c r="K2945" s="299"/>
      <c r="L2945" s="299"/>
    </row>
    <row r="2946" spans="1:12">
      <c r="A2946" s="299"/>
      <c r="B2946" s="322"/>
      <c r="G2946" s="299"/>
      <c r="H2946" s="299"/>
      <c r="I2946" s="299"/>
      <c r="J2946" s="299"/>
      <c r="K2946" s="299"/>
      <c r="L2946" s="299"/>
    </row>
    <row r="2947" spans="1:12">
      <c r="A2947" s="299"/>
      <c r="B2947" s="322"/>
      <c r="G2947" s="299"/>
      <c r="H2947" s="299"/>
      <c r="I2947" s="299"/>
      <c r="J2947" s="299"/>
      <c r="K2947" s="299"/>
      <c r="L2947" s="299"/>
    </row>
    <row r="2948" spans="1:12">
      <c r="A2948" s="299"/>
      <c r="B2948" s="322"/>
      <c r="G2948" s="299"/>
      <c r="H2948" s="299"/>
      <c r="I2948" s="299"/>
      <c r="J2948" s="299"/>
      <c r="K2948" s="299"/>
      <c r="L2948" s="299"/>
    </row>
    <row r="2949" spans="1:12">
      <c r="A2949" s="299"/>
      <c r="B2949" s="322"/>
      <c r="G2949" s="299"/>
      <c r="H2949" s="299"/>
      <c r="I2949" s="299"/>
      <c r="J2949" s="299"/>
      <c r="K2949" s="299"/>
      <c r="L2949" s="299"/>
    </row>
    <row r="2950" spans="1:12">
      <c r="A2950" s="299"/>
      <c r="B2950" s="322"/>
      <c r="G2950" s="299"/>
      <c r="H2950" s="299"/>
      <c r="I2950" s="299"/>
      <c r="J2950" s="299"/>
      <c r="K2950" s="299"/>
      <c r="L2950" s="299"/>
    </row>
    <row r="2951" spans="1:12">
      <c r="A2951" s="299"/>
      <c r="B2951" s="322"/>
      <c r="G2951" s="299"/>
      <c r="H2951" s="299"/>
      <c r="I2951" s="299"/>
      <c r="J2951" s="299"/>
      <c r="K2951" s="299"/>
      <c r="L2951" s="299"/>
    </row>
    <row r="2952" spans="1:12">
      <c r="A2952" s="299"/>
      <c r="B2952" s="322"/>
      <c r="G2952" s="299"/>
      <c r="H2952" s="299"/>
      <c r="I2952" s="299"/>
      <c r="J2952" s="299"/>
      <c r="K2952" s="299"/>
      <c r="L2952" s="299"/>
    </row>
    <row r="2953" spans="1:12">
      <c r="A2953" s="299"/>
      <c r="B2953" s="322"/>
      <c r="G2953" s="299"/>
      <c r="H2953" s="299"/>
      <c r="I2953" s="299"/>
      <c r="J2953" s="299"/>
      <c r="K2953" s="299"/>
      <c r="L2953" s="299"/>
    </row>
    <row r="2954" spans="1:12">
      <c r="A2954" s="299"/>
      <c r="B2954" s="322"/>
      <c r="G2954" s="299"/>
      <c r="H2954" s="299"/>
      <c r="I2954" s="299"/>
      <c r="J2954" s="299"/>
      <c r="K2954" s="299"/>
      <c r="L2954" s="299"/>
    </row>
    <row r="2955" spans="1:12">
      <c r="A2955" s="299"/>
      <c r="B2955" s="322"/>
      <c r="G2955" s="299"/>
      <c r="H2955" s="299"/>
      <c r="I2955" s="299"/>
      <c r="J2955" s="299"/>
      <c r="K2955" s="299"/>
      <c r="L2955" s="299"/>
    </row>
    <row r="2956" spans="1:12">
      <c r="A2956" s="299"/>
      <c r="B2956" s="322"/>
      <c r="G2956" s="299"/>
      <c r="H2956" s="299"/>
      <c r="I2956" s="299"/>
      <c r="J2956" s="299"/>
      <c r="K2956" s="299"/>
      <c r="L2956" s="299"/>
    </row>
    <row r="2957" spans="1:12">
      <c r="A2957" s="299"/>
      <c r="B2957" s="322"/>
      <c r="G2957" s="299"/>
      <c r="H2957" s="299"/>
      <c r="I2957" s="299"/>
      <c r="J2957" s="299"/>
      <c r="K2957" s="299"/>
      <c r="L2957" s="299"/>
    </row>
    <row r="2958" spans="1:12">
      <c r="A2958" s="299"/>
      <c r="B2958" s="322"/>
      <c r="G2958" s="299"/>
      <c r="H2958" s="299"/>
      <c r="I2958" s="299"/>
      <c r="J2958" s="299"/>
      <c r="K2958" s="299"/>
      <c r="L2958" s="299"/>
    </row>
    <row r="2959" spans="1:12">
      <c r="A2959" s="299"/>
      <c r="B2959" s="322"/>
      <c r="G2959" s="299"/>
      <c r="H2959" s="299"/>
      <c r="I2959" s="299"/>
      <c r="J2959" s="299"/>
      <c r="K2959" s="299"/>
      <c r="L2959" s="299"/>
    </row>
    <row r="2960" spans="1:12">
      <c r="A2960" s="299"/>
      <c r="B2960" s="322"/>
      <c r="G2960" s="299"/>
      <c r="H2960" s="299"/>
      <c r="I2960" s="299"/>
      <c r="J2960" s="299"/>
      <c r="K2960" s="299"/>
      <c r="L2960" s="299"/>
    </row>
    <row r="2961" spans="1:12">
      <c r="A2961" s="299"/>
      <c r="B2961" s="322"/>
      <c r="G2961" s="299"/>
      <c r="H2961" s="299"/>
      <c r="I2961" s="299"/>
      <c r="J2961" s="299"/>
      <c r="K2961" s="299"/>
      <c r="L2961" s="299"/>
    </row>
    <row r="2962" spans="1:12">
      <c r="A2962" s="299"/>
      <c r="B2962" s="322"/>
      <c r="G2962" s="299"/>
      <c r="H2962" s="299"/>
      <c r="I2962" s="299"/>
      <c r="J2962" s="299"/>
      <c r="K2962" s="299"/>
      <c r="L2962" s="299"/>
    </row>
    <row r="2963" spans="1:12">
      <c r="A2963" s="299"/>
      <c r="B2963" s="322"/>
      <c r="G2963" s="299"/>
      <c r="H2963" s="299"/>
      <c r="I2963" s="299"/>
      <c r="J2963" s="299"/>
      <c r="K2963" s="299"/>
      <c r="L2963" s="299"/>
    </row>
    <row r="2964" spans="1:12">
      <c r="A2964" s="299"/>
      <c r="B2964" s="322"/>
      <c r="G2964" s="299"/>
      <c r="H2964" s="299"/>
      <c r="I2964" s="299"/>
      <c r="J2964" s="299"/>
      <c r="K2964" s="299"/>
      <c r="L2964" s="299"/>
    </row>
    <row r="2965" spans="1:12">
      <c r="A2965" s="299"/>
      <c r="B2965" s="322"/>
      <c r="G2965" s="299"/>
      <c r="H2965" s="299"/>
      <c r="I2965" s="299"/>
      <c r="J2965" s="299"/>
      <c r="K2965" s="299"/>
      <c r="L2965" s="299"/>
    </row>
    <row r="2966" spans="1:12">
      <c r="A2966" s="299"/>
      <c r="B2966" s="322"/>
      <c r="G2966" s="299"/>
      <c r="H2966" s="299"/>
      <c r="I2966" s="299"/>
      <c r="J2966" s="299"/>
      <c r="K2966" s="299"/>
      <c r="L2966" s="299"/>
    </row>
    <row r="2967" spans="1:12">
      <c r="A2967" s="299"/>
      <c r="B2967" s="322"/>
      <c r="G2967" s="299"/>
      <c r="H2967" s="299"/>
      <c r="I2967" s="299"/>
      <c r="J2967" s="299"/>
      <c r="K2967" s="299"/>
      <c r="L2967" s="299"/>
    </row>
    <row r="2968" spans="1:12">
      <c r="A2968" s="299"/>
      <c r="B2968" s="322"/>
      <c r="G2968" s="299"/>
      <c r="H2968" s="299"/>
      <c r="I2968" s="299"/>
      <c r="J2968" s="299"/>
      <c r="K2968" s="299"/>
      <c r="L2968" s="299"/>
    </row>
    <row r="2969" spans="1:12">
      <c r="A2969" s="299"/>
      <c r="B2969" s="322"/>
      <c r="G2969" s="299"/>
      <c r="H2969" s="299"/>
      <c r="I2969" s="299"/>
      <c r="J2969" s="299"/>
      <c r="K2969" s="299"/>
      <c r="L2969" s="299"/>
    </row>
    <row r="2970" spans="1:12">
      <c r="A2970" s="299"/>
      <c r="B2970" s="322"/>
      <c r="G2970" s="299"/>
      <c r="H2970" s="299"/>
      <c r="I2970" s="299"/>
      <c r="J2970" s="299"/>
      <c r="K2970" s="299"/>
      <c r="L2970" s="299"/>
    </row>
    <row r="2971" spans="1:12">
      <c r="A2971" s="299"/>
      <c r="B2971" s="322"/>
      <c r="G2971" s="299"/>
      <c r="H2971" s="299"/>
      <c r="I2971" s="299"/>
      <c r="J2971" s="299"/>
      <c r="K2971" s="299"/>
      <c r="L2971" s="299"/>
    </row>
    <row r="2972" spans="1:12">
      <c r="A2972" s="299"/>
      <c r="B2972" s="322"/>
      <c r="G2972" s="299"/>
      <c r="H2972" s="299"/>
      <c r="I2972" s="299"/>
      <c r="J2972" s="299"/>
      <c r="K2972" s="299"/>
      <c r="L2972" s="299"/>
    </row>
    <row r="2973" spans="1:12">
      <c r="A2973" s="299"/>
      <c r="B2973" s="322"/>
      <c r="G2973" s="299"/>
      <c r="H2973" s="299"/>
      <c r="I2973" s="299"/>
      <c r="J2973" s="299"/>
      <c r="K2973" s="299"/>
      <c r="L2973" s="299"/>
    </row>
    <row r="2974" spans="1:12">
      <c r="A2974" s="299"/>
      <c r="B2974" s="322"/>
      <c r="G2974" s="299"/>
      <c r="H2974" s="299"/>
      <c r="I2974" s="299"/>
      <c r="J2974" s="299"/>
      <c r="K2974" s="299"/>
      <c r="L2974" s="299"/>
    </row>
    <row r="2975" spans="1:12">
      <c r="A2975" s="299"/>
      <c r="B2975" s="322"/>
      <c r="G2975" s="299"/>
      <c r="H2975" s="299"/>
      <c r="I2975" s="299"/>
      <c r="J2975" s="299"/>
      <c r="K2975" s="299"/>
      <c r="L2975" s="299"/>
    </row>
    <row r="2976" spans="1:12">
      <c r="A2976" s="299"/>
      <c r="B2976" s="322"/>
      <c r="G2976" s="299"/>
      <c r="H2976" s="299"/>
      <c r="I2976" s="299"/>
      <c r="J2976" s="299"/>
      <c r="K2976" s="299"/>
      <c r="L2976" s="299"/>
    </row>
    <row r="2977" spans="1:12">
      <c r="A2977" s="299"/>
      <c r="B2977" s="322"/>
      <c r="G2977" s="299"/>
      <c r="H2977" s="299"/>
      <c r="I2977" s="299"/>
      <c r="J2977" s="299"/>
      <c r="K2977" s="299"/>
      <c r="L2977" s="299"/>
    </row>
    <row r="2978" spans="1:12">
      <c r="A2978" s="299"/>
      <c r="B2978" s="322"/>
      <c r="G2978" s="299"/>
      <c r="H2978" s="299"/>
      <c r="I2978" s="299"/>
      <c r="J2978" s="299"/>
      <c r="K2978" s="299"/>
      <c r="L2978" s="299"/>
    </row>
    <row r="2979" spans="1:12">
      <c r="A2979" s="299"/>
      <c r="B2979" s="322"/>
      <c r="G2979" s="299"/>
      <c r="H2979" s="299"/>
      <c r="I2979" s="299"/>
      <c r="J2979" s="299"/>
      <c r="K2979" s="299"/>
      <c r="L2979" s="299"/>
    </row>
    <row r="2980" spans="1:12">
      <c r="A2980" s="299"/>
      <c r="B2980" s="322"/>
      <c r="G2980" s="299"/>
      <c r="H2980" s="299"/>
      <c r="I2980" s="299"/>
      <c r="J2980" s="299"/>
      <c r="K2980" s="299"/>
      <c r="L2980" s="299"/>
    </row>
    <row r="2981" spans="1:12">
      <c r="A2981" s="299"/>
      <c r="B2981" s="322"/>
      <c r="G2981" s="299"/>
      <c r="H2981" s="299"/>
      <c r="I2981" s="299"/>
      <c r="J2981" s="299"/>
      <c r="K2981" s="299"/>
      <c r="L2981" s="299"/>
    </row>
    <row r="2982" spans="1:12">
      <c r="A2982" s="299"/>
      <c r="B2982" s="322"/>
      <c r="G2982" s="299"/>
      <c r="H2982" s="299"/>
      <c r="I2982" s="299"/>
      <c r="J2982" s="299"/>
      <c r="K2982" s="299"/>
      <c r="L2982" s="299"/>
    </row>
    <row r="2983" spans="1:12">
      <c r="A2983" s="299"/>
      <c r="B2983" s="322"/>
      <c r="G2983" s="299"/>
      <c r="H2983" s="299"/>
      <c r="I2983" s="299"/>
      <c r="J2983" s="299"/>
      <c r="K2983" s="299"/>
      <c r="L2983" s="299"/>
    </row>
    <row r="2984" spans="1:12">
      <c r="A2984" s="299"/>
      <c r="B2984" s="322"/>
      <c r="G2984" s="299"/>
      <c r="H2984" s="299"/>
      <c r="I2984" s="299"/>
      <c r="J2984" s="299"/>
      <c r="K2984" s="299"/>
      <c r="L2984" s="299"/>
    </row>
    <row r="2985" spans="1:12">
      <c r="A2985" s="299"/>
      <c r="B2985" s="322"/>
      <c r="G2985" s="299"/>
      <c r="H2985" s="299"/>
      <c r="I2985" s="299"/>
      <c r="J2985" s="299"/>
      <c r="K2985" s="299"/>
      <c r="L2985" s="299"/>
    </row>
    <row r="2986" spans="1:12">
      <c r="A2986" s="299"/>
      <c r="B2986" s="322"/>
      <c r="G2986" s="299"/>
      <c r="H2986" s="299"/>
      <c r="I2986" s="299"/>
      <c r="J2986" s="299"/>
      <c r="K2986" s="299"/>
      <c r="L2986" s="299"/>
    </row>
    <row r="2987" spans="1:12">
      <c r="A2987" s="299"/>
      <c r="B2987" s="322"/>
      <c r="G2987" s="299"/>
      <c r="H2987" s="299"/>
      <c r="I2987" s="299"/>
      <c r="J2987" s="299"/>
      <c r="K2987" s="299"/>
      <c r="L2987" s="299"/>
    </row>
    <row r="2988" spans="1:12">
      <c r="A2988" s="299"/>
      <c r="B2988" s="322"/>
      <c r="G2988" s="299"/>
      <c r="H2988" s="299"/>
      <c r="I2988" s="299"/>
      <c r="J2988" s="299"/>
      <c r="K2988" s="299"/>
      <c r="L2988" s="299"/>
    </row>
    <row r="2989" spans="1:12">
      <c r="A2989" s="299"/>
      <c r="B2989" s="322"/>
      <c r="G2989" s="299"/>
      <c r="H2989" s="299"/>
      <c r="I2989" s="299"/>
      <c r="J2989" s="299"/>
      <c r="K2989" s="299"/>
      <c r="L2989" s="299"/>
    </row>
    <row r="2990" spans="1:12">
      <c r="A2990" s="299"/>
      <c r="B2990" s="322"/>
      <c r="G2990" s="299"/>
      <c r="H2990" s="299"/>
      <c r="I2990" s="299"/>
      <c r="J2990" s="299"/>
      <c r="K2990" s="299"/>
      <c r="L2990" s="299"/>
    </row>
    <row r="2991" spans="1:12">
      <c r="A2991" s="299"/>
      <c r="B2991" s="322"/>
      <c r="G2991" s="299"/>
      <c r="H2991" s="299"/>
      <c r="I2991" s="299"/>
      <c r="J2991" s="299"/>
      <c r="K2991" s="299"/>
      <c r="L2991" s="299"/>
    </row>
    <row r="2992" spans="1:12">
      <c r="A2992" s="299"/>
      <c r="B2992" s="322"/>
      <c r="G2992" s="299"/>
      <c r="H2992" s="299"/>
      <c r="I2992" s="299"/>
      <c r="J2992" s="299"/>
      <c r="K2992" s="299"/>
      <c r="L2992" s="299"/>
    </row>
    <row r="2993" spans="1:12">
      <c r="A2993" s="299"/>
      <c r="B2993" s="322"/>
      <c r="G2993" s="299"/>
      <c r="H2993" s="299"/>
      <c r="I2993" s="299"/>
      <c r="J2993" s="299"/>
      <c r="K2993" s="299"/>
      <c r="L2993" s="299"/>
    </row>
    <row r="2994" spans="1:12">
      <c r="A2994" s="299"/>
      <c r="B2994" s="322"/>
      <c r="G2994" s="299"/>
      <c r="H2994" s="299"/>
      <c r="I2994" s="299"/>
      <c r="J2994" s="299"/>
      <c r="K2994" s="299"/>
      <c r="L2994" s="299"/>
    </row>
    <row r="2995" spans="1:12">
      <c r="A2995" s="299"/>
      <c r="B2995" s="322"/>
      <c r="G2995" s="299"/>
      <c r="H2995" s="299"/>
      <c r="I2995" s="299"/>
      <c r="J2995" s="299"/>
      <c r="K2995" s="299"/>
      <c r="L2995" s="299"/>
    </row>
    <row r="2996" spans="1:12">
      <c r="A2996" s="299"/>
      <c r="B2996" s="322"/>
      <c r="G2996" s="299"/>
      <c r="H2996" s="299"/>
      <c r="I2996" s="299"/>
      <c r="J2996" s="299"/>
      <c r="K2996" s="299"/>
      <c r="L2996" s="299"/>
    </row>
    <row r="2997" spans="1:12">
      <c r="A2997" s="299"/>
      <c r="B2997" s="322"/>
      <c r="G2997" s="299"/>
      <c r="H2997" s="299"/>
      <c r="I2997" s="299"/>
      <c r="J2997" s="299"/>
      <c r="K2997" s="299"/>
      <c r="L2997" s="299"/>
    </row>
    <row r="2998" spans="1:12">
      <c r="A2998" s="299"/>
      <c r="B2998" s="322"/>
      <c r="G2998" s="299"/>
      <c r="H2998" s="299"/>
      <c r="I2998" s="299"/>
      <c r="J2998" s="299"/>
      <c r="K2998" s="299"/>
      <c r="L2998" s="299"/>
    </row>
    <row r="2999" spans="1:12">
      <c r="A2999" s="299"/>
      <c r="B2999" s="322"/>
      <c r="G2999" s="299"/>
      <c r="H2999" s="299"/>
      <c r="I2999" s="299"/>
      <c r="J2999" s="299"/>
      <c r="K2999" s="299"/>
      <c r="L2999" s="299"/>
    </row>
    <row r="3000" spans="1:12">
      <c r="A3000" s="299"/>
      <c r="B3000" s="322"/>
      <c r="G3000" s="299"/>
      <c r="H3000" s="299"/>
      <c r="I3000" s="299"/>
      <c r="J3000" s="299"/>
      <c r="K3000" s="299"/>
      <c r="L3000" s="299"/>
    </row>
    <row r="3001" spans="1:12">
      <c r="A3001" s="299"/>
      <c r="B3001" s="322"/>
      <c r="G3001" s="299"/>
      <c r="H3001" s="299"/>
      <c r="I3001" s="299"/>
      <c r="J3001" s="299"/>
      <c r="K3001" s="299"/>
      <c r="L3001" s="299"/>
    </row>
    <row r="3002" spans="1:12">
      <c r="A3002" s="299"/>
      <c r="B3002" s="322"/>
      <c r="G3002" s="299"/>
      <c r="H3002" s="299"/>
      <c r="I3002" s="299"/>
      <c r="J3002" s="299"/>
      <c r="K3002" s="299"/>
      <c r="L3002" s="299"/>
    </row>
    <row r="3003" spans="1:12">
      <c r="A3003" s="299"/>
      <c r="B3003" s="322"/>
      <c r="G3003" s="299"/>
      <c r="H3003" s="299"/>
      <c r="I3003" s="299"/>
      <c r="J3003" s="299"/>
      <c r="K3003" s="299"/>
      <c r="L3003" s="299"/>
    </row>
    <row r="3004" spans="1:12">
      <c r="A3004" s="299"/>
      <c r="B3004" s="322"/>
      <c r="G3004" s="299"/>
      <c r="H3004" s="299"/>
      <c r="I3004" s="299"/>
      <c r="J3004" s="299"/>
      <c r="K3004" s="299"/>
      <c r="L3004" s="299"/>
    </row>
    <row r="3005" spans="1:12">
      <c r="A3005" s="299"/>
      <c r="B3005" s="322"/>
      <c r="G3005" s="299"/>
      <c r="H3005" s="299"/>
      <c r="I3005" s="299"/>
      <c r="J3005" s="299"/>
      <c r="K3005" s="299"/>
      <c r="L3005" s="299"/>
    </row>
    <row r="3006" spans="1:12">
      <c r="A3006" s="299"/>
      <c r="B3006" s="322"/>
      <c r="G3006" s="299"/>
      <c r="H3006" s="299"/>
      <c r="I3006" s="299"/>
      <c r="J3006" s="299"/>
      <c r="K3006" s="299"/>
      <c r="L3006" s="299"/>
    </row>
    <row r="3007" spans="1:12">
      <c r="A3007" s="299"/>
      <c r="B3007" s="322"/>
      <c r="G3007" s="299"/>
      <c r="H3007" s="299"/>
      <c r="I3007" s="299"/>
      <c r="J3007" s="299"/>
      <c r="K3007" s="299"/>
      <c r="L3007" s="299"/>
    </row>
    <row r="3008" spans="1:12">
      <c r="A3008" s="299"/>
      <c r="B3008" s="322"/>
      <c r="G3008" s="299"/>
      <c r="H3008" s="299"/>
      <c r="I3008" s="299"/>
      <c r="J3008" s="299"/>
      <c r="K3008" s="299"/>
      <c r="L3008" s="299"/>
    </row>
    <row r="3009" spans="1:12">
      <c r="A3009" s="299"/>
      <c r="B3009" s="322"/>
      <c r="G3009" s="299"/>
      <c r="H3009" s="299"/>
      <c r="I3009" s="299"/>
      <c r="J3009" s="299"/>
      <c r="K3009" s="299"/>
      <c r="L3009" s="299"/>
    </row>
    <row r="3010" spans="1:12">
      <c r="A3010" s="299"/>
      <c r="B3010" s="322"/>
      <c r="G3010" s="299"/>
      <c r="H3010" s="299"/>
      <c r="I3010" s="299"/>
      <c r="J3010" s="299"/>
      <c r="K3010" s="299"/>
      <c r="L3010" s="299"/>
    </row>
    <row r="3011" spans="1:12">
      <c r="A3011" s="299"/>
      <c r="B3011" s="322"/>
      <c r="G3011" s="299"/>
      <c r="H3011" s="299"/>
      <c r="I3011" s="299"/>
      <c r="J3011" s="299"/>
      <c r="K3011" s="299"/>
      <c r="L3011" s="299"/>
    </row>
    <row r="3012" spans="1:12">
      <c r="A3012" s="299"/>
      <c r="B3012" s="322"/>
      <c r="G3012" s="299"/>
      <c r="H3012" s="299"/>
      <c r="I3012" s="299"/>
      <c r="J3012" s="299"/>
      <c r="K3012" s="299"/>
      <c r="L3012" s="299"/>
    </row>
    <row r="3013" spans="1:12">
      <c r="A3013" s="299"/>
      <c r="B3013" s="322"/>
      <c r="G3013" s="299"/>
      <c r="H3013" s="299"/>
      <c r="I3013" s="299"/>
      <c r="J3013" s="299"/>
      <c r="K3013" s="299"/>
      <c r="L3013" s="299"/>
    </row>
    <row r="3014" spans="1:12">
      <c r="A3014" s="299"/>
      <c r="B3014" s="322"/>
      <c r="G3014" s="299"/>
      <c r="H3014" s="299"/>
      <c r="I3014" s="299"/>
      <c r="J3014" s="299"/>
      <c r="K3014" s="299"/>
      <c r="L3014" s="299"/>
    </row>
    <row r="3015" spans="1:12">
      <c r="A3015" s="299"/>
      <c r="B3015" s="322"/>
      <c r="G3015" s="299"/>
      <c r="H3015" s="299"/>
      <c r="I3015" s="299"/>
      <c r="J3015" s="299"/>
      <c r="K3015" s="299"/>
      <c r="L3015" s="299"/>
    </row>
    <row r="3016" spans="1:12">
      <c r="A3016" s="299"/>
      <c r="B3016" s="322"/>
      <c r="G3016" s="299"/>
      <c r="H3016" s="299"/>
      <c r="I3016" s="299"/>
      <c r="J3016" s="299"/>
      <c r="K3016" s="299"/>
      <c r="L3016" s="299"/>
    </row>
    <row r="3017" spans="1:12">
      <c r="A3017" s="299"/>
      <c r="B3017" s="322"/>
      <c r="G3017" s="299"/>
      <c r="H3017" s="299"/>
      <c r="I3017" s="299"/>
      <c r="J3017" s="299"/>
      <c r="K3017" s="299"/>
      <c r="L3017" s="299"/>
    </row>
    <row r="3018" spans="1:12">
      <c r="A3018" s="299"/>
      <c r="B3018" s="322"/>
      <c r="G3018" s="299"/>
      <c r="H3018" s="299"/>
      <c r="I3018" s="299"/>
      <c r="J3018" s="299"/>
      <c r="K3018" s="299"/>
      <c r="L3018" s="299"/>
    </row>
    <row r="3019" spans="1:12">
      <c r="A3019" s="299"/>
      <c r="B3019" s="322"/>
      <c r="G3019" s="299"/>
      <c r="H3019" s="299"/>
      <c r="I3019" s="299"/>
      <c r="J3019" s="299"/>
      <c r="K3019" s="299"/>
      <c r="L3019" s="299"/>
    </row>
    <row r="3020" spans="1:12">
      <c r="A3020" s="299"/>
      <c r="B3020" s="322"/>
      <c r="G3020" s="299"/>
      <c r="H3020" s="299"/>
      <c r="I3020" s="299"/>
      <c r="J3020" s="299"/>
      <c r="K3020" s="299"/>
      <c r="L3020" s="299"/>
    </row>
    <row r="3021" spans="1:12">
      <c r="A3021" s="299"/>
      <c r="B3021" s="322"/>
      <c r="G3021" s="299"/>
      <c r="H3021" s="299"/>
      <c r="I3021" s="299"/>
      <c r="J3021" s="299"/>
      <c r="K3021" s="299"/>
      <c r="L3021" s="299"/>
    </row>
    <row r="3022" spans="1:12">
      <c r="A3022" s="299"/>
      <c r="B3022" s="322"/>
      <c r="G3022" s="299"/>
      <c r="H3022" s="299"/>
      <c r="I3022" s="299"/>
      <c r="J3022" s="299"/>
      <c r="K3022" s="299"/>
      <c r="L3022" s="299"/>
    </row>
    <row r="3023" spans="1:12">
      <c r="A3023" s="299"/>
      <c r="B3023" s="322"/>
      <c r="G3023" s="299"/>
      <c r="H3023" s="299"/>
      <c r="I3023" s="299"/>
      <c r="J3023" s="299"/>
      <c r="K3023" s="299"/>
      <c r="L3023" s="299"/>
    </row>
    <row r="3024" spans="1:12">
      <c r="A3024" s="299"/>
      <c r="B3024" s="322"/>
      <c r="G3024" s="299"/>
      <c r="H3024" s="299"/>
      <c r="I3024" s="299"/>
      <c r="J3024" s="299"/>
      <c r="K3024" s="299"/>
      <c r="L3024" s="299"/>
    </row>
    <row r="3025" spans="1:12">
      <c r="A3025" s="299"/>
      <c r="B3025" s="322"/>
      <c r="G3025" s="299"/>
      <c r="H3025" s="299"/>
      <c r="I3025" s="299"/>
      <c r="J3025" s="299"/>
      <c r="K3025" s="299"/>
      <c r="L3025" s="299"/>
    </row>
    <row r="3026" spans="1:12">
      <c r="A3026" s="299"/>
      <c r="B3026" s="322"/>
      <c r="G3026" s="299"/>
      <c r="H3026" s="299"/>
      <c r="I3026" s="299"/>
      <c r="J3026" s="299"/>
      <c r="K3026" s="299"/>
      <c r="L3026" s="299"/>
    </row>
    <row r="3027" spans="1:12">
      <c r="A3027" s="299"/>
      <c r="B3027" s="322"/>
      <c r="G3027" s="299"/>
      <c r="H3027" s="299"/>
      <c r="I3027" s="299"/>
      <c r="J3027" s="299"/>
      <c r="K3027" s="299"/>
      <c r="L3027" s="299"/>
    </row>
    <row r="3028" spans="1:12">
      <c r="A3028" s="299"/>
      <c r="B3028" s="322"/>
      <c r="G3028" s="299"/>
      <c r="H3028" s="299"/>
      <c r="I3028" s="299"/>
      <c r="J3028" s="299"/>
      <c r="K3028" s="299"/>
      <c r="L3028" s="299"/>
    </row>
    <row r="3029" spans="1:12">
      <c r="A3029" s="299"/>
      <c r="B3029" s="322"/>
      <c r="G3029" s="299"/>
      <c r="H3029" s="299"/>
      <c r="I3029" s="299"/>
      <c r="J3029" s="299"/>
      <c r="K3029" s="299"/>
      <c r="L3029" s="299"/>
    </row>
    <row r="3030" spans="1:12">
      <c r="A3030" s="299"/>
      <c r="B3030" s="322"/>
      <c r="G3030" s="299"/>
      <c r="H3030" s="299"/>
      <c r="I3030" s="299"/>
      <c r="J3030" s="299"/>
      <c r="K3030" s="299"/>
      <c r="L3030" s="299"/>
    </row>
    <row r="3031" spans="1:12">
      <c r="A3031" s="299"/>
      <c r="B3031" s="322"/>
      <c r="G3031" s="299"/>
      <c r="H3031" s="299"/>
      <c r="I3031" s="299"/>
      <c r="J3031" s="299"/>
      <c r="K3031" s="299"/>
      <c r="L3031" s="299"/>
    </row>
    <row r="3032" spans="1:12">
      <c r="A3032" s="299"/>
      <c r="B3032" s="322"/>
      <c r="G3032" s="299"/>
      <c r="H3032" s="299"/>
      <c r="I3032" s="299"/>
      <c r="J3032" s="299"/>
      <c r="K3032" s="299"/>
      <c r="L3032" s="299"/>
    </row>
    <row r="3033" spans="1:12">
      <c r="A3033" s="299"/>
      <c r="B3033" s="322"/>
      <c r="G3033" s="299"/>
      <c r="H3033" s="299"/>
      <c r="I3033" s="299"/>
      <c r="J3033" s="299"/>
      <c r="K3033" s="299"/>
      <c r="L3033" s="299"/>
    </row>
    <row r="3034" spans="1:12">
      <c r="A3034" s="299"/>
      <c r="B3034" s="322"/>
      <c r="G3034" s="299"/>
      <c r="H3034" s="299"/>
      <c r="I3034" s="299"/>
      <c r="J3034" s="299"/>
      <c r="K3034" s="299"/>
      <c r="L3034" s="299"/>
    </row>
    <row r="3035" spans="1:12">
      <c r="A3035" s="299"/>
      <c r="B3035" s="322"/>
      <c r="G3035" s="299"/>
      <c r="H3035" s="299"/>
      <c r="I3035" s="299"/>
      <c r="J3035" s="299"/>
      <c r="K3035" s="299"/>
      <c r="L3035" s="299"/>
    </row>
    <row r="3036" spans="1:12">
      <c r="A3036" s="299"/>
      <c r="B3036" s="322"/>
      <c r="G3036" s="299"/>
      <c r="H3036" s="299"/>
      <c r="I3036" s="299"/>
      <c r="J3036" s="299"/>
      <c r="K3036" s="299"/>
      <c r="L3036" s="299"/>
    </row>
    <row r="3037" spans="1:12">
      <c r="A3037" s="299"/>
      <c r="B3037" s="322"/>
      <c r="G3037" s="299"/>
      <c r="H3037" s="299"/>
      <c r="I3037" s="299"/>
      <c r="J3037" s="299"/>
      <c r="K3037" s="299"/>
      <c r="L3037" s="299"/>
    </row>
    <row r="3038" spans="1:12">
      <c r="A3038" s="299"/>
      <c r="B3038" s="322"/>
      <c r="G3038" s="299"/>
      <c r="H3038" s="299"/>
      <c r="I3038" s="299"/>
      <c r="J3038" s="299"/>
      <c r="K3038" s="299"/>
      <c r="L3038" s="299"/>
    </row>
    <row r="3039" spans="1:12">
      <c r="A3039" s="299"/>
      <c r="B3039" s="322"/>
      <c r="G3039" s="299"/>
      <c r="H3039" s="299"/>
      <c r="I3039" s="299"/>
      <c r="J3039" s="299"/>
      <c r="K3039" s="299"/>
      <c r="L3039" s="299"/>
    </row>
    <row r="3040" spans="1:12">
      <c r="A3040" s="299"/>
      <c r="B3040" s="322"/>
      <c r="G3040" s="299"/>
      <c r="H3040" s="299"/>
      <c r="I3040" s="299"/>
      <c r="J3040" s="299"/>
      <c r="K3040" s="299"/>
      <c r="L3040" s="299"/>
    </row>
    <row r="3041" spans="1:12">
      <c r="A3041" s="299"/>
      <c r="B3041" s="322"/>
      <c r="G3041" s="299"/>
      <c r="H3041" s="299"/>
      <c r="I3041" s="299"/>
      <c r="J3041" s="299"/>
      <c r="K3041" s="299"/>
      <c r="L3041" s="299"/>
    </row>
    <row r="3042" spans="1:12">
      <c r="A3042" s="299"/>
      <c r="B3042" s="322"/>
      <c r="G3042" s="299"/>
      <c r="H3042" s="299"/>
      <c r="I3042" s="299"/>
      <c r="J3042" s="299"/>
      <c r="K3042" s="299"/>
      <c r="L3042" s="299"/>
    </row>
    <row r="3043" spans="1:12">
      <c r="A3043" s="299"/>
      <c r="B3043" s="322"/>
      <c r="G3043" s="299"/>
      <c r="H3043" s="299"/>
      <c r="I3043" s="299"/>
      <c r="J3043" s="299"/>
      <c r="K3043" s="299"/>
      <c r="L3043" s="299"/>
    </row>
    <row r="3044" spans="1:12">
      <c r="A3044" s="299"/>
      <c r="B3044" s="322"/>
      <c r="G3044" s="299"/>
      <c r="H3044" s="299"/>
      <c r="I3044" s="299"/>
      <c r="J3044" s="299"/>
      <c r="K3044" s="299"/>
      <c r="L3044" s="299"/>
    </row>
    <row r="3045" spans="1:12">
      <c r="A3045" s="299"/>
      <c r="B3045" s="322"/>
      <c r="G3045" s="299"/>
      <c r="H3045" s="299"/>
      <c r="I3045" s="299"/>
      <c r="J3045" s="299"/>
      <c r="K3045" s="299"/>
      <c r="L3045" s="299"/>
    </row>
    <row r="3046" spans="1:12">
      <c r="A3046" s="299"/>
      <c r="B3046" s="322"/>
      <c r="G3046" s="299"/>
      <c r="H3046" s="299"/>
      <c r="I3046" s="299"/>
      <c r="J3046" s="299"/>
      <c r="K3046" s="299"/>
      <c r="L3046" s="299"/>
    </row>
    <row r="3047" spans="1:12">
      <c r="A3047" s="299"/>
      <c r="B3047" s="322"/>
      <c r="G3047" s="299"/>
      <c r="H3047" s="299"/>
      <c r="I3047" s="299"/>
      <c r="J3047" s="299"/>
      <c r="K3047" s="299"/>
      <c r="L3047" s="299"/>
    </row>
    <row r="3048" spans="1:12">
      <c r="A3048" s="299"/>
      <c r="B3048" s="322"/>
      <c r="G3048" s="299"/>
      <c r="H3048" s="299"/>
      <c r="I3048" s="299"/>
      <c r="J3048" s="299"/>
      <c r="K3048" s="299"/>
      <c r="L3048" s="299"/>
    </row>
    <row r="3049" spans="1:12">
      <c r="A3049" s="299"/>
      <c r="B3049" s="322"/>
      <c r="G3049" s="299"/>
      <c r="H3049" s="299"/>
      <c r="I3049" s="299"/>
      <c r="J3049" s="299"/>
      <c r="K3049" s="299"/>
      <c r="L3049" s="299"/>
    </row>
    <row r="3050" spans="1:12">
      <c r="A3050" s="299"/>
      <c r="B3050" s="322"/>
      <c r="G3050" s="299"/>
      <c r="H3050" s="299"/>
      <c r="I3050" s="299"/>
      <c r="J3050" s="299"/>
      <c r="K3050" s="299"/>
      <c r="L3050" s="299"/>
    </row>
    <row r="3051" spans="1:12">
      <c r="A3051" s="299"/>
      <c r="B3051" s="322"/>
      <c r="G3051" s="299"/>
      <c r="H3051" s="299"/>
      <c r="I3051" s="299"/>
      <c r="J3051" s="299"/>
      <c r="K3051" s="299"/>
      <c r="L3051" s="299"/>
    </row>
    <row r="3052" spans="1:12">
      <c r="A3052" s="299"/>
      <c r="B3052" s="322"/>
      <c r="G3052" s="299"/>
      <c r="H3052" s="299"/>
      <c r="I3052" s="299"/>
      <c r="J3052" s="299"/>
      <c r="K3052" s="299"/>
      <c r="L3052" s="299"/>
    </row>
    <row r="3053" spans="1:12">
      <c r="A3053" s="299"/>
      <c r="B3053" s="322"/>
      <c r="G3053" s="299"/>
      <c r="H3053" s="299"/>
      <c r="I3053" s="299"/>
      <c r="J3053" s="299"/>
      <c r="K3053" s="299"/>
      <c r="L3053" s="299"/>
    </row>
    <row r="3054" spans="1:12">
      <c r="A3054" s="299"/>
      <c r="B3054" s="322"/>
      <c r="G3054" s="299"/>
      <c r="H3054" s="299"/>
      <c r="I3054" s="299"/>
      <c r="J3054" s="299"/>
      <c r="K3054" s="299"/>
      <c r="L3054" s="299"/>
    </row>
    <row r="3055" spans="1:12">
      <c r="A3055" s="299"/>
      <c r="B3055" s="322"/>
      <c r="G3055" s="299"/>
      <c r="H3055" s="299"/>
      <c r="I3055" s="299"/>
      <c r="J3055" s="299"/>
      <c r="K3055" s="299"/>
      <c r="L3055" s="299"/>
    </row>
    <row r="3056" spans="1:12">
      <c r="A3056" s="299"/>
      <c r="B3056" s="322"/>
      <c r="G3056" s="299"/>
      <c r="H3056" s="299"/>
      <c r="I3056" s="299"/>
      <c r="J3056" s="299"/>
      <c r="K3056" s="299"/>
      <c r="L3056" s="299"/>
    </row>
    <row r="3057" spans="1:12">
      <c r="A3057" s="299"/>
      <c r="B3057" s="322"/>
      <c r="G3057" s="299"/>
      <c r="H3057" s="299"/>
      <c r="I3057" s="299"/>
      <c r="J3057" s="299"/>
      <c r="K3057" s="299"/>
      <c r="L3057" s="299"/>
    </row>
    <row r="3058" spans="1:12">
      <c r="A3058" s="299"/>
      <c r="B3058" s="322"/>
      <c r="G3058" s="299"/>
      <c r="H3058" s="299"/>
      <c r="I3058" s="299"/>
      <c r="J3058" s="299"/>
      <c r="K3058" s="299"/>
      <c r="L3058" s="299"/>
    </row>
    <row r="3059" spans="1:12">
      <c r="A3059" s="299"/>
      <c r="B3059" s="322"/>
      <c r="G3059" s="299"/>
      <c r="H3059" s="299"/>
      <c r="I3059" s="299"/>
      <c r="J3059" s="299"/>
      <c r="K3059" s="299"/>
      <c r="L3059" s="299"/>
    </row>
    <row r="3060" spans="1:12">
      <c r="A3060" s="299"/>
      <c r="B3060" s="322"/>
      <c r="G3060" s="299"/>
      <c r="H3060" s="299"/>
      <c r="I3060" s="299"/>
      <c r="J3060" s="299"/>
      <c r="K3060" s="299"/>
      <c r="L3060" s="299"/>
    </row>
    <row r="3061" spans="1:12">
      <c r="A3061" s="299"/>
      <c r="B3061" s="322"/>
      <c r="G3061" s="299"/>
      <c r="H3061" s="299"/>
      <c r="I3061" s="299"/>
      <c r="J3061" s="299"/>
      <c r="K3061" s="299"/>
      <c r="L3061" s="299"/>
    </row>
    <row r="3062" spans="1:12">
      <c r="A3062" s="299"/>
      <c r="B3062" s="322"/>
      <c r="G3062" s="299"/>
      <c r="H3062" s="299"/>
      <c r="I3062" s="299"/>
      <c r="J3062" s="299"/>
      <c r="K3062" s="299"/>
      <c r="L3062" s="299"/>
    </row>
    <row r="3063" spans="1:12">
      <c r="A3063" s="299"/>
      <c r="B3063" s="322"/>
      <c r="G3063" s="299"/>
      <c r="H3063" s="299"/>
      <c r="I3063" s="299"/>
      <c r="J3063" s="299"/>
      <c r="K3063" s="299"/>
      <c r="L3063" s="299"/>
    </row>
    <row r="3064" spans="1:12">
      <c r="A3064" s="299"/>
      <c r="B3064" s="322"/>
      <c r="G3064" s="299"/>
      <c r="H3064" s="299"/>
      <c r="I3064" s="299"/>
      <c r="J3064" s="299"/>
      <c r="K3064" s="299"/>
      <c r="L3064" s="299"/>
    </row>
    <row r="3065" spans="1:12">
      <c r="A3065" s="299"/>
      <c r="B3065" s="322"/>
      <c r="G3065" s="299"/>
      <c r="H3065" s="299"/>
      <c r="I3065" s="299"/>
      <c r="J3065" s="299"/>
      <c r="K3065" s="299"/>
      <c r="L3065" s="299"/>
    </row>
    <row r="3066" spans="1:12">
      <c r="A3066" s="299"/>
      <c r="B3066" s="322"/>
      <c r="G3066" s="299"/>
      <c r="H3066" s="299"/>
      <c r="I3066" s="299"/>
      <c r="J3066" s="299"/>
      <c r="K3066" s="299"/>
      <c r="L3066" s="299"/>
    </row>
    <row r="3067" spans="1:12">
      <c r="A3067" s="299"/>
      <c r="B3067" s="322"/>
      <c r="G3067" s="299"/>
      <c r="H3067" s="299"/>
      <c r="I3067" s="299"/>
      <c r="J3067" s="299"/>
      <c r="K3067" s="299"/>
      <c r="L3067" s="299"/>
    </row>
    <row r="3068" spans="1:12">
      <c r="A3068" s="299"/>
      <c r="B3068" s="322"/>
      <c r="G3068" s="299"/>
      <c r="H3068" s="299"/>
      <c r="I3068" s="299"/>
      <c r="J3068" s="299"/>
      <c r="K3068" s="299"/>
      <c r="L3068" s="299"/>
    </row>
    <row r="3069" spans="1:12">
      <c r="A3069" s="299"/>
      <c r="B3069" s="322"/>
      <c r="G3069" s="299"/>
      <c r="H3069" s="299"/>
      <c r="I3069" s="299"/>
      <c r="J3069" s="299"/>
      <c r="K3069" s="299"/>
      <c r="L3069" s="299"/>
    </row>
    <row r="3070" spans="1:12">
      <c r="A3070" s="299"/>
      <c r="B3070" s="322"/>
      <c r="G3070" s="299"/>
      <c r="H3070" s="299"/>
      <c r="I3070" s="299"/>
      <c r="J3070" s="299"/>
      <c r="K3070" s="299"/>
      <c r="L3070" s="299"/>
    </row>
    <row r="3071" spans="1:12">
      <c r="A3071" s="299"/>
      <c r="B3071" s="322"/>
      <c r="G3071" s="299"/>
      <c r="H3071" s="299"/>
      <c r="I3071" s="299"/>
      <c r="J3071" s="299"/>
      <c r="K3071" s="299"/>
      <c r="L3071" s="299"/>
    </row>
    <row r="3072" spans="1:12">
      <c r="A3072" s="299"/>
      <c r="B3072" s="322"/>
      <c r="G3072" s="299"/>
      <c r="H3072" s="299"/>
      <c r="I3072" s="299"/>
      <c r="J3072" s="299"/>
      <c r="K3072" s="299"/>
      <c r="L3072" s="299"/>
    </row>
    <row r="3073" spans="1:12">
      <c r="A3073" s="299"/>
      <c r="B3073" s="322"/>
      <c r="G3073" s="299"/>
      <c r="H3073" s="299"/>
      <c r="I3073" s="299"/>
      <c r="J3073" s="299"/>
      <c r="K3073" s="299"/>
      <c r="L3073" s="299"/>
    </row>
    <row r="3074" spans="1:12">
      <c r="A3074" s="299"/>
      <c r="B3074" s="322"/>
      <c r="G3074" s="299"/>
      <c r="H3074" s="299"/>
      <c r="I3074" s="299"/>
      <c r="J3074" s="299"/>
      <c r="K3074" s="299"/>
      <c r="L3074" s="299"/>
    </row>
    <row r="3075" spans="1:12">
      <c r="A3075" s="299"/>
      <c r="B3075" s="322"/>
      <c r="G3075" s="299"/>
      <c r="H3075" s="299"/>
      <c r="I3075" s="299"/>
      <c r="J3075" s="299"/>
      <c r="K3075" s="299"/>
      <c r="L3075" s="299"/>
    </row>
    <row r="3076" spans="1:12">
      <c r="A3076" s="299"/>
      <c r="B3076" s="322"/>
      <c r="G3076" s="299"/>
      <c r="H3076" s="299"/>
      <c r="I3076" s="299"/>
      <c r="J3076" s="299"/>
      <c r="K3076" s="299"/>
      <c r="L3076" s="299"/>
    </row>
    <row r="3077" spans="1:12">
      <c r="A3077" s="299"/>
      <c r="B3077" s="322"/>
      <c r="G3077" s="299"/>
      <c r="H3077" s="299"/>
      <c r="I3077" s="299"/>
      <c r="J3077" s="299"/>
      <c r="K3077" s="299"/>
      <c r="L3077" s="299"/>
    </row>
    <row r="3078" spans="1:12">
      <c r="A3078" s="299"/>
      <c r="B3078" s="322"/>
      <c r="G3078" s="299"/>
      <c r="H3078" s="299"/>
      <c r="I3078" s="299"/>
      <c r="J3078" s="299"/>
      <c r="K3078" s="299"/>
      <c r="L3078" s="299"/>
    </row>
    <row r="3079" spans="1:12">
      <c r="A3079" s="299"/>
      <c r="B3079" s="322"/>
      <c r="G3079" s="299"/>
      <c r="H3079" s="299"/>
      <c r="I3079" s="299"/>
      <c r="J3079" s="299"/>
      <c r="K3079" s="299"/>
      <c r="L3079" s="299"/>
    </row>
    <row r="3080" spans="1:12">
      <c r="A3080" s="299"/>
      <c r="B3080" s="322"/>
      <c r="G3080" s="299"/>
      <c r="H3080" s="299"/>
      <c r="I3080" s="299"/>
      <c r="J3080" s="299"/>
      <c r="K3080" s="299"/>
      <c r="L3080" s="299"/>
    </row>
    <row r="3081" spans="1:12">
      <c r="A3081" s="299"/>
      <c r="B3081" s="322"/>
      <c r="G3081" s="299"/>
      <c r="H3081" s="299"/>
      <c r="I3081" s="299"/>
      <c r="J3081" s="299"/>
      <c r="K3081" s="299"/>
      <c r="L3081" s="299"/>
    </row>
    <row r="3082" spans="1:12">
      <c r="A3082" s="299"/>
      <c r="B3082" s="322"/>
      <c r="G3082" s="299"/>
      <c r="H3082" s="299"/>
      <c r="I3082" s="299"/>
      <c r="J3082" s="299"/>
      <c r="K3082" s="299"/>
      <c r="L3082" s="299"/>
    </row>
    <row r="3083" spans="1:12">
      <c r="A3083" s="299"/>
      <c r="B3083" s="322"/>
      <c r="G3083" s="299"/>
      <c r="H3083" s="299"/>
      <c r="I3083" s="299"/>
      <c r="J3083" s="299"/>
      <c r="K3083" s="299"/>
      <c r="L3083" s="299"/>
    </row>
    <row r="3084" spans="1:12">
      <c r="A3084" s="299"/>
      <c r="B3084" s="322"/>
      <c r="G3084" s="299"/>
      <c r="H3084" s="299"/>
      <c r="I3084" s="299"/>
      <c r="J3084" s="299"/>
      <c r="K3084" s="299"/>
      <c r="L3084" s="299"/>
    </row>
    <row r="3085" spans="1:12">
      <c r="A3085" s="299"/>
      <c r="B3085" s="322"/>
      <c r="G3085" s="299"/>
      <c r="H3085" s="299"/>
      <c r="I3085" s="299"/>
      <c r="J3085" s="299"/>
      <c r="K3085" s="299"/>
      <c r="L3085" s="299"/>
    </row>
    <row r="3086" spans="1:12">
      <c r="A3086" s="299"/>
      <c r="B3086" s="322"/>
      <c r="G3086" s="299"/>
      <c r="H3086" s="299"/>
      <c r="I3086" s="299"/>
      <c r="J3086" s="299"/>
      <c r="K3086" s="299"/>
      <c r="L3086" s="299"/>
    </row>
    <row r="3087" spans="1:12">
      <c r="A3087" s="299"/>
      <c r="B3087" s="322"/>
      <c r="G3087" s="299"/>
      <c r="H3087" s="299"/>
      <c r="I3087" s="299"/>
      <c r="J3087" s="299"/>
      <c r="K3087" s="299"/>
      <c r="L3087" s="299"/>
    </row>
    <row r="3088" spans="1:12">
      <c r="A3088" s="299"/>
      <c r="B3088" s="322"/>
      <c r="G3088" s="299"/>
      <c r="H3088" s="299"/>
      <c r="I3088" s="299"/>
      <c r="J3088" s="299"/>
      <c r="K3088" s="299"/>
      <c r="L3088" s="299"/>
    </row>
    <row r="3089" spans="1:12">
      <c r="A3089" s="299"/>
      <c r="B3089" s="322"/>
      <c r="G3089" s="299"/>
      <c r="H3089" s="299"/>
      <c r="I3089" s="299"/>
      <c r="J3089" s="299"/>
      <c r="K3089" s="299"/>
      <c r="L3089" s="299"/>
    </row>
    <row r="3090" spans="1:12">
      <c r="A3090" s="299"/>
      <c r="B3090" s="322"/>
      <c r="G3090" s="299"/>
      <c r="H3090" s="299"/>
      <c r="I3090" s="299"/>
      <c r="J3090" s="299"/>
      <c r="K3090" s="299"/>
      <c r="L3090" s="299"/>
    </row>
    <row r="3091" spans="1:12">
      <c r="A3091" s="299"/>
      <c r="B3091" s="322"/>
      <c r="G3091" s="299"/>
      <c r="H3091" s="299"/>
      <c r="I3091" s="299"/>
      <c r="J3091" s="299"/>
      <c r="K3091" s="299"/>
      <c r="L3091" s="299"/>
    </row>
    <row r="3092" spans="1:12">
      <c r="A3092" s="299"/>
      <c r="B3092" s="322"/>
      <c r="G3092" s="299"/>
      <c r="H3092" s="299"/>
      <c r="I3092" s="299"/>
      <c r="J3092" s="299"/>
      <c r="K3092" s="299"/>
      <c r="L3092" s="299"/>
    </row>
    <row r="3093" spans="1:12">
      <c r="A3093" s="299"/>
      <c r="B3093" s="322"/>
      <c r="G3093" s="299"/>
      <c r="H3093" s="299"/>
      <c r="I3093" s="299"/>
      <c r="J3093" s="299"/>
      <c r="K3093" s="299"/>
      <c r="L3093" s="299"/>
    </row>
    <row r="3094" spans="1:12">
      <c r="A3094" s="299"/>
      <c r="B3094" s="322"/>
      <c r="G3094" s="299"/>
      <c r="H3094" s="299"/>
      <c r="I3094" s="299"/>
      <c r="J3094" s="299"/>
      <c r="K3094" s="299"/>
      <c r="L3094" s="299"/>
    </row>
    <row r="3095" spans="1:12">
      <c r="A3095" s="299"/>
      <c r="B3095" s="322"/>
      <c r="G3095" s="299"/>
      <c r="H3095" s="299"/>
      <c r="I3095" s="299"/>
      <c r="J3095" s="299"/>
      <c r="K3095" s="299"/>
      <c r="L3095" s="299"/>
    </row>
    <row r="3096" spans="1:12">
      <c r="A3096" s="299"/>
      <c r="B3096" s="322"/>
      <c r="G3096" s="299"/>
      <c r="H3096" s="299"/>
      <c r="I3096" s="299"/>
      <c r="J3096" s="299"/>
      <c r="K3096" s="299"/>
      <c r="L3096" s="299"/>
    </row>
    <row r="3097" spans="1:12">
      <c r="A3097" s="299"/>
      <c r="B3097" s="322"/>
      <c r="G3097" s="299"/>
      <c r="H3097" s="299"/>
      <c r="I3097" s="299"/>
      <c r="J3097" s="299"/>
      <c r="K3097" s="299"/>
      <c r="L3097" s="299"/>
    </row>
    <row r="3098" spans="1:12">
      <c r="A3098" s="299"/>
      <c r="B3098" s="322"/>
      <c r="G3098" s="299"/>
      <c r="H3098" s="299"/>
      <c r="I3098" s="299"/>
      <c r="J3098" s="299"/>
      <c r="K3098" s="299"/>
      <c r="L3098" s="299"/>
    </row>
    <row r="3099" spans="1:12">
      <c r="A3099" s="299"/>
      <c r="B3099" s="322"/>
      <c r="G3099" s="299"/>
      <c r="H3099" s="299"/>
      <c r="I3099" s="299"/>
      <c r="J3099" s="299"/>
      <c r="K3099" s="299"/>
      <c r="L3099" s="299"/>
    </row>
    <row r="3100" spans="1:12">
      <c r="A3100" s="299"/>
      <c r="B3100" s="322"/>
      <c r="G3100" s="299"/>
      <c r="H3100" s="299"/>
      <c r="I3100" s="299"/>
      <c r="J3100" s="299"/>
      <c r="K3100" s="299"/>
      <c r="L3100" s="299"/>
    </row>
    <row r="3101" spans="1:12">
      <c r="A3101" s="299"/>
      <c r="B3101" s="322"/>
      <c r="G3101" s="299"/>
      <c r="H3101" s="299"/>
      <c r="I3101" s="299"/>
      <c r="J3101" s="299"/>
      <c r="K3101" s="299"/>
      <c r="L3101" s="299"/>
    </row>
    <row r="3102" spans="1:12">
      <c r="A3102" s="299"/>
      <c r="B3102" s="322"/>
      <c r="G3102" s="299"/>
      <c r="H3102" s="299"/>
      <c r="I3102" s="299"/>
      <c r="J3102" s="299"/>
      <c r="K3102" s="299"/>
      <c r="L3102" s="299"/>
    </row>
    <row r="3103" spans="1:12">
      <c r="A3103" s="299"/>
      <c r="B3103" s="322"/>
      <c r="G3103" s="299"/>
      <c r="H3103" s="299"/>
      <c r="I3103" s="299"/>
      <c r="J3103" s="299"/>
      <c r="K3103" s="299"/>
      <c r="L3103" s="299"/>
    </row>
    <row r="3104" spans="1:12">
      <c r="A3104" s="299"/>
      <c r="B3104" s="322"/>
      <c r="G3104" s="299"/>
      <c r="H3104" s="299"/>
      <c r="I3104" s="299"/>
      <c r="J3104" s="299"/>
      <c r="K3104" s="299"/>
      <c r="L3104" s="299"/>
    </row>
    <row r="3105" spans="1:12">
      <c r="A3105" s="299"/>
      <c r="B3105" s="322"/>
      <c r="G3105" s="299"/>
      <c r="H3105" s="299"/>
      <c r="I3105" s="299"/>
      <c r="J3105" s="299"/>
      <c r="K3105" s="299"/>
      <c r="L3105" s="299"/>
    </row>
    <row r="3106" spans="1:12">
      <c r="A3106" s="299"/>
      <c r="B3106" s="322"/>
      <c r="G3106" s="299"/>
      <c r="H3106" s="299"/>
      <c r="I3106" s="299"/>
      <c r="J3106" s="299"/>
      <c r="K3106" s="299"/>
      <c r="L3106" s="299"/>
    </row>
    <row r="3107" spans="1:12">
      <c r="A3107" s="299"/>
      <c r="B3107" s="322"/>
      <c r="G3107" s="299"/>
      <c r="H3107" s="299"/>
      <c r="I3107" s="299"/>
      <c r="J3107" s="299"/>
      <c r="K3107" s="299"/>
      <c r="L3107" s="299"/>
    </row>
    <row r="3108" spans="1:12">
      <c r="A3108" s="299"/>
      <c r="B3108" s="322"/>
      <c r="G3108" s="299"/>
      <c r="H3108" s="299"/>
      <c r="I3108" s="299"/>
      <c r="J3108" s="299"/>
      <c r="K3108" s="299"/>
      <c r="L3108" s="299"/>
    </row>
    <row r="3109" spans="1:12">
      <c r="A3109" s="299"/>
      <c r="B3109" s="322"/>
      <c r="G3109" s="299"/>
      <c r="H3109" s="299"/>
      <c r="I3109" s="299"/>
      <c r="J3109" s="299"/>
      <c r="K3109" s="299"/>
      <c r="L3109" s="299"/>
    </row>
    <row r="3110" spans="1:12">
      <c r="A3110" s="299"/>
      <c r="B3110" s="322"/>
      <c r="G3110" s="299"/>
      <c r="H3110" s="299"/>
      <c r="I3110" s="299"/>
      <c r="J3110" s="299"/>
      <c r="K3110" s="299"/>
      <c r="L3110" s="299"/>
    </row>
    <row r="3111" spans="1:12">
      <c r="A3111" s="299"/>
      <c r="B3111" s="322"/>
      <c r="G3111" s="299"/>
      <c r="H3111" s="299"/>
      <c r="I3111" s="299"/>
      <c r="J3111" s="299"/>
      <c r="K3111" s="299"/>
      <c r="L3111" s="299"/>
    </row>
    <row r="3112" spans="1:12">
      <c r="A3112" s="299"/>
      <c r="B3112" s="322"/>
      <c r="G3112" s="299"/>
      <c r="H3112" s="299"/>
      <c r="I3112" s="299"/>
      <c r="J3112" s="299"/>
      <c r="K3112" s="299"/>
      <c r="L3112" s="299"/>
    </row>
    <row r="3113" spans="1:12">
      <c r="A3113" s="299"/>
      <c r="B3113" s="322"/>
      <c r="G3113" s="299"/>
      <c r="H3113" s="299"/>
      <c r="I3113" s="299"/>
      <c r="J3113" s="299"/>
      <c r="K3113" s="299"/>
      <c r="L3113" s="299"/>
    </row>
    <row r="3114" spans="1:12">
      <c r="A3114" s="299"/>
      <c r="B3114" s="322"/>
      <c r="G3114" s="299"/>
      <c r="H3114" s="299"/>
      <c r="I3114" s="299"/>
      <c r="J3114" s="299"/>
      <c r="K3114" s="299"/>
      <c r="L3114" s="299"/>
    </row>
    <row r="3115" spans="1:12">
      <c r="A3115" s="299"/>
      <c r="B3115" s="322"/>
      <c r="G3115" s="299"/>
      <c r="H3115" s="299"/>
      <c r="I3115" s="299"/>
      <c r="J3115" s="299"/>
      <c r="K3115" s="299"/>
      <c r="L3115" s="299"/>
    </row>
    <row r="3116" spans="1:12">
      <c r="A3116" s="299"/>
      <c r="B3116" s="322"/>
      <c r="G3116" s="299"/>
      <c r="H3116" s="299"/>
      <c r="I3116" s="299"/>
      <c r="J3116" s="299"/>
      <c r="K3116" s="299"/>
      <c r="L3116" s="299"/>
    </row>
    <row r="3117" spans="1:12">
      <c r="A3117" s="299"/>
      <c r="B3117" s="322"/>
      <c r="G3117" s="299"/>
      <c r="H3117" s="299"/>
      <c r="I3117" s="299"/>
      <c r="J3117" s="299"/>
      <c r="K3117" s="299"/>
      <c r="L3117" s="299"/>
    </row>
    <row r="3118" spans="1:12">
      <c r="A3118" s="299"/>
      <c r="B3118" s="322"/>
      <c r="G3118" s="299"/>
      <c r="H3118" s="299"/>
      <c r="I3118" s="299"/>
      <c r="J3118" s="299"/>
      <c r="K3118" s="299"/>
      <c r="L3118" s="299"/>
    </row>
    <row r="3119" spans="1:12">
      <c r="A3119" s="299"/>
      <c r="B3119" s="322"/>
      <c r="G3119" s="299"/>
      <c r="H3119" s="299"/>
      <c r="I3119" s="299"/>
      <c r="J3119" s="299"/>
      <c r="K3119" s="299"/>
      <c r="L3119" s="299"/>
    </row>
    <row r="3120" spans="1:12">
      <c r="A3120" s="299"/>
      <c r="B3120" s="322"/>
      <c r="G3120" s="299"/>
      <c r="H3120" s="299"/>
      <c r="I3120" s="299"/>
      <c r="J3120" s="299"/>
      <c r="K3120" s="299"/>
      <c r="L3120" s="299"/>
    </row>
    <row r="3121" spans="1:12">
      <c r="A3121" s="299"/>
      <c r="B3121" s="322"/>
      <c r="G3121" s="299"/>
      <c r="H3121" s="299"/>
      <c r="I3121" s="299"/>
      <c r="J3121" s="299"/>
      <c r="K3121" s="299"/>
      <c r="L3121" s="299"/>
    </row>
    <row r="3122" spans="1:12">
      <c r="A3122" s="299"/>
      <c r="B3122" s="322"/>
      <c r="G3122" s="299"/>
      <c r="H3122" s="299"/>
      <c r="I3122" s="299"/>
      <c r="J3122" s="299"/>
      <c r="K3122" s="299"/>
      <c r="L3122" s="299"/>
    </row>
    <row r="3123" spans="1:12">
      <c r="A3123" s="299"/>
      <c r="B3123" s="322"/>
      <c r="G3123" s="299"/>
      <c r="H3123" s="299"/>
      <c r="I3123" s="299"/>
      <c r="J3123" s="299"/>
      <c r="K3123" s="299"/>
      <c r="L3123" s="299"/>
    </row>
    <row r="3124" spans="1:12">
      <c r="A3124" s="299"/>
      <c r="B3124" s="322"/>
      <c r="G3124" s="299"/>
      <c r="H3124" s="299"/>
      <c r="I3124" s="299"/>
      <c r="J3124" s="299"/>
      <c r="K3124" s="299"/>
      <c r="L3124" s="299"/>
    </row>
    <row r="3125" spans="1:12">
      <c r="A3125" s="299"/>
      <c r="B3125" s="322"/>
      <c r="G3125" s="299"/>
      <c r="H3125" s="299"/>
      <c r="I3125" s="299"/>
      <c r="J3125" s="299"/>
      <c r="K3125" s="299"/>
      <c r="L3125" s="299"/>
    </row>
    <row r="3126" spans="1:12">
      <c r="A3126" s="299"/>
      <c r="B3126" s="322"/>
      <c r="G3126" s="299"/>
      <c r="H3126" s="299"/>
      <c r="I3126" s="299"/>
      <c r="J3126" s="299"/>
      <c r="K3126" s="299"/>
      <c r="L3126" s="299"/>
    </row>
    <row r="3127" spans="1:12">
      <c r="A3127" s="299"/>
      <c r="B3127" s="322"/>
      <c r="G3127" s="299"/>
      <c r="H3127" s="299"/>
      <c r="I3127" s="299"/>
      <c r="J3127" s="299"/>
      <c r="K3127" s="299"/>
      <c r="L3127" s="299"/>
    </row>
    <row r="3128" spans="1:12">
      <c r="A3128" s="299"/>
      <c r="B3128" s="322"/>
      <c r="G3128" s="299"/>
      <c r="H3128" s="299"/>
      <c r="I3128" s="299"/>
      <c r="J3128" s="299"/>
      <c r="K3128" s="299"/>
      <c r="L3128" s="299"/>
    </row>
    <row r="3129" spans="1:12">
      <c r="A3129" s="299"/>
      <c r="B3129" s="322"/>
      <c r="G3129" s="299"/>
      <c r="H3129" s="299"/>
      <c r="I3129" s="299"/>
      <c r="J3129" s="299"/>
      <c r="K3129" s="299"/>
      <c r="L3129" s="299"/>
    </row>
    <row r="3130" spans="1:12">
      <c r="A3130" s="299"/>
      <c r="B3130" s="322"/>
      <c r="G3130" s="299"/>
      <c r="H3130" s="299"/>
      <c r="I3130" s="299"/>
      <c r="J3130" s="299"/>
      <c r="K3130" s="299"/>
      <c r="L3130" s="299"/>
    </row>
    <row r="3131" spans="1:12">
      <c r="A3131" s="299"/>
      <c r="B3131" s="322"/>
      <c r="G3131" s="299"/>
      <c r="H3131" s="299"/>
      <c r="I3131" s="299"/>
      <c r="J3131" s="299"/>
      <c r="K3131" s="299"/>
      <c r="L3131" s="299"/>
    </row>
    <row r="3132" spans="1:12">
      <c r="A3132" s="299"/>
      <c r="B3132" s="322"/>
      <c r="G3132" s="299"/>
      <c r="H3132" s="299"/>
      <c r="I3132" s="299"/>
      <c r="J3132" s="299"/>
      <c r="K3132" s="299"/>
      <c r="L3132" s="299"/>
    </row>
    <row r="3133" spans="1:12">
      <c r="A3133" s="299"/>
      <c r="B3133" s="322"/>
      <c r="G3133" s="299"/>
      <c r="H3133" s="299"/>
      <c r="I3133" s="299"/>
      <c r="J3133" s="299"/>
      <c r="K3133" s="299"/>
      <c r="L3133" s="299"/>
    </row>
    <row r="3134" spans="1:12">
      <c r="A3134" s="299"/>
      <c r="B3134" s="322"/>
      <c r="G3134" s="299"/>
      <c r="H3134" s="299"/>
      <c r="I3134" s="299"/>
      <c r="J3134" s="299"/>
      <c r="K3134" s="299"/>
      <c r="L3134" s="299"/>
    </row>
    <row r="3135" spans="1:12">
      <c r="A3135" s="299"/>
      <c r="B3135" s="322"/>
      <c r="G3135" s="299"/>
      <c r="H3135" s="299"/>
      <c r="I3135" s="299"/>
      <c r="J3135" s="299"/>
      <c r="K3135" s="299"/>
      <c r="L3135" s="299"/>
    </row>
    <row r="3136" spans="1:12">
      <c r="A3136" s="299"/>
      <c r="B3136" s="322"/>
      <c r="G3136" s="299"/>
      <c r="H3136" s="299"/>
      <c r="I3136" s="299"/>
      <c r="J3136" s="299"/>
      <c r="K3136" s="299"/>
      <c r="L3136" s="299"/>
    </row>
    <row r="3137" spans="1:12">
      <c r="A3137" s="299"/>
      <c r="B3137" s="322"/>
      <c r="G3137" s="299"/>
      <c r="H3137" s="299"/>
      <c r="I3137" s="299"/>
      <c r="J3137" s="299"/>
      <c r="K3137" s="299"/>
      <c r="L3137" s="299"/>
    </row>
    <row r="3138" spans="1:12">
      <c r="A3138" s="299"/>
      <c r="B3138" s="322"/>
      <c r="G3138" s="299"/>
      <c r="H3138" s="299"/>
      <c r="I3138" s="299"/>
      <c r="J3138" s="299"/>
      <c r="K3138" s="299"/>
      <c r="L3138" s="299"/>
    </row>
    <row r="3139" spans="1:12">
      <c r="A3139" s="299"/>
      <c r="B3139" s="322"/>
      <c r="G3139" s="299"/>
      <c r="H3139" s="299"/>
      <c r="I3139" s="299"/>
      <c r="J3139" s="299"/>
      <c r="K3139" s="299"/>
      <c r="L3139" s="299"/>
    </row>
    <row r="3140" spans="1:12">
      <c r="A3140" s="299"/>
      <c r="B3140" s="322"/>
      <c r="G3140" s="299"/>
      <c r="H3140" s="299"/>
      <c r="I3140" s="299"/>
      <c r="J3140" s="299"/>
      <c r="K3140" s="299"/>
      <c r="L3140" s="299"/>
    </row>
    <row r="3141" spans="1:12">
      <c r="A3141" s="299"/>
      <c r="B3141" s="322"/>
      <c r="G3141" s="299"/>
      <c r="H3141" s="299"/>
      <c r="I3141" s="299"/>
      <c r="J3141" s="299"/>
      <c r="K3141" s="299"/>
      <c r="L3141" s="299"/>
    </row>
    <row r="3142" spans="1:12">
      <c r="A3142" s="299"/>
      <c r="B3142" s="322"/>
      <c r="G3142" s="299"/>
      <c r="H3142" s="299"/>
      <c r="I3142" s="299"/>
      <c r="J3142" s="299"/>
      <c r="K3142" s="299"/>
      <c r="L3142" s="299"/>
    </row>
    <row r="3143" spans="1:12">
      <c r="A3143" s="299"/>
      <c r="B3143" s="322"/>
      <c r="G3143" s="299"/>
      <c r="H3143" s="299"/>
      <c r="I3143" s="299"/>
      <c r="J3143" s="299"/>
      <c r="K3143" s="299"/>
      <c r="L3143" s="299"/>
    </row>
    <row r="3144" spans="1:12">
      <c r="A3144" s="299"/>
      <c r="B3144" s="322"/>
      <c r="G3144" s="299"/>
      <c r="H3144" s="299"/>
      <c r="I3144" s="299"/>
      <c r="J3144" s="299"/>
      <c r="K3144" s="299"/>
      <c r="L3144" s="299"/>
    </row>
    <row r="3145" spans="1:12">
      <c r="A3145" s="299"/>
      <c r="B3145" s="322"/>
      <c r="G3145" s="299"/>
      <c r="H3145" s="299"/>
      <c r="I3145" s="299"/>
      <c r="J3145" s="299"/>
      <c r="K3145" s="299"/>
      <c r="L3145" s="299"/>
    </row>
    <row r="3146" spans="1:12">
      <c r="A3146" s="299"/>
      <c r="B3146" s="322"/>
      <c r="G3146" s="299"/>
      <c r="H3146" s="299"/>
      <c r="I3146" s="299"/>
      <c r="J3146" s="299"/>
      <c r="K3146" s="299"/>
      <c r="L3146" s="299"/>
    </row>
    <row r="3147" spans="1:12">
      <c r="A3147" s="299"/>
      <c r="B3147" s="322"/>
      <c r="G3147" s="299"/>
      <c r="H3147" s="299"/>
      <c r="I3147" s="299"/>
      <c r="J3147" s="299"/>
      <c r="K3147" s="299"/>
      <c r="L3147" s="299"/>
    </row>
    <row r="3148" spans="1:12">
      <c r="A3148" s="299"/>
      <c r="B3148" s="322"/>
      <c r="G3148" s="299"/>
      <c r="H3148" s="299"/>
      <c r="I3148" s="299"/>
      <c r="J3148" s="299"/>
      <c r="K3148" s="299"/>
      <c r="L3148" s="299"/>
    </row>
    <row r="3149" spans="1:12">
      <c r="A3149" s="299"/>
      <c r="B3149" s="322"/>
      <c r="G3149" s="299"/>
      <c r="H3149" s="299"/>
      <c r="I3149" s="299"/>
      <c r="J3149" s="299"/>
      <c r="K3149" s="299"/>
      <c r="L3149" s="299"/>
    </row>
    <row r="3150" spans="1:12">
      <c r="A3150" s="299"/>
      <c r="B3150" s="322"/>
      <c r="G3150" s="299"/>
      <c r="H3150" s="299"/>
      <c r="I3150" s="299"/>
      <c r="J3150" s="299"/>
      <c r="K3150" s="299"/>
      <c r="L3150" s="299"/>
    </row>
    <row r="3151" spans="1:12">
      <c r="A3151" s="299"/>
      <c r="B3151" s="322"/>
      <c r="G3151" s="299"/>
      <c r="H3151" s="299"/>
      <c r="I3151" s="299"/>
      <c r="J3151" s="299"/>
      <c r="K3151" s="299"/>
      <c r="L3151" s="299"/>
    </row>
    <row r="3152" spans="1:12">
      <c r="A3152" s="299"/>
      <c r="B3152" s="322"/>
      <c r="G3152" s="299"/>
      <c r="H3152" s="299"/>
      <c r="I3152" s="299"/>
      <c r="J3152" s="299"/>
      <c r="K3152" s="299"/>
      <c r="L3152" s="299"/>
    </row>
    <row r="3153" spans="1:12">
      <c r="A3153" s="299"/>
      <c r="B3153" s="322"/>
      <c r="G3153" s="299"/>
      <c r="H3153" s="299"/>
      <c r="I3153" s="299"/>
      <c r="J3153" s="299"/>
      <c r="K3153" s="299"/>
      <c r="L3153" s="299"/>
    </row>
    <row r="3154" spans="1:12">
      <c r="A3154" s="299"/>
      <c r="B3154" s="322"/>
      <c r="G3154" s="299"/>
      <c r="H3154" s="299"/>
      <c r="I3154" s="299"/>
      <c r="J3154" s="299"/>
      <c r="K3154" s="299"/>
      <c r="L3154" s="299"/>
    </row>
    <row r="3155" spans="1:12">
      <c r="A3155" s="299"/>
      <c r="B3155" s="322"/>
      <c r="G3155" s="299"/>
      <c r="H3155" s="299"/>
      <c r="I3155" s="299"/>
      <c r="J3155" s="299"/>
      <c r="K3155" s="299"/>
      <c r="L3155" s="299"/>
    </row>
    <row r="3156" spans="1:12">
      <c r="A3156" s="299"/>
      <c r="B3156" s="322"/>
      <c r="G3156" s="299"/>
      <c r="H3156" s="299"/>
      <c r="I3156" s="299"/>
      <c r="J3156" s="299"/>
      <c r="K3156" s="299"/>
      <c r="L3156" s="299"/>
    </row>
    <row r="3157" spans="1:12">
      <c r="A3157" s="299"/>
      <c r="B3157" s="322"/>
      <c r="G3157" s="299"/>
      <c r="H3157" s="299"/>
      <c r="I3157" s="299"/>
      <c r="J3157" s="299"/>
      <c r="K3157" s="299"/>
      <c r="L3157" s="299"/>
    </row>
    <row r="3158" spans="1:12">
      <c r="A3158" s="299"/>
      <c r="B3158" s="322"/>
      <c r="G3158" s="299"/>
      <c r="H3158" s="299"/>
      <c r="I3158" s="299"/>
      <c r="J3158" s="299"/>
      <c r="K3158" s="299"/>
      <c r="L3158" s="299"/>
    </row>
    <row r="3159" spans="1:12">
      <c r="A3159" s="299"/>
      <c r="B3159" s="322"/>
      <c r="G3159" s="299"/>
      <c r="H3159" s="299"/>
      <c r="I3159" s="299"/>
      <c r="J3159" s="299"/>
      <c r="K3159" s="299"/>
      <c r="L3159" s="299"/>
    </row>
    <row r="3160" spans="1:12">
      <c r="A3160" s="299"/>
      <c r="B3160" s="322"/>
      <c r="G3160" s="299"/>
      <c r="H3160" s="299"/>
      <c r="I3160" s="299"/>
      <c r="J3160" s="299"/>
      <c r="K3160" s="299"/>
      <c r="L3160" s="299"/>
    </row>
    <row r="3161" spans="1:12">
      <c r="A3161" s="299"/>
      <c r="B3161" s="322"/>
      <c r="G3161" s="299"/>
      <c r="H3161" s="299"/>
      <c r="I3161" s="299"/>
      <c r="J3161" s="299"/>
      <c r="K3161" s="299"/>
      <c r="L3161" s="299"/>
    </row>
    <row r="3162" spans="1:12">
      <c r="A3162" s="299"/>
      <c r="B3162" s="322"/>
      <c r="G3162" s="299"/>
      <c r="H3162" s="299"/>
      <c r="I3162" s="299"/>
      <c r="J3162" s="299"/>
      <c r="K3162" s="299"/>
      <c r="L3162" s="299"/>
    </row>
    <row r="3163" spans="1:12">
      <c r="A3163" s="299"/>
      <c r="B3163" s="322"/>
      <c r="G3163" s="299"/>
      <c r="H3163" s="299"/>
      <c r="I3163" s="299"/>
      <c r="J3163" s="299"/>
      <c r="K3163" s="299"/>
      <c r="L3163" s="299"/>
    </row>
    <row r="3164" spans="1:12">
      <c r="A3164" s="299"/>
      <c r="B3164" s="322"/>
      <c r="G3164" s="299"/>
      <c r="H3164" s="299"/>
      <c r="I3164" s="299"/>
      <c r="J3164" s="299"/>
      <c r="K3164" s="299"/>
      <c r="L3164" s="299"/>
    </row>
    <row r="3165" spans="1:12">
      <c r="A3165" s="299"/>
      <c r="B3165" s="322"/>
      <c r="G3165" s="299"/>
      <c r="H3165" s="299"/>
      <c r="I3165" s="299"/>
      <c r="J3165" s="299"/>
      <c r="K3165" s="299"/>
      <c r="L3165" s="299"/>
    </row>
    <row r="3166" spans="1:12">
      <c r="A3166" s="299"/>
      <c r="B3166" s="322"/>
      <c r="G3166" s="299"/>
      <c r="H3166" s="299"/>
      <c r="I3166" s="299"/>
      <c r="J3166" s="299"/>
      <c r="K3166" s="299"/>
      <c r="L3166" s="299"/>
    </row>
    <row r="3167" spans="1:12">
      <c r="A3167" s="299"/>
      <c r="B3167" s="322"/>
      <c r="G3167" s="299"/>
      <c r="H3167" s="299"/>
      <c r="I3167" s="299"/>
      <c r="J3167" s="299"/>
      <c r="K3167" s="299"/>
      <c r="L3167" s="299"/>
    </row>
    <row r="3168" spans="1:12">
      <c r="A3168" s="299"/>
      <c r="B3168" s="322"/>
      <c r="G3168" s="299"/>
      <c r="H3168" s="299"/>
      <c r="I3168" s="299"/>
      <c r="J3168" s="299"/>
      <c r="K3168" s="299"/>
      <c r="L3168" s="299"/>
    </row>
    <row r="3169" spans="1:12">
      <c r="A3169" s="299"/>
      <c r="B3169" s="322"/>
      <c r="G3169" s="299"/>
      <c r="H3169" s="299"/>
      <c r="I3169" s="299"/>
      <c r="J3169" s="299"/>
      <c r="K3169" s="299"/>
      <c r="L3169" s="299"/>
    </row>
    <row r="3170" spans="1:12">
      <c r="A3170" s="299"/>
      <c r="B3170" s="322"/>
      <c r="G3170" s="299"/>
      <c r="H3170" s="299"/>
      <c r="I3170" s="299"/>
      <c r="J3170" s="299"/>
      <c r="K3170" s="299"/>
      <c r="L3170" s="299"/>
    </row>
    <row r="3171" spans="1:12">
      <c r="A3171" s="299"/>
      <c r="B3171" s="322"/>
      <c r="G3171" s="299"/>
      <c r="H3171" s="299"/>
      <c r="I3171" s="299"/>
      <c r="J3171" s="299"/>
      <c r="K3171" s="299"/>
      <c r="L3171" s="299"/>
    </row>
    <row r="3172" spans="1:12">
      <c r="A3172" s="299"/>
      <c r="B3172" s="322"/>
      <c r="G3172" s="299"/>
      <c r="H3172" s="299"/>
      <c r="I3172" s="299"/>
      <c r="J3172" s="299"/>
      <c r="K3172" s="299"/>
      <c r="L3172" s="299"/>
    </row>
    <row r="3173" spans="1:12">
      <c r="A3173" s="299"/>
      <c r="B3173" s="322"/>
      <c r="G3173" s="299"/>
      <c r="H3173" s="299"/>
      <c r="I3173" s="299"/>
      <c r="J3173" s="299"/>
      <c r="K3173" s="299"/>
      <c r="L3173" s="299"/>
    </row>
    <row r="3174" spans="1:12">
      <c r="A3174" s="299"/>
      <c r="B3174" s="322"/>
      <c r="G3174" s="299"/>
      <c r="H3174" s="299"/>
      <c r="I3174" s="299"/>
      <c r="J3174" s="299"/>
      <c r="K3174" s="299"/>
      <c r="L3174" s="299"/>
    </row>
    <row r="3175" spans="1:12">
      <c r="A3175" s="299"/>
      <c r="B3175" s="322"/>
      <c r="G3175" s="299"/>
      <c r="H3175" s="299"/>
      <c r="I3175" s="299"/>
      <c r="J3175" s="299"/>
      <c r="K3175" s="299"/>
      <c r="L3175" s="299"/>
    </row>
    <row r="3176" spans="1:12">
      <c r="A3176" s="299"/>
      <c r="B3176" s="322"/>
      <c r="G3176" s="299"/>
      <c r="H3176" s="299"/>
      <c r="I3176" s="299"/>
      <c r="J3176" s="299"/>
      <c r="K3176" s="299"/>
      <c r="L3176" s="299"/>
    </row>
    <row r="3177" spans="1:12">
      <c r="A3177" s="299"/>
      <c r="B3177" s="322"/>
      <c r="G3177" s="299"/>
      <c r="H3177" s="299"/>
      <c r="I3177" s="299"/>
      <c r="J3177" s="299"/>
      <c r="K3177" s="299"/>
      <c r="L3177" s="299"/>
    </row>
    <row r="3178" spans="1:12">
      <c r="A3178" s="299"/>
      <c r="B3178" s="322"/>
      <c r="G3178" s="299"/>
      <c r="H3178" s="299"/>
      <c r="I3178" s="299"/>
      <c r="J3178" s="299"/>
      <c r="K3178" s="299"/>
      <c r="L3178" s="299"/>
    </row>
    <row r="3179" spans="1:12">
      <c r="A3179" s="299"/>
      <c r="B3179" s="322"/>
      <c r="G3179" s="299"/>
      <c r="H3179" s="299"/>
      <c r="I3179" s="299"/>
      <c r="J3179" s="299"/>
      <c r="K3179" s="299"/>
      <c r="L3179" s="299"/>
    </row>
    <row r="3180" spans="1:12">
      <c r="A3180" s="299"/>
      <c r="B3180" s="322"/>
      <c r="G3180" s="299"/>
      <c r="H3180" s="299"/>
      <c r="I3180" s="299"/>
      <c r="J3180" s="299"/>
      <c r="K3180" s="299"/>
      <c r="L3180" s="299"/>
    </row>
    <row r="3181" spans="1:12">
      <c r="A3181" s="299"/>
      <c r="B3181" s="322"/>
      <c r="G3181" s="299"/>
      <c r="H3181" s="299"/>
      <c r="I3181" s="299"/>
      <c r="J3181" s="299"/>
      <c r="K3181" s="299"/>
      <c r="L3181" s="299"/>
    </row>
    <row r="3182" spans="1:12">
      <c r="A3182" s="299"/>
      <c r="B3182" s="322"/>
      <c r="G3182" s="299"/>
      <c r="H3182" s="299"/>
      <c r="I3182" s="299"/>
      <c r="J3182" s="299"/>
      <c r="K3182" s="299"/>
      <c r="L3182" s="299"/>
    </row>
    <row r="3183" spans="1:12">
      <c r="A3183" s="299"/>
      <c r="B3183" s="322"/>
      <c r="G3183" s="299"/>
      <c r="H3183" s="299"/>
      <c r="I3183" s="299"/>
      <c r="J3183" s="299"/>
      <c r="K3183" s="299"/>
      <c r="L3183" s="299"/>
    </row>
    <row r="3184" spans="1:12">
      <c r="A3184" s="299"/>
      <c r="B3184" s="322"/>
      <c r="G3184" s="299"/>
      <c r="H3184" s="299"/>
      <c r="I3184" s="299"/>
      <c r="J3184" s="299"/>
      <c r="K3184" s="299"/>
      <c r="L3184" s="299"/>
    </row>
    <row r="3185" spans="1:12">
      <c r="A3185" s="299"/>
      <c r="B3185" s="322"/>
      <c r="G3185" s="299"/>
      <c r="H3185" s="299"/>
      <c r="I3185" s="299"/>
      <c r="J3185" s="299"/>
      <c r="K3185" s="299"/>
      <c r="L3185" s="299"/>
    </row>
    <row r="3186" spans="1:12">
      <c r="A3186" s="299"/>
      <c r="B3186" s="322"/>
      <c r="G3186" s="299"/>
      <c r="H3186" s="299"/>
      <c r="I3186" s="299"/>
      <c r="J3186" s="299"/>
      <c r="K3186" s="299"/>
      <c r="L3186" s="299"/>
    </row>
    <row r="3187" spans="1:12">
      <c r="A3187" s="299"/>
      <c r="B3187" s="322"/>
      <c r="G3187" s="299"/>
      <c r="H3187" s="299"/>
      <c r="I3187" s="299"/>
      <c r="J3187" s="299"/>
      <c r="K3187" s="299"/>
      <c r="L3187" s="299"/>
    </row>
    <row r="3188" spans="1:12">
      <c r="A3188" s="299"/>
      <c r="B3188" s="322"/>
      <c r="G3188" s="299"/>
      <c r="H3188" s="299"/>
      <c r="I3188" s="299"/>
      <c r="J3188" s="299"/>
      <c r="K3188" s="299"/>
      <c r="L3188" s="299"/>
    </row>
    <row r="3189" spans="1:12">
      <c r="A3189" s="299"/>
      <c r="B3189" s="322"/>
      <c r="G3189" s="299"/>
      <c r="H3189" s="299"/>
      <c r="I3189" s="299"/>
      <c r="J3189" s="299"/>
      <c r="K3189" s="299"/>
      <c r="L3189" s="299"/>
    </row>
    <row r="3190" spans="1:12">
      <c r="A3190" s="299"/>
      <c r="B3190" s="322"/>
      <c r="G3190" s="299"/>
      <c r="H3190" s="299"/>
      <c r="I3190" s="299"/>
      <c r="J3190" s="299"/>
      <c r="K3190" s="299"/>
      <c r="L3190" s="299"/>
    </row>
    <row r="3191" spans="1:12">
      <c r="A3191" s="299"/>
      <c r="B3191" s="322"/>
      <c r="G3191" s="299"/>
      <c r="H3191" s="299"/>
      <c r="I3191" s="299"/>
      <c r="J3191" s="299"/>
      <c r="K3191" s="299"/>
      <c r="L3191" s="299"/>
    </row>
    <row r="3192" spans="1:12">
      <c r="A3192" s="299"/>
      <c r="B3192" s="322"/>
      <c r="G3192" s="299"/>
      <c r="H3192" s="299"/>
      <c r="I3192" s="299"/>
      <c r="J3192" s="299"/>
      <c r="K3192" s="299"/>
      <c r="L3192" s="299"/>
    </row>
    <row r="3193" spans="1:12">
      <c r="A3193" s="299"/>
      <c r="B3193" s="322"/>
      <c r="G3193" s="299"/>
      <c r="H3193" s="299"/>
      <c r="I3193" s="299"/>
      <c r="J3193" s="299"/>
      <c r="K3193" s="299"/>
      <c r="L3193" s="299"/>
    </row>
    <row r="3194" spans="1:12">
      <c r="A3194" s="299"/>
      <c r="B3194" s="322"/>
      <c r="G3194" s="299"/>
      <c r="H3194" s="299"/>
      <c r="I3194" s="299"/>
      <c r="J3194" s="299"/>
      <c r="K3194" s="299"/>
      <c r="L3194" s="299"/>
    </row>
    <row r="3195" spans="1:12">
      <c r="A3195" s="299"/>
      <c r="B3195" s="322"/>
      <c r="G3195" s="299"/>
      <c r="H3195" s="299"/>
      <c r="I3195" s="299"/>
      <c r="J3195" s="299"/>
      <c r="K3195" s="299"/>
      <c r="L3195" s="299"/>
    </row>
    <row r="3196" spans="1:12">
      <c r="A3196" s="299"/>
      <c r="B3196" s="322"/>
      <c r="G3196" s="299"/>
      <c r="H3196" s="299"/>
      <c r="I3196" s="299"/>
      <c r="J3196" s="299"/>
      <c r="K3196" s="299"/>
      <c r="L3196" s="299"/>
    </row>
    <row r="3197" spans="1:12">
      <c r="A3197" s="299"/>
      <c r="B3197" s="322"/>
      <c r="G3197" s="299"/>
      <c r="H3197" s="299"/>
      <c r="I3197" s="299"/>
      <c r="J3197" s="299"/>
      <c r="K3197" s="299"/>
      <c r="L3197" s="299"/>
    </row>
    <row r="3198" spans="1:12">
      <c r="A3198" s="299"/>
      <c r="B3198" s="322"/>
      <c r="G3198" s="299"/>
      <c r="H3198" s="299"/>
      <c r="I3198" s="299"/>
      <c r="J3198" s="299"/>
      <c r="K3198" s="299"/>
      <c r="L3198" s="299"/>
    </row>
    <row r="3199" spans="1:12">
      <c r="A3199" s="299"/>
      <c r="B3199" s="322"/>
      <c r="G3199" s="299"/>
      <c r="H3199" s="299"/>
      <c r="I3199" s="299"/>
      <c r="J3199" s="299"/>
      <c r="K3199" s="299"/>
      <c r="L3199" s="299"/>
    </row>
    <row r="3200" spans="1:12">
      <c r="A3200" s="299"/>
      <c r="B3200" s="322"/>
      <c r="G3200" s="299"/>
      <c r="H3200" s="299"/>
      <c r="I3200" s="299"/>
      <c r="J3200" s="299"/>
      <c r="K3200" s="299"/>
      <c r="L3200" s="299"/>
    </row>
    <row r="3201" spans="1:12">
      <c r="A3201" s="299"/>
      <c r="B3201" s="322"/>
      <c r="G3201" s="299"/>
      <c r="H3201" s="299"/>
      <c r="I3201" s="299"/>
      <c r="J3201" s="299"/>
      <c r="K3201" s="299"/>
      <c r="L3201" s="299"/>
    </row>
    <row r="3202" spans="1:12">
      <c r="A3202" s="299"/>
      <c r="B3202" s="322"/>
      <c r="G3202" s="299"/>
      <c r="H3202" s="299"/>
      <c r="I3202" s="299"/>
      <c r="J3202" s="299"/>
      <c r="K3202" s="299"/>
      <c r="L3202" s="299"/>
    </row>
    <row r="3203" spans="1:12">
      <c r="A3203" s="299"/>
      <c r="B3203" s="322"/>
      <c r="G3203" s="299"/>
      <c r="H3203" s="299"/>
      <c r="I3203" s="299"/>
      <c r="J3203" s="299"/>
      <c r="K3203" s="299"/>
      <c r="L3203" s="299"/>
    </row>
    <row r="3204" spans="1:12">
      <c r="A3204" s="299"/>
      <c r="B3204" s="322"/>
      <c r="G3204" s="299"/>
      <c r="H3204" s="299"/>
      <c r="I3204" s="299"/>
      <c r="J3204" s="299"/>
      <c r="K3204" s="299"/>
      <c r="L3204" s="299"/>
    </row>
    <row r="3205" spans="1:12">
      <c r="A3205" s="299"/>
      <c r="B3205" s="322"/>
      <c r="G3205" s="299"/>
      <c r="H3205" s="299"/>
      <c r="I3205" s="299"/>
      <c r="J3205" s="299"/>
      <c r="K3205" s="299"/>
      <c r="L3205" s="299"/>
    </row>
    <row r="3206" spans="1:12">
      <c r="A3206" s="299"/>
      <c r="B3206" s="322"/>
      <c r="G3206" s="299"/>
      <c r="H3206" s="299"/>
      <c r="I3206" s="299"/>
      <c r="J3206" s="299"/>
      <c r="K3206" s="299"/>
      <c r="L3206" s="299"/>
    </row>
    <row r="3207" spans="1:12">
      <c r="A3207" s="299"/>
      <c r="B3207" s="322"/>
      <c r="G3207" s="299"/>
      <c r="H3207" s="299"/>
      <c r="I3207" s="299"/>
      <c r="J3207" s="299"/>
      <c r="K3207" s="299"/>
      <c r="L3207" s="299"/>
    </row>
    <row r="3208" spans="1:12">
      <c r="A3208" s="299"/>
      <c r="B3208" s="322"/>
      <c r="G3208" s="299"/>
      <c r="H3208" s="299"/>
      <c r="I3208" s="299"/>
      <c r="J3208" s="299"/>
      <c r="K3208" s="299"/>
      <c r="L3208" s="299"/>
    </row>
    <row r="3209" spans="1:12">
      <c r="A3209" s="299"/>
      <c r="B3209" s="322"/>
      <c r="G3209" s="299"/>
      <c r="H3209" s="299"/>
      <c r="I3209" s="299"/>
      <c r="J3209" s="299"/>
      <c r="K3209" s="299"/>
      <c r="L3209" s="299"/>
    </row>
    <row r="3210" spans="1:12">
      <c r="A3210" s="299"/>
      <c r="B3210" s="322"/>
      <c r="G3210" s="299"/>
      <c r="H3210" s="299"/>
      <c r="I3210" s="299"/>
      <c r="J3210" s="299"/>
      <c r="K3210" s="299"/>
      <c r="L3210" s="299"/>
    </row>
    <row r="3211" spans="1:12">
      <c r="A3211" s="299"/>
      <c r="B3211" s="322"/>
      <c r="G3211" s="299"/>
      <c r="H3211" s="299"/>
      <c r="I3211" s="299"/>
      <c r="J3211" s="299"/>
      <c r="K3211" s="299"/>
      <c r="L3211" s="299"/>
    </row>
    <row r="3212" spans="1:12">
      <c r="A3212" s="299"/>
      <c r="B3212" s="322"/>
      <c r="G3212" s="299"/>
      <c r="H3212" s="299"/>
      <c r="I3212" s="299"/>
      <c r="J3212" s="299"/>
      <c r="K3212" s="299"/>
      <c r="L3212" s="299"/>
    </row>
    <row r="3213" spans="1:12">
      <c r="A3213" s="299"/>
      <c r="B3213" s="322"/>
      <c r="G3213" s="299"/>
      <c r="H3213" s="299"/>
      <c r="I3213" s="299"/>
      <c r="J3213" s="299"/>
      <c r="K3213" s="299"/>
      <c r="L3213" s="299"/>
    </row>
    <row r="3214" spans="1:12">
      <c r="A3214" s="299"/>
      <c r="B3214" s="322"/>
      <c r="G3214" s="299"/>
      <c r="H3214" s="299"/>
      <c r="I3214" s="299"/>
      <c r="J3214" s="299"/>
      <c r="K3214" s="299"/>
      <c r="L3214" s="299"/>
    </row>
    <row r="3215" spans="1:12">
      <c r="A3215" s="299"/>
      <c r="B3215" s="322"/>
      <c r="G3215" s="299"/>
      <c r="H3215" s="299"/>
      <c r="I3215" s="299"/>
      <c r="J3215" s="299"/>
      <c r="K3215" s="299"/>
      <c r="L3215" s="299"/>
    </row>
    <row r="3216" spans="1:12">
      <c r="A3216" s="299"/>
      <c r="B3216" s="322"/>
      <c r="G3216" s="299"/>
      <c r="H3216" s="299"/>
      <c r="I3216" s="299"/>
      <c r="J3216" s="299"/>
      <c r="K3216" s="299"/>
      <c r="L3216" s="299"/>
    </row>
    <row r="3217" spans="1:12">
      <c r="A3217" s="299"/>
      <c r="B3217" s="322"/>
      <c r="G3217" s="299"/>
      <c r="H3217" s="299"/>
      <c r="I3217" s="299"/>
      <c r="J3217" s="299"/>
      <c r="K3217" s="299"/>
      <c r="L3217" s="299"/>
    </row>
    <row r="3218" spans="1:12">
      <c r="A3218" s="299"/>
      <c r="B3218" s="322"/>
      <c r="G3218" s="299"/>
      <c r="H3218" s="299"/>
      <c r="I3218" s="299"/>
      <c r="J3218" s="299"/>
      <c r="K3218" s="299"/>
      <c r="L3218" s="299"/>
    </row>
    <row r="3219" spans="1:12">
      <c r="A3219" s="299"/>
      <c r="B3219" s="322"/>
      <c r="G3219" s="299"/>
      <c r="H3219" s="299"/>
      <c r="I3219" s="299"/>
      <c r="J3219" s="299"/>
      <c r="K3219" s="299"/>
      <c r="L3219" s="299"/>
    </row>
    <row r="3220" spans="1:12">
      <c r="A3220" s="299"/>
      <c r="B3220" s="322"/>
      <c r="G3220" s="299"/>
      <c r="H3220" s="299"/>
      <c r="I3220" s="299"/>
      <c r="J3220" s="299"/>
      <c r="K3220" s="299"/>
      <c r="L3220" s="299"/>
    </row>
    <row r="3221" spans="1:12">
      <c r="A3221" s="299"/>
      <c r="B3221" s="322"/>
      <c r="G3221" s="299"/>
      <c r="H3221" s="299"/>
      <c r="I3221" s="299"/>
      <c r="J3221" s="299"/>
      <c r="K3221" s="299"/>
      <c r="L3221" s="299"/>
    </row>
    <row r="3222" spans="1:12">
      <c r="A3222" s="299"/>
      <c r="B3222" s="322"/>
      <c r="G3222" s="299"/>
      <c r="H3222" s="299"/>
      <c r="I3222" s="299"/>
      <c r="J3222" s="299"/>
      <c r="K3222" s="299"/>
      <c r="L3222" s="299"/>
    </row>
    <row r="3223" spans="1:12">
      <c r="A3223" s="299"/>
      <c r="B3223" s="322"/>
      <c r="G3223" s="299"/>
      <c r="H3223" s="299"/>
      <c r="I3223" s="299"/>
      <c r="J3223" s="299"/>
      <c r="K3223" s="299"/>
      <c r="L3223" s="299"/>
    </row>
    <row r="3224" spans="1:12">
      <c r="A3224" s="299"/>
      <c r="B3224" s="322"/>
      <c r="G3224" s="299"/>
      <c r="H3224" s="299"/>
      <c r="I3224" s="299"/>
      <c r="J3224" s="299"/>
      <c r="K3224" s="299"/>
      <c r="L3224" s="299"/>
    </row>
    <row r="3225" spans="1:12">
      <c r="A3225" s="299"/>
      <c r="B3225" s="322"/>
      <c r="G3225" s="299"/>
      <c r="H3225" s="299"/>
      <c r="I3225" s="299"/>
      <c r="J3225" s="299"/>
      <c r="K3225" s="299"/>
      <c r="L3225" s="299"/>
    </row>
    <row r="3226" spans="1:12">
      <c r="A3226" s="299"/>
      <c r="B3226" s="322"/>
      <c r="G3226" s="299"/>
      <c r="H3226" s="299"/>
      <c r="I3226" s="299"/>
      <c r="J3226" s="299"/>
      <c r="K3226" s="299"/>
      <c r="L3226" s="299"/>
    </row>
    <row r="3227" spans="1:12">
      <c r="A3227" s="299"/>
      <c r="B3227" s="322"/>
      <c r="G3227" s="299"/>
      <c r="H3227" s="299"/>
      <c r="I3227" s="299"/>
      <c r="J3227" s="299"/>
      <c r="K3227" s="299"/>
      <c r="L3227" s="299"/>
    </row>
    <row r="3228" spans="1:12">
      <c r="A3228" s="299"/>
      <c r="B3228" s="322"/>
      <c r="G3228" s="299"/>
      <c r="H3228" s="299"/>
      <c r="I3228" s="299"/>
      <c r="J3228" s="299"/>
      <c r="K3228" s="299"/>
      <c r="L3228" s="299"/>
    </row>
    <row r="3229" spans="1:12">
      <c r="A3229" s="299"/>
      <c r="B3229" s="322"/>
      <c r="G3229" s="299"/>
      <c r="H3229" s="299"/>
      <c r="I3229" s="299"/>
      <c r="J3229" s="299"/>
      <c r="K3229" s="299"/>
      <c r="L3229" s="299"/>
    </row>
    <row r="3230" spans="1:12">
      <c r="A3230" s="299"/>
      <c r="B3230" s="322"/>
      <c r="G3230" s="299"/>
      <c r="H3230" s="299"/>
      <c r="I3230" s="299"/>
      <c r="J3230" s="299"/>
      <c r="K3230" s="299"/>
      <c r="L3230" s="299"/>
    </row>
    <row r="3231" spans="1:12">
      <c r="A3231" s="299"/>
      <c r="B3231" s="322"/>
      <c r="G3231" s="299"/>
      <c r="H3231" s="299"/>
      <c r="I3231" s="299"/>
      <c r="J3231" s="299"/>
      <c r="K3231" s="299"/>
      <c r="L3231" s="299"/>
    </row>
    <row r="3232" spans="1:12">
      <c r="A3232" s="299"/>
      <c r="B3232" s="322"/>
      <c r="G3232" s="299"/>
      <c r="H3232" s="299"/>
      <c r="I3232" s="299"/>
      <c r="J3232" s="299"/>
      <c r="K3232" s="299"/>
      <c r="L3232" s="299"/>
    </row>
    <row r="3233" spans="1:12">
      <c r="A3233" s="299"/>
      <c r="B3233" s="322"/>
      <c r="G3233" s="299"/>
      <c r="H3233" s="299"/>
      <c r="I3233" s="299"/>
      <c r="J3233" s="299"/>
      <c r="K3233" s="299"/>
      <c r="L3233" s="299"/>
    </row>
    <row r="3234" spans="1:12">
      <c r="A3234" s="299"/>
      <c r="B3234" s="322"/>
      <c r="G3234" s="299"/>
      <c r="H3234" s="299"/>
      <c r="I3234" s="299"/>
      <c r="J3234" s="299"/>
      <c r="K3234" s="299"/>
      <c r="L3234" s="299"/>
    </row>
    <row r="3235" spans="1:12">
      <c r="A3235" s="299"/>
      <c r="B3235" s="322"/>
      <c r="G3235" s="299"/>
      <c r="H3235" s="299"/>
      <c r="I3235" s="299"/>
      <c r="J3235" s="299"/>
      <c r="K3235" s="299"/>
      <c r="L3235" s="299"/>
    </row>
    <row r="3236" spans="1:12">
      <c r="A3236" s="299"/>
      <c r="B3236" s="322"/>
      <c r="G3236" s="299"/>
      <c r="H3236" s="299"/>
      <c r="I3236" s="299"/>
      <c r="J3236" s="299"/>
      <c r="K3236" s="299"/>
      <c r="L3236" s="299"/>
    </row>
    <row r="3237" spans="1:12">
      <c r="A3237" s="299"/>
      <c r="B3237" s="322"/>
      <c r="G3237" s="299"/>
      <c r="H3237" s="299"/>
      <c r="I3237" s="299"/>
      <c r="J3237" s="299"/>
      <c r="K3237" s="299"/>
      <c r="L3237" s="299"/>
    </row>
    <row r="3238" spans="1:12">
      <c r="A3238" s="299"/>
      <c r="B3238" s="322"/>
      <c r="G3238" s="299"/>
      <c r="H3238" s="299"/>
      <c r="I3238" s="299"/>
      <c r="J3238" s="299"/>
      <c r="K3238" s="299"/>
      <c r="L3238" s="299"/>
    </row>
    <row r="3239" spans="1:12">
      <c r="A3239" s="299"/>
      <c r="B3239" s="322"/>
      <c r="G3239" s="299"/>
      <c r="H3239" s="299"/>
      <c r="I3239" s="299"/>
      <c r="J3239" s="299"/>
      <c r="K3239" s="299"/>
      <c r="L3239" s="299"/>
    </row>
    <row r="3240" spans="1:12">
      <c r="A3240" s="299"/>
      <c r="B3240" s="322"/>
      <c r="G3240" s="299"/>
      <c r="H3240" s="299"/>
      <c r="I3240" s="299"/>
      <c r="J3240" s="299"/>
      <c r="K3240" s="299"/>
      <c r="L3240" s="299"/>
    </row>
    <row r="3241" spans="1:12">
      <c r="A3241" s="299"/>
      <c r="B3241" s="322"/>
      <c r="G3241" s="299"/>
      <c r="H3241" s="299"/>
      <c r="I3241" s="299"/>
      <c r="J3241" s="299"/>
      <c r="K3241" s="299"/>
      <c r="L3241" s="299"/>
    </row>
    <row r="3242" spans="1:12">
      <c r="A3242" s="299"/>
      <c r="B3242" s="322"/>
      <c r="G3242" s="299"/>
      <c r="H3242" s="299"/>
      <c r="I3242" s="299"/>
      <c r="J3242" s="299"/>
      <c r="K3242" s="299"/>
      <c r="L3242" s="299"/>
    </row>
    <row r="3243" spans="1:12">
      <c r="A3243" s="299"/>
      <c r="B3243" s="322"/>
      <c r="G3243" s="299"/>
      <c r="H3243" s="299"/>
      <c r="I3243" s="299"/>
      <c r="J3243" s="299"/>
      <c r="K3243" s="299"/>
      <c r="L3243" s="299"/>
    </row>
    <row r="3244" spans="1:12">
      <c r="A3244" s="299"/>
      <c r="B3244" s="322"/>
      <c r="G3244" s="299"/>
      <c r="H3244" s="299"/>
      <c r="I3244" s="299"/>
      <c r="J3244" s="299"/>
      <c r="K3244" s="299"/>
      <c r="L3244" s="299"/>
    </row>
    <row r="3245" spans="1:12">
      <c r="A3245" s="299"/>
      <c r="B3245" s="322"/>
      <c r="G3245" s="299"/>
      <c r="H3245" s="299"/>
      <c r="I3245" s="299"/>
      <c r="J3245" s="299"/>
      <c r="K3245" s="299"/>
      <c r="L3245" s="299"/>
    </row>
    <row r="3246" spans="1:12">
      <c r="A3246" s="299"/>
      <c r="B3246" s="322"/>
      <c r="G3246" s="299"/>
      <c r="H3246" s="299"/>
      <c r="I3246" s="299"/>
      <c r="J3246" s="299"/>
      <c r="K3246" s="299"/>
      <c r="L3246" s="299"/>
    </row>
    <row r="3247" spans="1:12">
      <c r="A3247" s="299"/>
      <c r="B3247" s="322"/>
      <c r="G3247" s="299"/>
      <c r="H3247" s="299"/>
      <c r="I3247" s="299"/>
      <c r="J3247" s="299"/>
      <c r="K3247" s="299"/>
      <c r="L3247" s="299"/>
    </row>
    <row r="3248" spans="1:12">
      <c r="A3248" s="299"/>
      <c r="B3248" s="322"/>
      <c r="G3248" s="299"/>
      <c r="H3248" s="299"/>
      <c r="I3248" s="299"/>
      <c r="J3248" s="299"/>
      <c r="K3248" s="299"/>
      <c r="L3248" s="299"/>
    </row>
    <row r="3249" spans="1:12">
      <c r="A3249" s="299"/>
      <c r="B3249" s="322"/>
      <c r="G3249" s="299"/>
      <c r="H3249" s="299"/>
      <c r="I3249" s="299"/>
      <c r="J3249" s="299"/>
      <c r="K3249" s="299"/>
      <c r="L3249" s="299"/>
    </row>
    <row r="3250" spans="1:12">
      <c r="A3250" s="299"/>
      <c r="B3250" s="322"/>
      <c r="G3250" s="299"/>
      <c r="H3250" s="299"/>
      <c r="I3250" s="299"/>
      <c r="J3250" s="299"/>
      <c r="K3250" s="299"/>
      <c r="L3250" s="299"/>
    </row>
    <row r="3251" spans="1:12">
      <c r="A3251" s="299"/>
      <c r="B3251" s="322"/>
      <c r="G3251" s="299"/>
      <c r="H3251" s="299"/>
      <c r="I3251" s="299"/>
      <c r="J3251" s="299"/>
      <c r="K3251" s="299"/>
      <c r="L3251" s="299"/>
    </row>
    <row r="3252" spans="1:12">
      <c r="A3252" s="299"/>
      <c r="B3252" s="322"/>
      <c r="G3252" s="299"/>
      <c r="H3252" s="299"/>
      <c r="I3252" s="299"/>
      <c r="J3252" s="299"/>
      <c r="K3252" s="299"/>
      <c r="L3252" s="299"/>
    </row>
    <row r="3253" spans="1:12">
      <c r="A3253" s="299"/>
      <c r="B3253" s="322"/>
      <c r="G3253" s="299"/>
      <c r="H3253" s="299"/>
      <c r="I3253" s="299"/>
      <c r="J3253" s="299"/>
      <c r="K3253" s="299"/>
      <c r="L3253" s="299"/>
    </row>
    <row r="3254" spans="1:12">
      <c r="A3254" s="299"/>
      <c r="B3254" s="322"/>
      <c r="G3254" s="299"/>
      <c r="H3254" s="299"/>
      <c r="I3254" s="299"/>
      <c r="J3254" s="299"/>
      <c r="K3254" s="299"/>
      <c r="L3254" s="299"/>
    </row>
    <row r="3255" spans="1:12">
      <c r="A3255" s="299"/>
      <c r="B3255" s="322"/>
      <c r="G3255" s="299"/>
      <c r="H3255" s="299"/>
      <c r="I3255" s="299"/>
      <c r="J3255" s="299"/>
      <c r="K3255" s="299"/>
      <c r="L3255" s="299"/>
    </row>
    <row r="3256" spans="1:12">
      <c r="A3256" s="299"/>
      <c r="B3256" s="322"/>
      <c r="G3256" s="299"/>
      <c r="H3256" s="299"/>
      <c r="I3256" s="299"/>
      <c r="J3256" s="299"/>
      <c r="K3256" s="299"/>
      <c r="L3256" s="299"/>
    </row>
    <row r="3257" spans="1:12">
      <c r="A3257" s="299"/>
      <c r="B3257" s="322"/>
      <c r="G3257" s="299"/>
      <c r="H3257" s="299"/>
      <c r="I3257" s="299"/>
      <c r="J3257" s="299"/>
      <c r="K3257" s="299"/>
      <c r="L3257" s="299"/>
    </row>
    <row r="3258" spans="1:12">
      <c r="A3258" s="299"/>
      <c r="B3258" s="322"/>
      <c r="G3258" s="299"/>
      <c r="H3258" s="299"/>
      <c r="I3258" s="299"/>
      <c r="J3258" s="299"/>
      <c r="K3258" s="299"/>
      <c r="L3258" s="299"/>
    </row>
    <row r="3259" spans="1:12">
      <c r="A3259" s="299"/>
      <c r="B3259" s="322"/>
      <c r="G3259" s="299"/>
      <c r="H3259" s="299"/>
      <c r="I3259" s="299"/>
      <c r="J3259" s="299"/>
      <c r="K3259" s="299"/>
      <c r="L3259" s="299"/>
    </row>
    <row r="3260" spans="1:12">
      <c r="A3260" s="299"/>
      <c r="B3260" s="322"/>
      <c r="G3260" s="299"/>
      <c r="H3260" s="299"/>
      <c r="I3260" s="299"/>
      <c r="J3260" s="299"/>
      <c r="K3260" s="299"/>
      <c r="L3260" s="299"/>
    </row>
    <row r="3261" spans="1:12">
      <c r="A3261" s="299"/>
      <c r="B3261" s="322"/>
      <c r="G3261" s="299"/>
      <c r="H3261" s="299"/>
      <c r="I3261" s="299"/>
      <c r="J3261" s="299"/>
      <c r="K3261" s="299"/>
      <c r="L3261" s="299"/>
    </row>
    <row r="3262" spans="1:12">
      <c r="A3262" s="299"/>
      <c r="B3262" s="322"/>
      <c r="G3262" s="299"/>
      <c r="H3262" s="299"/>
      <c r="I3262" s="299"/>
      <c r="J3262" s="299"/>
      <c r="K3262" s="299"/>
      <c r="L3262" s="299"/>
    </row>
    <row r="3263" spans="1:12">
      <c r="A3263" s="299"/>
      <c r="B3263" s="322"/>
      <c r="G3263" s="299"/>
      <c r="H3263" s="299"/>
      <c r="I3263" s="299"/>
      <c r="J3263" s="299"/>
      <c r="K3263" s="299"/>
      <c r="L3263" s="299"/>
    </row>
    <row r="3264" spans="1:12">
      <c r="A3264" s="299"/>
      <c r="B3264" s="322"/>
      <c r="G3264" s="299"/>
      <c r="H3264" s="299"/>
      <c r="I3264" s="299"/>
      <c r="J3264" s="299"/>
      <c r="K3264" s="299"/>
      <c r="L3264" s="299"/>
    </row>
    <row r="3265" spans="1:12">
      <c r="A3265" s="299"/>
      <c r="B3265" s="322"/>
      <c r="G3265" s="299"/>
      <c r="H3265" s="299"/>
      <c r="I3265" s="299"/>
      <c r="J3265" s="299"/>
      <c r="K3265" s="299"/>
      <c r="L3265" s="299"/>
    </row>
    <row r="3266" spans="1:12">
      <c r="A3266" s="299"/>
      <c r="B3266" s="322"/>
      <c r="G3266" s="299"/>
      <c r="H3266" s="299"/>
      <c r="I3266" s="299"/>
      <c r="J3266" s="299"/>
      <c r="K3266" s="299"/>
      <c r="L3266" s="299"/>
    </row>
    <row r="3267" spans="1:12">
      <c r="A3267" s="299"/>
      <c r="B3267" s="322"/>
      <c r="G3267" s="299"/>
      <c r="H3267" s="299"/>
      <c r="I3267" s="299"/>
      <c r="J3267" s="299"/>
      <c r="K3267" s="299"/>
      <c r="L3267" s="299"/>
    </row>
    <row r="3268" spans="1:12">
      <c r="A3268" s="299"/>
      <c r="B3268" s="322"/>
      <c r="G3268" s="299"/>
      <c r="H3268" s="299"/>
      <c r="I3268" s="299"/>
      <c r="J3268" s="299"/>
      <c r="K3268" s="299"/>
      <c r="L3268" s="299"/>
    </row>
    <row r="3269" spans="1:12">
      <c r="A3269" s="299"/>
      <c r="B3269" s="322"/>
      <c r="G3269" s="299"/>
      <c r="H3269" s="299"/>
      <c r="I3269" s="299"/>
      <c r="J3269" s="299"/>
      <c r="K3269" s="299"/>
      <c r="L3269" s="299"/>
    </row>
    <row r="3270" spans="1:12">
      <c r="A3270" s="299"/>
      <c r="B3270" s="322"/>
      <c r="G3270" s="299"/>
      <c r="H3270" s="299"/>
      <c r="I3270" s="299"/>
      <c r="J3270" s="299"/>
      <c r="K3270" s="299"/>
      <c r="L3270" s="299"/>
    </row>
    <row r="3271" spans="1:12">
      <c r="A3271" s="299"/>
      <c r="B3271" s="322"/>
      <c r="G3271" s="299"/>
      <c r="H3271" s="299"/>
      <c r="I3271" s="299"/>
      <c r="J3271" s="299"/>
      <c r="K3271" s="299"/>
      <c r="L3271" s="299"/>
    </row>
    <row r="3272" spans="1:12">
      <c r="A3272" s="299"/>
      <c r="B3272" s="322"/>
      <c r="G3272" s="299"/>
      <c r="H3272" s="299"/>
      <c r="I3272" s="299"/>
      <c r="J3272" s="299"/>
      <c r="K3272" s="299"/>
      <c r="L3272" s="299"/>
    </row>
    <row r="3273" spans="1:12">
      <c r="A3273" s="299"/>
      <c r="B3273" s="322"/>
      <c r="G3273" s="299"/>
      <c r="H3273" s="299"/>
      <c r="I3273" s="299"/>
      <c r="J3273" s="299"/>
      <c r="K3273" s="299"/>
      <c r="L3273" s="299"/>
    </row>
    <row r="3274" spans="1:12">
      <c r="A3274" s="299"/>
      <c r="B3274" s="322"/>
      <c r="G3274" s="299"/>
      <c r="H3274" s="299"/>
      <c r="I3274" s="299"/>
      <c r="J3274" s="299"/>
      <c r="K3274" s="299"/>
      <c r="L3274" s="299"/>
    </row>
    <row r="3275" spans="1:12">
      <c r="A3275" s="299"/>
      <c r="B3275" s="322"/>
      <c r="G3275" s="299"/>
      <c r="H3275" s="299"/>
      <c r="I3275" s="299"/>
      <c r="J3275" s="299"/>
      <c r="K3275" s="299"/>
      <c r="L3275" s="299"/>
    </row>
    <row r="3276" spans="1:12">
      <c r="A3276" s="299"/>
      <c r="B3276" s="322"/>
      <c r="G3276" s="299"/>
      <c r="H3276" s="299"/>
      <c r="I3276" s="299"/>
      <c r="J3276" s="299"/>
      <c r="K3276" s="299"/>
      <c r="L3276" s="299"/>
    </row>
    <row r="3277" spans="1:12">
      <c r="A3277" s="299"/>
      <c r="B3277" s="322"/>
      <c r="G3277" s="299"/>
      <c r="H3277" s="299"/>
      <c r="I3277" s="299"/>
      <c r="J3277" s="299"/>
      <c r="K3277" s="299"/>
      <c r="L3277" s="299"/>
    </row>
    <row r="3278" spans="1:12">
      <c r="A3278" s="299"/>
      <c r="B3278" s="322"/>
      <c r="G3278" s="299"/>
      <c r="H3278" s="299"/>
      <c r="I3278" s="299"/>
      <c r="J3278" s="299"/>
      <c r="K3278" s="299"/>
      <c r="L3278" s="299"/>
    </row>
    <row r="3279" spans="1:12">
      <c r="A3279" s="299"/>
      <c r="B3279" s="322"/>
      <c r="G3279" s="299"/>
      <c r="H3279" s="299"/>
      <c r="I3279" s="299"/>
      <c r="J3279" s="299"/>
      <c r="K3279" s="299"/>
      <c r="L3279" s="299"/>
    </row>
    <row r="3280" spans="1:12">
      <c r="A3280" s="299"/>
      <c r="B3280" s="322"/>
      <c r="G3280" s="299"/>
      <c r="H3280" s="299"/>
      <c r="I3280" s="299"/>
      <c r="J3280" s="299"/>
      <c r="K3280" s="299"/>
      <c r="L3280" s="299"/>
    </row>
    <row r="3281" spans="1:12">
      <c r="A3281" s="299"/>
      <c r="B3281" s="322"/>
      <c r="G3281" s="299"/>
      <c r="H3281" s="299"/>
      <c r="I3281" s="299"/>
      <c r="J3281" s="299"/>
      <c r="K3281" s="299"/>
      <c r="L3281" s="299"/>
    </row>
    <row r="3282" spans="1:12">
      <c r="A3282" s="299"/>
      <c r="B3282" s="322"/>
      <c r="G3282" s="299"/>
      <c r="H3282" s="299"/>
      <c r="I3282" s="299"/>
      <c r="J3282" s="299"/>
      <c r="K3282" s="299"/>
      <c r="L3282" s="299"/>
    </row>
    <row r="3283" spans="1:12">
      <c r="A3283" s="299"/>
      <c r="B3283" s="322"/>
      <c r="G3283" s="299"/>
      <c r="H3283" s="299"/>
      <c r="I3283" s="299"/>
      <c r="J3283" s="299"/>
      <c r="K3283" s="299"/>
      <c r="L3283" s="299"/>
    </row>
    <row r="3284" spans="1:12">
      <c r="A3284" s="299"/>
      <c r="B3284" s="322"/>
      <c r="G3284" s="299"/>
      <c r="H3284" s="299"/>
      <c r="I3284" s="299"/>
      <c r="J3284" s="299"/>
      <c r="K3284" s="299"/>
      <c r="L3284" s="299"/>
    </row>
    <row r="3285" spans="1:12">
      <c r="A3285" s="299"/>
      <c r="B3285" s="322"/>
      <c r="G3285" s="299"/>
      <c r="H3285" s="299"/>
      <c r="I3285" s="299"/>
      <c r="J3285" s="299"/>
      <c r="K3285" s="299"/>
      <c r="L3285" s="299"/>
    </row>
    <row r="3286" spans="1:12">
      <c r="A3286" s="299"/>
      <c r="B3286" s="322"/>
      <c r="G3286" s="299"/>
      <c r="H3286" s="299"/>
      <c r="I3286" s="299"/>
      <c r="J3286" s="299"/>
      <c r="K3286" s="299"/>
      <c r="L3286" s="299"/>
    </row>
    <row r="3287" spans="1:12">
      <c r="A3287" s="299"/>
      <c r="B3287" s="322"/>
      <c r="G3287" s="299"/>
      <c r="H3287" s="299"/>
      <c r="I3287" s="299"/>
      <c r="J3287" s="299"/>
      <c r="K3287" s="299"/>
      <c r="L3287" s="299"/>
    </row>
    <row r="3288" spans="1:12">
      <c r="A3288" s="299"/>
      <c r="B3288" s="322"/>
      <c r="G3288" s="299"/>
      <c r="H3288" s="299"/>
      <c r="I3288" s="299"/>
      <c r="J3288" s="299"/>
      <c r="K3288" s="299"/>
      <c r="L3288" s="299"/>
    </row>
    <row r="3289" spans="1:12">
      <c r="A3289" s="299"/>
      <c r="B3289" s="322"/>
      <c r="G3289" s="299"/>
      <c r="H3289" s="299"/>
      <c r="I3289" s="299"/>
      <c r="J3289" s="299"/>
      <c r="K3289" s="299"/>
      <c r="L3289" s="299"/>
    </row>
    <row r="3290" spans="1:12">
      <c r="A3290" s="299"/>
      <c r="B3290" s="322"/>
      <c r="G3290" s="299"/>
      <c r="H3290" s="299"/>
      <c r="I3290" s="299"/>
      <c r="J3290" s="299"/>
      <c r="K3290" s="299"/>
      <c r="L3290" s="299"/>
    </row>
    <row r="3291" spans="1:12">
      <c r="A3291" s="299"/>
      <c r="B3291" s="322"/>
      <c r="G3291" s="299"/>
      <c r="H3291" s="299"/>
      <c r="I3291" s="299"/>
      <c r="J3291" s="299"/>
      <c r="K3291" s="299"/>
      <c r="L3291" s="299"/>
    </row>
    <row r="3292" spans="1:12">
      <c r="A3292" s="299"/>
      <c r="B3292" s="322"/>
      <c r="G3292" s="299"/>
      <c r="H3292" s="299"/>
      <c r="I3292" s="299"/>
      <c r="J3292" s="299"/>
      <c r="K3292" s="299"/>
      <c r="L3292" s="299"/>
    </row>
    <row r="3293" spans="1:12">
      <c r="A3293" s="299"/>
      <c r="B3293" s="322"/>
      <c r="G3293" s="299"/>
      <c r="H3293" s="299"/>
      <c r="I3293" s="299"/>
      <c r="J3293" s="299"/>
      <c r="K3293" s="299"/>
      <c r="L3293" s="299"/>
    </row>
    <row r="3294" spans="1:12">
      <c r="A3294" s="299"/>
      <c r="B3294" s="322"/>
      <c r="G3294" s="299"/>
      <c r="H3294" s="299"/>
      <c r="I3294" s="299"/>
      <c r="J3294" s="299"/>
      <c r="K3294" s="299"/>
      <c r="L3294" s="299"/>
    </row>
    <row r="3295" spans="1:12">
      <c r="A3295" s="299"/>
      <c r="B3295" s="322"/>
      <c r="G3295" s="299"/>
      <c r="H3295" s="299"/>
      <c r="I3295" s="299"/>
      <c r="J3295" s="299"/>
      <c r="K3295" s="299"/>
      <c r="L3295" s="299"/>
    </row>
    <row r="3296" spans="1:12">
      <c r="A3296" s="299"/>
      <c r="B3296" s="322"/>
      <c r="G3296" s="299"/>
      <c r="H3296" s="299"/>
      <c r="I3296" s="299"/>
      <c r="J3296" s="299"/>
      <c r="K3296" s="299"/>
      <c r="L3296" s="299"/>
    </row>
    <row r="3297" spans="1:12">
      <c r="A3297" s="299"/>
      <c r="B3297" s="322"/>
      <c r="G3297" s="299"/>
      <c r="H3297" s="299"/>
      <c r="I3297" s="299"/>
      <c r="J3297" s="299"/>
      <c r="K3297" s="299"/>
      <c r="L3297" s="299"/>
    </row>
    <row r="3298" spans="1:12">
      <c r="A3298" s="299"/>
      <c r="B3298" s="322"/>
      <c r="G3298" s="299"/>
      <c r="H3298" s="299"/>
      <c r="I3298" s="299"/>
      <c r="J3298" s="299"/>
      <c r="K3298" s="299"/>
      <c r="L3298" s="299"/>
    </row>
    <row r="3299" spans="1:12">
      <c r="A3299" s="299"/>
      <c r="B3299" s="322"/>
      <c r="G3299" s="299"/>
      <c r="H3299" s="299"/>
      <c r="I3299" s="299"/>
      <c r="J3299" s="299"/>
      <c r="K3299" s="299"/>
      <c r="L3299" s="299"/>
    </row>
    <row r="3300" spans="1:12">
      <c r="A3300" s="299"/>
      <c r="B3300" s="322"/>
      <c r="G3300" s="299"/>
      <c r="H3300" s="299"/>
      <c r="I3300" s="299"/>
      <c r="J3300" s="299"/>
      <c r="K3300" s="299"/>
      <c r="L3300" s="299"/>
    </row>
    <row r="3301" spans="1:12">
      <c r="A3301" s="299"/>
      <c r="B3301" s="322"/>
      <c r="G3301" s="299"/>
      <c r="H3301" s="299"/>
      <c r="I3301" s="299"/>
      <c r="J3301" s="299"/>
      <c r="K3301" s="299"/>
      <c r="L3301" s="299"/>
    </row>
    <row r="3302" spans="1:12">
      <c r="A3302" s="299"/>
      <c r="B3302" s="322"/>
      <c r="G3302" s="299"/>
      <c r="H3302" s="299"/>
      <c r="I3302" s="299"/>
      <c r="J3302" s="299"/>
      <c r="K3302" s="299"/>
      <c r="L3302" s="299"/>
    </row>
    <row r="3303" spans="1:12">
      <c r="A3303" s="299"/>
      <c r="B3303" s="322"/>
      <c r="G3303" s="299"/>
      <c r="H3303" s="299"/>
      <c r="I3303" s="299"/>
      <c r="J3303" s="299"/>
      <c r="K3303" s="299"/>
      <c r="L3303" s="299"/>
    </row>
    <row r="3304" spans="1:12">
      <c r="A3304" s="299"/>
      <c r="B3304" s="322"/>
      <c r="G3304" s="299"/>
      <c r="H3304" s="299"/>
      <c r="I3304" s="299"/>
      <c r="J3304" s="299"/>
      <c r="K3304" s="299"/>
      <c r="L3304" s="299"/>
    </row>
    <row r="3305" spans="1:12">
      <c r="A3305" s="299"/>
      <c r="B3305" s="322"/>
      <c r="G3305" s="299"/>
      <c r="H3305" s="299"/>
      <c r="I3305" s="299"/>
      <c r="J3305" s="299"/>
      <c r="K3305" s="299"/>
      <c r="L3305" s="299"/>
    </row>
    <row r="3306" spans="1:12">
      <c r="A3306" s="299"/>
      <c r="B3306" s="322"/>
      <c r="G3306" s="299"/>
      <c r="H3306" s="299"/>
      <c r="I3306" s="299"/>
      <c r="J3306" s="299"/>
      <c r="K3306" s="299"/>
      <c r="L3306" s="299"/>
    </row>
    <row r="3307" spans="1:12">
      <c r="A3307" s="299"/>
      <c r="B3307" s="322"/>
      <c r="G3307" s="299"/>
      <c r="H3307" s="299"/>
      <c r="I3307" s="299"/>
      <c r="J3307" s="299"/>
      <c r="K3307" s="299"/>
      <c r="L3307" s="299"/>
    </row>
    <row r="3308" spans="1:12">
      <c r="A3308" s="299"/>
      <c r="B3308" s="322"/>
      <c r="G3308" s="299"/>
      <c r="H3308" s="299"/>
      <c r="I3308" s="299"/>
      <c r="J3308" s="299"/>
      <c r="K3308" s="299"/>
      <c r="L3308" s="299"/>
    </row>
    <row r="3309" spans="1:12">
      <c r="A3309" s="299"/>
      <c r="B3309" s="322"/>
      <c r="G3309" s="299"/>
      <c r="H3309" s="299"/>
      <c r="I3309" s="299"/>
      <c r="J3309" s="299"/>
      <c r="K3309" s="299"/>
      <c r="L3309" s="299"/>
    </row>
    <row r="3310" spans="1:12">
      <c r="A3310" s="299"/>
      <c r="B3310" s="322"/>
      <c r="G3310" s="299"/>
      <c r="H3310" s="299"/>
      <c r="I3310" s="299"/>
      <c r="J3310" s="299"/>
      <c r="K3310" s="299"/>
      <c r="L3310" s="299"/>
    </row>
    <row r="3311" spans="1:12">
      <c r="A3311" s="299"/>
      <c r="B3311" s="322"/>
      <c r="G3311" s="299"/>
      <c r="H3311" s="299"/>
      <c r="I3311" s="299"/>
      <c r="J3311" s="299"/>
      <c r="K3311" s="299"/>
      <c r="L3311" s="299"/>
    </row>
    <row r="3312" spans="1:12">
      <c r="A3312" s="299"/>
      <c r="B3312" s="322"/>
      <c r="G3312" s="299"/>
      <c r="H3312" s="299"/>
      <c r="I3312" s="299"/>
      <c r="J3312" s="299"/>
      <c r="K3312" s="299"/>
      <c r="L3312" s="299"/>
    </row>
    <row r="3313" spans="1:12">
      <c r="A3313" s="299"/>
      <c r="B3313" s="322"/>
      <c r="G3313" s="299"/>
      <c r="H3313" s="299"/>
      <c r="I3313" s="299"/>
      <c r="J3313" s="299"/>
      <c r="K3313" s="299"/>
      <c r="L3313" s="299"/>
    </row>
    <row r="3314" spans="1:12">
      <c r="A3314" s="299"/>
      <c r="B3314" s="322"/>
      <c r="G3314" s="299"/>
      <c r="H3314" s="299"/>
      <c r="I3314" s="299"/>
      <c r="J3314" s="299"/>
      <c r="K3314" s="299"/>
      <c r="L3314" s="299"/>
    </row>
    <row r="3315" spans="1:12">
      <c r="A3315" s="299"/>
      <c r="B3315" s="322"/>
      <c r="G3315" s="299"/>
      <c r="H3315" s="299"/>
      <c r="I3315" s="299"/>
      <c r="J3315" s="299"/>
      <c r="K3315" s="299"/>
      <c r="L3315" s="299"/>
    </row>
    <row r="3316" spans="1:12">
      <c r="A3316" s="299"/>
      <c r="B3316" s="322"/>
      <c r="G3316" s="299"/>
      <c r="H3316" s="299"/>
      <c r="I3316" s="299"/>
      <c r="J3316" s="299"/>
      <c r="K3316" s="299"/>
      <c r="L3316" s="299"/>
    </row>
    <row r="3317" spans="1:12">
      <c r="A3317" s="299"/>
      <c r="B3317" s="322"/>
      <c r="G3317" s="299"/>
      <c r="H3317" s="299"/>
      <c r="I3317" s="299"/>
      <c r="J3317" s="299"/>
      <c r="K3317" s="299"/>
      <c r="L3317" s="299"/>
    </row>
    <row r="3318" spans="1:12">
      <c r="A3318" s="299"/>
      <c r="B3318" s="322"/>
      <c r="G3318" s="299"/>
      <c r="H3318" s="299"/>
      <c r="I3318" s="299"/>
      <c r="J3318" s="299"/>
      <c r="K3318" s="299"/>
      <c r="L3318" s="299"/>
    </row>
    <row r="3319" spans="1:12">
      <c r="A3319" s="299"/>
      <c r="B3319" s="322"/>
      <c r="G3319" s="299"/>
      <c r="H3319" s="299"/>
      <c r="I3319" s="299"/>
      <c r="J3319" s="299"/>
      <c r="K3319" s="299"/>
      <c r="L3319" s="299"/>
    </row>
    <row r="3320" spans="1:12">
      <c r="A3320" s="299"/>
      <c r="B3320" s="322"/>
      <c r="G3320" s="299"/>
      <c r="H3320" s="299"/>
      <c r="I3320" s="299"/>
      <c r="J3320" s="299"/>
      <c r="K3320" s="299"/>
      <c r="L3320" s="299"/>
    </row>
    <row r="3321" spans="1:12">
      <c r="A3321" s="299"/>
      <c r="B3321" s="322"/>
      <c r="G3321" s="299"/>
      <c r="H3321" s="299"/>
      <c r="I3321" s="299"/>
      <c r="J3321" s="299"/>
      <c r="K3321" s="299"/>
      <c r="L3321" s="299"/>
    </row>
    <row r="3322" spans="1:12">
      <c r="A3322" s="299"/>
      <c r="B3322" s="322"/>
      <c r="G3322" s="299"/>
      <c r="H3322" s="299"/>
      <c r="I3322" s="299"/>
      <c r="J3322" s="299"/>
      <c r="K3322" s="299"/>
      <c r="L3322" s="299"/>
    </row>
    <row r="3323" spans="1:12">
      <c r="A3323" s="299"/>
      <c r="B3323" s="322"/>
      <c r="G3323" s="299"/>
      <c r="H3323" s="299"/>
      <c r="I3323" s="299"/>
      <c r="J3323" s="299"/>
      <c r="K3323" s="299"/>
      <c r="L3323" s="299"/>
    </row>
    <row r="3324" spans="1:12">
      <c r="A3324" s="299"/>
      <c r="B3324" s="322"/>
      <c r="G3324" s="299"/>
      <c r="H3324" s="299"/>
      <c r="I3324" s="299"/>
      <c r="J3324" s="299"/>
      <c r="K3324" s="299"/>
      <c r="L3324" s="299"/>
    </row>
    <row r="3325" spans="1:12">
      <c r="A3325" s="299"/>
      <c r="B3325" s="322"/>
      <c r="G3325" s="299"/>
      <c r="H3325" s="299"/>
      <c r="I3325" s="299"/>
      <c r="J3325" s="299"/>
      <c r="K3325" s="299"/>
      <c r="L3325" s="299"/>
    </row>
    <row r="3326" spans="1:12">
      <c r="A3326" s="299"/>
      <c r="B3326" s="322"/>
      <c r="G3326" s="299"/>
      <c r="H3326" s="299"/>
      <c r="I3326" s="299"/>
      <c r="J3326" s="299"/>
      <c r="K3326" s="299"/>
      <c r="L3326" s="299"/>
    </row>
    <row r="3327" spans="1:12">
      <c r="A3327" s="299"/>
      <c r="B3327" s="322"/>
      <c r="G3327" s="299"/>
      <c r="H3327" s="299"/>
      <c r="I3327" s="299"/>
      <c r="J3327" s="299"/>
      <c r="K3327" s="299"/>
      <c r="L3327" s="299"/>
    </row>
    <row r="3328" spans="1:12">
      <c r="A3328" s="299"/>
      <c r="B3328" s="322"/>
      <c r="G3328" s="299"/>
      <c r="H3328" s="299"/>
      <c r="I3328" s="299"/>
      <c r="J3328" s="299"/>
      <c r="K3328" s="299"/>
      <c r="L3328" s="299"/>
    </row>
    <row r="3329" spans="1:12">
      <c r="A3329" s="299"/>
      <c r="B3329" s="322"/>
      <c r="G3329" s="299"/>
      <c r="H3329" s="299"/>
      <c r="I3329" s="299"/>
      <c r="J3329" s="299"/>
      <c r="K3329" s="299"/>
      <c r="L3329" s="299"/>
    </row>
    <row r="3330" spans="1:12">
      <c r="A3330" s="299"/>
      <c r="B3330" s="322"/>
      <c r="G3330" s="299"/>
      <c r="H3330" s="299"/>
      <c r="I3330" s="299"/>
      <c r="J3330" s="299"/>
      <c r="K3330" s="299"/>
      <c r="L3330" s="299"/>
    </row>
    <row r="3331" spans="1:12">
      <c r="A3331" s="299"/>
      <c r="B3331" s="322"/>
      <c r="G3331" s="299"/>
      <c r="H3331" s="299"/>
      <c r="I3331" s="299"/>
      <c r="J3331" s="299"/>
      <c r="K3331" s="299"/>
      <c r="L3331" s="299"/>
    </row>
    <row r="3332" spans="1:12">
      <c r="A3332" s="299"/>
      <c r="B3332" s="322"/>
      <c r="G3332" s="299"/>
      <c r="H3332" s="299"/>
      <c r="I3332" s="299"/>
      <c r="J3332" s="299"/>
      <c r="K3332" s="299"/>
      <c r="L3332" s="299"/>
    </row>
    <row r="3333" spans="1:12">
      <c r="A3333" s="299"/>
      <c r="B3333" s="322"/>
      <c r="G3333" s="299"/>
      <c r="H3333" s="299"/>
      <c r="I3333" s="299"/>
      <c r="J3333" s="299"/>
      <c r="K3333" s="299"/>
      <c r="L3333" s="299"/>
    </row>
    <row r="3334" spans="1:12">
      <c r="A3334" s="299"/>
      <c r="B3334" s="322"/>
      <c r="G3334" s="299"/>
      <c r="H3334" s="299"/>
      <c r="I3334" s="299"/>
      <c r="J3334" s="299"/>
      <c r="K3334" s="299"/>
      <c r="L3334" s="299"/>
    </row>
    <row r="3335" spans="1:12">
      <c r="A3335" s="299"/>
      <c r="B3335" s="322"/>
      <c r="G3335" s="299"/>
      <c r="H3335" s="299"/>
      <c r="I3335" s="299"/>
      <c r="J3335" s="299"/>
      <c r="K3335" s="299"/>
      <c r="L3335" s="299"/>
    </row>
    <row r="3336" spans="1:12">
      <c r="A3336" s="299"/>
      <c r="B3336" s="322"/>
      <c r="G3336" s="299"/>
      <c r="H3336" s="299"/>
      <c r="I3336" s="299"/>
      <c r="J3336" s="299"/>
      <c r="K3336" s="299"/>
      <c r="L3336" s="299"/>
    </row>
    <row r="3337" spans="1:12">
      <c r="A3337" s="299"/>
      <c r="B3337" s="322"/>
      <c r="G3337" s="299"/>
      <c r="H3337" s="299"/>
      <c r="I3337" s="299"/>
      <c r="J3337" s="299"/>
      <c r="K3337" s="299"/>
      <c r="L3337" s="299"/>
    </row>
    <row r="3338" spans="1:12">
      <c r="A3338" s="299"/>
      <c r="B3338" s="322"/>
      <c r="G3338" s="299"/>
      <c r="H3338" s="299"/>
      <c r="I3338" s="299"/>
      <c r="J3338" s="299"/>
      <c r="K3338" s="299"/>
      <c r="L3338" s="299"/>
    </row>
    <row r="3339" spans="1:12">
      <c r="A3339" s="299"/>
      <c r="B3339" s="322"/>
      <c r="G3339" s="299"/>
      <c r="H3339" s="299"/>
      <c r="I3339" s="299"/>
      <c r="J3339" s="299"/>
      <c r="K3339" s="299"/>
      <c r="L3339" s="299"/>
    </row>
    <row r="3340" spans="1:12">
      <c r="A3340" s="299"/>
      <c r="B3340" s="322"/>
      <c r="G3340" s="299"/>
      <c r="H3340" s="299"/>
      <c r="I3340" s="299"/>
      <c r="J3340" s="299"/>
      <c r="K3340" s="299"/>
      <c r="L3340" s="299"/>
    </row>
    <row r="3341" spans="1:12">
      <c r="A3341" s="299"/>
      <c r="B3341" s="322"/>
      <c r="G3341" s="299"/>
      <c r="H3341" s="299"/>
      <c r="I3341" s="299"/>
      <c r="J3341" s="299"/>
      <c r="K3341" s="299"/>
      <c r="L3341" s="299"/>
    </row>
    <row r="3342" spans="1:12">
      <c r="A3342" s="299"/>
      <c r="B3342" s="322"/>
      <c r="G3342" s="299"/>
      <c r="H3342" s="299"/>
      <c r="I3342" s="299"/>
      <c r="J3342" s="299"/>
      <c r="K3342" s="299"/>
      <c r="L3342" s="299"/>
    </row>
    <row r="3343" spans="1:12">
      <c r="A3343" s="299"/>
      <c r="B3343" s="322"/>
      <c r="G3343" s="299"/>
      <c r="H3343" s="299"/>
      <c r="I3343" s="299"/>
      <c r="J3343" s="299"/>
      <c r="K3343" s="299"/>
      <c r="L3343" s="299"/>
    </row>
    <row r="3344" spans="1:12">
      <c r="A3344" s="299"/>
      <c r="B3344" s="322"/>
      <c r="G3344" s="299"/>
      <c r="H3344" s="299"/>
      <c r="I3344" s="299"/>
      <c r="J3344" s="299"/>
      <c r="K3344" s="299"/>
      <c r="L3344" s="299"/>
    </row>
    <row r="3345" spans="1:12">
      <c r="A3345" s="299"/>
      <c r="B3345" s="322"/>
      <c r="G3345" s="299"/>
      <c r="H3345" s="299"/>
      <c r="I3345" s="299"/>
      <c r="J3345" s="299"/>
      <c r="K3345" s="299"/>
      <c r="L3345" s="299"/>
    </row>
    <row r="3346" spans="1:12">
      <c r="A3346" s="299"/>
      <c r="B3346" s="322"/>
      <c r="G3346" s="299"/>
      <c r="H3346" s="299"/>
      <c r="I3346" s="299"/>
      <c r="J3346" s="299"/>
      <c r="K3346" s="299"/>
      <c r="L3346" s="299"/>
    </row>
    <row r="3347" spans="1:12">
      <c r="A3347" s="299"/>
      <c r="B3347" s="322"/>
      <c r="G3347" s="299"/>
      <c r="H3347" s="299"/>
      <c r="I3347" s="299"/>
      <c r="J3347" s="299"/>
      <c r="K3347" s="299"/>
      <c r="L3347" s="299"/>
    </row>
    <row r="3348" spans="1:12">
      <c r="A3348" s="299"/>
      <c r="B3348" s="322"/>
      <c r="G3348" s="299"/>
      <c r="H3348" s="299"/>
      <c r="I3348" s="299"/>
      <c r="J3348" s="299"/>
      <c r="K3348" s="299"/>
      <c r="L3348" s="299"/>
    </row>
    <row r="3349" spans="1:12">
      <c r="A3349" s="299"/>
      <c r="B3349" s="322"/>
      <c r="G3349" s="299"/>
      <c r="H3349" s="299"/>
      <c r="I3349" s="299"/>
      <c r="J3349" s="299"/>
      <c r="K3349" s="299"/>
      <c r="L3349" s="299"/>
    </row>
    <row r="3350" spans="1:12">
      <c r="A3350" s="299"/>
      <c r="B3350" s="322"/>
      <c r="G3350" s="299"/>
      <c r="H3350" s="299"/>
      <c r="I3350" s="299"/>
      <c r="J3350" s="299"/>
      <c r="K3350" s="299"/>
      <c r="L3350" s="299"/>
    </row>
    <row r="3351" spans="1:12">
      <c r="A3351" s="299"/>
      <c r="B3351" s="322"/>
      <c r="G3351" s="299"/>
      <c r="H3351" s="299"/>
      <c r="I3351" s="299"/>
      <c r="J3351" s="299"/>
      <c r="K3351" s="299"/>
      <c r="L3351" s="299"/>
    </row>
    <row r="3352" spans="1:12">
      <c r="A3352" s="299"/>
      <c r="B3352" s="322"/>
      <c r="G3352" s="299"/>
      <c r="H3352" s="299"/>
      <c r="I3352" s="299"/>
      <c r="J3352" s="299"/>
      <c r="K3352" s="299"/>
      <c r="L3352" s="299"/>
    </row>
    <row r="3353" spans="1:12">
      <c r="A3353" s="299"/>
      <c r="B3353" s="322"/>
      <c r="G3353" s="299"/>
      <c r="H3353" s="299"/>
      <c r="I3353" s="299"/>
      <c r="J3353" s="299"/>
      <c r="K3353" s="299"/>
      <c r="L3353" s="299"/>
    </row>
    <row r="3354" spans="1:12">
      <c r="A3354" s="299"/>
      <c r="B3354" s="322"/>
      <c r="G3354" s="299"/>
      <c r="H3354" s="299"/>
      <c r="I3354" s="299"/>
      <c r="J3354" s="299"/>
      <c r="K3354" s="299"/>
      <c r="L3354" s="299"/>
    </row>
    <row r="3355" spans="1:12">
      <c r="A3355" s="299"/>
      <c r="B3355" s="322"/>
      <c r="G3355" s="299"/>
      <c r="H3355" s="299"/>
      <c r="I3355" s="299"/>
      <c r="J3355" s="299"/>
      <c r="K3355" s="299"/>
      <c r="L3355" s="299"/>
    </row>
    <row r="3356" spans="1:12">
      <c r="A3356" s="299"/>
      <c r="B3356" s="322"/>
      <c r="G3356" s="299"/>
      <c r="H3356" s="299"/>
      <c r="I3356" s="299"/>
      <c r="J3356" s="299"/>
      <c r="K3356" s="299"/>
      <c r="L3356" s="299"/>
    </row>
    <row r="3357" spans="1:12">
      <c r="A3357" s="299"/>
      <c r="B3357" s="322"/>
      <c r="G3357" s="299"/>
      <c r="H3357" s="299"/>
      <c r="I3357" s="299"/>
      <c r="J3357" s="299"/>
      <c r="K3357" s="299"/>
      <c r="L3357" s="299"/>
    </row>
    <row r="3358" spans="1:12">
      <c r="A3358" s="299"/>
      <c r="B3358" s="322"/>
      <c r="G3358" s="299"/>
      <c r="H3358" s="299"/>
      <c r="I3358" s="299"/>
      <c r="J3358" s="299"/>
      <c r="K3358" s="299"/>
      <c r="L3358" s="299"/>
    </row>
    <row r="3359" spans="1:12">
      <c r="A3359" s="299"/>
      <c r="B3359" s="322"/>
      <c r="G3359" s="299"/>
      <c r="H3359" s="299"/>
      <c r="I3359" s="299"/>
      <c r="J3359" s="299"/>
      <c r="K3359" s="299"/>
      <c r="L3359" s="299"/>
    </row>
    <row r="3360" spans="1:12">
      <c r="A3360" s="299"/>
      <c r="B3360" s="322"/>
      <c r="G3360" s="299"/>
      <c r="H3360" s="299"/>
      <c r="I3360" s="299"/>
      <c r="J3360" s="299"/>
      <c r="K3360" s="299"/>
      <c r="L3360" s="299"/>
    </row>
    <row r="3361" spans="1:12">
      <c r="A3361" s="299"/>
      <c r="B3361" s="322"/>
      <c r="G3361" s="299"/>
      <c r="H3361" s="299"/>
      <c r="I3361" s="299"/>
      <c r="J3361" s="299"/>
      <c r="K3361" s="299"/>
      <c r="L3361" s="299"/>
    </row>
    <row r="3362" spans="1:12">
      <c r="A3362" s="299"/>
      <c r="B3362" s="322"/>
      <c r="G3362" s="299"/>
      <c r="H3362" s="299"/>
      <c r="I3362" s="299"/>
      <c r="J3362" s="299"/>
      <c r="K3362" s="299"/>
      <c r="L3362" s="299"/>
    </row>
    <row r="3363" spans="1:12">
      <c r="A3363" s="299"/>
      <c r="B3363" s="322"/>
      <c r="G3363" s="299"/>
      <c r="H3363" s="299"/>
      <c r="I3363" s="299"/>
      <c r="J3363" s="299"/>
      <c r="K3363" s="299"/>
      <c r="L3363" s="299"/>
    </row>
    <row r="3364" spans="1:12">
      <c r="A3364" s="299"/>
      <c r="B3364" s="322"/>
      <c r="G3364" s="299"/>
      <c r="H3364" s="299"/>
      <c r="I3364" s="299"/>
      <c r="J3364" s="299"/>
      <c r="K3364" s="299"/>
      <c r="L3364" s="299"/>
    </row>
    <row r="3365" spans="1:12">
      <c r="A3365" s="299"/>
      <c r="B3365" s="322"/>
      <c r="G3365" s="299"/>
      <c r="H3365" s="299"/>
      <c r="I3365" s="299"/>
      <c r="J3365" s="299"/>
      <c r="K3365" s="299"/>
      <c r="L3365" s="299"/>
    </row>
    <row r="3366" spans="1:12">
      <c r="A3366" s="299"/>
      <c r="B3366" s="322"/>
      <c r="G3366" s="299"/>
      <c r="H3366" s="299"/>
      <c r="I3366" s="299"/>
      <c r="J3366" s="299"/>
      <c r="K3366" s="299"/>
      <c r="L3366" s="299"/>
    </row>
    <row r="3367" spans="1:12">
      <c r="A3367" s="299"/>
      <c r="B3367" s="322"/>
      <c r="G3367" s="299"/>
      <c r="H3367" s="299"/>
      <c r="I3367" s="299"/>
      <c r="J3367" s="299"/>
      <c r="K3367" s="299"/>
      <c r="L3367" s="299"/>
    </row>
    <row r="3368" spans="1:12">
      <c r="A3368" s="299"/>
      <c r="B3368" s="322"/>
      <c r="G3368" s="299"/>
      <c r="H3368" s="299"/>
      <c r="I3368" s="299"/>
      <c r="J3368" s="299"/>
      <c r="K3368" s="299"/>
      <c r="L3368" s="299"/>
    </row>
    <row r="3369" spans="1:12">
      <c r="A3369" s="299"/>
      <c r="B3369" s="322"/>
      <c r="G3369" s="299"/>
      <c r="H3369" s="299"/>
      <c r="I3369" s="299"/>
      <c r="J3369" s="299"/>
      <c r="K3369" s="299"/>
      <c r="L3369" s="299"/>
    </row>
    <row r="3370" spans="1:12">
      <c r="A3370" s="299"/>
      <c r="B3370" s="322"/>
      <c r="G3370" s="299"/>
      <c r="H3370" s="299"/>
      <c r="I3370" s="299"/>
      <c r="J3370" s="299"/>
      <c r="K3370" s="299"/>
      <c r="L3370" s="299"/>
    </row>
    <row r="3371" spans="1:12">
      <c r="A3371" s="299"/>
      <c r="B3371" s="322"/>
      <c r="G3371" s="299"/>
      <c r="H3371" s="299"/>
      <c r="I3371" s="299"/>
      <c r="J3371" s="299"/>
      <c r="K3371" s="299"/>
      <c r="L3371" s="299"/>
    </row>
    <row r="3372" spans="1:12">
      <c r="A3372" s="299"/>
      <c r="B3372" s="322"/>
      <c r="G3372" s="299"/>
      <c r="H3372" s="299"/>
      <c r="I3372" s="299"/>
      <c r="J3372" s="299"/>
      <c r="K3372" s="299"/>
      <c r="L3372" s="299"/>
    </row>
    <row r="3373" spans="1:12">
      <c r="A3373" s="299"/>
      <c r="B3373" s="322"/>
      <c r="G3373" s="299"/>
      <c r="H3373" s="299"/>
      <c r="I3373" s="299"/>
      <c r="J3373" s="299"/>
      <c r="K3373" s="299"/>
      <c r="L3373" s="299"/>
    </row>
    <row r="3374" spans="1:12">
      <c r="A3374" s="299"/>
      <c r="B3374" s="322"/>
      <c r="G3374" s="299"/>
      <c r="H3374" s="299"/>
      <c r="I3374" s="299"/>
      <c r="J3374" s="299"/>
      <c r="K3374" s="299"/>
      <c r="L3374" s="299"/>
    </row>
    <row r="3375" spans="1:12">
      <c r="A3375" s="299"/>
      <c r="B3375" s="322"/>
      <c r="G3375" s="299"/>
      <c r="H3375" s="299"/>
      <c r="I3375" s="299"/>
      <c r="J3375" s="299"/>
      <c r="K3375" s="299"/>
      <c r="L3375" s="299"/>
    </row>
    <row r="3376" spans="1:12">
      <c r="A3376" s="299"/>
      <c r="B3376" s="322"/>
      <c r="G3376" s="299"/>
      <c r="H3376" s="299"/>
      <c r="I3376" s="299"/>
      <c r="J3376" s="299"/>
      <c r="K3376" s="299"/>
      <c r="L3376" s="299"/>
    </row>
    <row r="3377" spans="1:12">
      <c r="A3377" s="299"/>
      <c r="B3377" s="322"/>
      <c r="G3377" s="299"/>
      <c r="H3377" s="299"/>
      <c r="I3377" s="299"/>
      <c r="J3377" s="299"/>
      <c r="K3377" s="299"/>
      <c r="L3377" s="299"/>
    </row>
    <row r="3378" spans="1:12">
      <c r="A3378" s="299"/>
      <c r="B3378" s="322"/>
      <c r="G3378" s="299"/>
      <c r="H3378" s="299"/>
      <c r="I3378" s="299"/>
      <c r="J3378" s="299"/>
      <c r="K3378" s="299"/>
      <c r="L3378" s="299"/>
    </row>
    <row r="3379" spans="1:12">
      <c r="A3379" s="299"/>
      <c r="B3379" s="322"/>
      <c r="G3379" s="299"/>
      <c r="H3379" s="299"/>
      <c r="I3379" s="299"/>
      <c r="J3379" s="299"/>
      <c r="K3379" s="299"/>
      <c r="L3379" s="299"/>
    </row>
    <row r="3380" spans="1:12">
      <c r="A3380" s="299"/>
      <c r="B3380" s="322"/>
      <c r="G3380" s="299"/>
      <c r="H3380" s="299"/>
      <c r="I3380" s="299"/>
      <c r="J3380" s="299"/>
      <c r="K3380" s="299"/>
      <c r="L3380" s="299"/>
    </row>
    <row r="3381" spans="1:12">
      <c r="A3381" s="299"/>
      <c r="B3381" s="322"/>
      <c r="G3381" s="299"/>
      <c r="H3381" s="299"/>
      <c r="I3381" s="299"/>
      <c r="J3381" s="299"/>
      <c r="K3381" s="299"/>
      <c r="L3381" s="299"/>
    </row>
    <row r="3382" spans="1:12">
      <c r="A3382" s="299"/>
      <c r="B3382" s="322"/>
      <c r="G3382" s="299"/>
      <c r="H3382" s="299"/>
      <c r="I3382" s="299"/>
      <c r="J3382" s="299"/>
      <c r="K3382" s="299"/>
      <c r="L3382" s="299"/>
    </row>
    <row r="3383" spans="1:12">
      <c r="A3383" s="299"/>
      <c r="B3383" s="322"/>
      <c r="G3383" s="299"/>
      <c r="H3383" s="299"/>
      <c r="I3383" s="299"/>
      <c r="J3383" s="299"/>
      <c r="K3383" s="299"/>
      <c r="L3383" s="299"/>
    </row>
    <row r="3384" spans="1:12">
      <c r="A3384" s="299"/>
      <c r="B3384" s="322"/>
      <c r="G3384" s="299"/>
      <c r="H3384" s="299"/>
      <c r="I3384" s="299"/>
      <c r="J3384" s="299"/>
      <c r="K3384" s="299"/>
      <c r="L3384" s="299"/>
    </row>
    <row r="3385" spans="1:12">
      <c r="A3385" s="299"/>
      <c r="B3385" s="322"/>
      <c r="G3385" s="299"/>
      <c r="H3385" s="299"/>
      <c r="I3385" s="299"/>
      <c r="J3385" s="299"/>
      <c r="K3385" s="299"/>
      <c r="L3385" s="299"/>
    </row>
    <row r="3386" spans="1:12">
      <c r="A3386" s="299"/>
      <c r="B3386" s="322"/>
      <c r="G3386" s="299"/>
      <c r="H3386" s="299"/>
      <c r="I3386" s="299"/>
      <c r="J3386" s="299"/>
      <c r="K3386" s="299"/>
      <c r="L3386" s="299"/>
    </row>
    <row r="3387" spans="1:12">
      <c r="A3387" s="299"/>
      <c r="B3387" s="322"/>
      <c r="G3387" s="299"/>
      <c r="H3387" s="299"/>
      <c r="I3387" s="299"/>
      <c r="J3387" s="299"/>
      <c r="K3387" s="299"/>
      <c r="L3387" s="299"/>
    </row>
    <row r="3388" spans="1:12">
      <c r="A3388" s="299"/>
      <c r="B3388" s="322"/>
      <c r="G3388" s="299"/>
      <c r="H3388" s="299"/>
      <c r="I3388" s="299"/>
      <c r="J3388" s="299"/>
      <c r="K3388" s="299"/>
      <c r="L3388" s="299"/>
    </row>
    <row r="3389" spans="1:12">
      <c r="A3389" s="299"/>
      <c r="B3389" s="322"/>
      <c r="G3389" s="299"/>
      <c r="H3389" s="299"/>
      <c r="I3389" s="299"/>
      <c r="J3389" s="299"/>
      <c r="K3389" s="299"/>
      <c r="L3389" s="299"/>
    </row>
    <row r="3390" spans="1:12">
      <c r="A3390" s="299"/>
      <c r="B3390" s="322"/>
      <c r="G3390" s="299"/>
      <c r="H3390" s="299"/>
      <c r="I3390" s="299"/>
      <c r="J3390" s="299"/>
      <c r="K3390" s="299"/>
      <c r="L3390" s="299"/>
    </row>
    <row r="3391" spans="1:12">
      <c r="A3391" s="299"/>
      <c r="B3391" s="322"/>
      <c r="G3391" s="299"/>
      <c r="H3391" s="299"/>
      <c r="I3391" s="299"/>
      <c r="J3391" s="299"/>
      <c r="K3391" s="299"/>
      <c r="L3391" s="299"/>
    </row>
    <row r="3392" spans="1:12">
      <c r="A3392" s="299"/>
      <c r="B3392" s="322"/>
      <c r="G3392" s="299"/>
      <c r="H3392" s="299"/>
      <c r="I3392" s="299"/>
      <c r="J3392" s="299"/>
      <c r="K3392" s="299"/>
      <c r="L3392" s="299"/>
    </row>
    <row r="3393" spans="1:12">
      <c r="A3393" s="299"/>
      <c r="B3393" s="322"/>
      <c r="G3393" s="299"/>
      <c r="H3393" s="299"/>
      <c r="I3393" s="299"/>
      <c r="J3393" s="299"/>
      <c r="K3393" s="299"/>
      <c r="L3393" s="299"/>
    </row>
    <row r="3394" spans="1:12">
      <c r="A3394" s="299"/>
      <c r="B3394" s="322"/>
      <c r="G3394" s="299"/>
      <c r="H3394" s="299"/>
      <c r="I3394" s="299"/>
      <c r="J3394" s="299"/>
      <c r="K3394" s="299"/>
      <c r="L3394" s="299"/>
    </row>
    <row r="3395" spans="1:12">
      <c r="A3395" s="299"/>
      <c r="B3395" s="322"/>
      <c r="G3395" s="299"/>
      <c r="H3395" s="299"/>
      <c r="I3395" s="299"/>
      <c r="J3395" s="299"/>
      <c r="K3395" s="299"/>
      <c r="L3395" s="299"/>
    </row>
    <row r="3396" spans="1:12">
      <c r="A3396" s="299"/>
      <c r="B3396" s="322"/>
      <c r="G3396" s="299"/>
      <c r="H3396" s="299"/>
      <c r="I3396" s="299"/>
      <c r="J3396" s="299"/>
      <c r="K3396" s="299"/>
      <c r="L3396" s="299"/>
    </row>
    <row r="3397" spans="1:12">
      <c r="A3397" s="299"/>
      <c r="B3397" s="322"/>
      <c r="G3397" s="299"/>
      <c r="H3397" s="299"/>
      <c r="I3397" s="299"/>
      <c r="J3397" s="299"/>
      <c r="K3397" s="299"/>
      <c r="L3397" s="299"/>
    </row>
    <row r="3398" spans="1:12">
      <c r="A3398" s="299"/>
      <c r="B3398" s="322"/>
      <c r="G3398" s="299"/>
      <c r="H3398" s="299"/>
      <c r="I3398" s="299"/>
      <c r="J3398" s="299"/>
      <c r="K3398" s="299"/>
      <c r="L3398" s="299"/>
    </row>
    <row r="3399" spans="1:12">
      <c r="A3399" s="299"/>
      <c r="B3399" s="322"/>
      <c r="G3399" s="299"/>
      <c r="H3399" s="299"/>
      <c r="I3399" s="299"/>
      <c r="J3399" s="299"/>
      <c r="K3399" s="299"/>
      <c r="L3399" s="299"/>
    </row>
    <row r="3400" spans="1:12">
      <c r="A3400" s="299"/>
      <c r="B3400" s="322"/>
      <c r="G3400" s="299"/>
      <c r="H3400" s="299"/>
      <c r="I3400" s="299"/>
      <c r="J3400" s="299"/>
      <c r="K3400" s="299"/>
      <c r="L3400" s="299"/>
    </row>
    <row r="3401" spans="1:12">
      <c r="A3401" s="299"/>
      <c r="B3401" s="322"/>
      <c r="G3401" s="299"/>
      <c r="H3401" s="299"/>
      <c r="I3401" s="299"/>
      <c r="J3401" s="299"/>
      <c r="K3401" s="299"/>
      <c r="L3401" s="299"/>
    </row>
    <row r="3402" spans="1:12">
      <c r="A3402" s="299"/>
      <c r="B3402" s="322"/>
      <c r="G3402" s="299"/>
      <c r="H3402" s="299"/>
      <c r="I3402" s="299"/>
      <c r="J3402" s="299"/>
      <c r="K3402" s="299"/>
      <c r="L3402" s="299"/>
    </row>
    <row r="3403" spans="1:12">
      <c r="A3403" s="299"/>
      <c r="B3403" s="322"/>
      <c r="G3403" s="299"/>
      <c r="H3403" s="299"/>
      <c r="I3403" s="299"/>
      <c r="J3403" s="299"/>
      <c r="K3403" s="299"/>
      <c r="L3403" s="299"/>
    </row>
    <row r="3404" spans="1:12">
      <c r="A3404" s="299"/>
      <c r="B3404" s="322"/>
      <c r="G3404" s="299"/>
      <c r="H3404" s="299"/>
      <c r="I3404" s="299"/>
      <c r="J3404" s="299"/>
      <c r="K3404" s="299"/>
      <c r="L3404" s="299"/>
    </row>
    <row r="3405" spans="1:12">
      <c r="A3405" s="299"/>
      <c r="B3405" s="322"/>
      <c r="G3405" s="299"/>
      <c r="H3405" s="299"/>
      <c r="I3405" s="299"/>
      <c r="J3405" s="299"/>
      <c r="K3405" s="299"/>
      <c r="L3405" s="299"/>
    </row>
    <row r="3406" spans="1:12">
      <c r="A3406" s="299"/>
      <c r="B3406" s="322"/>
      <c r="G3406" s="299"/>
      <c r="H3406" s="299"/>
      <c r="I3406" s="299"/>
      <c r="J3406" s="299"/>
      <c r="K3406" s="299"/>
      <c r="L3406" s="299"/>
    </row>
    <row r="3407" spans="1:12">
      <c r="A3407" s="299"/>
      <c r="B3407" s="322"/>
      <c r="G3407" s="299"/>
      <c r="H3407" s="299"/>
      <c r="I3407" s="299"/>
      <c r="J3407" s="299"/>
      <c r="K3407" s="299"/>
      <c r="L3407" s="299"/>
    </row>
    <row r="3408" spans="1:12">
      <c r="A3408" s="299"/>
      <c r="B3408" s="322"/>
      <c r="G3408" s="299"/>
      <c r="H3408" s="299"/>
      <c r="I3408" s="299"/>
      <c r="J3408" s="299"/>
      <c r="K3408" s="299"/>
      <c r="L3408" s="299"/>
    </row>
    <row r="3409" spans="1:12">
      <c r="A3409" s="299"/>
      <c r="B3409" s="322"/>
      <c r="G3409" s="299"/>
      <c r="H3409" s="299"/>
      <c r="I3409" s="299"/>
      <c r="J3409" s="299"/>
      <c r="K3409" s="299"/>
      <c r="L3409" s="299"/>
    </row>
    <row r="3410" spans="1:12">
      <c r="A3410" s="299"/>
      <c r="B3410" s="322"/>
      <c r="G3410" s="299"/>
      <c r="H3410" s="299"/>
      <c r="I3410" s="299"/>
      <c r="J3410" s="299"/>
      <c r="K3410" s="299"/>
      <c r="L3410" s="299"/>
    </row>
    <row r="3411" spans="1:12">
      <c r="A3411" s="299"/>
      <c r="B3411" s="322"/>
      <c r="G3411" s="299"/>
      <c r="H3411" s="299"/>
      <c r="I3411" s="299"/>
      <c r="J3411" s="299"/>
      <c r="K3411" s="299"/>
      <c r="L3411" s="299"/>
    </row>
    <row r="3412" spans="1:12">
      <c r="A3412" s="299"/>
      <c r="B3412" s="322"/>
      <c r="G3412" s="299"/>
      <c r="H3412" s="299"/>
      <c r="I3412" s="299"/>
      <c r="J3412" s="299"/>
      <c r="K3412" s="299"/>
      <c r="L3412" s="299"/>
    </row>
    <row r="3413" spans="1:12">
      <c r="A3413" s="299"/>
      <c r="B3413" s="322"/>
      <c r="G3413" s="299"/>
      <c r="H3413" s="299"/>
      <c r="I3413" s="299"/>
      <c r="J3413" s="299"/>
      <c r="K3413" s="299"/>
      <c r="L3413" s="299"/>
    </row>
    <row r="3414" spans="1:12">
      <c r="A3414" s="299"/>
      <c r="B3414" s="322"/>
      <c r="G3414" s="299"/>
      <c r="H3414" s="299"/>
      <c r="I3414" s="299"/>
      <c r="J3414" s="299"/>
      <c r="K3414" s="299"/>
      <c r="L3414" s="299"/>
    </row>
    <row r="3415" spans="1:12">
      <c r="A3415" s="299"/>
      <c r="B3415" s="322"/>
      <c r="G3415" s="299"/>
      <c r="H3415" s="299"/>
      <c r="I3415" s="299"/>
      <c r="J3415" s="299"/>
      <c r="K3415" s="299"/>
      <c r="L3415" s="299"/>
    </row>
    <row r="3416" spans="1:12">
      <c r="A3416" s="299"/>
      <c r="B3416" s="322"/>
      <c r="G3416" s="299"/>
      <c r="H3416" s="299"/>
      <c r="I3416" s="299"/>
      <c r="J3416" s="299"/>
      <c r="K3416" s="299"/>
      <c r="L3416" s="299"/>
    </row>
    <row r="3417" spans="1:12">
      <c r="A3417" s="299"/>
      <c r="B3417" s="322"/>
      <c r="G3417" s="299"/>
      <c r="H3417" s="299"/>
      <c r="I3417" s="299"/>
      <c r="J3417" s="299"/>
      <c r="K3417" s="299"/>
      <c r="L3417" s="299"/>
    </row>
    <row r="3418" spans="1:12">
      <c r="A3418" s="299"/>
      <c r="B3418" s="322"/>
      <c r="G3418" s="299"/>
      <c r="H3418" s="299"/>
      <c r="I3418" s="299"/>
      <c r="J3418" s="299"/>
      <c r="K3418" s="299"/>
      <c r="L3418" s="299"/>
    </row>
    <row r="3419" spans="1:12">
      <c r="A3419" s="299"/>
      <c r="B3419" s="322"/>
      <c r="G3419" s="299"/>
      <c r="H3419" s="299"/>
      <c r="I3419" s="299"/>
      <c r="J3419" s="299"/>
      <c r="K3419" s="299"/>
      <c r="L3419" s="299"/>
    </row>
    <row r="3420" spans="1:12">
      <c r="A3420" s="299"/>
      <c r="B3420" s="322"/>
      <c r="G3420" s="299"/>
      <c r="H3420" s="299"/>
      <c r="I3420" s="299"/>
      <c r="J3420" s="299"/>
      <c r="K3420" s="299"/>
      <c r="L3420" s="299"/>
    </row>
    <row r="3421" spans="1:12">
      <c r="A3421" s="299"/>
      <c r="B3421" s="322"/>
      <c r="G3421" s="299"/>
      <c r="H3421" s="299"/>
      <c r="I3421" s="299"/>
      <c r="J3421" s="299"/>
      <c r="K3421" s="299"/>
      <c r="L3421" s="299"/>
    </row>
    <row r="3422" spans="1:12">
      <c r="A3422" s="299"/>
      <c r="B3422" s="322"/>
      <c r="G3422" s="299"/>
      <c r="H3422" s="299"/>
      <c r="I3422" s="299"/>
      <c r="J3422" s="299"/>
      <c r="K3422" s="299"/>
      <c r="L3422" s="299"/>
    </row>
    <row r="3423" spans="1:12">
      <c r="A3423" s="299"/>
      <c r="B3423" s="322"/>
      <c r="G3423" s="299"/>
      <c r="H3423" s="299"/>
      <c r="I3423" s="299"/>
      <c r="J3423" s="299"/>
      <c r="K3423" s="299"/>
      <c r="L3423" s="299"/>
    </row>
    <row r="3424" spans="1:12">
      <c r="A3424" s="299"/>
      <c r="B3424" s="322"/>
      <c r="G3424" s="299"/>
      <c r="H3424" s="299"/>
      <c r="I3424" s="299"/>
      <c r="J3424" s="299"/>
      <c r="K3424" s="299"/>
      <c r="L3424" s="299"/>
    </row>
    <row r="3425" spans="1:12">
      <c r="A3425" s="299"/>
      <c r="B3425" s="322"/>
      <c r="G3425" s="299"/>
      <c r="H3425" s="299"/>
      <c r="I3425" s="299"/>
      <c r="J3425" s="299"/>
      <c r="K3425" s="299"/>
      <c r="L3425" s="299"/>
    </row>
    <row r="3426" spans="1:12">
      <c r="A3426" s="299"/>
      <c r="B3426" s="322"/>
      <c r="G3426" s="299"/>
      <c r="H3426" s="299"/>
      <c r="I3426" s="299"/>
      <c r="J3426" s="299"/>
      <c r="K3426" s="299"/>
      <c r="L3426" s="299"/>
    </row>
    <row r="3427" spans="1:12">
      <c r="A3427" s="299"/>
      <c r="B3427" s="322"/>
      <c r="G3427" s="299"/>
      <c r="H3427" s="299"/>
      <c r="I3427" s="299"/>
      <c r="J3427" s="299"/>
      <c r="K3427" s="299"/>
      <c r="L3427" s="299"/>
    </row>
    <row r="3428" spans="1:12">
      <c r="A3428" s="299"/>
      <c r="B3428" s="322"/>
      <c r="G3428" s="299"/>
      <c r="H3428" s="299"/>
      <c r="I3428" s="299"/>
      <c r="J3428" s="299"/>
      <c r="K3428" s="299"/>
      <c r="L3428" s="299"/>
    </row>
    <row r="3429" spans="1:12">
      <c r="A3429" s="299"/>
      <c r="B3429" s="322"/>
      <c r="G3429" s="299"/>
      <c r="H3429" s="299"/>
      <c r="I3429" s="299"/>
      <c r="J3429" s="299"/>
      <c r="K3429" s="299"/>
      <c r="L3429" s="299"/>
    </row>
    <row r="3430" spans="1:12">
      <c r="A3430" s="299"/>
      <c r="B3430" s="322"/>
      <c r="G3430" s="299"/>
      <c r="H3430" s="299"/>
      <c r="I3430" s="299"/>
      <c r="J3430" s="299"/>
      <c r="K3430" s="299"/>
      <c r="L3430" s="299"/>
    </row>
    <row r="3431" spans="1:12">
      <c r="A3431" s="299"/>
      <c r="B3431" s="322"/>
      <c r="G3431" s="299"/>
      <c r="H3431" s="299"/>
      <c r="I3431" s="299"/>
      <c r="J3431" s="299"/>
      <c r="K3431" s="299"/>
      <c r="L3431" s="299"/>
    </row>
    <row r="3432" spans="1:12">
      <c r="A3432" s="299"/>
      <c r="B3432" s="322"/>
      <c r="G3432" s="299"/>
      <c r="H3432" s="299"/>
      <c r="I3432" s="299"/>
      <c r="J3432" s="299"/>
      <c r="K3432" s="299"/>
      <c r="L3432" s="299"/>
    </row>
    <row r="3433" spans="1:12">
      <c r="A3433" s="299"/>
      <c r="B3433" s="322"/>
      <c r="G3433" s="299"/>
      <c r="H3433" s="299"/>
      <c r="I3433" s="299"/>
      <c r="J3433" s="299"/>
      <c r="K3433" s="299"/>
      <c r="L3433" s="299"/>
    </row>
    <row r="3434" spans="1:12">
      <c r="A3434" s="299"/>
      <c r="B3434" s="322"/>
      <c r="G3434" s="299"/>
      <c r="H3434" s="299"/>
      <c r="I3434" s="299"/>
      <c r="J3434" s="299"/>
      <c r="K3434" s="299"/>
      <c r="L3434" s="299"/>
    </row>
    <row r="3435" spans="1:12">
      <c r="A3435" s="299"/>
      <c r="B3435" s="322"/>
      <c r="G3435" s="299"/>
      <c r="H3435" s="299"/>
      <c r="I3435" s="299"/>
      <c r="J3435" s="299"/>
      <c r="K3435" s="299"/>
      <c r="L3435" s="299"/>
    </row>
    <row r="3436" spans="1:12">
      <c r="A3436" s="299"/>
      <c r="B3436" s="322"/>
      <c r="G3436" s="299"/>
      <c r="H3436" s="299"/>
      <c r="I3436" s="299"/>
      <c r="J3436" s="299"/>
      <c r="K3436" s="299"/>
      <c r="L3436" s="299"/>
    </row>
    <row r="3437" spans="1:12">
      <c r="A3437" s="299"/>
      <c r="B3437" s="322"/>
      <c r="G3437" s="299"/>
      <c r="H3437" s="299"/>
      <c r="I3437" s="299"/>
      <c r="J3437" s="299"/>
      <c r="K3437" s="299"/>
      <c r="L3437" s="299"/>
    </row>
    <row r="3438" spans="1:12">
      <c r="A3438" s="299"/>
      <c r="B3438" s="322"/>
      <c r="G3438" s="299"/>
      <c r="H3438" s="299"/>
      <c r="I3438" s="299"/>
      <c r="J3438" s="299"/>
      <c r="K3438" s="299"/>
      <c r="L3438" s="299"/>
    </row>
    <row r="3439" spans="1:12">
      <c r="A3439" s="299"/>
      <c r="B3439" s="322"/>
      <c r="G3439" s="299"/>
      <c r="H3439" s="299"/>
      <c r="I3439" s="299"/>
      <c r="J3439" s="299"/>
      <c r="K3439" s="299"/>
      <c r="L3439" s="299"/>
    </row>
    <row r="3440" spans="1:12">
      <c r="A3440" s="299"/>
      <c r="B3440" s="322"/>
      <c r="G3440" s="299"/>
      <c r="H3440" s="299"/>
      <c r="I3440" s="299"/>
      <c r="J3440" s="299"/>
      <c r="K3440" s="299"/>
      <c r="L3440" s="299"/>
    </row>
    <row r="3441" spans="1:12">
      <c r="A3441" s="299"/>
      <c r="B3441" s="322"/>
      <c r="G3441" s="299"/>
      <c r="H3441" s="299"/>
      <c r="I3441" s="299"/>
      <c r="J3441" s="299"/>
      <c r="K3441" s="299"/>
      <c r="L3441" s="299"/>
    </row>
    <row r="3442" spans="1:12">
      <c r="A3442" s="299"/>
      <c r="B3442" s="322"/>
      <c r="G3442" s="299"/>
      <c r="H3442" s="299"/>
      <c r="I3442" s="299"/>
      <c r="J3442" s="299"/>
      <c r="K3442" s="299"/>
      <c r="L3442" s="299"/>
    </row>
    <row r="3443" spans="1:12">
      <c r="A3443" s="299"/>
      <c r="B3443" s="322"/>
      <c r="G3443" s="299"/>
      <c r="H3443" s="299"/>
      <c r="I3443" s="299"/>
      <c r="J3443" s="299"/>
      <c r="K3443" s="299"/>
      <c r="L3443" s="299"/>
    </row>
    <row r="3444" spans="1:12">
      <c r="A3444" s="299"/>
      <c r="B3444" s="322"/>
      <c r="G3444" s="299"/>
      <c r="H3444" s="299"/>
      <c r="I3444" s="299"/>
      <c r="J3444" s="299"/>
      <c r="K3444" s="299"/>
      <c r="L3444" s="299"/>
    </row>
    <row r="3445" spans="1:12">
      <c r="A3445" s="299"/>
      <c r="B3445" s="322"/>
      <c r="G3445" s="299"/>
      <c r="H3445" s="299"/>
      <c r="I3445" s="299"/>
      <c r="J3445" s="299"/>
      <c r="K3445" s="299"/>
      <c r="L3445" s="299"/>
    </row>
    <row r="3446" spans="1:12">
      <c r="A3446" s="299"/>
      <c r="B3446" s="322"/>
      <c r="G3446" s="299"/>
      <c r="H3446" s="299"/>
      <c r="I3446" s="299"/>
      <c r="J3446" s="299"/>
      <c r="K3446" s="299"/>
      <c r="L3446" s="299"/>
    </row>
    <row r="3447" spans="1:12">
      <c r="A3447" s="299"/>
      <c r="B3447" s="322"/>
      <c r="G3447" s="299"/>
      <c r="H3447" s="299"/>
      <c r="I3447" s="299"/>
      <c r="J3447" s="299"/>
      <c r="K3447" s="299"/>
      <c r="L3447" s="299"/>
    </row>
    <row r="3448" spans="1:12">
      <c r="A3448" s="299"/>
      <c r="B3448" s="322"/>
      <c r="G3448" s="299"/>
      <c r="H3448" s="299"/>
      <c r="I3448" s="299"/>
      <c r="J3448" s="299"/>
      <c r="K3448" s="299"/>
      <c r="L3448" s="299"/>
    </row>
    <row r="3449" spans="1:12">
      <c r="A3449" s="299"/>
      <c r="B3449" s="322"/>
      <c r="G3449" s="299"/>
      <c r="H3449" s="299"/>
      <c r="I3449" s="299"/>
      <c r="J3449" s="299"/>
      <c r="K3449" s="299"/>
      <c r="L3449" s="299"/>
    </row>
    <row r="3450" spans="1:12">
      <c r="A3450" s="299"/>
      <c r="B3450" s="322"/>
      <c r="G3450" s="299"/>
      <c r="H3450" s="299"/>
      <c r="I3450" s="299"/>
      <c r="J3450" s="299"/>
      <c r="K3450" s="299"/>
      <c r="L3450" s="299"/>
    </row>
    <row r="3451" spans="1:12">
      <c r="A3451" s="299"/>
      <c r="B3451" s="322"/>
      <c r="G3451" s="299"/>
      <c r="H3451" s="299"/>
      <c r="I3451" s="299"/>
      <c r="J3451" s="299"/>
      <c r="K3451" s="299"/>
      <c r="L3451" s="299"/>
    </row>
    <row r="3452" spans="1:12">
      <c r="A3452" s="299"/>
      <c r="B3452" s="322"/>
      <c r="G3452" s="299"/>
      <c r="H3452" s="299"/>
      <c r="I3452" s="299"/>
      <c r="J3452" s="299"/>
      <c r="K3452" s="299"/>
      <c r="L3452" s="299"/>
    </row>
    <row r="3453" spans="1:12">
      <c r="A3453" s="299"/>
      <c r="B3453" s="322"/>
      <c r="G3453" s="299"/>
      <c r="H3453" s="299"/>
      <c r="I3453" s="299"/>
      <c r="J3453" s="299"/>
      <c r="K3453" s="299"/>
      <c r="L3453" s="299"/>
    </row>
    <row r="3454" spans="1:12">
      <c r="A3454" s="299"/>
      <c r="B3454" s="322"/>
      <c r="G3454" s="299"/>
      <c r="H3454" s="299"/>
      <c r="I3454" s="299"/>
      <c r="J3454" s="299"/>
      <c r="K3454" s="299"/>
      <c r="L3454" s="299"/>
    </row>
    <row r="3455" spans="1:12">
      <c r="A3455" s="299"/>
      <c r="B3455" s="322"/>
      <c r="G3455" s="299"/>
      <c r="H3455" s="299"/>
      <c r="I3455" s="299"/>
      <c r="J3455" s="299"/>
      <c r="K3455" s="299"/>
      <c r="L3455" s="299"/>
    </row>
    <row r="3456" spans="1:12">
      <c r="A3456" s="299"/>
      <c r="B3456" s="322"/>
      <c r="G3456" s="299"/>
      <c r="H3456" s="299"/>
      <c r="I3456" s="299"/>
      <c r="J3456" s="299"/>
      <c r="K3456" s="299"/>
      <c r="L3456" s="299"/>
    </row>
    <row r="3457" spans="1:12">
      <c r="A3457" s="299"/>
      <c r="B3457" s="322"/>
      <c r="G3457" s="299"/>
      <c r="H3457" s="299"/>
      <c r="I3457" s="299"/>
      <c r="J3457" s="299"/>
      <c r="K3457" s="299"/>
      <c r="L3457" s="299"/>
    </row>
    <row r="3458" spans="1:12">
      <c r="A3458" s="299"/>
      <c r="B3458" s="322"/>
      <c r="G3458" s="299"/>
      <c r="H3458" s="299"/>
      <c r="I3458" s="299"/>
      <c r="J3458" s="299"/>
      <c r="K3458" s="299"/>
      <c r="L3458" s="299"/>
    </row>
    <row r="3459" spans="1:12">
      <c r="A3459" s="299"/>
      <c r="B3459" s="322"/>
      <c r="G3459" s="299"/>
      <c r="H3459" s="299"/>
      <c r="I3459" s="299"/>
      <c r="J3459" s="299"/>
      <c r="K3459" s="299"/>
      <c r="L3459" s="299"/>
    </row>
    <row r="3460" spans="1:12">
      <c r="A3460" s="299"/>
      <c r="B3460" s="322"/>
      <c r="G3460" s="299"/>
      <c r="H3460" s="299"/>
      <c r="I3460" s="299"/>
      <c r="J3460" s="299"/>
      <c r="K3460" s="299"/>
      <c r="L3460" s="299"/>
    </row>
    <row r="3461" spans="1:12">
      <c r="A3461" s="299"/>
      <c r="B3461" s="322"/>
      <c r="G3461" s="299"/>
      <c r="H3461" s="299"/>
      <c r="I3461" s="299"/>
      <c r="J3461" s="299"/>
      <c r="K3461" s="299"/>
      <c r="L3461" s="299"/>
    </row>
    <row r="3462" spans="1:12">
      <c r="A3462" s="299"/>
      <c r="B3462" s="322"/>
      <c r="G3462" s="299"/>
      <c r="H3462" s="299"/>
      <c r="I3462" s="299"/>
      <c r="J3462" s="299"/>
      <c r="K3462" s="299"/>
      <c r="L3462" s="299"/>
    </row>
    <row r="3463" spans="1:12">
      <c r="A3463" s="299"/>
      <c r="B3463" s="322"/>
      <c r="G3463" s="299"/>
      <c r="H3463" s="299"/>
      <c r="I3463" s="299"/>
      <c r="J3463" s="299"/>
      <c r="K3463" s="299"/>
      <c r="L3463" s="299"/>
    </row>
    <row r="3464" spans="1:12">
      <c r="A3464" s="299"/>
      <c r="B3464" s="322"/>
      <c r="G3464" s="299"/>
      <c r="H3464" s="299"/>
      <c r="I3464" s="299"/>
      <c r="J3464" s="299"/>
      <c r="K3464" s="299"/>
      <c r="L3464" s="299"/>
    </row>
    <row r="3465" spans="1:12">
      <c r="A3465" s="299"/>
      <c r="B3465" s="322"/>
      <c r="G3465" s="299"/>
      <c r="H3465" s="299"/>
      <c r="I3465" s="299"/>
      <c r="J3465" s="299"/>
      <c r="K3465" s="299"/>
      <c r="L3465" s="299"/>
    </row>
    <row r="3466" spans="1:12">
      <c r="A3466" s="299"/>
      <c r="B3466" s="322"/>
      <c r="G3466" s="299"/>
      <c r="H3466" s="299"/>
      <c r="I3466" s="299"/>
      <c r="J3466" s="299"/>
      <c r="K3466" s="299"/>
      <c r="L3466" s="299"/>
    </row>
    <row r="3467" spans="1:12">
      <c r="A3467" s="299"/>
      <c r="B3467" s="322"/>
      <c r="G3467" s="299"/>
      <c r="H3467" s="299"/>
      <c r="I3467" s="299"/>
      <c r="J3467" s="299"/>
      <c r="K3467" s="299"/>
      <c r="L3467" s="299"/>
    </row>
    <row r="3468" spans="1:12">
      <c r="A3468" s="299"/>
      <c r="B3468" s="322"/>
      <c r="G3468" s="299"/>
      <c r="H3468" s="299"/>
      <c r="I3468" s="299"/>
      <c r="J3468" s="299"/>
      <c r="K3468" s="299"/>
      <c r="L3468" s="299"/>
    </row>
    <row r="3469" spans="1:12">
      <c r="A3469" s="299"/>
      <c r="B3469" s="322"/>
      <c r="G3469" s="299"/>
      <c r="H3469" s="299"/>
      <c r="I3469" s="299"/>
      <c r="J3469" s="299"/>
      <c r="K3469" s="299"/>
      <c r="L3469" s="299"/>
    </row>
    <row r="3470" spans="1:12">
      <c r="A3470" s="299"/>
      <c r="B3470" s="322"/>
      <c r="G3470" s="299"/>
      <c r="H3470" s="299"/>
      <c r="I3470" s="299"/>
      <c r="J3470" s="299"/>
      <c r="K3470" s="299"/>
      <c r="L3470" s="299"/>
    </row>
    <row r="3471" spans="1:12">
      <c r="A3471" s="299"/>
      <c r="B3471" s="322"/>
      <c r="G3471" s="299"/>
      <c r="H3471" s="299"/>
      <c r="I3471" s="299"/>
      <c r="J3471" s="299"/>
      <c r="K3471" s="299"/>
      <c r="L3471" s="299"/>
    </row>
    <row r="3472" spans="1:12">
      <c r="A3472" s="299"/>
      <c r="B3472" s="322"/>
      <c r="G3472" s="299"/>
      <c r="H3472" s="299"/>
      <c r="I3472" s="299"/>
      <c r="J3472" s="299"/>
      <c r="K3472" s="299"/>
      <c r="L3472" s="299"/>
    </row>
    <row r="3473" spans="1:12">
      <c r="A3473" s="299"/>
      <c r="B3473" s="322"/>
      <c r="G3473" s="299"/>
      <c r="H3473" s="299"/>
      <c r="I3473" s="299"/>
      <c r="J3473" s="299"/>
      <c r="K3473" s="299"/>
      <c r="L3473" s="299"/>
    </row>
    <row r="3474" spans="1:12">
      <c r="A3474" s="299"/>
      <c r="B3474" s="322"/>
      <c r="G3474" s="299"/>
      <c r="H3474" s="299"/>
      <c r="I3474" s="299"/>
      <c r="J3474" s="299"/>
      <c r="K3474" s="299"/>
      <c r="L3474" s="299"/>
    </row>
    <row r="3475" spans="1:12">
      <c r="A3475" s="299"/>
      <c r="B3475" s="322"/>
      <c r="G3475" s="299"/>
      <c r="H3475" s="299"/>
      <c r="I3475" s="299"/>
      <c r="J3475" s="299"/>
      <c r="K3475" s="299"/>
      <c r="L3475" s="299"/>
    </row>
    <row r="3476" spans="1:12">
      <c r="A3476" s="299"/>
      <c r="B3476" s="322"/>
      <c r="G3476" s="299"/>
      <c r="H3476" s="299"/>
      <c r="I3476" s="299"/>
      <c r="J3476" s="299"/>
      <c r="K3476" s="299"/>
      <c r="L3476" s="299"/>
    </row>
    <row r="3477" spans="1:12">
      <c r="A3477" s="299"/>
      <c r="B3477" s="322"/>
      <c r="G3477" s="299"/>
      <c r="H3477" s="299"/>
      <c r="I3477" s="299"/>
      <c r="J3477" s="299"/>
      <c r="K3477" s="299"/>
      <c r="L3477" s="299"/>
    </row>
    <row r="3478" spans="1:12">
      <c r="A3478" s="299"/>
      <c r="B3478" s="322"/>
      <c r="G3478" s="299"/>
      <c r="H3478" s="299"/>
      <c r="I3478" s="299"/>
      <c r="J3478" s="299"/>
      <c r="K3478" s="299"/>
      <c r="L3478" s="299"/>
    </row>
    <row r="3479" spans="1:12">
      <c r="A3479" s="299"/>
      <c r="B3479" s="322"/>
      <c r="G3479" s="299"/>
      <c r="H3479" s="299"/>
      <c r="I3479" s="299"/>
      <c r="J3479" s="299"/>
      <c r="K3479" s="299"/>
      <c r="L3479" s="299"/>
    </row>
    <row r="3480" spans="1:12">
      <c r="A3480" s="299"/>
      <c r="B3480" s="322"/>
      <c r="G3480" s="299"/>
      <c r="H3480" s="299"/>
      <c r="I3480" s="299"/>
      <c r="J3480" s="299"/>
      <c r="K3480" s="299"/>
      <c r="L3480" s="299"/>
    </row>
    <row r="3481" spans="1:12">
      <c r="A3481" s="299"/>
      <c r="B3481" s="322"/>
      <c r="G3481" s="299"/>
      <c r="H3481" s="299"/>
      <c r="I3481" s="299"/>
      <c r="J3481" s="299"/>
      <c r="K3481" s="299"/>
      <c r="L3481" s="299"/>
    </row>
    <row r="3482" spans="1:12">
      <c r="A3482" s="299"/>
      <c r="B3482" s="322"/>
      <c r="G3482" s="299"/>
      <c r="H3482" s="299"/>
      <c r="I3482" s="299"/>
      <c r="J3482" s="299"/>
      <c r="K3482" s="299"/>
      <c r="L3482" s="299"/>
    </row>
    <row r="3483" spans="1:12">
      <c r="A3483" s="299"/>
      <c r="B3483" s="322"/>
      <c r="G3483" s="299"/>
      <c r="H3483" s="299"/>
      <c r="I3483" s="299"/>
      <c r="J3483" s="299"/>
      <c r="K3483" s="299"/>
      <c r="L3483" s="299"/>
    </row>
    <row r="3484" spans="1:12">
      <c r="A3484" s="299"/>
      <c r="B3484" s="322"/>
      <c r="G3484" s="299"/>
      <c r="H3484" s="299"/>
      <c r="I3484" s="299"/>
      <c r="J3484" s="299"/>
      <c r="K3484" s="299"/>
      <c r="L3484" s="299"/>
    </row>
    <row r="3485" spans="1:12">
      <c r="A3485" s="299"/>
      <c r="B3485" s="322"/>
      <c r="G3485" s="299"/>
      <c r="H3485" s="299"/>
      <c r="I3485" s="299"/>
      <c r="J3485" s="299"/>
      <c r="K3485" s="299"/>
      <c r="L3485" s="299"/>
    </row>
    <row r="3486" spans="1:12">
      <c r="A3486" s="299"/>
      <c r="B3486" s="322"/>
      <c r="G3486" s="299"/>
      <c r="H3486" s="299"/>
      <c r="I3486" s="299"/>
      <c r="J3486" s="299"/>
      <c r="K3486" s="299"/>
      <c r="L3486" s="299"/>
    </row>
    <row r="3487" spans="1:12">
      <c r="A3487" s="299"/>
      <c r="B3487" s="322"/>
      <c r="G3487" s="299"/>
      <c r="H3487" s="299"/>
      <c r="I3487" s="299"/>
      <c r="J3487" s="299"/>
      <c r="K3487" s="299"/>
      <c r="L3487" s="299"/>
    </row>
    <row r="3488" spans="1:12">
      <c r="A3488" s="299"/>
      <c r="B3488" s="322"/>
      <c r="G3488" s="299"/>
      <c r="H3488" s="299"/>
      <c r="I3488" s="299"/>
      <c r="J3488" s="299"/>
      <c r="K3488" s="299"/>
      <c r="L3488" s="299"/>
    </row>
    <row r="3489" spans="1:12">
      <c r="A3489" s="299"/>
      <c r="B3489" s="322"/>
      <c r="G3489" s="299"/>
      <c r="H3489" s="299"/>
      <c r="I3489" s="299"/>
      <c r="J3489" s="299"/>
      <c r="K3489" s="299"/>
      <c r="L3489" s="299"/>
    </row>
    <row r="3490" spans="1:12">
      <c r="A3490" s="299"/>
      <c r="B3490" s="322"/>
      <c r="G3490" s="299"/>
      <c r="H3490" s="299"/>
      <c r="I3490" s="299"/>
      <c r="J3490" s="299"/>
      <c r="K3490" s="299"/>
      <c r="L3490" s="299"/>
    </row>
    <row r="3491" spans="1:12">
      <c r="A3491" s="299"/>
      <c r="B3491" s="322"/>
      <c r="G3491" s="299"/>
      <c r="H3491" s="299"/>
      <c r="I3491" s="299"/>
      <c r="J3491" s="299"/>
      <c r="K3491" s="299"/>
      <c r="L3491" s="299"/>
    </row>
    <row r="3492" spans="1:12">
      <c r="A3492" s="299"/>
      <c r="B3492" s="322"/>
      <c r="G3492" s="299"/>
      <c r="H3492" s="299"/>
      <c r="I3492" s="299"/>
      <c r="J3492" s="299"/>
      <c r="K3492" s="299"/>
      <c r="L3492" s="299"/>
    </row>
    <row r="3493" spans="1:12">
      <c r="A3493" s="299"/>
      <c r="B3493" s="322"/>
      <c r="G3493" s="299"/>
      <c r="H3493" s="299"/>
      <c r="I3493" s="299"/>
      <c r="J3493" s="299"/>
      <c r="K3493" s="299"/>
      <c r="L3493" s="299"/>
    </row>
    <row r="3494" spans="1:12">
      <c r="A3494" s="299"/>
      <c r="B3494" s="322"/>
      <c r="G3494" s="299"/>
      <c r="H3494" s="299"/>
      <c r="I3494" s="299"/>
      <c r="J3494" s="299"/>
      <c r="K3494" s="299"/>
      <c r="L3494" s="299"/>
    </row>
    <row r="3495" spans="1:12">
      <c r="A3495" s="299"/>
      <c r="B3495" s="322"/>
      <c r="G3495" s="299"/>
      <c r="H3495" s="299"/>
      <c r="I3495" s="299"/>
      <c r="J3495" s="299"/>
      <c r="K3495" s="299"/>
      <c r="L3495" s="299"/>
    </row>
    <row r="3496" spans="1:12">
      <c r="A3496" s="299"/>
      <c r="B3496" s="322"/>
      <c r="G3496" s="299"/>
      <c r="H3496" s="299"/>
      <c r="I3496" s="299"/>
      <c r="J3496" s="299"/>
      <c r="K3496" s="299"/>
      <c r="L3496" s="299"/>
    </row>
    <row r="3497" spans="1:12">
      <c r="A3497" s="299"/>
      <c r="B3497" s="322"/>
      <c r="G3497" s="299"/>
      <c r="H3497" s="299"/>
      <c r="I3497" s="299"/>
      <c r="J3497" s="299"/>
      <c r="K3497" s="299"/>
      <c r="L3497" s="299"/>
    </row>
    <row r="3498" spans="1:12">
      <c r="A3498" s="299"/>
      <c r="B3498" s="322"/>
      <c r="G3498" s="299"/>
      <c r="H3498" s="299"/>
      <c r="I3498" s="299"/>
      <c r="J3498" s="299"/>
      <c r="K3498" s="299"/>
      <c r="L3498" s="299"/>
    </row>
    <row r="3499" spans="1:12">
      <c r="A3499" s="299"/>
      <c r="B3499" s="322"/>
      <c r="G3499" s="299"/>
      <c r="H3499" s="299"/>
      <c r="I3499" s="299"/>
      <c r="J3499" s="299"/>
      <c r="K3499" s="299"/>
      <c r="L3499" s="299"/>
    </row>
    <row r="3500" spans="1:12">
      <c r="A3500" s="299"/>
      <c r="B3500" s="322"/>
      <c r="G3500" s="299"/>
      <c r="H3500" s="299"/>
      <c r="I3500" s="299"/>
      <c r="J3500" s="299"/>
      <c r="K3500" s="299"/>
      <c r="L3500" s="299"/>
    </row>
    <row r="3501" spans="1:12">
      <c r="A3501" s="299"/>
      <c r="B3501" s="322"/>
      <c r="G3501" s="299"/>
      <c r="H3501" s="299"/>
      <c r="I3501" s="299"/>
      <c r="J3501" s="299"/>
      <c r="K3501" s="299"/>
      <c r="L3501" s="299"/>
    </row>
    <row r="3502" spans="1:12">
      <c r="A3502" s="299"/>
      <c r="B3502" s="322"/>
      <c r="G3502" s="299"/>
      <c r="H3502" s="299"/>
      <c r="I3502" s="299"/>
      <c r="J3502" s="299"/>
      <c r="K3502" s="299"/>
      <c r="L3502" s="299"/>
    </row>
    <row r="3503" spans="1:12">
      <c r="A3503" s="299"/>
      <c r="B3503" s="322"/>
      <c r="G3503" s="299"/>
      <c r="H3503" s="299"/>
      <c r="I3503" s="299"/>
      <c r="J3503" s="299"/>
      <c r="K3503" s="299"/>
      <c r="L3503" s="299"/>
    </row>
    <row r="3504" spans="1:12">
      <c r="A3504" s="299"/>
      <c r="B3504" s="322"/>
      <c r="G3504" s="299"/>
      <c r="H3504" s="299"/>
      <c r="I3504" s="299"/>
      <c r="J3504" s="299"/>
      <c r="K3504" s="299"/>
      <c r="L3504" s="299"/>
    </row>
    <row r="3505" spans="1:12">
      <c r="A3505" s="299"/>
      <c r="B3505" s="322"/>
      <c r="G3505" s="299"/>
      <c r="H3505" s="299"/>
      <c r="I3505" s="299"/>
      <c r="J3505" s="299"/>
      <c r="K3505" s="299"/>
      <c r="L3505" s="299"/>
    </row>
    <row r="3506" spans="1:12">
      <c r="A3506" s="299"/>
      <c r="B3506" s="322"/>
      <c r="G3506" s="299"/>
      <c r="H3506" s="299"/>
      <c r="I3506" s="299"/>
      <c r="J3506" s="299"/>
      <c r="K3506" s="299"/>
      <c r="L3506" s="299"/>
    </row>
    <row r="3507" spans="1:12">
      <c r="A3507" s="299"/>
      <c r="B3507" s="322"/>
      <c r="G3507" s="299"/>
      <c r="H3507" s="299"/>
      <c r="I3507" s="299"/>
      <c r="J3507" s="299"/>
      <c r="K3507" s="299"/>
      <c r="L3507" s="299"/>
    </row>
    <row r="3508" spans="1:12">
      <c r="A3508" s="299"/>
      <c r="B3508" s="322"/>
      <c r="G3508" s="299"/>
      <c r="H3508" s="299"/>
      <c r="I3508" s="299"/>
      <c r="J3508" s="299"/>
      <c r="K3508" s="299"/>
      <c r="L3508" s="299"/>
    </row>
    <row r="3509" spans="1:12">
      <c r="A3509" s="299"/>
      <c r="B3509" s="322"/>
      <c r="G3509" s="299"/>
      <c r="H3509" s="299"/>
      <c r="I3509" s="299"/>
      <c r="J3509" s="299"/>
      <c r="K3509" s="299"/>
      <c r="L3509" s="299"/>
    </row>
    <row r="3510" spans="1:12">
      <c r="A3510" s="299"/>
      <c r="B3510" s="322"/>
      <c r="G3510" s="299"/>
      <c r="H3510" s="299"/>
      <c r="I3510" s="299"/>
      <c r="J3510" s="299"/>
      <c r="K3510" s="299"/>
      <c r="L3510" s="299"/>
    </row>
    <row r="3511" spans="1:12">
      <c r="A3511" s="299"/>
      <c r="B3511" s="322"/>
      <c r="G3511" s="299"/>
      <c r="H3511" s="299"/>
      <c r="I3511" s="299"/>
      <c r="J3511" s="299"/>
      <c r="K3511" s="299"/>
      <c r="L3511" s="299"/>
    </row>
    <row r="3512" spans="1:12">
      <c r="A3512" s="299"/>
      <c r="B3512" s="322"/>
      <c r="G3512" s="299"/>
      <c r="H3512" s="299"/>
      <c r="I3512" s="299"/>
      <c r="J3512" s="299"/>
      <c r="K3512" s="299"/>
      <c r="L3512" s="299"/>
    </row>
    <row r="3513" spans="1:12">
      <c r="A3513" s="299"/>
      <c r="B3513" s="322"/>
      <c r="G3513" s="299"/>
      <c r="H3513" s="299"/>
      <c r="I3513" s="299"/>
      <c r="J3513" s="299"/>
      <c r="K3513" s="299"/>
      <c r="L3513" s="299"/>
    </row>
    <row r="3514" spans="1:12">
      <c r="A3514" s="299"/>
      <c r="B3514" s="322"/>
      <c r="G3514" s="299"/>
      <c r="H3514" s="299"/>
      <c r="I3514" s="299"/>
      <c r="J3514" s="299"/>
      <c r="K3514" s="299"/>
      <c r="L3514" s="299"/>
    </row>
    <row r="3515" spans="1:12">
      <c r="A3515" s="299"/>
      <c r="B3515" s="322"/>
      <c r="G3515" s="299"/>
      <c r="H3515" s="299"/>
      <c r="I3515" s="299"/>
      <c r="J3515" s="299"/>
      <c r="K3515" s="299"/>
      <c r="L3515" s="299"/>
    </row>
    <row r="3516" spans="1:12">
      <c r="A3516" s="299"/>
      <c r="B3516" s="322"/>
      <c r="G3516" s="299"/>
      <c r="H3516" s="299"/>
      <c r="I3516" s="299"/>
      <c r="J3516" s="299"/>
      <c r="K3516" s="299"/>
      <c r="L3516" s="299"/>
    </row>
    <row r="3517" spans="1:12">
      <c r="A3517" s="299"/>
      <c r="B3517" s="322"/>
      <c r="G3517" s="299"/>
      <c r="H3517" s="299"/>
      <c r="I3517" s="299"/>
      <c r="J3517" s="299"/>
      <c r="K3517" s="299"/>
      <c r="L3517" s="299"/>
    </row>
    <row r="3518" spans="1:12">
      <c r="A3518" s="299"/>
      <c r="B3518" s="322"/>
      <c r="G3518" s="299"/>
      <c r="H3518" s="299"/>
      <c r="I3518" s="299"/>
      <c r="J3518" s="299"/>
      <c r="K3518" s="299"/>
      <c r="L3518" s="299"/>
    </row>
    <row r="3519" spans="1:12">
      <c r="A3519" s="299"/>
      <c r="B3519" s="322"/>
      <c r="G3519" s="299"/>
      <c r="H3519" s="299"/>
      <c r="I3519" s="299"/>
      <c r="J3519" s="299"/>
      <c r="K3519" s="299"/>
      <c r="L3519" s="299"/>
    </row>
    <row r="3520" spans="1:12">
      <c r="A3520" s="299"/>
      <c r="B3520" s="322"/>
      <c r="G3520" s="299"/>
      <c r="H3520" s="299"/>
      <c r="I3520" s="299"/>
      <c r="J3520" s="299"/>
      <c r="K3520" s="299"/>
      <c r="L3520" s="299"/>
    </row>
    <row r="3521" spans="1:12">
      <c r="A3521" s="299"/>
      <c r="B3521" s="322"/>
      <c r="G3521" s="299"/>
      <c r="H3521" s="299"/>
      <c r="I3521" s="299"/>
      <c r="J3521" s="299"/>
      <c r="K3521" s="299"/>
      <c r="L3521" s="299"/>
    </row>
    <row r="3522" spans="1:12">
      <c r="A3522" s="299"/>
      <c r="B3522" s="322"/>
      <c r="G3522" s="299"/>
      <c r="H3522" s="299"/>
      <c r="I3522" s="299"/>
      <c r="J3522" s="299"/>
      <c r="K3522" s="299"/>
      <c r="L3522" s="299"/>
    </row>
    <row r="3523" spans="1:12">
      <c r="A3523" s="299"/>
      <c r="B3523" s="322"/>
      <c r="G3523" s="299"/>
      <c r="H3523" s="299"/>
      <c r="I3523" s="299"/>
      <c r="J3523" s="299"/>
      <c r="K3523" s="299"/>
      <c r="L3523" s="299"/>
    </row>
    <row r="3524" spans="1:12">
      <c r="A3524" s="299"/>
      <c r="B3524" s="322"/>
      <c r="G3524" s="299"/>
      <c r="H3524" s="299"/>
      <c r="I3524" s="299"/>
      <c r="J3524" s="299"/>
      <c r="K3524" s="299"/>
      <c r="L3524" s="299"/>
    </row>
    <row r="3525" spans="1:12">
      <c r="A3525" s="299"/>
      <c r="B3525" s="322"/>
      <c r="G3525" s="299"/>
      <c r="H3525" s="299"/>
      <c r="I3525" s="299"/>
      <c r="J3525" s="299"/>
      <c r="K3525" s="299"/>
      <c r="L3525" s="299"/>
    </row>
    <row r="3526" spans="1:12">
      <c r="A3526" s="299"/>
      <c r="B3526" s="322"/>
      <c r="G3526" s="299"/>
      <c r="H3526" s="299"/>
      <c r="I3526" s="299"/>
      <c r="J3526" s="299"/>
      <c r="K3526" s="299"/>
      <c r="L3526" s="299"/>
    </row>
    <row r="3527" spans="1:12">
      <c r="A3527" s="299"/>
      <c r="B3527" s="322"/>
      <c r="G3527" s="299"/>
      <c r="H3527" s="299"/>
      <c r="I3527" s="299"/>
      <c r="J3527" s="299"/>
      <c r="K3527" s="299"/>
      <c r="L3527" s="299"/>
    </row>
    <row r="3528" spans="1:12">
      <c r="A3528" s="299"/>
      <c r="B3528" s="322"/>
      <c r="G3528" s="299"/>
      <c r="H3528" s="299"/>
      <c r="I3528" s="299"/>
      <c r="J3528" s="299"/>
      <c r="K3528" s="299"/>
      <c r="L3528" s="299"/>
    </row>
    <row r="3529" spans="1:12">
      <c r="A3529" s="299"/>
      <c r="B3529" s="322"/>
      <c r="G3529" s="299"/>
      <c r="H3529" s="299"/>
      <c r="I3529" s="299"/>
      <c r="J3529" s="299"/>
      <c r="K3529" s="299"/>
      <c r="L3529" s="299"/>
    </row>
    <row r="3530" spans="1:12">
      <c r="A3530" s="299"/>
      <c r="B3530" s="322"/>
      <c r="G3530" s="299"/>
      <c r="H3530" s="299"/>
      <c r="I3530" s="299"/>
      <c r="J3530" s="299"/>
      <c r="K3530" s="299"/>
      <c r="L3530" s="299"/>
    </row>
    <row r="3531" spans="1:12">
      <c r="A3531" s="299"/>
      <c r="B3531" s="322"/>
      <c r="G3531" s="299"/>
      <c r="H3531" s="299"/>
      <c r="I3531" s="299"/>
      <c r="J3531" s="299"/>
      <c r="K3531" s="299"/>
      <c r="L3531" s="299"/>
    </row>
    <row r="3532" spans="1:12">
      <c r="A3532" s="299"/>
      <c r="B3532" s="322"/>
      <c r="G3532" s="299"/>
      <c r="H3532" s="299"/>
      <c r="I3532" s="299"/>
      <c r="J3532" s="299"/>
      <c r="K3532" s="299"/>
      <c r="L3532" s="299"/>
    </row>
    <row r="3533" spans="1:12">
      <c r="A3533" s="299"/>
      <c r="B3533" s="322"/>
      <c r="G3533" s="299"/>
      <c r="H3533" s="299"/>
      <c r="I3533" s="299"/>
      <c r="J3533" s="299"/>
      <c r="K3533" s="299"/>
      <c r="L3533" s="299"/>
    </row>
    <row r="3534" spans="1:12">
      <c r="A3534" s="299"/>
      <c r="B3534" s="322"/>
      <c r="G3534" s="299"/>
      <c r="H3534" s="299"/>
      <c r="I3534" s="299"/>
      <c r="J3534" s="299"/>
      <c r="K3534" s="299"/>
      <c r="L3534" s="299"/>
    </row>
    <row r="3535" spans="1:12">
      <c r="A3535" s="299"/>
      <c r="B3535" s="322"/>
      <c r="G3535" s="299"/>
      <c r="H3535" s="299"/>
      <c r="I3535" s="299"/>
      <c r="J3535" s="299"/>
      <c r="K3535" s="299"/>
      <c r="L3535" s="299"/>
    </row>
    <row r="3536" spans="1:12">
      <c r="A3536" s="299"/>
      <c r="B3536" s="322"/>
      <c r="G3536" s="299"/>
      <c r="H3536" s="299"/>
      <c r="I3536" s="299"/>
      <c r="J3536" s="299"/>
      <c r="K3536" s="299"/>
      <c r="L3536" s="299"/>
    </row>
    <row r="3537" spans="1:12">
      <c r="A3537" s="299"/>
      <c r="B3537" s="322"/>
      <c r="G3537" s="299"/>
      <c r="H3537" s="299"/>
      <c r="I3537" s="299"/>
      <c r="J3537" s="299"/>
      <c r="K3537" s="299"/>
      <c r="L3537" s="299"/>
    </row>
    <row r="3538" spans="1:12">
      <c r="A3538" s="299"/>
      <c r="B3538" s="322"/>
      <c r="G3538" s="299"/>
      <c r="H3538" s="299"/>
      <c r="I3538" s="299"/>
      <c r="J3538" s="299"/>
      <c r="K3538" s="299"/>
      <c r="L3538" s="299"/>
    </row>
    <row r="3539" spans="1:12">
      <c r="A3539" s="299"/>
      <c r="B3539" s="322"/>
      <c r="G3539" s="299"/>
      <c r="H3539" s="299"/>
      <c r="I3539" s="299"/>
      <c r="J3539" s="299"/>
      <c r="K3539" s="299"/>
      <c r="L3539" s="299"/>
    </row>
    <row r="3540" spans="1:12">
      <c r="A3540" s="299"/>
      <c r="B3540" s="322"/>
      <c r="G3540" s="299"/>
      <c r="H3540" s="299"/>
      <c r="I3540" s="299"/>
      <c r="J3540" s="299"/>
      <c r="K3540" s="299"/>
      <c r="L3540" s="299"/>
    </row>
    <row r="3541" spans="1:12">
      <c r="A3541" s="299"/>
      <c r="B3541" s="322"/>
      <c r="G3541" s="299"/>
      <c r="H3541" s="299"/>
      <c r="I3541" s="299"/>
      <c r="J3541" s="299"/>
      <c r="K3541" s="299"/>
      <c r="L3541" s="299"/>
    </row>
    <row r="3542" spans="1:12">
      <c r="A3542" s="299"/>
      <c r="B3542" s="322"/>
      <c r="G3542" s="299"/>
      <c r="H3542" s="299"/>
      <c r="I3542" s="299"/>
      <c r="J3542" s="299"/>
      <c r="K3542" s="299"/>
      <c r="L3542" s="299"/>
    </row>
    <row r="3543" spans="1:12">
      <c r="A3543" s="299"/>
      <c r="B3543" s="322"/>
      <c r="G3543" s="299"/>
      <c r="H3543" s="299"/>
      <c r="I3543" s="299"/>
      <c r="J3543" s="299"/>
      <c r="K3543" s="299"/>
      <c r="L3543" s="299"/>
    </row>
    <row r="3544" spans="1:12">
      <c r="A3544" s="299"/>
      <c r="B3544" s="322"/>
      <c r="G3544" s="299"/>
      <c r="H3544" s="299"/>
      <c r="I3544" s="299"/>
      <c r="J3544" s="299"/>
      <c r="K3544" s="299"/>
      <c r="L3544" s="299"/>
    </row>
    <row r="3545" spans="1:12">
      <c r="A3545" s="299"/>
      <c r="B3545" s="322"/>
      <c r="G3545" s="299"/>
      <c r="H3545" s="299"/>
      <c r="I3545" s="299"/>
      <c r="J3545" s="299"/>
      <c r="K3545" s="299"/>
      <c r="L3545" s="299"/>
    </row>
    <row r="3546" spans="1:12">
      <c r="A3546" s="299"/>
      <c r="B3546" s="322"/>
      <c r="G3546" s="299"/>
      <c r="H3546" s="299"/>
      <c r="I3546" s="299"/>
      <c r="J3546" s="299"/>
      <c r="K3546" s="299"/>
      <c r="L3546" s="299"/>
    </row>
    <row r="3547" spans="1:12">
      <c r="A3547" s="299"/>
      <c r="B3547" s="322"/>
      <c r="G3547" s="299"/>
      <c r="H3547" s="299"/>
      <c r="I3547" s="299"/>
      <c r="J3547" s="299"/>
      <c r="K3547" s="299"/>
      <c r="L3547" s="299"/>
    </row>
    <row r="3548" spans="1:12">
      <c r="A3548" s="299"/>
      <c r="B3548" s="322"/>
      <c r="G3548" s="299"/>
      <c r="H3548" s="299"/>
      <c r="I3548" s="299"/>
      <c r="J3548" s="299"/>
      <c r="K3548" s="299"/>
      <c r="L3548" s="299"/>
    </row>
    <row r="3549" spans="1:12">
      <c r="A3549" s="299"/>
      <c r="B3549" s="322"/>
      <c r="G3549" s="299"/>
      <c r="H3549" s="299"/>
      <c r="I3549" s="299"/>
      <c r="J3549" s="299"/>
      <c r="K3549" s="299"/>
      <c r="L3549" s="299"/>
    </row>
    <row r="3550" spans="1:12">
      <c r="A3550" s="299"/>
      <c r="B3550" s="322"/>
      <c r="G3550" s="299"/>
      <c r="H3550" s="299"/>
      <c r="I3550" s="299"/>
      <c r="J3550" s="299"/>
      <c r="K3550" s="299"/>
      <c r="L3550" s="299"/>
    </row>
    <row r="3551" spans="1:12">
      <c r="A3551" s="299"/>
      <c r="B3551" s="322"/>
      <c r="G3551" s="299"/>
      <c r="H3551" s="299"/>
      <c r="I3551" s="299"/>
      <c r="J3551" s="299"/>
      <c r="K3551" s="299"/>
      <c r="L3551" s="299"/>
    </row>
    <row r="3552" spans="1:12">
      <c r="A3552" s="299"/>
      <c r="B3552" s="322"/>
      <c r="G3552" s="299"/>
      <c r="H3552" s="299"/>
      <c r="I3552" s="299"/>
      <c r="J3552" s="299"/>
      <c r="K3552" s="299"/>
      <c r="L3552" s="299"/>
    </row>
    <row r="3553" spans="1:12">
      <c r="A3553" s="299"/>
      <c r="B3553" s="322"/>
      <c r="G3553" s="299"/>
      <c r="H3553" s="299"/>
      <c r="I3553" s="299"/>
      <c r="J3553" s="299"/>
      <c r="K3553" s="299"/>
      <c r="L3553" s="299"/>
    </row>
    <row r="3554" spans="1:12">
      <c r="A3554" s="299"/>
      <c r="B3554" s="322"/>
      <c r="G3554" s="299"/>
      <c r="H3554" s="299"/>
      <c r="I3554" s="299"/>
      <c r="J3554" s="299"/>
      <c r="K3554" s="299"/>
      <c r="L3554" s="299"/>
    </row>
    <row r="3555" spans="1:12">
      <c r="A3555" s="299"/>
      <c r="B3555" s="322"/>
      <c r="G3555" s="299"/>
      <c r="H3555" s="299"/>
      <c r="I3555" s="299"/>
      <c r="J3555" s="299"/>
      <c r="K3555" s="299"/>
      <c r="L3555" s="299"/>
    </row>
    <row r="3556" spans="1:12">
      <c r="A3556" s="299"/>
      <c r="B3556" s="322"/>
      <c r="G3556" s="299"/>
      <c r="H3556" s="299"/>
      <c r="I3556" s="299"/>
      <c r="J3556" s="299"/>
      <c r="K3556" s="299"/>
      <c r="L3556" s="299"/>
    </row>
    <row r="3557" spans="1:12">
      <c r="A3557" s="299"/>
      <c r="B3557" s="322"/>
      <c r="G3557" s="299"/>
      <c r="H3557" s="299"/>
      <c r="I3557" s="299"/>
      <c r="J3557" s="299"/>
      <c r="K3557" s="299"/>
      <c r="L3557" s="299"/>
    </row>
    <row r="3558" spans="1:12">
      <c r="A3558" s="299"/>
      <c r="B3558" s="322"/>
      <c r="G3558" s="299"/>
      <c r="H3558" s="299"/>
      <c r="I3558" s="299"/>
      <c r="J3558" s="299"/>
      <c r="K3558" s="299"/>
      <c r="L3558" s="299"/>
    </row>
    <row r="3559" spans="1:12">
      <c r="A3559" s="299"/>
      <c r="B3559" s="322"/>
      <c r="G3559" s="299"/>
      <c r="H3559" s="299"/>
      <c r="I3559" s="299"/>
      <c r="J3559" s="299"/>
      <c r="K3559" s="299"/>
      <c r="L3559" s="299"/>
    </row>
    <row r="3560" spans="1:12">
      <c r="A3560" s="299"/>
      <c r="B3560" s="322"/>
      <c r="G3560" s="299"/>
      <c r="H3560" s="299"/>
      <c r="I3560" s="299"/>
      <c r="J3560" s="299"/>
      <c r="K3560" s="299"/>
      <c r="L3560" s="299"/>
    </row>
    <row r="3561" spans="1:12">
      <c r="A3561" s="299"/>
      <c r="B3561" s="322"/>
      <c r="G3561" s="299"/>
      <c r="H3561" s="299"/>
      <c r="I3561" s="299"/>
      <c r="J3561" s="299"/>
      <c r="K3561" s="299"/>
      <c r="L3561" s="299"/>
    </row>
    <row r="3562" spans="1:12">
      <c r="A3562" s="299"/>
      <c r="B3562" s="322"/>
      <c r="G3562" s="299"/>
      <c r="H3562" s="299"/>
      <c r="I3562" s="299"/>
      <c r="J3562" s="299"/>
      <c r="K3562" s="299"/>
      <c r="L3562" s="299"/>
    </row>
    <row r="3563" spans="1:12">
      <c r="A3563" s="299"/>
      <c r="B3563" s="322"/>
      <c r="G3563" s="299"/>
      <c r="H3563" s="299"/>
      <c r="I3563" s="299"/>
      <c r="J3563" s="299"/>
      <c r="K3563" s="299"/>
      <c r="L3563" s="299"/>
    </row>
    <row r="3564" spans="1:12">
      <c r="A3564" s="299"/>
      <c r="B3564" s="322"/>
      <c r="G3564" s="299"/>
      <c r="H3564" s="299"/>
      <c r="I3564" s="299"/>
      <c r="J3564" s="299"/>
      <c r="K3564" s="299"/>
      <c r="L3564" s="299"/>
    </row>
    <row r="3565" spans="1:12">
      <c r="A3565" s="299"/>
      <c r="B3565" s="322"/>
      <c r="G3565" s="299"/>
      <c r="H3565" s="299"/>
      <c r="I3565" s="299"/>
      <c r="J3565" s="299"/>
      <c r="K3565" s="299"/>
      <c r="L3565" s="299"/>
    </row>
    <row r="3566" spans="1:12">
      <c r="A3566" s="299"/>
      <c r="B3566" s="322"/>
      <c r="G3566" s="299"/>
      <c r="H3566" s="299"/>
      <c r="I3566" s="299"/>
      <c r="J3566" s="299"/>
      <c r="K3566" s="299"/>
      <c r="L3566" s="299"/>
    </row>
    <row r="3567" spans="1:12">
      <c r="A3567" s="299"/>
      <c r="B3567" s="322"/>
      <c r="G3567" s="299"/>
      <c r="H3567" s="299"/>
      <c r="I3567" s="299"/>
      <c r="J3567" s="299"/>
      <c r="K3567" s="299"/>
      <c r="L3567" s="299"/>
    </row>
    <row r="3568" spans="1:12">
      <c r="A3568" s="299"/>
      <c r="B3568" s="322"/>
      <c r="G3568" s="299"/>
      <c r="H3568" s="299"/>
      <c r="I3568" s="299"/>
      <c r="J3568" s="299"/>
      <c r="K3568" s="299"/>
      <c r="L3568" s="299"/>
    </row>
    <row r="3569" spans="1:12">
      <c r="A3569" s="299"/>
      <c r="B3569" s="322"/>
      <c r="G3569" s="299"/>
      <c r="H3569" s="299"/>
      <c r="I3569" s="299"/>
      <c r="J3569" s="299"/>
      <c r="K3569" s="299"/>
      <c r="L3569" s="299"/>
    </row>
    <row r="3570" spans="1:12">
      <c r="A3570" s="299"/>
      <c r="B3570" s="322"/>
      <c r="G3570" s="299"/>
      <c r="H3570" s="299"/>
      <c r="I3570" s="299"/>
      <c r="J3570" s="299"/>
      <c r="K3570" s="299"/>
      <c r="L3570" s="299"/>
    </row>
    <row r="3571" spans="1:12">
      <c r="A3571" s="299"/>
      <c r="B3571" s="322"/>
      <c r="G3571" s="299"/>
      <c r="H3571" s="299"/>
      <c r="I3571" s="299"/>
      <c r="J3571" s="299"/>
      <c r="K3571" s="299"/>
      <c r="L3571" s="299"/>
    </row>
    <row r="3572" spans="1:12">
      <c r="A3572" s="299"/>
      <c r="B3572" s="322"/>
      <c r="G3572" s="299"/>
      <c r="H3572" s="299"/>
      <c r="I3572" s="299"/>
      <c r="J3572" s="299"/>
      <c r="K3572" s="299"/>
      <c r="L3572" s="299"/>
    </row>
    <row r="3573" spans="1:12">
      <c r="A3573" s="299"/>
      <c r="B3573" s="322"/>
      <c r="G3573" s="299"/>
      <c r="H3573" s="299"/>
      <c r="I3573" s="299"/>
      <c r="J3573" s="299"/>
      <c r="K3573" s="299"/>
      <c r="L3573" s="299"/>
    </row>
    <row r="3574" spans="1:12">
      <c r="A3574" s="299"/>
      <c r="B3574" s="322"/>
      <c r="G3574" s="299"/>
      <c r="H3574" s="299"/>
      <c r="I3574" s="299"/>
      <c r="J3574" s="299"/>
      <c r="K3574" s="299"/>
      <c r="L3574" s="299"/>
    </row>
    <row r="3575" spans="1:12">
      <c r="A3575" s="299"/>
      <c r="B3575" s="322"/>
      <c r="G3575" s="299"/>
      <c r="H3575" s="299"/>
      <c r="I3575" s="299"/>
      <c r="J3575" s="299"/>
      <c r="K3575" s="299"/>
      <c r="L3575" s="299"/>
    </row>
    <row r="3576" spans="1:12">
      <c r="A3576" s="299"/>
      <c r="B3576" s="322"/>
      <c r="G3576" s="299"/>
      <c r="H3576" s="299"/>
      <c r="I3576" s="299"/>
      <c r="J3576" s="299"/>
      <c r="K3576" s="299"/>
      <c r="L3576" s="299"/>
    </row>
    <row r="3577" spans="1:12">
      <c r="A3577" s="299"/>
      <c r="B3577" s="322"/>
      <c r="G3577" s="299"/>
      <c r="H3577" s="299"/>
      <c r="I3577" s="299"/>
      <c r="J3577" s="299"/>
      <c r="K3577" s="299"/>
      <c r="L3577" s="299"/>
    </row>
    <row r="3578" spans="1:12">
      <c r="A3578" s="299"/>
      <c r="B3578" s="322"/>
      <c r="G3578" s="299"/>
      <c r="H3578" s="299"/>
      <c r="I3578" s="299"/>
      <c r="J3578" s="299"/>
      <c r="K3578" s="299"/>
      <c r="L3578" s="299"/>
    </row>
    <row r="3579" spans="1:12">
      <c r="A3579" s="299"/>
      <c r="B3579" s="322"/>
      <c r="G3579" s="299"/>
      <c r="H3579" s="299"/>
      <c r="I3579" s="299"/>
      <c r="J3579" s="299"/>
      <c r="K3579" s="299"/>
      <c r="L3579" s="299"/>
    </row>
    <row r="3580" spans="1:12">
      <c r="A3580" s="299"/>
      <c r="B3580" s="322"/>
      <c r="G3580" s="299"/>
      <c r="H3580" s="299"/>
      <c r="I3580" s="299"/>
      <c r="J3580" s="299"/>
      <c r="K3580" s="299"/>
      <c r="L3580" s="299"/>
    </row>
    <row r="3581" spans="1:12">
      <c r="A3581" s="299"/>
      <c r="B3581" s="322"/>
      <c r="G3581" s="299"/>
      <c r="H3581" s="299"/>
      <c r="I3581" s="299"/>
      <c r="J3581" s="299"/>
      <c r="K3581" s="299"/>
      <c r="L3581" s="299"/>
    </row>
    <row r="3582" spans="1:12">
      <c r="A3582" s="299"/>
      <c r="B3582" s="322"/>
      <c r="G3582" s="299"/>
      <c r="H3582" s="299"/>
      <c r="I3582" s="299"/>
      <c r="J3582" s="299"/>
      <c r="K3582" s="299"/>
      <c r="L3582" s="299"/>
    </row>
    <row r="3583" spans="1:12">
      <c r="A3583" s="299"/>
      <c r="B3583" s="322"/>
      <c r="G3583" s="299"/>
      <c r="H3583" s="299"/>
      <c r="I3583" s="299"/>
      <c r="J3583" s="299"/>
      <c r="K3583" s="299"/>
      <c r="L3583" s="299"/>
    </row>
    <row r="3584" spans="1:12">
      <c r="A3584" s="299"/>
      <c r="B3584" s="322"/>
      <c r="G3584" s="299"/>
      <c r="H3584" s="299"/>
      <c r="I3584" s="299"/>
      <c r="J3584" s="299"/>
      <c r="K3584" s="299"/>
      <c r="L3584" s="299"/>
    </row>
    <row r="3585" spans="1:12">
      <c r="A3585" s="299"/>
      <c r="B3585" s="322"/>
      <c r="G3585" s="299"/>
      <c r="H3585" s="299"/>
      <c r="I3585" s="299"/>
      <c r="J3585" s="299"/>
      <c r="K3585" s="299"/>
      <c r="L3585" s="299"/>
    </row>
    <row r="3586" spans="1:12">
      <c r="A3586" s="299"/>
      <c r="B3586" s="322"/>
      <c r="G3586" s="299"/>
      <c r="H3586" s="299"/>
      <c r="I3586" s="299"/>
      <c r="J3586" s="299"/>
      <c r="K3586" s="299"/>
      <c r="L3586" s="299"/>
    </row>
    <row r="3587" spans="1:12">
      <c r="A3587" s="299"/>
      <c r="B3587" s="322"/>
      <c r="G3587" s="299"/>
      <c r="H3587" s="299"/>
      <c r="I3587" s="299"/>
      <c r="J3587" s="299"/>
      <c r="K3587" s="299"/>
      <c r="L3587" s="299"/>
    </row>
    <row r="3588" spans="1:12">
      <c r="A3588" s="299"/>
      <c r="B3588" s="322"/>
      <c r="G3588" s="299"/>
      <c r="H3588" s="299"/>
      <c r="I3588" s="299"/>
      <c r="J3588" s="299"/>
      <c r="K3588" s="299"/>
      <c r="L3588" s="299"/>
    </row>
    <row r="3589" spans="1:12">
      <c r="A3589" s="299"/>
      <c r="B3589" s="322"/>
      <c r="G3589" s="299"/>
      <c r="H3589" s="299"/>
      <c r="I3589" s="299"/>
      <c r="J3589" s="299"/>
      <c r="K3589" s="299"/>
      <c r="L3589" s="299"/>
    </row>
    <row r="3590" spans="1:12">
      <c r="A3590" s="299"/>
      <c r="B3590" s="322"/>
      <c r="G3590" s="299"/>
      <c r="H3590" s="299"/>
      <c r="I3590" s="299"/>
      <c r="J3590" s="299"/>
      <c r="K3590" s="299"/>
      <c r="L3590" s="299"/>
    </row>
    <row r="3591" spans="1:12">
      <c r="A3591" s="299"/>
      <c r="B3591" s="322"/>
      <c r="G3591" s="299"/>
      <c r="H3591" s="299"/>
      <c r="I3591" s="299"/>
      <c r="J3591" s="299"/>
      <c r="K3591" s="299"/>
      <c r="L3591" s="299"/>
    </row>
    <row r="3592" spans="1:12">
      <c r="A3592" s="299"/>
      <c r="B3592" s="322"/>
      <c r="G3592" s="299"/>
      <c r="H3592" s="299"/>
      <c r="I3592" s="299"/>
      <c r="J3592" s="299"/>
      <c r="K3592" s="299"/>
      <c r="L3592" s="299"/>
    </row>
    <row r="3593" spans="1:12">
      <c r="A3593" s="299"/>
      <c r="B3593" s="322"/>
      <c r="G3593" s="299"/>
      <c r="H3593" s="299"/>
      <c r="I3593" s="299"/>
      <c r="J3593" s="299"/>
      <c r="K3593" s="299"/>
      <c r="L3593" s="299"/>
    </row>
    <row r="3594" spans="1:12">
      <c r="A3594" s="299"/>
      <c r="B3594" s="322"/>
      <c r="G3594" s="299"/>
      <c r="H3594" s="299"/>
      <c r="I3594" s="299"/>
      <c r="J3594" s="299"/>
      <c r="K3594" s="299"/>
      <c r="L3594" s="299"/>
    </row>
    <row r="3595" spans="1:12">
      <c r="A3595" s="299"/>
      <c r="B3595" s="322"/>
      <c r="G3595" s="299"/>
      <c r="H3595" s="299"/>
      <c r="I3595" s="299"/>
      <c r="J3595" s="299"/>
      <c r="K3595" s="299"/>
      <c r="L3595" s="299"/>
    </row>
    <row r="3596" spans="1:12">
      <c r="A3596" s="299"/>
      <c r="B3596" s="322"/>
      <c r="G3596" s="299"/>
      <c r="H3596" s="299"/>
      <c r="I3596" s="299"/>
      <c r="J3596" s="299"/>
      <c r="K3596" s="299"/>
      <c r="L3596" s="299"/>
    </row>
    <row r="3597" spans="1:12">
      <c r="A3597" s="299"/>
      <c r="B3597" s="322"/>
      <c r="G3597" s="299"/>
      <c r="H3597" s="299"/>
      <c r="I3597" s="299"/>
      <c r="J3597" s="299"/>
      <c r="K3597" s="299"/>
      <c r="L3597" s="299"/>
    </row>
    <row r="3598" spans="1:12">
      <c r="A3598" s="299"/>
      <c r="B3598" s="322"/>
      <c r="G3598" s="299"/>
      <c r="H3598" s="299"/>
      <c r="I3598" s="299"/>
      <c r="J3598" s="299"/>
      <c r="K3598" s="299"/>
      <c r="L3598" s="299"/>
    </row>
    <row r="3599" spans="1:12">
      <c r="A3599" s="299"/>
      <c r="B3599" s="322"/>
      <c r="G3599" s="299"/>
      <c r="H3599" s="299"/>
      <c r="I3599" s="299"/>
      <c r="J3599" s="299"/>
      <c r="K3599" s="299"/>
      <c r="L3599" s="299"/>
    </row>
    <row r="3600" spans="1:12">
      <c r="A3600" s="299"/>
      <c r="B3600" s="322"/>
      <c r="G3600" s="299"/>
      <c r="H3600" s="299"/>
      <c r="I3600" s="299"/>
      <c r="J3600" s="299"/>
      <c r="K3600" s="299"/>
      <c r="L3600" s="299"/>
    </row>
    <row r="3601" spans="1:12">
      <c r="A3601" s="299"/>
      <c r="B3601" s="322"/>
      <c r="G3601" s="299"/>
      <c r="H3601" s="299"/>
      <c r="I3601" s="299"/>
      <c r="J3601" s="299"/>
      <c r="K3601" s="299"/>
      <c r="L3601" s="299"/>
    </row>
    <row r="3602" spans="1:12">
      <c r="A3602" s="299"/>
      <c r="B3602" s="322"/>
      <c r="G3602" s="299"/>
      <c r="H3602" s="299"/>
      <c r="I3602" s="299"/>
      <c r="J3602" s="299"/>
      <c r="K3602" s="299"/>
      <c r="L3602" s="299"/>
    </row>
    <row r="3603" spans="1:12">
      <c r="A3603" s="299"/>
      <c r="B3603" s="322"/>
      <c r="G3603" s="299"/>
      <c r="H3603" s="299"/>
      <c r="I3603" s="299"/>
      <c r="J3603" s="299"/>
      <c r="K3603" s="299"/>
      <c r="L3603" s="299"/>
    </row>
    <row r="3604" spans="1:12">
      <c r="A3604" s="299"/>
      <c r="B3604" s="322"/>
      <c r="G3604" s="299"/>
      <c r="H3604" s="299"/>
      <c r="I3604" s="299"/>
      <c r="J3604" s="299"/>
      <c r="K3604" s="299"/>
      <c r="L3604" s="299"/>
    </row>
    <row r="3605" spans="1:12">
      <c r="A3605" s="299"/>
      <c r="B3605" s="322"/>
      <c r="G3605" s="299"/>
      <c r="H3605" s="299"/>
      <c r="I3605" s="299"/>
      <c r="J3605" s="299"/>
      <c r="K3605" s="299"/>
      <c r="L3605" s="299"/>
    </row>
    <row r="3606" spans="1:12">
      <c r="A3606" s="299"/>
      <c r="B3606" s="322"/>
      <c r="G3606" s="299"/>
      <c r="H3606" s="299"/>
      <c r="I3606" s="299"/>
      <c r="J3606" s="299"/>
      <c r="K3606" s="299"/>
      <c r="L3606" s="299"/>
    </row>
    <row r="3607" spans="1:12">
      <c r="A3607" s="299"/>
      <c r="B3607" s="322"/>
      <c r="G3607" s="299"/>
      <c r="H3607" s="299"/>
      <c r="I3607" s="299"/>
      <c r="J3607" s="299"/>
      <c r="K3607" s="299"/>
      <c r="L3607" s="299"/>
    </row>
    <row r="3608" spans="1:12">
      <c r="A3608" s="299"/>
      <c r="B3608" s="322"/>
      <c r="G3608" s="299"/>
      <c r="H3608" s="299"/>
      <c r="I3608" s="299"/>
      <c r="J3608" s="299"/>
      <c r="K3608" s="299"/>
      <c r="L3608" s="299"/>
    </row>
    <row r="3609" spans="1:12">
      <c r="A3609" s="299"/>
      <c r="B3609" s="322"/>
      <c r="G3609" s="299"/>
      <c r="H3609" s="299"/>
      <c r="I3609" s="299"/>
      <c r="J3609" s="299"/>
      <c r="K3609" s="299"/>
      <c r="L3609" s="299"/>
    </row>
    <row r="3610" spans="1:12">
      <c r="A3610" s="299"/>
      <c r="B3610" s="322"/>
      <c r="G3610" s="299"/>
      <c r="H3610" s="299"/>
      <c r="I3610" s="299"/>
      <c r="J3610" s="299"/>
      <c r="K3610" s="299"/>
      <c r="L3610" s="299"/>
    </row>
    <row r="3611" spans="1:12">
      <c r="A3611" s="299"/>
      <c r="B3611" s="322"/>
      <c r="G3611" s="299"/>
      <c r="H3611" s="299"/>
      <c r="I3611" s="299"/>
      <c r="J3611" s="299"/>
      <c r="K3611" s="299"/>
      <c r="L3611" s="299"/>
    </row>
    <row r="3612" spans="1:12">
      <c r="A3612" s="299"/>
      <c r="B3612" s="322"/>
      <c r="G3612" s="299"/>
      <c r="H3612" s="299"/>
      <c r="I3612" s="299"/>
      <c r="J3612" s="299"/>
      <c r="K3612" s="299"/>
      <c r="L3612" s="299"/>
    </row>
    <row r="3613" spans="1:12">
      <c r="A3613" s="299"/>
      <c r="B3613" s="322"/>
      <c r="G3613" s="299"/>
      <c r="H3613" s="299"/>
      <c r="I3613" s="299"/>
      <c r="J3613" s="299"/>
      <c r="K3613" s="299"/>
      <c r="L3613" s="299"/>
    </row>
    <row r="3614" spans="1:12">
      <c r="A3614" s="299"/>
      <c r="B3614" s="322"/>
      <c r="G3614" s="299"/>
      <c r="H3614" s="299"/>
      <c r="I3614" s="299"/>
      <c r="J3614" s="299"/>
      <c r="K3614" s="299"/>
      <c r="L3614" s="299"/>
    </row>
    <row r="3615" spans="1:12">
      <c r="A3615" s="299"/>
      <c r="B3615" s="322"/>
      <c r="G3615" s="299"/>
      <c r="H3615" s="299"/>
      <c r="I3615" s="299"/>
      <c r="J3615" s="299"/>
      <c r="K3615" s="299"/>
      <c r="L3615" s="299"/>
    </row>
    <row r="3616" spans="1:12">
      <c r="A3616" s="299"/>
      <c r="B3616" s="322"/>
      <c r="G3616" s="299"/>
      <c r="H3616" s="299"/>
      <c r="I3616" s="299"/>
      <c r="J3616" s="299"/>
      <c r="K3616" s="299"/>
      <c r="L3616" s="299"/>
    </row>
    <row r="3617" spans="1:12">
      <c r="A3617" s="299"/>
      <c r="B3617" s="322"/>
      <c r="G3617" s="299"/>
      <c r="H3617" s="299"/>
      <c r="I3617" s="299"/>
      <c r="J3617" s="299"/>
      <c r="K3617" s="299"/>
      <c r="L3617" s="299"/>
    </row>
    <row r="3618" spans="1:12">
      <c r="A3618" s="299"/>
      <c r="B3618" s="322"/>
      <c r="G3618" s="299"/>
      <c r="H3618" s="299"/>
      <c r="I3618" s="299"/>
      <c r="J3618" s="299"/>
      <c r="K3618" s="299"/>
      <c r="L3618" s="299"/>
    </row>
    <row r="3619" spans="1:12">
      <c r="A3619" s="299"/>
      <c r="B3619" s="322"/>
      <c r="G3619" s="299"/>
      <c r="H3619" s="299"/>
      <c r="I3619" s="299"/>
      <c r="J3619" s="299"/>
      <c r="K3619" s="299"/>
      <c r="L3619" s="299"/>
    </row>
    <row r="3620" spans="1:12">
      <c r="A3620" s="299"/>
      <c r="B3620" s="322"/>
      <c r="G3620" s="299"/>
      <c r="H3620" s="299"/>
      <c r="I3620" s="299"/>
      <c r="J3620" s="299"/>
      <c r="K3620" s="299"/>
      <c r="L3620" s="299"/>
    </row>
    <row r="3621" spans="1:12">
      <c r="A3621" s="299"/>
      <c r="B3621" s="322"/>
      <c r="G3621" s="299"/>
      <c r="H3621" s="299"/>
      <c r="I3621" s="299"/>
      <c r="J3621" s="299"/>
      <c r="K3621" s="299"/>
      <c r="L3621" s="299"/>
    </row>
    <row r="3622" spans="1:12">
      <c r="A3622" s="299"/>
      <c r="B3622" s="322"/>
      <c r="G3622" s="299"/>
      <c r="H3622" s="299"/>
      <c r="I3622" s="299"/>
      <c r="J3622" s="299"/>
      <c r="K3622" s="299"/>
      <c r="L3622" s="299"/>
    </row>
    <row r="3623" spans="1:12">
      <c r="A3623" s="299"/>
      <c r="B3623" s="322"/>
      <c r="G3623" s="299"/>
      <c r="H3623" s="299"/>
      <c r="I3623" s="299"/>
      <c r="J3623" s="299"/>
      <c r="K3623" s="299"/>
      <c r="L3623" s="299"/>
    </row>
    <row r="3624" spans="1:12">
      <c r="A3624" s="299"/>
      <c r="B3624" s="322"/>
      <c r="G3624" s="299"/>
      <c r="H3624" s="299"/>
      <c r="I3624" s="299"/>
      <c r="J3624" s="299"/>
      <c r="K3624" s="299"/>
      <c r="L3624" s="299"/>
    </row>
    <row r="3625" spans="1:12">
      <c r="A3625" s="299"/>
      <c r="B3625" s="322"/>
      <c r="G3625" s="299"/>
      <c r="H3625" s="299"/>
      <c r="I3625" s="299"/>
      <c r="J3625" s="299"/>
      <c r="K3625" s="299"/>
      <c r="L3625" s="299"/>
    </row>
    <row r="3626" spans="1:12">
      <c r="A3626" s="299"/>
      <c r="B3626" s="322"/>
      <c r="G3626" s="299"/>
      <c r="H3626" s="299"/>
      <c r="I3626" s="299"/>
      <c r="J3626" s="299"/>
      <c r="K3626" s="299"/>
      <c r="L3626" s="299"/>
    </row>
    <row r="3627" spans="1:12">
      <c r="A3627" s="299"/>
      <c r="B3627" s="322"/>
      <c r="G3627" s="299"/>
      <c r="H3627" s="299"/>
      <c r="I3627" s="299"/>
      <c r="J3627" s="299"/>
      <c r="K3627" s="299"/>
      <c r="L3627" s="299"/>
    </row>
    <row r="3628" spans="1:12">
      <c r="A3628" s="299"/>
      <c r="B3628" s="322"/>
      <c r="G3628" s="299"/>
      <c r="H3628" s="299"/>
      <c r="I3628" s="299"/>
      <c r="J3628" s="299"/>
      <c r="K3628" s="299"/>
      <c r="L3628" s="299"/>
    </row>
    <row r="3629" spans="1:12">
      <c r="A3629" s="299"/>
      <c r="B3629" s="322"/>
      <c r="G3629" s="299"/>
      <c r="H3629" s="299"/>
      <c r="I3629" s="299"/>
      <c r="J3629" s="299"/>
      <c r="K3629" s="299"/>
      <c r="L3629" s="299"/>
    </row>
    <row r="3630" spans="1:12">
      <c r="A3630" s="299"/>
      <c r="B3630" s="322"/>
      <c r="G3630" s="299"/>
      <c r="H3630" s="299"/>
      <c r="I3630" s="299"/>
      <c r="J3630" s="299"/>
      <c r="K3630" s="299"/>
      <c r="L3630" s="299"/>
    </row>
    <row r="3631" spans="1:12">
      <c r="A3631" s="299"/>
      <c r="B3631" s="322"/>
      <c r="G3631" s="299"/>
      <c r="H3631" s="299"/>
      <c r="I3631" s="299"/>
      <c r="J3631" s="299"/>
      <c r="K3631" s="299"/>
      <c r="L3631" s="299"/>
    </row>
    <row r="3632" spans="1:12">
      <c r="A3632" s="299"/>
      <c r="B3632" s="322"/>
      <c r="G3632" s="299"/>
      <c r="H3632" s="299"/>
      <c r="I3632" s="299"/>
      <c r="J3632" s="299"/>
      <c r="K3632" s="299"/>
      <c r="L3632" s="299"/>
    </row>
    <row r="3633" spans="1:12">
      <c r="A3633" s="299"/>
      <c r="B3633" s="322"/>
      <c r="G3633" s="299"/>
      <c r="H3633" s="299"/>
      <c r="I3633" s="299"/>
      <c r="J3633" s="299"/>
      <c r="K3633" s="299"/>
      <c r="L3633" s="299"/>
    </row>
    <row r="3634" spans="1:12">
      <c r="A3634" s="299"/>
      <c r="B3634" s="322"/>
      <c r="G3634" s="299"/>
      <c r="H3634" s="299"/>
      <c r="I3634" s="299"/>
      <c r="J3634" s="299"/>
      <c r="K3634" s="299"/>
      <c r="L3634" s="299"/>
    </row>
    <row r="3635" spans="1:12">
      <c r="A3635" s="299"/>
      <c r="B3635" s="322"/>
      <c r="G3635" s="299"/>
      <c r="H3635" s="299"/>
      <c r="I3635" s="299"/>
      <c r="J3635" s="299"/>
      <c r="K3635" s="299"/>
      <c r="L3635" s="299"/>
    </row>
    <row r="3636" spans="1:12">
      <c r="A3636" s="299"/>
      <c r="B3636" s="322"/>
      <c r="G3636" s="299"/>
      <c r="H3636" s="299"/>
      <c r="I3636" s="299"/>
      <c r="J3636" s="299"/>
      <c r="K3636" s="299"/>
      <c r="L3636" s="299"/>
    </row>
    <row r="3637" spans="1:12">
      <c r="A3637" s="299"/>
      <c r="B3637" s="322"/>
      <c r="G3637" s="299"/>
      <c r="H3637" s="299"/>
      <c r="I3637" s="299"/>
      <c r="J3637" s="299"/>
      <c r="K3637" s="299"/>
      <c r="L3637" s="299"/>
    </row>
    <row r="3638" spans="1:12">
      <c r="A3638" s="299"/>
      <c r="B3638" s="322"/>
      <c r="G3638" s="299"/>
      <c r="H3638" s="299"/>
      <c r="I3638" s="299"/>
      <c r="J3638" s="299"/>
      <c r="K3638" s="299"/>
      <c r="L3638" s="299"/>
    </row>
    <row r="3639" spans="1:12">
      <c r="A3639" s="299"/>
      <c r="B3639" s="322"/>
      <c r="G3639" s="299"/>
      <c r="H3639" s="299"/>
      <c r="I3639" s="299"/>
      <c r="J3639" s="299"/>
      <c r="K3639" s="299"/>
      <c r="L3639" s="299"/>
    </row>
    <row r="3640" spans="1:12">
      <c r="A3640" s="299"/>
      <c r="B3640" s="322"/>
      <c r="G3640" s="299"/>
      <c r="H3640" s="299"/>
      <c r="I3640" s="299"/>
      <c r="J3640" s="299"/>
      <c r="K3640" s="299"/>
      <c r="L3640" s="299"/>
    </row>
    <row r="3641" spans="1:12">
      <c r="A3641" s="299"/>
      <c r="B3641" s="322"/>
      <c r="G3641" s="299"/>
      <c r="H3641" s="299"/>
      <c r="I3641" s="299"/>
      <c r="J3641" s="299"/>
      <c r="K3641" s="299"/>
      <c r="L3641" s="299"/>
    </row>
    <row r="3642" spans="1:12">
      <c r="A3642" s="299"/>
      <c r="B3642" s="322"/>
      <c r="G3642" s="299"/>
      <c r="H3642" s="299"/>
      <c r="I3642" s="299"/>
      <c r="J3642" s="299"/>
      <c r="K3642" s="299"/>
      <c r="L3642" s="299"/>
    </row>
    <row r="3643" spans="1:12">
      <c r="A3643" s="299"/>
      <c r="B3643" s="322"/>
      <c r="G3643" s="299"/>
      <c r="H3643" s="299"/>
      <c r="I3643" s="299"/>
      <c r="J3643" s="299"/>
      <c r="K3643" s="299"/>
      <c r="L3643" s="299"/>
    </row>
    <row r="3644" spans="1:12">
      <c r="A3644" s="299"/>
      <c r="B3644" s="322"/>
      <c r="G3644" s="299"/>
      <c r="H3644" s="299"/>
      <c r="I3644" s="299"/>
      <c r="J3644" s="299"/>
      <c r="K3644" s="299"/>
      <c r="L3644" s="299"/>
    </row>
    <row r="3645" spans="1:12">
      <c r="A3645" s="299"/>
      <c r="B3645" s="322"/>
      <c r="G3645" s="299"/>
      <c r="H3645" s="299"/>
      <c r="I3645" s="299"/>
      <c r="J3645" s="299"/>
      <c r="K3645" s="299"/>
      <c r="L3645" s="299"/>
    </row>
    <row r="3646" spans="1:12">
      <c r="A3646" s="299"/>
      <c r="B3646" s="322"/>
      <c r="G3646" s="299"/>
      <c r="H3646" s="299"/>
      <c r="I3646" s="299"/>
      <c r="J3646" s="299"/>
      <c r="K3646" s="299"/>
      <c r="L3646" s="299"/>
    </row>
    <row r="3647" spans="1:12">
      <c r="A3647" s="299"/>
      <c r="B3647" s="322"/>
      <c r="G3647" s="299"/>
      <c r="H3647" s="299"/>
      <c r="I3647" s="299"/>
      <c r="J3647" s="299"/>
      <c r="K3647" s="299"/>
      <c r="L3647" s="299"/>
    </row>
    <row r="3648" spans="1:12">
      <c r="A3648" s="299"/>
      <c r="B3648" s="322"/>
      <c r="G3648" s="299"/>
      <c r="H3648" s="299"/>
      <c r="I3648" s="299"/>
      <c r="J3648" s="299"/>
      <c r="K3648" s="299"/>
      <c r="L3648" s="299"/>
    </row>
    <row r="3649" spans="1:12">
      <c r="A3649" s="299"/>
      <c r="B3649" s="322"/>
      <c r="G3649" s="299"/>
      <c r="H3649" s="299"/>
      <c r="I3649" s="299"/>
      <c r="J3649" s="299"/>
      <c r="K3649" s="299"/>
      <c r="L3649" s="299"/>
    </row>
    <row r="3650" spans="1:12">
      <c r="A3650" s="299"/>
      <c r="B3650" s="322"/>
      <c r="G3650" s="299"/>
      <c r="H3650" s="299"/>
      <c r="I3650" s="299"/>
      <c r="J3650" s="299"/>
      <c r="K3650" s="299"/>
      <c r="L3650" s="299"/>
    </row>
    <row r="3651" spans="1:12">
      <c r="A3651" s="299"/>
      <c r="B3651" s="322"/>
      <c r="G3651" s="299"/>
      <c r="H3651" s="299"/>
      <c r="I3651" s="299"/>
      <c r="J3651" s="299"/>
      <c r="K3651" s="299"/>
      <c r="L3651" s="299"/>
    </row>
    <row r="3652" spans="1:12">
      <c r="A3652" s="299"/>
      <c r="B3652" s="322"/>
      <c r="G3652" s="299"/>
      <c r="H3652" s="299"/>
      <c r="I3652" s="299"/>
      <c r="J3652" s="299"/>
      <c r="K3652" s="299"/>
      <c r="L3652" s="299"/>
    </row>
    <row r="3653" spans="1:12">
      <c r="A3653" s="299"/>
      <c r="B3653" s="322"/>
      <c r="G3653" s="299"/>
      <c r="H3653" s="299"/>
      <c r="I3653" s="299"/>
      <c r="J3653" s="299"/>
      <c r="K3653" s="299"/>
      <c r="L3653" s="299"/>
    </row>
    <row r="3654" spans="1:12">
      <c r="A3654" s="299"/>
      <c r="B3654" s="322"/>
      <c r="G3654" s="299"/>
      <c r="H3654" s="299"/>
      <c r="I3654" s="299"/>
      <c r="J3654" s="299"/>
      <c r="K3654" s="299"/>
      <c r="L3654" s="299"/>
    </row>
    <row r="3655" spans="1:12">
      <c r="A3655" s="299"/>
      <c r="B3655" s="322"/>
      <c r="G3655" s="299"/>
      <c r="H3655" s="299"/>
      <c r="I3655" s="299"/>
      <c r="J3655" s="299"/>
      <c r="K3655" s="299"/>
      <c r="L3655" s="299"/>
    </row>
    <row r="3656" spans="1:12">
      <c r="A3656" s="299"/>
      <c r="B3656" s="322"/>
      <c r="G3656" s="299"/>
      <c r="H3656" s="299"/>
      <c r="I3656" s="299"/>
      <c r="J3656" s="299"/>
      <c r="K3656" s="299"/>
      <c r="L3656" s="299"/>
    </row>
    <row r="3657" spans="1:12">
      <c r="A3657" s="299"/>
      <c r="B3657" s="322"/>
      <c r="G3657" s="299"/>
      <c r="H3657" s="299"/>
      <c r="I3657" s="299"/>
      <c r="J3657" s="299"/>
      <c r="K3657" s="299"/>
      <c r="L3657" s="299"/>
    </row>
    <row r="3658" spans="1:12">
      <c r="A3658" s="299"/>
      <c r="B3658" s="322"/>
      <c r="G3658" s="299"/>
      <c r="H3658" s="299"/>
      <c r="I3658" s="299"/>
      <c r="J3658" s="299"/>
      <c r="K3658" s="299"/>
      <c r="L3658" s="299"/>
    </row>
    <row r="3659" spans="1:12">
      <c r="A3659" s="299"/>
      <c r="B3659" s="322"/>
      <c r="G3659" s="299"/>
      <c r="H3659" s="299"/>
      <c r="I3659" s="299"/>
      <c r="J3659" s="299"/>
      <c r="K3659" s="299"/>
      <c r="L3659" s="299"/>
    </row>
    <row r="3660" spans="1:12">
      <c r="A3660" s="299"/>
      <c r="B3660" s="322"/>
      <c r="G3660" s="299"/>
      <c r="H3660" s="299"/>
      <c r="I3660" s="299"/>
      <c r="J3660" s="299"/>
      <c r="K3660" s="299"/>
      <c r="L3660" s="299"/>
    </row>
    <row r="3661" spans="1:12">
      <c r="A3661" s="299"/>
      <c r="B3661" s="322"/>
      <c r="G3661" s="299"/>
      <c r="H3661" s="299"/>
      <c r="I3661" s="299"/>
      <c r="J3661" s="299"/>
      <c r="K3661" s="299"/>
      <c r="L3661" s="299"/>
    </row>
    <row r="3662" spans="1:12">
      <c r="A3662" s="299"/>
      <c r="B3662" s="322"/>
      <c r="G3662" s="299"/>
      <c r="H3662" s="299"/>
      <c r="I3662" s="299"/>
      <c r="J3662" s="299"/>
      <c r="K3662" s="299"/>
      <c r="L3662" s="299"/>
    </row>
    <row r="3663" spans="1:12">
      <c r="A3663" s="299"/>
      <c r="B3663" s="322"/>
      <c r="G3663" s="299"/>
      <c r="H3663" s="299"/>
      <c r="I3663" s="299"/>
      <c r="J3663" s="299"/>
      <c r="K3663" s="299"/>
      <c r="L3663" s="299"/>
    </row>
    <row r="3664" spans="1:12">
      <c r="A3664" s="299"/>
      <c r="B3664" s="322"/>
      <c r="G3664" s="299"/>
      <c r="H3664" s="299"/>
      <c r="I3664" s="299"/>
      <c r="J3664" s="299"/>
      <c r="K3664" s="299"/>
      <c r="L3664" s="299"/>
    </row>
    <row r="3665" spans="1:12">
      <c r="A3665" s="299"/>
      <c r="B3665" s="322"/>
      <c r="G3665" s="299"/>
      <c r="H3665" s="299"/>
      <c r="I3665" s="299"/>
      <c r="J3665" s="299"/>
      <c r="K3665" s="299"/>
      <c r="L3665" s="299"/>
    </row>
    <row r="3666" spans="1:12">
      <c r="A3666" s="299"/>
      <c r="B3666" s="322"/>
      <c r="G3666" s="299"/>
      <c r="H3666" s="299"/>
      <c r="I3666" s="299"/>
      <c r="J3666" s="299"/>
      <c r="K3666" s="299"/>
      <c r="L3666" s="299"/>
    </row>
    <row r="3667" spans="1:12">
      <c r="A3667" s="299"/>
      <c r="B3667" s="322"/>
      <c r="G3667" s="299"/>
      <c r="H3667" s="299"/>
      <c r="I3667" s="299"/>
      <c r="J3667" s="299"/>
      <c r="K3667" s="299"/>
      <c r="L3667" s="299"/>
    </row>
    <row r="3668" spans="1:12">
      <c r="A3668" s="299"/>
      <c r="B3668" s="322"/>
      <c r="G3668" s="299"/>
      <c r="H3668" s="299"/>
      <c r="I3668" s="299"/>
      <c r="J3668" s="299"/>
      <c r="K3668" s="299"/>
      <c r="L3668" s="299"/>
    </row>
    <row r="3669" spans="1:12">
      <c r="A3669" s="299"/>
      <c r="B3669" s="322"/>
      <c r="G3669" s="299"/>
      <c r="H3669" s="299"/>
      <c r="I3669" s="299"/>
      <c r="J3669" s="299"/>
      <c r="K3669" s="299"/>
      <c r="L3669" s="299"/>
    </row>
    <row r="3670" spans="1:12">
      <c r="A3670" s="299"/>
      <c r="B3670" s="322"/>
      <c r="G3670" s="299"/>
      <c r="H3670" s="299"/>
      <c r="I3670" s="299"/>
      <c r="J3670" s="299"/>
      <c r="K3670" s="299"/>
      <c r="L3670" s="299"/>
    </row>
    <row r="3671" spans="1:12">
      <c r="A3671" s="299"/>
      <c r="B3671" s="322"/>
      <c r="G3671" s="299"/>
      <c r="H3671" s="299"/>
      <c r="I3671" s="299"/>
      <c r="J3671" s="299"/>
      <c r="K3671" s="299"/>
      <c r="L3671" s="299"/>
    </row>
    <row r="3672" spans="1:12">
      <c r="A3672" s="299"/>
      <c r="B3672" s="322"/>
      <c r="G3672" s="299"/>
      <c r="H3672" s="299"/>
      <c r="I3672" s="299"/>
      <c r="J3672" s="299"/>
      <c r="K3672" s="299"/>
      <c r="L3672" s="299"/>
    </row>
    <row r="3673" spans="1:12">
      <c r="A3673" s="299"/>
      <c r="B3673" s="322"/>
      <c r="G3673" s="299"/>
      <c r="H3673" s="299"/>
      <c r="I3673" s="299"/>
      <c r="J3673" s="299"/>
      <c r="K3673" s="299"/>
      <c r="L3673" s="299"/>
    </row>
    <row r="3674" spans="1:12">
      <c r="A3674" s="299"/>
      <c r="B3674" s="322"/>
      <c r="G3674" s="299"/>
      <c r="H3674" s="299"/>
      <c r="I3674" s="299"/>
      <c r="J3674" s="299"/>
      <c r="K3674" s="299"/>
      <c r="L3674" s="299"/>
    </row>
    <row r="3675" spans="1:12">
      <c r="A3675" s="299"/>
      <c r="B3675" s="322"/>
      <c r="G3675" s="299"/>
      <c r="H3675" s="299"/>
      <c r="I3675" s="299"/>
      <c r="J3675" s="299"/>
      <c r="K3675" s="299"/>
      <c r="L3675" s="299"/>
    </row>
    <row r="3676" spans="1:12">
      <c r="A3676" s="299"/>
      <c r="B3676" s="322"/>
      <c r="G3676" s="299"/>
      <c r="H3676" s="299"/>
      <c r="I3676" s="299"/>
      <c r="J3676" s="299"/>
      <c r="K3676" s="299"/>
      <c r="L3676" s="299"/>
    </row>
    <row r="3677" spans="1:12">
      <c r="A3677" s="299"/>
      <c r="B3677" s="322"/>
      <c r="G3677" s="299"/>
      <c r="H3677" s="299"/>
      <c r="I3677" s="299"/>
      <c r="J3677" s="299"/>
      <c r="K3677" s="299"/>
      <c r="L3677" s="299"/>
    </row>
    <row r="3678" spans="1:12">
      <c r="A3678" s="299"/>
      <c r="B3678" s="322"/>
      <c r="G3678" s="299"/>
      <c r="H3678" s="299"/>
      <c r="I3678" s="299"/>
      <c r="J3678" s="299"/>
      <c r="K3678" s="299"/>
      <c r="L3678" s="299"/>
    </row>
    <row r="3679" spans="1:12">
      <c r="A3679" s="299"/>
      <c r="B3679" s="322"/>
      <c r="G3679" s="299"/>
      <c r="H3679" s="299"/>
      <c r="I3679" s="299"/>
      <c r="J3679" s="299"/>
      <c r="K3679" s="299"/>
      <c r="L3679" s="299"/>
    </row>
    <row r="3680" spans="1:12">
      <c r="A3680" s="299"/>
      <c r="B3680" s="322"/>
      <c r="G3680" s="299"/>
      <c r="H3680" s="299"/>
      <c r="I3680" s="299"/>
      <c r="J3680" s="299"/>
      <c r="K3680" s="299"/>
      <c r="L3680" s="299"/>
    </row>
    <row r="3681" spans="1:12">
      <c r="A3681" s="299"/>
      <c r="B3681" s="322"/>
      <c r="G3681" s="299"/>
      <c r="H3681" s="299"/>
      <c r="I3681" s="299"/>
      <c r="J3681" s="299"/>
      <c r="K3681" s="299"/>
      <c r="L3681" s="299"/>
    </row>
    <row r="3682" spans="1:12">
      <c r="A3682" s="299"/>
      <c r="B3682" s="322"/>
      <c r="G3682" s="299"/>
      <c r="H3682" s="299"/>
      <c r="I3682" s="299"/>
      <c r="J3682" s="299"/>
      <c r="K3682" s="299"/>
      <c r="L3682" s="299"/>
    </row>
    <row r="3683" spans="1:12">
      <c r="A3683" s="299"/>
      <c r="B3683" s="322"/>
      <c r="G3683" s="299"/>
      <c r="H3683" s="299"/>
      <c r="I3683" s="299"/>
      <c r="J3683" s="299"/>
      <c r="K3683" s="299"/>
      <c r="L3683" s="299"/>
    </row>
    <row r="3684" spans="1:12">
      <c r="A3684" s="299"/>
      <c r="B3684" s="322"/>
      <c r="G3684" s="299"/>
      <c r="H3684" s="299"/>
      <c r="I3684" s="299"/>
      <c r="J3684" s="299"/>
      <c r="K3684" s="299"/>
      <c r="L3684" s="299"/>
    </row>
    <row r="3685" spans="1:12">
      <c r="A3685" s="299"/>
      <c r="B3685" s="322"/>
      <c r="G3685" s="299"/>
      <c r="H3685" s="299"/>
      <c r="I3685" s="299"/>
      <c r="J3685" s="299"/>
      <c r="K3685" s="299"/>
      <c r="L3685" s="299"/>
    </row>
    <row r="3686" spans="1:12">
      <c r="A3686" s="299"/>
      <c r="B3686" s="322"/>
      <c r="G3686" s="299"/>
      <c r="H3686" s="299"/>
      <c r="I3686" s="299"/>
      <c r="J3686" s="299"/>
      <c r="K3686" s="299"/>
      <c r="L3686" s="299"/>
    </row>
    <row r="3687" spans="1:12">
      <c r="A3687" s="299"/>
      <c r="B3687" s="322"/>
      <c r="G3687" s="299"/>
      <c r="H3687" s="299"/>
      <c r="I3687" s="299"/>
      <c r="J3687" s="299"/>
      <c r="K3687" s="299"/>
      <c r="L3687" s="299"/>
    </row>
    <row r="3688" spans="1:12">
      <c r="A3688" s="299"/>
      <c r="B3688" s="322"/>
      <c r="G3688" s="299"/>
      <c r="H3688" s="299"/>
      <c r="I3688" s="299"/>
      <c r="J3688" s="299"/>
      <c r="K3688" s="299"/>
      <c r="L3688" s="299"/>
    </row>
    <row r="3689" spans="1:12">
      <c r="A3689" s="299"/>
      <c r="B3689" s="322"/>
      <c r="G3689" s="299"/>
      <c r="H3689" s="299"/>
      <c r="I3689" s="299"/>
      <c r="J3689" s="299"/>
      <c r="K3689" s="299"/>
      <c r="L3689" s="299"/>
    </row>
    <row r="3690" spans="1:12">
      <c r="A3690" s="299"/>
      <c r="B3690" s="322"/>
      <c r="G3690" s="299"/>
      <c r="H3690" s="299"/>
      <c r="I3690" s="299"/>
      <c r="J3690" s="299"/>
      <c r="K3690" s="299"/>
      <c r="L3690" s="299"/>
    </row>
    <row r="3691" spans="1:12">
      <c r="A3691" s="299"/>
      <c r="B3691" s="322"/>
      <c r="G3691" s="299"/>
      <c r="H3691" s="299"/>
      <c r="I3691" s="299"/>
      <c r="J3691" s="299"/>
      <c r="K3691" s="299"/>
      <c r="L3691" s="299"/>
    </row>
    <row r="3692" spans="1:12">
      <c r="A3692" s="299"/>
      <c r="B3692" s="322"/>
      <c r="G3692" s="299"/>
      <c r="H3692" s="299"/>
      <c r="I3692" s="299"/>
      <c r="J3692" s="299"/>
      <c r="K3692" s="299"/>
      <c r="L3692" s="299"/>
    </row>
    <row r="3693" spans="1:12">
      <c r="A3693" s="299"/>
      <c r="B3693" s="322"/>
      <c r="G3693" s="299"/>
      <c r="H3693" s="299"/>
      <c r="I3693" s="299"/>
      <c r="J3693" s="299"/>
      <c r="K3693" s="299"/>
      <c r="L3693" s="299"/>
    </row>
    <row r="3694" spans="1:12">
      <c r="A3694" s="299"/>
      <c r="B3694" s="322"/>
      <c r="G3694" s="299"/>
      <c r="H3694" s="299"/>
      <c r="I3694" s="299"/>
      <c r="J3694" s="299"/>
      <c r="K3694" s="299"/>
      <c r="L3694" s="299"/>
    </row>
    <row r="3695" spans="1:12">
      <c r="A3695" s="299"/>
      <c r="B3695" s="322"/>
      <c r="G3695" s="299"/>
      <c r="H3695" s="299"/>
      <c r="I3695" s="299"/>
      <c r="J3695" s="299"/>
      <c r="K3695" s="299"/>
      <c r="L3695" s="299"/>
    </row>
    <row r="3696" spans="1:12">
      <c r="A3696" s="299"/>
      <c r="B3696" s="322"/>
      <c r="G3696" s="299"/>
      <c r="H3696" s="299"/>
      <c r="I3696" s="299"/>
      <c r="J3696" s="299"/>
      <c r="K3696" s="299"/>
      <c r="L3696" s="299"/>
    </row>
    <row r="3697" spans="1:12">
      <c r="A3697" s="299"/>
      <c r="B3697" s="322"/>
      <c r="G3697" s="299"/>
      <c r="H3697" s="299"/>
      <c r="I3697" s="299"/>
      <c r="J3697" s="299"/>
      <c r="K3697" s="299"/>
      <c r="L3697" s="299"/>
    </row>
    <row r="3698" spans="1:12">
      <c r="A3698" s="299"/>
      <c r="B3698" s="322"/>
      <c r="G3698" s="299"/>
      <c r="H3698" s="299"/>
      <c r="I3698" s="299"/>
      <c r="J3698" s="299"/>
      <c r="K3698" s="299"/>
      <c r="L3698" s="299"/>
    </row>
    <row r="3699" spans="1:12">
      <c r="A3699" s="299"/>
      <c r="B3699" s="322"/>
      <c r="G3699" s="299"/>
      <c r="H3699" s="299"/>
      <c r="I3699" s="299"/>
      <c r="J3699" s="299"/>
      <c r="K3699" s="299"/>
      <c r="L3699" s="299"/>
    </row>
    <row r="3700" spans="1:12">
      <c r="A3700" s="299"/>
      <c r="B3700" s="322"/>
      <c r="G3700" s="299"/>
      <c r="H3700" s="299"/>
      <c r="I3700" s="299"/>
      <c r="J3700" s="299"/>
      <c r="K3700" s="299"/>
      <c r="L3700" s="299"/>
    </row>
    <row r="3701" spans="1:12">
      <c r="A3701" s="299"/>
      <c r="B3701" s="322"/>
      <c r="G3701" s="299"/>
      <c r="H3701" s="299"/>
      <c r="I3701" s="299"/>
      <c r="J3701" s="299"/>
      <c r="K3701" s="299"/>
      <c r="L3701" s="299"/>
    </row>
    <row r="3702" spans="1:12">
      <c r="A3702" s="299"/>
      <c r="B3702" s="322"/>
      <c r="G3702" s="299"/>
      <c r="H3702" s="299"/>
      <c r="I3702" s="299"/>
      <c r="J3702" s="299"/>
      <c r="K3702" s="299"/>
      <c r="L3702" s="299"/>
    </row>
    <row r="3703" spans="1:12">
      <c r="A3703" s="299"/>
      <c r="B3703" s="322"/>
      <c r="G3703" s="299"/>
      <c r="H3703" s="299"/>
      <c r="I3703" s="299"/>
      <c r="J3703" s="299"/>
      <c r="K3703" s="299"/>
      <c r="L3703" s="299"/>
    </row>
    <row r="3704" spans="1:12">
      <c r="A3704" s="299"/>
      <c r="B3704" s="322"/>
      <c r="G3704" s="299"/>
      <c r="H3704" s="299"/>
      <c r="I3704" s="299"/>
      <c r="J3704" s="299"/>
      <c r="K3704" s="299"/>
      <c r="L3704" s="299"/>
    </row>
    <row r="3705" spans="1:12">
      <c r="A3705" s="299"/>
      <c r="B3705" s="322"/>
      <c r="G3705" s="299"/>
      <c r="H3705" s="299"/>
      <c r="I3705" s="299"/>
      <c r="J3705" s="299"/>
      <c r="K3705" s="299"/>
      <c r="L3705" s="299"/>
    </row>
    <row r="3706" spans="1:12">
      <c r="A3706" s="299"/>
      <c r="B3706" s="322"/>
      <c r="G3706" s="299"/>
      <c r="H3706" s="299"/>
      <c r="I3706" s="299"/>
      <c r="J3706" s="299"/>
      <c r="K3706" s="299"/>
      <c r="L3706" s="299"/>
    </row>
    <row r="3707" spans="1:12">
      <c r="A3707" s="299"/>
      <c r="B3707" s="322"/>
      <c r="G3707" s="299"/>
      <c r="H3707" s="299"/>
      <c r="I3707" s="299"/>
      <c r="J3707" s="299"/>
      <c r="K3707" s="299"/>
      <c r="L3707" s="299"/>
    </row>
    <row r="3708" spans="1:12">
      <c r="A3708" s="299"/>
      <c r="B3708" s="322"/>
      <c r="G3708" s="299"/>
      <c r="H3708" s="299"/>
      <c r="I3708" s="299"/>
      <c r="J3708" s="299"/>
      <c r="K3708" s="299"/>
      <c r="L3708" s="299"/>
    </row>
    <row r="3709" spans="1:12">
      <c r="A3709" s="299"/>
      <c r="B3709" s="322"/>
      <c r="G3709" s="299"/>
      <c r="H3709" s="299"/>
      <c r="I3709" s="299"/>
      <c r="J3709" s="299"/>
      <c r="K3709" s="299"/>
      <c r="L3709" s="299"/>
    </row>
    <row r="3710" spans="1:12">
      <c r="A3710" s="299"/>
      <c r="B3710" s="322"/>
      <c r="G3710" s="299"/>
      <c r="H3710" s="299"/>
      <c r="I3710" s="299"/>
      <c r="J3710" s="299"/>
      <c r="K3710" s="299"/>
      <c r="L3710" s="299"/>
    </row>
    <row r="3711" spans="1:12">
      <c r="A3711" s="299"/>
      <c r="B3711" s="322"/>
      <c r="G3711" s="299"/>
      <c r="H3711" s="299"/>
      <c r="I3711" s="299"/>
      <c r="J3711" s="299"/>
      <c r="K3711" s="299"/>
      <c r="L3711" s="299"/>
    </row>
    <row r="3712" spans="1:12">
      <c r="A3712" s="299"/>
      <c r="B3712" s="322"/>
      <c r="G3712" s="299"/>
      <c r="H3712" s="299"/>
      <c r="I3712" s="299"/>
      <c r="J3712" s="299"/>
      <c r="K3712" s="299"/>
      <c r="L3712" s="299"/>
    </row>
    <row r="3713" spans="1:12">
      <c r="A3713" s="299"/>
      <c r="B3713" s="322"/>
      <c r="G3713" s="299"/>
      <c r="H3713" s="299"/>
      <c r="I3713" s="299"/>
      <c r="J3713" s="299"/>
      <c r="K3713" s="299"/>
      <c r="L3713" s="299"/>
    </row>
    <row r="3714" spans="1:12">
      <c r="A3714" s="299"/>
      <c r="B3714" s="322"/>
      <c r="G3714" s="299"/>
      <c r="H3714" s="299"/>
      <c r="I3714" s="299"/>
      <c r="J3714" s="299"/>
      <c r="K3714" s="299"/>
      <c r="L3714" s="299"/>
    </row>
    <row r="3715" spans="1:12">
      <c r="A3715" s="299"/>
      <c r="B3715" s="322"/>
      <c r="G3715" s="299"/>
      <c r="H3715" s="299"/>
      <c r="I3715" s="299"/>
      <c r="J3715" s="299"/>
      <c r="K3715" s="299"/>
      <c r="L3715" s="299"/>
    </row>
    <row r="3716" spans="1:12">
      <c r="A3716" s="299"/>
      <c r="B3716" s="322"/>
      <c r="G3716" s="299"/>
      <c r="H3716" s="299"/>
      <c r="I3716" s="299"/>
      <c r="J3716" s="299"/>
      <c r="K3716" s="299"/>
      <c r="L3716" s="299"/>
    </row>
    <row r="3717" spans="1:12">
      <c r="A3717" s="299"/>
      <c r="B3717" s="322"/>
      <c r="G3717" s="299"/>
      <c r="H3717" s="299"/>
      <c r="I3717" s="299"/>
      <c r="J3717" s="299"/>
      <c r="K3717" s="299"/>
      <c r="L3717" s="299"/>
    </row>
    <row r="3718" spans="1:12">
      <c r="A3718" s="299"/>
      <c r="B3718" s="322"/>
      <c r="G3718" s="299"/>
      <c r="H3718" s="299"/>
      <c r="I3718" s="299"/>
      <c r="J3718" s="299"/>
      <c r="K3718" s="299"/>
      <c r="L3718" s="299"/>
    </row>
    <row r="3719" spans="1:12">
      <c r="A3719" s="299"/>
      <c r="B3719" s="322"/>
      <c r="G3719" s="299"/>
      <c r="H3719" s="299"/>
      <c r="I3719" s="299"/>
      <c r="J3719" s="299"/>
      <c r="K3719" s="299"/>
      <c r="L3719" s="299"/>
    </row>
    <row r="3720" spans="1:12">
      <c r="A3720" s="299"/>
      <c r="B3720" s="322"/>
      <c r="G3720" s="299"/>
      <c r="H3720" s="299"/>
      <c r="I3720" s="299"/>
      <c r="J3720" s="299"/>
      <c r="K3720" s="299"/>
      <c r="L3720" s="299"/>
    </row>
    <row r="3721" spans="1:12">
      <c r="A3721" s="299"/>
      <c r="B3721" s="322"/>
      <c r="G3721" s="299"/>
      <c r="H3721" s="299"/>
      <c r="I3721" s="299"/>
      <c r="J3721" s="299"/>
      <c r="K3721" s="299"/>
      <c r="L3721" s="299"/>
    </row>
    <row r="3722" spans="1:12">
      <c r="A3722" s="299"/>
      <c r="B3722" s="322"/>
      <c r="G3722" s="299"/>
      <c r="H3722" s="299"/>
      <c r="I3722" s="299"/>
      <c r="J3722" s="299"/>
      <c r="K3722" s="299"/>
      <c r="L3722" s="299"/>
    </row>
    <row r="3723" spans="1:12">
      <c r="A3723" s="299"/>
      <c r="B3723" s="322"/>
      <c r="G3723" s="299"/>
      <c r="H3723" s="299"/>
      <c r="I3723" s="299"/>
      <c r="J3723" s="299"/>
      <c r="K3723" s="299"/>
      <c r="L3723" s="299"/>
    </row>
    <row r="3724" spans="1:12">
      <c r="A3724" s="299"/>
      <c r="B3724" s="322"/>
      <c r="G3724" s="299"/>
      <c r="H3724" s="299"/>
      <c r="I3724" s="299"/>
      <c r="J3724" s="299"/>
      <c r="K3724" s="299"/>
      <c r="L3724" s="299"/>
    </row>
    <row r="3725" spans="1:12">
      <c r="A3725" s="299"/>
      <c r="B3725" s="322"/>
      <c r="G3725" s="299"/>
      <c r="H3725" s="299"/>
      <c r="I3725" s="299"/>
      <c r="J3725" s="299"/>
      <c r="K3725" s="299"/>
      <c r="L3725" s="299"/>
    </row>
    <row r="3727" spans="1:12" ht="31.15" customHeight="1"/>
    <row r="3730" spans="2:5" hidden="1"/>
    <row r="3731" spans="2:5" hidden="1"/>
    <row r="3732" spans="2:5" hidden="1"/>
    <row r="3733" spans="2:5" hidden="1"/>
    <row r="3734" spans="2:5" hidden="1">
      <c r="B3734" s="21"/>
      <c r="E3734" s="26"/>
    </row>
    <row r="3735" spans="2:5" hidden="1">
      <c r="B3735" s="21"/>
      <c r="E3735" s="26"/>
    </row>
    <row r="3736" spans="2:5" hidden="1">
      <c r="B3736" s="21"/>
      <c r="E3736" s="26"/>
    </row>
    <row r="3737" spans="2:5" hidden="1">
      <c r="B3737" s="21"/>
      <c r="E3737" s="26"/>
    </row>
    <row r="3738" spans="2:5" hidden="1">
      <c r="B3738" s="21"/>
      <c r="E3738" s="26"/>
    </row>
    <row r="3739" spans="2:5" hidden="1">
      <c r="B3739" s="21"/>
      <c r="E3739" s="26"/>
    </row>
    <row r="3740" spans="2:5" hidden="1">
      <c r="B3740" s="21"/>
      <c r="E3740" s="26"/>
    </row>
    <row r="3741" spans="2:5" hidden="1">
      <c r="B3741" s="21"/>
      <c r="E3741" s="26"/>
    </row>
    <row r="3742" spans="2:5" hidden="1">
      <c r="B3742" s="21"/>
      <c r="E3742" s="26"/>
    </row>
    <row r="3743" spans="2:5" hidden="1">
      <c r="B3743" s="21"/>
      <c r="E3743" s="26"/>
    </row>
    <row r="3744" spans="2:5" hidden="1">
      <c r="B3744" s="21"/>
      <c r="E3744" s="26"/>
    </row>
    <row r="3745" spans="2:5" hidden="1">
      <c r="B3745" s="21"/>
      <c r="E3745" s="26"/>
    </row>
    <row r="3746" spans="2:5" hidden="1">
      <c r="B3746" s="21"/>
      <c r="E3746" s="26"/>
    </row>
    <row r="3747" spans="2:5" hidden="1">
      <c r="B3747" s="21"/>
      <c r="E3747" s="26"/>
    </row>
    <row r="3748" spans="2:5" hidden="1">
      <c r="B3748" s="21"/>
      <c r="E3748" s="26"/>
    </row>
    <row r="3749" spans="2:5" hidden="1">
      <c r="B3749" s="21"/>
      <c r="E3749" s="26"/>
    </row>
    <row r="3750" spans="2:5" hidden="1">
      <c r="B3750" s="21"/>
      <c r="E3750" s="26"/>
    </row>
    <row r="3751" spans="2:5" hidden="1">
      <c r="B3751" s="21"/>
      <c r="E3751" s="26"/>
    </row>
    <row r="3752" spans="2:5" hidden="1">
      <c r="B3752" s="21"/>
      <c r="E3752" s="26"/>
    </row>
    <row r="3753" spans="2:5" hidden="1">
      <c r="B3753" s="21"/>
      <c r="E3753" s="26"/>
    </row>
    <row r="3754" spans="2:5" hidden="1">
      <c r="B3754" s="21"/>
      <c r="E3754" s="26"/>
    </row>
    <row r="3755" spans="2:5" hidden="1">
      <c r="B3755" s="21"/>
      <c r="E3755" s="26"/>
    </row>
    <row r="3756" spans="2:5" hidden="1">
      <c r="B3756" s="21"/>
      <c r="E3756" s="26"/>
    </row>
    <row r="3757" spans="2:5" hidden="1">
      <c r="B3757" s="21"/>
      <c r="E3757" s="26"/>
    </row>
    <row r="3758" spans="2:5" hidden="1">
      <c r="B3758" s="21"/>
      <c r="E3758" s="26"/>
    </row>
    <row r="3759" spans="2:5" hidden="1">
      <c r="B3759" s="21"/>
      <c r="E3759" s="26"/>
    </row>
    <row r="3760" spans="2:5" hidden="1">
      <c r="B3760" s="21"/>
      <c r="E3760" s="26"/>
    </row>
    <row r="3761" spans="2:5" hidden="1">
      <c r="B3761" s="21"/>
      <c r="E3761" s="26"/>
    </row>
    <row r="3762" spans="2:5" hidden="1">
      <c r="B3762" s="21"/>
      <c r="E3762" s="26"/>
    </row>
    <row r="3763" spans="2:5" hidden="1">
      <c r="B3763" s="21"/>
      <c r="E3763" s="26"/>
    </row>
    <row r="3764" spans="2:5" hidden="1">
      <c r="B3764" s="21"/>
      <c r="E3764" s="26"/>
    </row>
    <row r="3765" spans="2:5" hidden="1">
      <c r="B3765" s="21"/>
      <c r="E3765" s="26"/>
    </row>
    <row r="3766" spans="2:5" hidden="1">
      <c r="B3766" s="21"/>
      <c r="E3766" s="26"/>
    </row>
    <row r="3767" spans="2:5" hidden="1">
      <c r="B3767" s="21"/>
      <c r="E3767" s="26"/>
    </row>
    <row r="3768" spans="2:5" hidden="1">
      <c r="B3768" s="21"/>
      <c r="E3768" s="26"/>
    </row>
    <row r="3769" spans="2:5" hidden="1">
      <c r="B3769" s="21"/>
      <c r="E3769" s="26"/>
    </row>
    <row r="3770" spans="2:5" hidden="1">
      <c r="B3770" s="21"/>
      <c r="E3770" s="26"/>
    </row>
    <row r="3771" spans="2:5" hidden="1">
      <c r="B3771" s="21"/>
      <c r="E3771" s="26"/>
    </row>
    <row r="3772" spans="2:5" hidden="1">
      <c r="B3772" s="21"/>
      <c r="E3772" s="26"/>
    </row>
    <row r="3773" spans="2:5" hidden="1">
      <c r="B3773" s="21"/>
      <c r="E3773" s="26"/>
    </row>
    <row r="3774" spans="2:5" hidden="1">
      <c r="B3774" s="21"/>
      <c r="E3774" s="26"/>
    </row>
    <row r="3775" spans="2:5" hidden="1">
      <c r="B3775" s="21"/>
      <c r="E3775" s="26"/>
    </row>
    <row r="3776" spans="2:5" hidden="1">
      <c r="B3776" s="21"/>
      <c r="E3776" s="26"/>
    </row>
    <row r="3777" spans="2:5" hidden="1">
      <c r="B3777" s="21"/>
      <c r="E3777" s="26"/>
    </row>
    <row r="3778" spans="2:5" hidden="1">
      <c r="B3778" s="21"/>
      <c r="E3778" s="26"/>
    </row>
    <row r="3779" spans="2:5" hidden="1">
      <c r="B3779" s="21"/>
      <c r="E3779" s="26"/>
    </row>
    <row r="3780" spans="2:5" hidden="1">
      <c r="B3780" s="21"/>
      <c r="E3780" s="26"/>
    </row>
    <row r="3781" spans="2:5" hidden="1">
      <c r="B3781" s="21"/>
      <c r="E3781" s="26"/>
    </row>
    <row r="3782" spans="2:5" hidden="1">
      <c r="B3782" s="21"/>
      <c r="E3782" s="26"/>
    </row>
    <row r="3783" spans="2:5" hidden="1">
      <c r="B3783" s="21"/>
      <c r="E3783" s="26"/>
    </row>
    <row r="3784" spans="2:5" hidden="1">
      <c r="B3784" s="21"/>
      <c r="E3784" s="26"/>
    </row>
    <row r="3785" spans="2:5" hidden="1">
      <c r="B3785" s="21"/>
      <c r="E3785" s="26"/>
    </row>
    <row r="3786" spans="2:5" hidden="1">
      <c r="B3786" s="21"/>
      <c r="E3786" s="26"/>
    </row>
    <row r="3787" spans="2:5" hidden="1">
      <c r="B3787" s="21"/>
      <c r="E3787" s="26"/>
    </row>
    <row r="3788" spans="2:5" hidden="1">
      <c r="B3788" s="21"/>
      <c r="E3788" s="26"/>
    </row>
    <row r="3789" spans="2:5" hidden="1">
      <c r="B3789" s="21"/>
      <c r="E3789" s="26"/>
    </row>
    <row r="3790" spans="2:5" hidden="1">
      <c r="B3790" s="21"/>
      <c r="E3790" s="26"/>
    </row>
    <row r="3791" spans="2:5" hidden="1">
      <c r="B3791" s="21"/>
      <c r="E3791" s="26"/>
    </row>
    <row r="3792" spans="2:5" hidden="1">
      <c r="B3792" s="21"/>
      <c r="E3792" s="26"/>
    </row>
    <row r="3793" spans="2:5" hidden="1">
      <c r="B3793" s="21"/>
      <c r="E3793" s="26"/>
    </row>
    <row r="3794" spans="2:5" hidden="1">
      <c r="B3794" s="21"/>
      <c r="E3794" s="26"/>
    </row>
    <row r="3795" spans="2:5" hidden="1">
      <c r="B3795" s="21"/>
      <c r="E3795" s="26"/>
    </row>
    <row r="3796" spans="2:5" hidden="1">
      <c r="B3796" s="21"/>
      <c r="E3796" s="26"/>
    </row>
    <row r="3797" spans="2:5" hidden="1">
      <c r="B3797" s="21"/>
      <c r="E3797" s="26"/>
    </row>
    <row r="3798" spans="2:5" hidden="1">
      <c r="B3798" s="21"/>
      <c r="E3798" s="26"/>
    </row>
    <row r="3799" spans="2:5" hidden="1">
      <c r="B3799" s="21"/>
      <c r="E3799" s="26"/>
    </row>
    <row r="3800" spans="2:5" hidden="1">
      <c r="B3800" s="21"/>
      <c r="E3800" s="26"/>
    </row>
    <row r="3801" spans="2:5" hidden="1">
      <c r="B3801" s="21"/>
      <c r="E3801" s="26"/>
    </row>
    <row r="3802" spans="2:5" hidden="1">
      <c r="B3802" s="21"/>
      <c r="E3802" s="26"/>
    </row>
    <row r="3803" spans="2:5" hidden="1">
      <c r="B3803" s="21"/>
      <c r="E3803" s="26"/>
    </row>
    <row r="3804" spans="2:5" hidden="1">
      <c r="B3804" s="21"/>
      <c r="E3804" s="26"/>
    </row>
    <row r="3805" spans="2:5" hidden="1">
      <c r="B3805" s="21"/>
      <c r="E3805" s="26"/>
    </row>
    <row r="3806" spans="2:5" hidden="1">
      <c r="B3806" s="21"/>
      <c r="E3806" s="26"/>
    </row>
    <row r="3807" spans="2:5" hidden="1">
      <c r="B3807" s="21"/>
      <c r="E3807" s="26"/>
    </row>
    <row r="3808" spans="2:5" hidden="1">
      <c r="B3808" s="21"/>
      <c r="E3808" s="26"/>
    </row>
    <row r="3809" spans="2:5" hidden="1">
      <c r="B3809" s="21"/>
      <c r="E3809" s="26"/>
    </row>
    <row r="3810" spans="2:5" hidden="1">
      <c r="B3810" s="21"/>
      <c r="E3810" s="26"/>
    </row>
    <row r="3811" spans="2:5" hidden="1">
      <c r="B3811" s="21"/>
      <c r="E3811" s="26"/>
    </row>
    <row r="3812" spans="2:5" hidden="1">
      <c r="B3812" s="21"/>
      <c r="E3812" s="26"/>
    </row>
    <row r="3813" spans="2:5" hidden="1">
      <c r="B3813" s="21"/>
      <c r="E3813" s="26"/>
    </row>
    <row r="3814" spans="2:5" hidden="1">
      <c r="B3814" s="21"/>
      <c r="E3814" s="26"/>
    </row>
    <row r="3815" spans="2:5" hidden="1">
      <c r="B3815" s="21"/>
      <c r="E3815" s="26"/>
    </row>
    <row r="3816" spans="2:5" hidden="1">
      <c r="B3816" s="21"/>
      <c r="E3816" s="26"/>
    </row>
    <row r="3817" spans="2:5" hidden="1">
      <c r="B3817" s="21"/>
      <c r="E3817" s="26"/>
    </row>
    <row r="3818" spans="2:5" hidden="1">
      <c r="B3818" s="21"/>
      <c r="E3818" s="26"/>
    </row>
    <row r="3819" spans="2:5" hidden="1">
      <c r="B3819" s="21"/>
      <c r="E3819" s="26"/>
    </row>
    <row r="3820" spans="2:5" hidden="1">
      <c r="B3820" s="21"/>
      <c r="E3820" s="26"/>
    </row>
    <row r="3821" spans="2:5" hidden="1">
      <c r="B3821" s="21"/>
      <c r="E3821" s="26"/>
    </row>
    <row r="3822" spans="2:5" hidden="1">
      <c r="B3822" s="21"/>
      <c r="E3822" s="26"/>
    </row>
    <row r="3823" spans="2:5" hidden="1">
      <c r="B3823" s="21"/>
      <c r="E3823" s="26"/>
    </row>
    <row r="3824" spans="2:5" hidden="1">
      <c r="B3824" s="21"/>
      <c r="E3824" s="26"/>
    </row>
    <row r="3825" spans="2:5" hidden="1">
      <c r="B3825" s="21"/>
      <c r="E3825" s="26"/>
    </row>
    <row r="3826" spans="2:5" hidden="1">
      <c r="B3826" s="21"/>
      <c r="E3826" s="26"/>
    </row>
    <row r="3827" spans="2:5" hidden="1">
      <c r="B3827" s="21"/>
      <c r="E3827" s="26"/>
    </row>
    <row r="3828" spans="2:5" hidden="1">
      <c r="B3828" s="21"/>
      <c r="E3828" s="26"/>
    </row>
    <row r="3829" spans="2:5" hidden="1">
      <c r="B3829" s="21"/>
      <c r="E3829" s="26"/>
    </row>
    <row r="3830" spans="2:5" hidden="1">
      <c r="B3830" s="21"/>
      <c r="E3830" s="26"/>
    </row>
    <row r="3831" spans="2:5" hidden="1">
      <c r="B3831" s="21"/>
      <c r="E3831" s="26"/>
    </row>
    <row r="3832" spans="2:5" hidden="1">
      <c r="B3832" s="21"/>
      <c r="E3832" s="26"/>
    </row>
    <row r="3833" spans="2:5" hidden="1">
      <c r="B3833" s="21"/>
      <c r="E3833" s="26"/>
    </row>
    <row r="3834" spans="2:5" hidden="1">
      <c r="B3834" s="21"/>
      <c r="E3834" s="26"/>
    </row>
    <row r="3835" spans="2:5" hidden="1">
      <c r="B3835" s="21"/>
      <c r="E3835" s="26"/>
    </row>
    <row r="3836" spans="2:5" hidden="1">
      <c r="B3836" s="21"/>
      <c r="E3836" s="26"/>
    </row>
    <row r="3837" spans="2:5" hidden="1">
      <c r="B3837" s="21"/>
      <c r="E3837" s="26"/>
    </row>
    <row r="3838" spans="2:5" hidden="1">
      <c r="B3838" s="21"/>
      <c r="E3838" s="26"/>
    </row>
    <row r="3839" spans="2:5" hidden="1">
      <c r="B3839" s="21"/>
      <c r="E3839" s="26"/>
    </row>
    <row r="3840" spans="2:5" hidden="1">
      <c r="B3840" s="21"/>
      <c r="E3840" s="26"/>
    </row>
  </sheetData>
  <printOptions horizontalCentered="1"/>
  <pageMargins left="0.39370078740157483" right="0.39370078740157483" top="0.59055118110236227" bottom="0.78740157480314965" header="0.15748031496062992" footer="0.59055118110236227"/>
  <pageSetup paperSize="9" scale="42" firstPageNumber="5" fitToHeight="2" orientation="landscape" useFirstPageNumber="1" r:id="rId1"/>
  <headerFooter alignWithMargins="0">
    <oddFooter>&amp;C&amp;12página &amp;P</oddFooter>
  </headerFooter>
  <rowBreaks count="1" manualBreakCount="1">
    <brk id="57" max="5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65"/>
  <sheetViews>
    <sheetView showGridLines="0" view="pageBreakPreview" topLeftCell="A37" zoomScale="80" zoomScaleNormal="90" zoomScaleSheetLayoutView="80" workbookViewId="0">
      <selection activeCell="F13" sqref="F13"/>
    </sheetView>
  </sheetViews>
  <sheetFormatPr defaultRowHeight="12.75"/>
  <cols>
    <col min="1" max="1" width="24.5703125" customWidth="1"/>
    <col min="2" max="2" width="23.7109375" bestFit="1" customWidth="1"/>
    <col min="3" max="3" width="19.5703125" style="5" customWidth="1"/>
    <col min="4" max="4" width="130.42578125" style="334" customWidth="1"/>
    <col min="5" max="5" width="17.28515625" customWidth="1"/>
  </cols>
  <sheetData>
    <row r="1" spans="1:5" ht="33.75">
      <c r="A1" s="54"/>
      <c r="B1" s="55" t="s">
        <v>74</v>
      </c>
      <c r="D1" s="786"/>
    </row>
    <row r="2" spans="1:5" ht="30">
      <c r="A2" s="20"/>
      <c r="B2" s="20"/>
      <c r="C2" s="786" t="s">
        <v>75</v>
      </c>
      <c r="D2" s="786"/>
    </row>
    <row r="3" spans="1:5" ht="27.75">
      <c r="A3" s="57"/>
      <c r="B3" s="57"/>
      <c r="C3" s="787"/>
      <c r="D3" s="944" t="str">
        <f>Resumo!E3</f>
        <v>Abril-16</v>
      </c>
    </row>
    <row r="4" spans="1:5" ht="12.6" customHeight="1">
      <c r="D4" s="788"/>
    </row>
    <row r="5" spans="1:5" ht="31.5">
      <c r="A5" s="60" t="s">
        <v>76</v>
      </c>
      <c r="B5" s="60" t="s">
        <v>77</v>
      </c>
      <c r="C5" s="355" t="s">
        <v>78</v>
      </c>
      <c r="D5" s="355" t="s">
        <v>397</v>
      </c>
    </row>
    <row r="6" spans="1:5" ht="14.25">
      <c r="A6" s="63" t="s">
        <v>82</v>
      </c>
      <c r="B6" s="62" t="s">
        <v>79</v>
      </c>
      <c r="C6" s="269">
        <v>2.88</v>
      </c>
      <c r="D6" s="352" t="s">
        <v>7808</v>
      </c>
      <c r="E6" s="72"/>
    </row>
    <row r="7" spans="1:5" ht="14.25">
      <c r="A7" s="63" t="s">
        <v>82</v>
      </c>
      <c r="B7" s="62" t="s">
        <v>79</v>
      </c>
      <c r="C7" s="269">
        <v>33.31</v>
      </c>
      <c r="D7" s="352" t="s">
        <v>7468</v>
      </c>
      <c r="E7" s="72"/>
    </row>
    <row r="8" spans="1:5" ht="14.25">
      <c r="A8" s="63" t="s">
        <v>82</v>
      </c>
      <c r="B8" s="62" t="s">
        <v>79</v>
      </c>
      <c r="C8" s="269">
        <v>366.42</v>
      </c>
      <c r="D8" s="352" t="s">
        <v>7803</v>
      </c>
      <c r="E8" s="72"/>
    </row>
    <row r="9" spans="1:5" ht="14.25">
      <c r="A9" s="63" t="s">
        <v>82</v>
      </c>
      <c r="B9" s="62" t="s">
        <v>79</v>
      </c>
      <c r="C9" s="269">
        <v>1507.02</v>
      </c>
      <c r="D9" s="352" t="s">
        <v>7809</v>
      </c>
      <c r="E9" s="72"/>
    </row>
    <row r="10" spans="1:5" ht="14.25">
      <c r="A10" s="63" t="s">
        <v>82</v>
      </c>
      <c r="B10" s="62" t="s">
        <v>79</v>
      </c>
      <c r="C10" s="269">
        <v>2643.26</v>
      </c>
      <c r="D10" s="352" t="s">
        <v>7810</v>
      </c>
      <c r="E10" s="72"/>
    </row>
    <row r="11" spans="1:5" ht="14.25">
      <c r="A11" s="63" t="s">
        <v>82</v>
      </c>
      <c r="B11" s="62" t="s">
        <v>79</v>
      </c>
      <c r="C11" s="269">
        <v>22.22</v>
      </c>
      <c r="D11" s="352" t="s">
        <v>7811</v>
      </c>
      <c r="E11" s="72"/>
    </row>
    <row r="12" spans="1:5" ht="14.25">
      <c r="A12" s="63" t="s">
        <v>82</v>
      </c>
      <c r="B12" s="62" t="s">
        <v>79</v>
      </c>
      <c r="C12" s="269">
        <v>70.45</v>
      </c>
      <c r="D12" s="352" t="s">
        <v>7754</v>
      </c>
      <c r="E12" s="72"/>
    </row>
    <row r="13" spans="1:5" ht="14.25">
      <c r="A13" s="63" t="s">
        <v>82</v>
      </c>
      <c r="B13" s="62" t="s">
        <v>79</v>
      </c>
      <c r="C13" s="269">
        <v>133.24</v>
      </c>
      <c r="D13" s="352" t="s">
        <v>7753</v>
      </c>
      <c r="E13" s="72"/>
    </row>
    <row r="14" spans="1:5" ht="14.25">
      <c r="A14" s="63" t="s">
        <v>82</v>
      </c>
      <c r="B14" s="62" t="s">
        <v>79</v>
      </c>
      <c r="C14" s="269">
        <v>46.35</v>
      </c>
      <c r="D14" s="352" t="s">
        <v>7756</v>
      </c>
      <c r="E14" s="72"/>
    </row>
    <row r="15" spans="1:5" ht="14.25">
      <c r="A15" s="63" t="s">
        <v>82</v>
      </c>
      <c r="B15" s="62" t="s">
        <v>79</v>
      </c>
      <c r="C15" s="269">
        <v>68.599999999999994</v>
      </c>
      <c r="D15" s="352" t="s">
        <v>7812</v>
      </c>
      <c r="E15" s="72"/>
    </row>
    <row r="16" spans="1:5" ht="14.25">
      <c r="A16" s="63" t="s">
        <v>82</v>
      </c>
      <c r="B16" s="62" t="s">
        <v>79</v>
      </c>
      <c r="C16" s="269">
        <v>97.26</v>
      </c>
      <c r="D16" s="352" t="s">
        <v>7813</v>
      </c>
      <c r="E16" s="72"/>
    </row>
    <row r="17" spans="1:5" ht="14.25">
      <c r="A17" s="63" t="s">
        <v>82</v>
      </c>
      <c r="B17" s="62" t="s">
        <v>79</v>
      </c>
      <c r="C17" s="269">
        <v>26854.43</v>
      </c>
      <c r="D17" s="352" t="s">
        <v>7814</v>
      </c>
      <c r="E17" s="72"/>
    </row>
    <row r="18" spans="1:5" ht="14.25">
      <c r="A18" s="63" t="s">
        <v>82</v>
      </c>
      <c r="B18" s="62" t="s">
        <v>79</v>
      </c>
      <c r="C18" s="269">
        <v>30022.880000000001</v>
      </c>
      <c r="D18" s="352" t="s">
        <v>7815</v>
      </c>
      <c r="E18" s="72"/>
    </row>
    <row r="19" spans="1:5" ht="24" customHeight="1">
      <c r="A19" s="64" t="s">
        <v>81</v>
      </c>
      <c r="B19" s="65"/>
      <c r="C19" s="353">
        <f>SUM(C6:C18)</f>
        <v>61868.320000000007</v>
      </c>
      <c r="D19" s="945"/>
    </row>
    <row r="20" spans="1:5" ht="13.7" customHeight="1">
      <c r="A20" s="1094"/>
      <c r="B20" s="1095"/>
      <c r="C20" s="1095"/>
      <c r="D20" s="1096"/>
    </row>
    <row r="21" spans="1:5" ht="31.5">
      <c r="A21" s="60" t="s">
        <v>76</v>
      </c>
      <c r="B21" s="60" t="s">
        <v>77</v>
      </c>
      <c r="C21" s="355" t="s">
        <v>78</v>
      </c>
      <c r="D21" s="355" t="s">
        <v>443</v>
      </c>
    </row>
    <row r="22" spans="1:5" ht="18" customHeight="1">
      <c r="A22" s="68" t="s">
        <v>80</v>
      </c>
      <c r="B22" s="61" t="s">
        <v>79</v>
      </c>
      <c r="C22" s="269">
        <v>1032.08</v>
      </c>
      <c r="D22" s="352" t="s">
        <v>7813</v>
      </c>
    </row>
    <row r="23" spans="1:5" ht="18" customHeight="1">
      <c r="A23" s="68" t="s">
        <v>80</v>
      </c>
      <c r="B23" s="61" t="s">
        <v>79</v>
      </c>
      <c r="C23" s="269">
        <v>3849.76</v>
      </c>
      <c r="D23" s="352" t="s">
        <v>7853</v>
      </c>
    </row>
    <row r="24" spans="1:5" ht="18" customHeight="1">
      <c r="A24" s="68" t="s">
        <v>80</v>
      </c>
      <c r="B24" s="61" t="s">
        <v>79</v>
      </c>
      <c r="C24" s="269">
        <v>181.45</v>
      </c>
      <c r="D24" s="352" t="s">
        <v>7816</v>
      </c>
    </row>
    <row r="25" spans="1:5" ht="18" customHeight="1">
      <c r="A25" s="68" t="s">
        <v>80</v>
      </c>
      <c r="B25" s="61" t="s">
        <v>79</v>
      </c>
      <c r="C25" s="269">
        <v>502.92</v>
      </c>
      <c r="D25" s="352" t="s">
        <v>7817</v>
      </c>
    </row>
    <row r="26" spans="1:5" ht="18" customHeight="1">
      <c r="A26" s="68" t="s">
        <v>80</v>
      </c>
      <c r="B26" s="61" t="s">
        <v>79</v>
      </c>
      <c r="C26" s="269">
        <v>65.150000000000006</v>
      </c>
      <c r="D26" s="352" t="s">
        <v>7821</v>
      </c>
    </row>
    <row r="27" spans="1:5" ht="18" customHeight="1">
      <c r="A27" s="68" t="s">
        <v>80</v>
      </c>
      <c r="B27" s="61" t="s">
        <v>79</v>
      </c>
      <c r="C27" s="269">
        <v>23.21</v>
      </c>
      <c r="D27" s="352" t="s">
        <v>7818</v>
      </c>
    </row>
    <row r="28" spans="1:5" ht="18" customHeight="1">
      <c r="A28" s="68" t="s">
        <v>80</v>
      </c>
      <c r="B28" s="61" t="s">
        <v>79</v>
      </c>
      <c r="C28" s="269">
        <v>449.16</v>
      </c>
      <c r="D28" s="352" t="s">
        <v>7819</v>
      </c>
    </row>
    <row r="29" spans="1:5" ht="18" customHeight="1">
      <c r="A29" s="68" t="s">
        <v>80</v>
      </c>
      <c r="B29" s="61" t="s">
        <v>79</v>
      </c>
      <c r="C29" s="269">
        <v>717.33</v>
      </c>
      <c r="D29" s="352" t="s">
        <v>7820</v>
      </c>
    </row>
    <row r="30" spans="1:5" ht="24" customHeight="1">
      <c r="A30" s="64" t="s">
        <v>81</v>
      </c>
      <c r="B30" s="65"/>
      <c r="C30" s="353">
        <f>SUM(C22:C29)</f>
        <v>6821.0599999999995</v>
      </c>
      <c r="D30" s="945"/>
    </row>
    <row r="31" spans="1:5" ht="13.7" customHeight="1">
      <c r="A31" s="1094"/>
      <c r="B31" s="1095"/>
      <c r="C31" s="1095"/>
      <c r="D31" s="1096"/>
    </row>
    <row r="32" spans="1:5" ht="31.5">
      <c r="A32" s="60" t="s">
        <v>76</v>
      </c>
      <c r="B32" s="60" t="s">
        <v>77</v>
      </c>
      <c r="C32" s="355" t="s">
        <v>78</v>
      </c>
      <c r="D32" s="355" t="s">
        <v>2082</v>
      </c>
    </row>
    <row r="33" spans="1:5" ht="18" customHeight="1">
      <c r="A33" s="62" t="s">
        <v>83</v>
      </c>
      <c r="B33" s="62" t="s">
        <v>82</v>
      </c>
      <c r="C33" s="752">
        <v>0</v>
      </c>
      <c r="D33" s="352" t="s">
        <v>7836</v>
      </c>
      <c r="E33" s="72"/>
    </row>
    <row r="34" spans="1:5" ht="24" customHeight="1">
      <c r="A34" s="64" t="s">
        <v>81</v>
      </c>
      <c r="B34" s="65"/>
      <c r="C34" s="353">
        <f>SUM(C33:C33)</f>
        <v>0</v>
      </c>
      <c r="D34" s="945"/>
    </row>
    <row r="35" spans="1:5" ht="13.7" customHeight="1">
      <c r="A35" s="1097"/>
      <c r="B35" s="1098"/>
      <c r="C35" s="1098"/>
      <c r="D35" s="1099"/>
    </row>
    <row r="36" spans="1:5" ht="31.5">
      <c r="A36" s="60" t="s">
        <v>76</v>
      </c>
      <c r="B36" s="60" t="s">
        <v>77</v>
      </c>
      <c r="C36" s="355" t="s">
        <v>78</v>
      </c>
      <c r="D36" s="355" t="s">
        <v>2083</v>
      </c>
    </row>
    <row r="37" spans="1:5" ht="18" customHeight="1">
      <c r="A37" s="68" t="s">
        <v>2081</v>
      </c>
      <c r="B37" s="61" t="s">
        <v>82</v>
      </c>
      <c r="C37" s="269">
        <v>453.23</v>
      </c>
      <c r="D37" s="352" t="s">
        <v>7779</v>
      </c>
    </row>
    <row r="38" spans="1:5" ht="18" customHeight="1">
      <c r="A38" s="68" t="s">
        <v>2081</v>
      </c>
      <c r="B38" s="61" t="s">
        <v>82</v>
      </c>
      <c r="C38" s="269">
        <v>82.41</v>
      </c>
      <c r="D38" s="352" t="s">
        <v>7780</v>
      </c>
    </row>
    <row r="39" spans="1:5" ht="18" customHeight="1">
      <c r="A39" s="68" t="s">
        <v>2081</v>
      </c>
      <c r="B39" s="61" t="s">
        <v>82</v>
      </c>
      <c r="C39" s="269">
        <v>41.2</v>
      </c>
      <c r="D39" s="352" t="s">
        <v>7837</v>
      </c>
    </row>
    <row r="40" spans="1:5" ht="18" customHeight="1">
      <c r="A40" s="68" t="s">
        <v>2081</v>
      </c>
      <c r="B40" s="61" t="s">
        <v>82</v>
      </c>
      <c r="C40" s="269">
        <v>3351.88</v>
      </c>
      <c r="D40" s="352" t="s">
        <v>7801</v>
      </c>
    </row>
    <row r="41" spans="1:5" ht="24" customHeight="1">
      <c r="A41" s="64" t="s">
        <v>81</v>
      </c>
      <c r="B41" s="65"/>
      <c r="C41" s="353">
        <f>SUM(C37:C40)</f>
        <v>3928.7200000000003</v>
      </c>
      <c r="D41" s="945"/>
    </row>
    <row r="42" spans="1:5" ht="12.75" customHeight="1">
      <c r="A42" s="64"/>
      <c r="B42" s="65"/>
      <c r="C42" s="353"/>
      <c r="D42" s="945"/>
    </row>
    <row r="43" spans="1:5" ht="31.5">
      <c r="A43" s="60" t="s">
        <v>76</v>
      </c>
      <c r="B43" s="60" t="s">
        <v>77</v>
      </c>
      <c r="C43" s="355" t="s">
        <v>78</v>
      </c>
      <c r="D43" s="355" t="s">
        <v>2084</v>
      </c>
    </row>
    <row r="44" spans="1:5" ht="18" customHeight="1">
      <c r="A44" s="68" t="s">
        <v>2081</v>
      </c>
      <c r="B44" s="61" t="s">
        <v>80</v>
      </c>
      <c r="C44" s="269">
        <v>10673.83</v>
      </c>
      <c r="D44" s="352" t="s">
        <v>7762</v>
      </c>
    </row>
    <row r="45" spans="1:5" ht="18" customHeight="1">
      <c r="A45" s="68" t="s">
        <v>2081</v>
      </c>
      <c r="B45" s="61" t="s">
        <v>80</v>
      </c>
      <c r="C45" s="269">
        <v>84.14</v>
      </c>
      <c r="D45" s="352" t="s">
        <v>4320</v>
      </c>
    </row>
    <row r="46" spans="1:5" ht="18" customHeight="1">
      <c r="A46" s="68" t="s">
        <v>2081</v>
      </c>
      <c r="B46" s="61" t="s">
        <v>80</v>
      </c>
      <c r="C46" s="269">
        <v>16904.29</v>
      </c>
      <c r="D46" s="352" t="s">
        <v>7822</v>
      </c>
    </row>
    <row r="47" spans="1:5" ht="18" customHeight="1">
      <c r="A47" s="68" t="s">
        <v>2081</v>
      </c>
      <c r="B47" s="61" t="s">
        <v>80</v>
      </c>
      <c r="C47" s="269">
        <v>1080</v>
      </c>
      <c r="D47" s="352" t="s">
        <v>7822</v>
      </c>
    </row>
    <row r="48" spans="1:5" ht="18" customHeight="1">
      <c r="A48" s="68" t="s">
        <v>2081</v>
      </c>
      <c r="B48" s="61" t="s">
        <v>80</v>
      </c>
      <c r="C48" s="269">
        <v>12674.48</v>
      </c>
      <c r="D48" s="352" t="s">
        <v>7823</v>
      </c>
    </row>
    <row r="49" spans="1:4" ht="18" customHeight="1">
      <c r="A49" s="68" t="s">
        <v>2081</v>
      </c>
      <c r="B49" s="61" t="s">
        <v>80</v>
      </c>
      <c r="C49" s="269">
        <v>14.48</v>
      </c>
      <c r="D49" s="352" t="s">
        <v>7824</v>
      </c>
    </row>
    <row r="50" spans="1:4" ht="18" customHeight="1">
      <c r="A50" s="68" t="s">
        <v>2081</v>
      </c>
      <c r="B50" s="61" t="s">
        <v>80</v>
      </c>
      <c r="C50" s="269">
        <v>676</v>
      </c>
      <c r="D50" s="352" t="s">
        <v>7825</v>
      </c>
    </row>
    <row r="51" spans="1:4" ht="18" customHeight="1">
      <c r="A51" s="68" t="s">
        <v>2081</v>
      </c>
      <c r="B51" s="61" t="s">
        <v>80</v>
      </c>
      <c r="C51" s="269">
        <v>381.65</v>
      </c>
      <c r="D51" s="352" t="s">
        <v>7826</v>
      </c>
    </row>
    <row r="52" spans="1:4" ht="18" customHeight="1">
      <c r="A52" s="68" t="s">
        <v>2081</v>
      </c>
      <c r="B52" s="61" t="s">
        <v>80</v>
      </c>
      <c r="C52" s="269">
        <v>38.24</v>
      </c>
      <c r="D52" s="352" t="s">
        <v>7827</v>
      </c>
    </row>
    <row r="53" spans="1:4" ht="18" customHeight="1">
      <c r="A53" s="68" t="s">
        <v>2081</v>
      </c>
      <c r="B53" s="61" t="s">
        <v>80</v>
      </c>
      <c r="C53" s="269">
        <v>2659.63</v>
      </c>
      <c r="D53" s="352" t="s">
        <v>7828</v>
      </c>
    </row>
    <row r="54" spans="1:4" ht="18" customHeight="1">
      <c r="A54" s="68" t="s">
        <v>2081</v>
      </c>
      <c r="B54" s="61" t="s">
        <v>80</v>
      </c>
      <c r="C54" s="269">
        <v>286.22000000000003</v>
      </c>
      <c r="D54" s="352" t="s">
        <v>4544</v>
      </c>
    </row>
    <row r="55" spans="1:4" ht="18" customHeight="1">
      <c r="A55" s="68" t="s">
        <v>2081</v>
      </c>
      <c r="B55" s="61" t="s">
        <v>80</v>
      </c>
      <c r="C55" s="269">
        <v>4838</v>
      </c>
      <c r="D55" s="352" t="s">
        <v>7829</v>
      </c>
    </row>
    <row r="56" spans="1:4" ht="18" customHeight="1">
      <c r="A56" s="68" t="s">
        <v>2081</v>
      </c>
      <c r="B56" s="61" t="s">
        <v>80</v>
      </c>
      <c r="C56" s="269">
        <v>190.12</v>
      </c>
      <c r="D56" s="352" t="s">
        <v>5332</v>
      </c>
    </row>
    <row r="57" spans="1:4" ht="18" customHeight="1">
      <c r="A57" s="68" t="s">
        <v>2081</v>
      </c>
      <c r="B57" s="61" t="s">
        <v>80</v>
      </c>
      <c r="C57" s="269">
        <v>11.23</v>
      </c>
      <c r="D57" s="352" t="s">
        <v>3429</v>
      </c>
    </row>
    <row r="58" spans="1:4" ht="18" customHeight="1">
      <c r="A58" s="68" t="s">
        <v>2081</v>
      </c>
      <c r="B58" s="61" t="s">
        <v>80</v>
      </c>
      <c r="C58" s="269">
        <v>7.64</v>
      </c>
      <c r="D58" s="352" t="s">
        <v>7830</v>
      </c>
    </row>
    <row r="59" spans="1:4" ht="18" customHeight="1">
      <c r="A59" s="68" t="s">
        <v>2081</v>
      </c>
      <c r="B59" s="61" t="s">
        <v>80</v>
      </c>
      <c r="C59" s="269">
        <v>66.19</v>
      </c>
      <c r="D59" s="352" t="s">
        <v>7831</v>
      </c>
    </row>
    <row r="60" spans="1:4" ht="18" customHeight="1">
      <c r="A60" s="68" t="s">
        <v>2081</v>
      </c>
      <c r="B60" s="61" t="s">
        <v>80</v>
      </c>
      <c r="C60" s="269">
        <v>2131.5</v>
      </c>
      <c r="D60" s="352" t="s">
        <v>7832</v>
      </c>
    </row>
    <row r="61" spans="1:4" ht="18" customHeight="1">
      <c r="A61" s="68" t="s">
        <v>2081</v>
      </c>
      <c r="B61" s="61" t="s">
        <v>80</v>
      </c>
      <c r="C61" s="269">
        <v>212.8</v>
      </c>
      <c r="D61" s="352" t="s">
        <v>7833</v>
      </c>
    </row>
    <row r="62" spans="1:4" ht="18" customHeight="1">
      <c r="A62" s="68" t="s">
        <v>2081</v>
      </c>
      <c r="B62" s="61" t="s">
        <v>80</v>
      </c>
      <c r="C62" s="269">
        <v>3494.03</v>
      </c>
      <c r="D62" s="352" t="s">
        <v>7834</v>
      </c>
    </row>
    <row r="63" spans="1:4" ht="18" customHeight="1">
      <c r="A63" s="68" t="s">
        <v>2081</v>
      </c>
      <c r="B63" s="61" t="s">
        <v>80</v>
      </c>
      <c r="C63" s="269">
        <v>11</v>
      </c>
      <c r="D63" s="352" t="s">
        <v>7835</v>
      </c>
    </row>
    <row r="64" spans="1:4" ht="24" customHeight="1">
      <c r="A64" s="64" t="s">
        <v>81</v>
      </c>
      <c r="B64" s="65"/>
      <c r="C64" s="353">
        <f>SUM(C44:C63)</f>
        <v>56435.470000000016</v>
      </c>
      <c r="D64" s="791">
        <f>C19+C30+C34++C41+C64</f>
        <v>129053.57000000002</v>
      </c>
    </row>
    <row r="65" spans="1:4" ht="30" customHeight="1">
      <c r="A65" s="1093" t="s">
        <v>2085</v>
      </c>
      <c r="B65" s="1093"/>
      <c r="C65" s="1093"/>
      <c r="D65" s="1093"/>
    </row>
  </sheetData>
  <mergeCells count="4">
    <mergeCell ref="A65:D65"/>
    <mergeCell ref="A20:D20"/>
    <mergeCell ref="A31:D31"/>
    <mergeCell ref="A35:D35"/>
  </mergeCells>
  <printOptions horizontalCentered="1"/>
  <pageMargins left="0.78740157480314965" right="0.78740157480314965" top="0.59055118110236227" bottom="0.78740157480314965" header="0.51181102362204722" footer="0.59055118110236227"/>
  <pageSetup paperSize="9" scale="56" firstPageNumber="7" fitToHeight="2" orientation="landscape" useFirstPageNumber="1" r:id="rId1"/>
  <headerFooter alignWithMargins="0">
    <oddFooter>&amp;C&amp;12página &amp;P</oddFooter>
  </headerFooter>
  <rowBreaks count="1" manualBreakCount="1">
    <brk id="42" max="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75"/>
  <sheetViews>
    <sheetView showGridLines="0" view="pageBreakPreview" topLeftCell="A31" zoomScale="85" zoomScaleNormal="100" zoomScaleSheetLayoutView="85" workbookViewId="0">
      <selection activeCell="F13" sqref="F13"/>
    </sheetView>
  </sheetViews>
  <sheetFormatPr defaultRowHeight="12.75"/>
  <cols>
    <col min="1" max="1" width="18.28515625" customWidth="1"/>
    <col min="2" max="2" width="48" customWidth="1"/>
    <col min="3" max="3" width="24.7109375" customWidth="1"/>
    <col min="4" max="4" width="25.7109375" customWidth="1"/>
    <col min="5" max="5" width="5" customWidth="1"/>
    <col min="7" max="7" width="14.140625" bestFit="1" customWidth="1"/>
    <col min="257" max="257" width="18.28515625" customWidth="1"/>
    <col min="258" max="258" width="28.85546875" customWidth="1"/>
    <col min="259" max="259" width="24.7109375" customWidth="1"/>
    <col min="260" max="260" width="25" customWidth="1"/>
    <col min="263" max="263" width="14.140625" bestFit="1" customWidth="1"/>
    <col min="513" max="513" width="18.28515625" customWidth="1"/>
    <col min="514" max="514" width="28.85546875" customWidth="1"/>
    <col min="515" max="515" width="24.7109375" customWidth="1"/>
    <col min="516" max="516" width="25" customWidth="1"/>
    <col min="519" max="519" width="14.140625" bestFit="1" customWidth="1"/>
    <col min="769" max="769" width="18.28515625" customWidth="1"/>
    <col min="770" max="770" width="28.85546875" customWidth="1"/>
    <col min="771" max="771" width="24.7109375" customWidth="1"/>
    <col min="772" max="772" width="25" customWidth="1"/>
    <col min="775" max="775" width="14.140625" bestFit="1" customWidth="1"/>
    <col min="1025" max="1025" width="18.28515625" customWidth="1"/>
    <col min="1026" max="1026" width="28.85546875" customWidth="1"/>
    <col min="1027" max="1027" width="24.7109375" customWidth="1"/>
    <col min="1028" max="1028" width="25" customWidth="1"/>
    <col min="1031" max="1031" width="14.140625" bestFit="1" customWidth="1"/>
    <col min="1281" max="1281" width="18.28515625" customWidth="1"/>
    <col min="1282" max="1282" width="28.85546875" customWidth="1"/>
    <col min="1283" max="1283" width="24.7109375" customWidth="1"/>
    <col min="1284" max="1284" width="25" customWidth="1"/>
    <col min="1287" max="1287" width="14.140625" bestFit="1" customWidth="1"/>
    <col min="1537" max="1537" width="18.28515625" customWidth="1"/>
    <col min="1538" max="1538" width="28.85546875" customWidth="1"/>
    <col min="1539" max="1539" width="24.7109375" customWidth="1"/>
    <col min="1540" max="1540" width="25" customWidth="1"/>
    <col min="1543" max="1543" width="14.140625" bestFit="1" customWidth="1"/>
    <col min="1793" max="1793" width="18.28515625" customWidth="1"/>
    <col min="1794" max="1794" width="28.85546875" customWidth="1"/>
    <col min="1795" max="1795" width="24.7109375" customWidth="1"/>
    <col min="1796" max="1796" width="25" customWidth="1"/>
    <col min="1799" max="1799" width="14.140625" bestFit="1" customWidth="1"/>
    <col min="2049" max="2049" width="18.28515625" customWidth="1"/>
    <col min="2050" max="2050" width="28.85546875" customWidth="1"/>
    <col min="2051" max="2051" width="24.7109375" customWidth="1"/>
    <col min="2052" max="2052" width="25" customWidth="1"/>
    <col min="2055" max="2055" width="14.140625" bestFit="1" customWidth="1"/>
    <col min="2305" max="2305" width="18.28515625" customWidth="1"/>
    <col min="2306" max="2306" width="28.85546875" customWidth="1"/>
    <col min="2307" max="2307" width="24.7109375" customWidth="1"/>
    <col min="2308" max="2308" width="25" customWidth="1"/>
    <col min="2311" max="2311" width="14.140625" bestFit="1" customWidth="1"/>
    <col min="2561" max="2561" width="18.28515625" customWidth="1"/>
    <col min="2562" max="2562" width="28.85546875" customWidth="1"/>
    <col min="2563" max="2563" width="24.7109375" customWidth="1"/>
    <col min="2564" max="2564" width="25" customWidth="1"/>
    <col min="2567" max="2567" width="14.140625" bestFit="1" customWidth="1"/>
    <col min="2817" max="2817" width="18.28515625" customWidth="1"/>
    <col min="2818" max="2818" width="28.85546875" customWidth="1"/>
    <col min="2819" max="2819" width="24.7109375" customWidth="1"/>
    <col min="2820" max="2820" width="25" customWidth="1"/>
    <col min="2823" max="2823" width="14.140625" bestFit="1" customWidth="1"/>
    <col min="3073" max="3073" width="18.28515625" customWidth="1"/>
    <col min="3074" max="3074" width="28.85546875" customWidth="1"/>
    <col min="3075" max="3075" width="24.7109375" customWidth="1"/>
    <col min="3076" max="3076" width="25" customWidth="1"/>
    <col min="3079" max="3079" width="14.140625" bestFit="1" customWidth="1"/>
    <col min="3329" max="3329" width="18.28515625" customWidth="1"/>
    <col min="3330" max="3330" width="28.85546875" customWidth="1"/>
    <col min="3331" max="3331" width="24.7109375" customWidth="1"/>
    <col min="3332" max="3332" width="25" customWidth="1"/>
    <col min="3335" max="3335" width="14.140625" bestFit="1" customWidth="1"/>
    <col min="3585" max="3585" width="18.28515625" customWidth="1"/>
    <col min="3586" max="3586" width="28.85546875" customWidth="1"/>
    <col min="3587" max="3587" width="24.7109375" customWidth="1"/>
    <col min="3588" max="3588" width="25" customWidth="1"/>
    <col min="3591" max="3591" width="14.140625" bestFit="1" customWidth="1"/>
    <col min="3841" max="3841" width="18.28515625" customWidth="1"/>
    <col min="3842" max="3842" width="28.85546875" customWidth="1"/>
    <col min="3843" max="3843" width="24.7109375" customWidth="1"/>
    <col min="3844" max="3844" width="25" customWidth="1"/>
    <col min="3847" max="3847" width="14.140625" bestFit="1" customWidth="1"/>
    <col min="4097" max="4097" width="18.28515625" customWidth="1"/>
    <col min="4098" max="4098" width="28.85546875" customWidth="1"/>
    <col min="4099" max="4099" width="24.7109375" customWidth="1"/>
    <col min="4100" max="4100" width="25" customWidth="1"/>
    <col min="4103" max="4103" width="14.140625" bestFit="1" customWidth="1"/>
    <col min="4353" max="4353" width="18.28515625" customWidth="1"/>
    <col min="4354" max="4354" width="28.85546875" customWidth="1"/>
    <col min="4355" max="4355" width="24.7109375" customWidth="1"/>
    <col min="4356" max="4356" width="25" customWidth="1"/>
    <col min="4359" max="4359" width="14.140625" bestFit="1" customWidth="1"/>
    <col min="4609" max="4609" width="18.28515625" customWidth="1"/>
    <col min="4610" max="4610" width="28.85546875" customWidth="1"/>
    <col min="4611" max="4611" width="24.7109375" customWidth="1"/>
    <col min="4612" max="4612" width="25" customWidth="1"/>
    <col min="4615" max="4615" width="14.140625" bestFit="1" customWidth="1"/>
    <col min="4865" max="4865" width="18.28515625" customWidth="1"/>
    <col min="4866" max="4866" width="28.85546875" customWidth="1"/>
    <col min="4867" max="4867" width="24.7109375" customWidth="1"/>
    <col min="4868" max="4868" width="25" customWidth="1"/>
    <col min="4871" max="4871" width="14.140625" bestFit="1" customWidth="1"/>
    <col min="5121" max="5121" width="18.28515625" customWidth="1"/>
    <col min="5122" max="5122" width="28.85546875" customWidth="1"/>
    <col min="5123" max="5123" width="24.7109375" customWidth="1"/>
    <col min="5124" max="5124" width="25" customWidth="1"/>
    <col min="5127" max="5127" width="14.140625" bestFit="1" customWidth="1"/>
    <col min="5377" max="5377" width="18.28515625" customWidth="1"/>
    <col min="5378" max="5378" width="28.85546875" customWidth="1"/>
    <col min="5379" max="5379" width="24.7109375" customWidth="1"/>
    <col min="5380" max="5380" width="25" customWidth="1"/>
    <col min="5383" max="5383" width="14.140625" bestFit="1" customWidth="1"/>
    <col min="5633" max="5633" width="18.28515625" customWidth="1"/>
    <col min="5634" max="5634" width="28.85546875" customWidth="1"/>
    <col min="5635" max="5635" width="24.7109375" customWidth="1"/>
    <col min="5636" max="5636" width="25" customWidth="1"/>
    <col min="5639" max="5639" width="14.140625" bestFit="1" customWidth="1"/>
    <col min="5889" max="5889" width="18.28515625" customWidth="1"/>
    <col min="5890" max="5890" width="28.85546875" customWidth="1"/>
    <col min="5891" max="5891" width="24.7109375" customWidth="1"/>
    <col min="5892" max="5892" width="25" customWidth="1"/>
    <col min="5895" max="5895" width="14.140625" bestFit="1" customWidth="1"/>
    <col min="6145" max="6145" width="18.28515625" customWidth="1"/>
    <col min="6146" max="6146" width="28.85546875" customWidth="1"/>
    <col min="6147" max="6147" width="24.7109375" customWidth="1"/>
    <col min="6148" max="6148" width="25" customWidth="1"/>
    <col min="6151" max="6151" width="14.140625" bestFit="1" customWidth="1"/>
    <col min="6401" max="6401" width="18.28515625" customWidth="1"/>
    <col min="6402" max="6402" width="28.85546875" customWidth="1"/>
    <col min="6403" max="6403" width="24.7109375" customWidth="1"/>
    <col min="6404" max="6404" width="25" customWidth="1"/>
    <col min="6407" max="6407" width="14.140625" bestFit="1" customWidth="1"/>
    <col min="6657" max="6657" width="18.28515625" customWidth="1"/>
    <col min="6658" max="6658" width="28.85546875" customWidth="1"/>
    <col min="6659" max="6659" width="24.7109375" customWidth="1"/>
    <col min="6660" max="6660" width="25" customWidth="1"/>
    <col min="6663" max="6663" width="14.140625" bestFit="1" customWidth="1"/>
    <col min="6913" max="6913" width="18.28515625" customWidth="1"/>
    <col min="6914" max="6914" width="28.85546875" customWidth="1"/>
    <col min="6915" max="6915" width="24.7109375" customWidth="1"/>
    <col min="6916" max="6916" width="25" customWidth="1"/>
    <col min="6919" max="6919" width="14.140625" bestFit="1" customWidth="1"/>
    <col min="7169" max="7169" width="18.28515625" customWidth="1"/>
    <col min="7170" max="7170" width="28.85546875" customWidth="1"/>
    <col min="7171" max="7171" width="24.7109375" customWidth="1"/>
    <col min="7172" max="7172" width="25" customWidth="1"/>
    <col min="7175" max="7175" width="14.140625" bestFit="1" customWidth="1"/>
    <col min="7425" max="7425" width="18.28515625" customWidth="1"/>
    <col min="7426" max="7426" width="28.85546875" customWidth="1"/>
    <col min="7427" max="7427" width="24.7109375" customWidth="1"/>
    <col min="7428" max="7428" width="25" customWidth="1"/>
    <col min="7431" max="7431" width="14.140625" bestFit="1" customWidth="1"/>
    <col min="7681" max="7681" width="18.28515625" customWidth="1"/>
    <col min="7682" max="7682" width="28.85546875" customWidth="1"/>
    <col min="7683" max="7683" width="24.7109375" customWidth="1"/>
    <col min="7684" max="7684" width="25" customWidth="1"/>
    <col min="7687" max="7687" width="14.140625" bestFit="1" customWidth="1"/>
    <col min="7937" max="7937" width="18.28515625" customWidth="1"/>
    <col min="7938" max="7938" width="28.85546875" customWidth="1"/>
    <col min="7939" max="7939" width="24.7109375" customWidth="1"/>
    <col min="7940" max="7940" width="25" customWidth="1"/>
    <col min="7943" max="7943" width="14.140625" bestFit="1" customWidth="1"/>
    <col min="8193" max="8193" width="18.28515625" customWidth="1"/>
    <col min="8194" max="8194" width="28.85546875" customWidth="1"/>
    <col min="8195" max="8195" width="24.7109375" customWidth="1"/>
    <col min="8196" max="8196" width="25" customWidth="1"/>
    <col min="8199" max="8199" width="14.140625" bestFit="1" customWidth="1"/>
    <col min="8449" max="8449" width="18.28515625" customWidth="1"/>
    <col min="8450" max="8450" width="28.85546875" customWidth="1"/>
    <col min="8451" max="8451" width="24.7109375" customWidth="1"/>
    <col min="8452" max="8452" width="25" customWidth="1"/>
    <col min="8455" max="8455" width="14.140625" bestFit="1" customWidth="1"/>
    <col min="8705" max="8705" width="18.28515625" customWidth="1"/>
    <col min="8706" max="8706" width="28.85546875" customWidth="1"/>
    <col min="8707" max="8707" width="24.7109375" customWidth="1"/>
    <col min="8708" max="8708" width="25" customWidth="1"/>
    <col min="8711" max="8711" width="14.140625" bestFit="1" customWidth="1"/>
    <col min="8961" max="8961" width="18.28515625" customWidth="1"/>
    <col min="8962" max="8962" width="28.85546875" customWidth="1"/>
    <col min="8963" max="8963" width="24.7109375" customWidth="1"/>
    <col min="8964" max="8964" width="25" customWidth="1"/>
    <col min="8967" max="8967" width="14.140625" bestFit="1" customWidth="1"/>
    <col min="9217" max="9217" width="18.28515625" customWidth="1"/>
    <col min="9218" max="9218" width="28.85546875" customWidth="1"/>
    <col min="9219" max="9219" width="24.7109375" customWidth="1"/>
    <col min="9220" max="9220" width="25" customWidth="1"/>
    <col min="9223" max="9223" width="14.140625" bestFit="1" customWidth="1"/>
    <col min="9473" max="9473" width="18.28515625" customWidth="1"/>
    <col min="9474" max="9474" width="28.85546875" customWidth="1"/>
    <col min="9475" max="9475" width="24.7109375" customWidth="1"/>
    <col min="9476" max="9476" width="25" customWidth="1"/>
    <col min="9479" max="9479" width="14.140625" bestFit="1" customWidth="1"/>
    <col min="9729" max="9729" width="18.28515625" customWidth="1"/>
    <col min="9730" max="9730" width="28.85546875" customWidth="1"/>
    <col min="9731" max="9731" width="24.7109375" customWidth="1"/>
    <col min="9732" max="9732" width="25" customWidth="1"/>
    <col min="9735" max="9735" width="14.140625" bestFit="1" customWidth="1"/>
    <col min="9985" max="9985" width="18.28515625" customWidth="1"/>
    <col min="9986" max="9986" width="28.85546875" customWidth="1"/>
    <col min="9987" max="9987" width="24.7109375" customWidth="1"/>
    <col min="9988" max="9988" width="25" customWidth="1"/>
    <col min="9991" max="9991" width="14.140625" bestFit="1" customWidth="1"/>
    <col min="10241" max="10241" width="18.28515625" customWidth="1"/>
    <col min="10242" max="10242" width="28.85546875" customWidth="1"/>
    <col min="10243" max="10243" width="24.7109375" customWidth="1"/>
    <col min="10244" max="10244" width="25" customWidth="1"/>
    <col min="10247" max="10247" width="14.140625" bestFit="1" customWidth="1"/>
    <col min="10497" max="10497" width="18.28515625" customWidth="1"/>
    <col min="10498" max="10498" width="28.85546875" customWidth="1"/>
    <col min="10499" max="10499" width="24.7109375" customWidth="1"/>
    <col min="10500" max="10500" width="25" customWidth="1"/>
    <col min="10503" max="10503" width="14.140625" bestFit="1" customWidth="1"/>
    <col min="10753" max="10753" width="18.28515625" customWidth="1"/>
    <col min="10754" max="10754" width="28.85546875" customWidth="1"/>
    <col min="10755" max="10755" width="24.7109375" customWidth="1"/>
    <col min="10756" max="10756" width="25" customWidth="1"/>
    <col min="10759" max="10759" width="14.140625" bestFit="1" customWidth="1"/>
    <col min="11009" max="11009" width="18.28515625" customWidth="1"/>
    <col min="11010" max="11010" width="28.85546875" customWidth="1"/>
    <col min="11011" max="11011" width="24.7109375" customWidth="1"/>
    <col min="11012" max="11012" width="25" customWidth="1"/>
    <col min="11015" max="11015" width="14.140625" bestFit="1" customWidth="1"/>
    <col min="11265" max="11265" width="18.28515625" customWidth="1"/>
    <col min="11266" max="11266" width="28.85546875" customWidth="1"/>
    <col min="11267" max="11267" width="24.7109375" customWidth="1"/>
    <col min="11268" max="11268" width="25" customWidth="1"/>
    <col min="11271" max="11271" width="14.140625" bestFit="1" customWidth="1"/>
    <col min="11521" max="11521" width="18.28515625" customWidth="1"/>
    <col min="11522" max="11522" width="28.85546875" customWidth="1"/>
    <col min="11523" max="11523" width="24.7109375" customWidth="1"/>
    <col min="11524" max="11524" width="25" customWidth="1"/>
    <col min="11527" max="11527" width="14.140625" bestFit="1" customWidth="1"/>
    <col min="11777" max="11777" width="18.28515625" customWidth="1"/>
    <col min="11778" max="11778" width="28.85546875" customWidth="1"/>
    <col min="11779" max="11779" width="24.7109375" customWidth="1"/>
    <col min="11780" max="11780" width="25" customWidth="1"/>
    <col min="11783" max="11783" width="14.140625" bestFit="1" customWidth="1"/>
    <col min="12033" max="12033" width="18.28515625" customWidth="1"/>
    <col min="12034" max="12034" width="28.85546875" customWidth="1"/>
    <col min="12035" max="12035" width="24.7109375" customWidth="1"/>
    <col min="12036" max="12036" width="25" customWidth="1"/>
    <col min="12039" max="12039" width="14.140625" bestFit="1" customWidth="1"/>
    <col min="12289" max="12289" width="18.28515625" customWidth="1"/>
    <col min="12290" max="12290" width="28.85546875" customWidth="1"/>
    <col min="12291" max="12291" width="24.7109375" customWidth="1"/>
    <col min="12292" max="12292" width="25" customWidth="1"/>
    <col min="12295" max="12295" width="14.140625" bestFit="1" customWidth="1"/>
    <col min="12545" max="12545" width="18.28515625" customWidth="1"/>
    <col min="12546" max="12546" width="28.85546875" customWidth="1"/>
    <col min="12547" max="12547" width="24.7109375" customWidth="1"/>
    <col min="12548" max="12548" width="25" customWidth="1"/>
    <col min="12551" max="12551" width="14.140625" bestFit="1" customWidth="1"/>
    <col min="12801" max="12801" width="18.28515625" customWidth="1"/>
    <col min="12802" max="12802" width="28.85546875" customWidth="1"/>
    <col min="12803" max="12803" width="24.7109375" customWidth="1"/>
    <col min="12804" max="12804" width="25" customWidth="1"/>
    <col min="12807" max="12807" width="14.140625" bestFit="1" customWidth="1"/>
    <col min="13057" max="13057" width="18.28515625" customWidth="1"/>
    <col min="13058" max="13058" width="28.85546875" customWidth="1"/>
    <col min="13059" max="13059" width="24.7109375" customWidth="1"/>
    <col min="13060" max="13060" width="25" customWidth="1"/>
    <col min="13063" max="13063" width="14.140625" bestFit="1" customWidth="1"/>
    <col min="13313" max="13313" width="18.28515625" customWidth="1"/>
    <col min="13314" max="13314" width="28.85546875" customWidth="1"/>
    <col min="13315" max="13315" width="24.7109375" customWidth="1"/>
    <col min="13316" max="13316" width="25" customWidth="1"/>
    <col min="13319" max="13319" width="14.140625" bestFit="1" customWidth="1"/>
    <col min="13569" max="13569" width="18.28515625" customWidth="1"/>
    <col min="13570" max="13570" width="28.85546875" customWidth="1"/>
    <col min="13571" max="13571" width="24.7109375" customWidth="1"/>
    <col min="13572" max="13572" width="25" customWidth="1"/>
    <col min="13575" max="13575" width="14.140625" bestFit="1" customWidth="1"/>
    <col min="13825" max="13825" width="18.28515625" customWidth="1"/>
    <col min="13826" max="13826" width="28.85546875" customWidth="1"/>
    <col min="13827" max="13827" width="24.7109375" customWidth="1"/>
    <col min="13828" max="13828" width="25" customWidth="1"/>
    <col min="13831" max="13831" width="14.140625" bestFit="1" customWidth="1"/>
    <col min="14081" max="14081" width="18.28515625" customWidth="1"/>
    <col min="14082" max="14082" width="28.85546875" customWidth="1"/>
    <col min="14083" max="14083" width="24.7109375" customWidth="1"/>
    <col min="14084" max="14084" width="25" customWidth="1"/>
    <col min="14087" max="14087" width="14.140625" bestFit="1" customWidth="1"/>
    <col min="14337" max="14337" width="18.28515625" customWidth="1"/>
    <col min="14338" max="14338" width="28.85546875" customWidth="1"/>
    <col min="14339" max="14339" width="24.7109375" customWidth="1"/>
    <col min="14340" max="14340" width="25" customWidth="1"/>
    <col min="14343" max="14343" width="14.140625" bestFit="1" customWidth="1"/>
    <col min="14593" max="14593" width="18.28515625" customWidth="1"/>
    <col min="14594" max="14594" width="28.85546875" customWidth="1"/>
    <col min="14595" max="14595" width="24.7109375" customWidth="1"/>
    <col min="14596" max="14596" width="25" customWidth="1"/>
    <col min="14599" max="14599" width="14.140625" bestFit="1" customWidth="1"/>
    <col min="14849" max="14849" width="18.28515625" customWidth="1"/>
    <col min="14850" max="14850" width="28.85546875" customWidth="1"/>
    <col min="14851" max="14851" width="24.7109375" customWidth="1"/>
    <col min="14852" max="14852" width="25" customWidth="1"/>
    <col min="14855" max="14855" width="14.140625" bestFit="1" customWidth="1"/>
    <col min="15105" max="15105" width="18.28515625" customWidth="1"/>
    <col min="15106" max="15106" width="28.85546875" customWidth="1"/>
    <col min="15107" max="15107" width="24.7109375" customWidth="1"/>
    <col min="15108" max="15108" width="25" customWidth="1"/>
    <col min="15111" max="15111" width="14.140625" bestFit="1" customWidth="1"/>
    <col min="15361" max="15361" width="18.28515625" customWidth="1"/>
    <col min="15362" max="15362" width="28.85546875" customWidth="1"/>
    <col min="15363" max="15363" width="24.7109375" customWidth="1"/>
    <col min="15364" max="15364" width="25" customWidth="1"/>
    <col min="15367" max="15367" width="14.140625" bestFit="1" customWidth="1"/>
    <col min="15617" max="15617" width="18.28515625" customWidth="1"/>
    <col min="15618" max="15618" width="28.85546875" customWidth="1"/>
    <col min="15619" max="15619" width="24.7109375" customWidth="1"/>
    <col min="15620" max="15620" width="25" customWidth="1"/>
    <col min="15623" max="15623" width="14.140625" bestFit="1" customWidth="1"/>
    <col min="15873" max="15873" width="18.28515625" customWidth="1"/>
    <col min="15874" max="15874" width="28.85546875" customWidth="1"/>
    <col min="15875" max="15875" width="24.7109375" customWidth="1"/>
    <col min="15876" max="15876" width="25" customWidth="1"/>
    <col min="15879" max="15879" width="14.140625" bestFit="1" customWidth="1"/>
    <col min="16129" max="16129" width="18.28515625" customWidth="1"/>
    <col min="16130" max="16130" width="28.85546875" customWidth="1"/>
    <col min="16131" max="16131" width="24.7109375" customWidth="1"/>
    <col min="16132" max="16132" width="25" customWidth="1"/>
    <col min="16135" max="16135" width="14.140625" bestFit="1" customWidth="1"/>
  </cols>
  <sheetData>
    <row r="1" spans="1:4" s="5" customFormat="1" ht="33.75">
      <c r="A1" s="939"/>
      <c r="B1" s="940" t="s">
        <v>2043</v>
      </c>
    </row>
    <row r="2" spans="1:4" s="5" customFormat="1" ht="30">
      <c r="A2" s="487" t="s">
        <v>2080</v>
      </c>
    </row>
    <row r="3" spans="1:4" s="5" customFormat="1" ht="26.25">
      <c r="A3" s="939" t="s">
        <v>2042</v>
      </c>
      <c r="B3" s="941"/>
      <c r="C3" s="1102" t="str">
        <f>Resumo!E3</f>
        <v>Abril-16</v>
      </c>
      <c r="D3" s="1102"/>
    </row>
    <row r="4" spans="1:4" ht="13.5" thickBot="1"/>
    <row r="5" spans="1:4" ht="13.5" thickTop="1">
      <c r="A5" s="375"/>
      <c r="B5" s="376"/>
      <c r="C5" s="377"/>
      <c r="D5" s="378"/>
    </row>
    <row r="6" spans="1:4">
      <c r="A6" s="379"/>
      <c r="B6" s="380"/>
      <c r="C6" s="381"/>
      <c r="D6" s="382"/>
    </row>
    <row r="7" spans="1:4">
      <c r="A7" s="379"/>
      <c r="B7" s="383" t="s">
        <v>1938</v>
      </c>
      <c r="C7" s="381"/>
      <c r="D7" s="382"/>
    </row>
    <row r="8" spans="1:4">
      <c r="A8" s="379"/>
      <c r="B8" s="383" t="s">
        <v>1939</v>
      </c>
      <c r="C8" s="381"/>
      <c r="D8" s="384"/>
    </row>
    <row r="9" spans="1:4" ht="26.25">
      <c r="A9" s="385"/>
      <c r="B9" s="386"/>
      <c r="C9" s="387" t="s">
        <v>1940</v>
      </c>
      <c r="D9" s="384"/>
    </row>
    <row r="10" spans="1:4">
      <c r="A10" s="388" t="s">
        <v>1941</v>
      </c>
      <c r="B10" s="389"/>
      <c r="C10" s="390"/>
      <c r="D10" s="384"/>
    </row>
    <row r="11" spans="1:4">
      <c r="A11" s="391" t="s">
        <v>1942</v>
      </c>
      <c r="B11" s="389"/>
      <c r="C11" s="392" t="s">
        <v>1943</v>
      </c>
      <c r="D11" s="384"/>
    </row>
    <row r="12" spans="1:4">
      <c r="A12" s="388" t="s">
        <v>1944</v>
      </c>
      <c r="B12" s="389"/>
      <c r="C12" s="381"/>
      <c r="D12" s="384"/>
    </row>
    <row r="13" spans="1:4" ht="27" customHeight="1">
      <c r="A13" s="393"/>
      <c r="B13" s="394"/>
      <c r="C13" s="395"/>
      <c r="D13" s="396"/>
    </row>
    <row r="14" spans="1:4">
      <c r="A14" s="379"/>
      <c r="B14" s="381"/>
      <c r="C14" s="397"/>
      <c r="D14" s="384"/>
    </row>
    <row r="15" spans="1:4">
      <c r="A15" s="398" t="s">
        <v>1945</v>
      </c>
      <c r="B15" s="399" t="s">
        <v>1946</v>
      </c>
      <c r="C15" s="400" t="s">
        <v>1947</v>
      </c>
      <c r="D15" s="401" t="s">
        <v>1948</v>
      </c>
    </row>
    <row r="16" spans="1:4" ht="22.5">
      <c r="A16" s="402" t="s">
        <v>7838</v>
      </c>
      <c r="B16" s="403">
        <v>42467</v>
      </c>
      <c r="C16" s="404">
        <v>45427976.033115625</v>
      </c>
      <c r="D16" s="405" t="s">
        <v>1949</v>
      </c>
    </row>
    <row r="17" spans="1:7">
      <c r="A17" s="406"/>
      <c r="B17" s="407"/>
      <c r="C17" s="408"/>
      <c r="D17" s="409"/>
    </row>
    <row r="18" spans="1:7" ht="15.75">
      <c r="A18" s="410" t="s">
        <v>1950</v>
      </c>
      <c r="B18" s="411"/>
      <c r="C18" s="148"/>
      <c r="D18" s="412"/>
      <c r="G18" s="445"/>
    </row>
    <row r="19" spans="1:7">
      <c r="A19" s="413"/>
      <c r="B19" s="411"/>
      <c r="C19" s="411"/>
      <c r="D19" s="412"/>
      <c r="G19" s="445"/>
    </row>
    <row r="20" spans="1:7" ht="15.75">
      <c r="A20" s="410" t="s">
        <v>1951</v>
      </c>
      <c r="B20" s="411"/>
      <c r="C20" s="225" t="s">
        <v>1952</v>
      </c>
      <c r="D20" s="414"/>
      <c r="G20" s="445"/>
    </row>
    <row r="21" spans="1:7">
      <c r="A21" s="413"/>
      <c r="B21" s="411"/>
      <c r="C21" s="411"/>
      <c r="D21" s="412"/>
      <c r="E21" s="1106"/>
    </row>
    <row r="22" spans="1:7" ht="15.75">
      <c r="A22" s="410" t="s">
        <v>1953</v>
      </c>
      <c r="B22" s="411"/>
      <c r="C22" s="148" t="s">
        <v>1954</v>
      </c>
      <c r="D22" s="415"/>
      <c r="E22" s="1106"/>
    </row>
    <row r="23" spans="1:7" ht="36.6" customHeight="1">
      <c r="A23" s="413"/>
      <c r="B23" s="411"/>
      <c r="C23" s="411"/>
      <c r="D23" s="412"/>
      <c r="E23" s="1106"/>
    </row>
    <row r="24" spans="1:7" ht="15.75">
      <c r="A24" s="410" t="s">
        <v>1955</v>
      </c>
      <c r="B24" s="411"/>
      <c r="C24" s="411"/>
      <c r="D24" s="412"/>
      <c r="E24" s="1106"/>
    </row>
    <row r="25" spans="1:7">
      <c r="A25" s="413"/>
      <c r="B25" s="411"/>
      <c r="C25" s="411"/>
      <c r="D25" s="412"/>
      <c r="E25" s="1106"/>
    </row>
    <row r="26" spans="1:7" ht="41.25" customHeight="1">
      <c r="A26" s="416" t="s">
        <v>1956</v>
      </c>
      <c r="B26" s="1103" t="s">
        <v>7839</v>
      </c>
      <c r="C26" s="1104"/>
      <c r="D26" s="1105"/>
      <c r="E26" s="1106"/>
    </row>
    <row r="27" spans="1:7" ht="36.6" customHeight="1">
      <c r="A27" s="379"/>
      <c r="B27" s="381"/>
      <c r="C27" s="381"/>
      <c r="D27" s="384"/>
    </row>
    <row r="28" spans="1:7" ht="15">
      <c r="A28" s="417"/>
      <c r="B28" s="407"/>
      <c r="C28" s="407"/>
      <c r="D28" s="409"/>
    </row>
    <row r="29" spans="1:7" ht="12.75" customHeight="1">
      <c r="A29" s="418" t="s">
        <v>7840</v>
      </c>
      <c r="B29" s="419"/>
      <c r="C29" s="381"/>
      <c r="D29" s="384"/>
    </row>
    <row r="30" spans="1:7">
      <c r="A30" s="379" t="s">
        <v>1957</v>
      </c>
      <c r="B30" s="381"/>
      <c r="C30" s="381"/>
      <c r="D30" s="384"/>
    </row>
    <row r="31" spans="1:7" ht="12.75" customHeight="1">
      <c r="A31" s="420"/>
      <c r="B31" s="381"/>
      <c r="C31" s="381"/>
      <c r="D31" s="384"/>
    </row>
    <row r="32" spans="1:7" ht="12.75" customHeight="1">
      <c r="A32" s="420"/>
      <c r="B32" s="381"/>
      <c r="C32" s="381"/>
      <c r="D32" s="384"/>
    </row>
    <row r="33" spans="1:4" ht="12.75" customHeight="1">
      <c r="A33" s="506"/>
      <c r="B33" s="937"/>
      <c r="C33" s="937"/>
      <c r="D33" s="938"/>
    </row>
    <row r="34" spans="1:4" ht="12.75" customHeight="1">
      <c r="A34" s="1107" t="s">
        <v>7841</v>
      </c>
      <c r="B34" s="1108"/>
      <c r="C34" s="1108"/>
      <c r="D34" s="1109"/>
    </row>
    <row r="35" spans="1:4" ht="12.75" customHeight="1">
      <c r="A35" s="1110"/>
      <c r="B35" s="1108"/>
      <c r="C35" s="1108"/>
      <c r="D35" s="1109"/>
    </row>
    <row r="36" spans="1:4" ht="12.75" customHeight="1">
      <c r="A36" s="1110"/>
      <c r="B36" s="1108"/>
      <c r="C36" s="1108"/>
      <c r="D36" s="1109"/>
    </row>
    <row r="37" spans="1:4" ht="12.75" customHeight="1">
      <c r="A37" s="1110"/>
      <c r="B37" s="1108"/>
      <c r="C37" s="1108"/>
      <c r="D37" s="1109"/>
    </row>
    <row r="38" spans="1:4">
      <c r="A38" s="1110"/>
      <c r="B38" s="1108"/>
      <c r="C38" s="1108"/>
      <c r="D38" s="1109"/>
    </row>
    <row r="39" spans="1:4">
      <c r="A39" s="1110"/>
      <c r="B39" s="1108"/>
      <c r="C39" s="1108"/>
      <c r="D39" s="1109"/>
    </row>
    <row r="40" spans="1:4" ht="0.6" customHeight="1">
      <c r="A40" s="1110"/>
      <c r="B40" s="1108"/>
      <c r="C40" s="1108"/>
      <c r="D40" s="1109"/>
    </row>
    <row r="41" spans="1:4" ht="12.75" hidden="1" customHeight="1">
      <c r="A41" s="1110"/>
      <c r="B41" s="1108"/>
      <c r="C41" s="1108"/>
      <c r="D41" s="1109"/>
    </row>
    <row r="42" spans="1:4" ht="12.75" hidden="1" customHeight="1">
      <c r="A42" s="1110"/>
      <c r="B42" s="1108"/>
      <c r="C42" s="1108"/>
      <c r="D42" s="1109"/>
    </row>
    <row r="43" spans="1:4" ht="12.75" hidden="1" customHeight="1">
      <c r="A43" s="1110"/>
      <c r="B43" s="1108"/>
      <c r="C43" s="1108"/>
      <c r="D43" s="1109"/>
    </row>
    <row r="44" spans="1:4" ht="12.75" hidden="1" customHeight="1">
      <c r="A44" s="507"/>
      <c r="B44" s="508"/>
      <c r="C44" s="508"/>
      <c r="D44" s="509"/>
    </row>
    <row r="45" spans="1:4" ht="0.6" customHeight="1">
      <c r="A45" s="1107" t="s">
        <v>2206</v>
      </c>
      <c r="B45" s="1111"/>
      <c r="C45" s="1111"/>
      <c r="D45" s="1112"/>
    </row>
    <row r="46" spans="1:4">
      <c r="A46" s="1113"/>
      <c r="B46" s="1111"/>
      <c r="C46" s="1111"/>
      <c r="D46" s="1112"/>
    </row>
    <row r="47" spans="1:4">
      <c r="A47" s="1113"/>
      <c r="B47" s="1111"/>
      <c r="C47" s="1111"/>
      <c r="D47" s="1112"/>
    </row>
    <row r="48" spans="1:4">
      <c r="A48" s="1113"/>
      <c r="B48" s="1111"/>
      <c r="C48" s="1111"/>
      <c r="D48" s="1112"/>
    </row>
    <row r="49" spans="1:4" ht="24" customHeight="1">
      <c r="A49" s="1113"/>
      <c r="B49" s="1111"/>
      <c r="C49" s="1111"/>
      <c r="D49" s="1112"/>
    </row>
    <row r="50" spans="1:4" ht="22.15" customHeight="1">
      <c r="A50" s="1113"/>
      <c r="B50" s="1111"/>
      <c r="C50" s="1111"/>
      <c r="D50" s="1112"/>
    </row>
    <row r="51" spans="1:4">
      <c r="A51" s="1113"/>
      <c r="B51" s="1111"/>
      <c r="C51" s="1111"/>
      <c r="D51" s="1112"/>
    </row>
    <row r="52" spans="1:4">
      <c r="A52" s="1113"/>
      <c r="B52" s="1111"/>
      <c r="C52" s="1111"/>
      <c r="D52" s="1112"/>
    </row>
    <row r="53" spans="1:4">
      <c r="A53" s="1113"/>
      <c r="B53" s="1111"/>
      <c r="C53" s="1111"/>
      <c r="D53" s="1112"/>
    </row>
    <row r="54" spans="1:4">
      <c r="A54" s="1113"/>
      <c r="B54" s="1111"/>
      <c r="C54" s="1111"/>
      <c r="D54" s="1112"/>
    </row>
    <row r="55" spans="1:4">
      <c r="A55" s="1113"/>
      <c r="B55" s="1111"/>
      <c r="C55" s="1111"/>
      <c r="D55" s="1112"/>
    </row>
    <row r="56" spans="1:4">
      <c r="A56" s="1113"/>
      <c r="B56" s="1111"/>
      <c r="C56" s="1111"/>
      <c r="D56" s="1112"/>
    </row>
    <row r="57" spans="1:4">
      <c r="A57" s="1113"/>
      <c r="B57" s="1111"/>
      <c r="C57" s="1111"/>
      <c r="D57" s="1112"/>
    </row>
    <row r="58" spans="1:4">
      <c r="A58" s="510"/>
      <c r="B58" s="511"/>
      <c r="C58" s="511"/>
      <c r="D58" s="512"/>
    </row>
    <row r="59" spans="1:4">
      <c r="A59" s="510"/>
      <c r="B59" s="511"/>
      <c r="C59" s="511"/>
      <c r="D59" s="512"/>
    </row>
    <row r="60" spans="1:4">
      <c r="A60" s="510"/>
      <c r="B60" s="511"/>
      <c r="C60" s="511"/>
      <c r="D60" s="512"/>
    </row>
    <row r="61" spans="1:4">
      <c r="A61" s="422"/>
      <c r="B61" s="395"/>
      <c r="C61" s="423"/>
      <c r="D61" s="396"/>
    </row>
    <row r="62" spans="1:4" ht="13.5" thickBot="1">
      <c r="A62" s="424"/>
      <c r="B62" s="425"/>
      <c r="C62" s="425"/>
      <c r="D62" s="426"/>
    </row>
    <row r="63" spans="1:4">
      <c r="A63" s="421" t="s">
        <v>1958</v>
      </c>
      <c r="B63" s="427"/>
      <c r="C63" s="381"/>
      <c r="D63" s="384"/>
    </row>
    <row r="64" spans="1:4">
      <c r="A64" s="1100"/>
      <c r="B64" s="1101"/>
      <c r="C64" s="381"/>
      <c r="D64" s="384"/>
    </row>
    <row r="65" spans="1:4">
      <c r="A65" s="493"/>
      <c r="B65" s="494"/>
      <c r="C65" s="381"/>
      <c r="D65" s="384"/>
    </row>
    <row r="66" spans="1:4">
      <c r="A66" s="428"/>
      <c r="B66" s="429"/>
      <c r="C66" s="381"/>
      <c r="D66" s="384"/>
    </row>
    <row r="67" spans="1:4">
      <c r="A67" s="430" t="s">
        <v>1959</v>
      </c>
      <c r="B67" s="427"/>
      <c r="C67" s="431" t="s">
        <v>258</v>
      </c>
      <c r="D67" s="384"/>
    </row>
    <row r="68" spans="1:4">
      <c r="A68" s="430" t="s">
        <v>1960</v>
      </c>
      <c r="B68" s="427"/>
      <c r="C68" s="381"/>
      <c r="D68" s="384"/>
    </row>
    <row r="69" spans="1:4" ht="13.5" thickBot="1">
      <c r="A69" s="432"/>
      <c r="B69" s="427"/>
      <c r="C69" s="433"/>
      <c r="D69" s="434"/>
    </row>
    <row r="70" spans="1:4" ht="16.5" thickTop="1">
      <c r="A70" s="430"/>
      <c r="B70" s="427"/>
      <c r="C70" s="435" t="s">
        <v>1961</v>
      </c>
      <c r="D70" s="384"/>
    </row>
    <row r="71" spans="1:4" ht="15.75">
      <c r="A71" s="421"/>
      <c r="B71" s="427"/>
      <c r="C71" s="436" t="s">
        <v>1962</v>
      </c>
      <c r="D71" s="384"/>
    </row>
    <row r="72" spans="1:4" ht="15.75">
      <c r="A72" s="421"/>
      <c r="B72" s="427"/>
      <c r="C72" s="437"/>
      <c r="D72" s="384"/>
    </row>
    <row r="73" spans="1:4" ht="13.5">
      <c r="A73" s="438"/>
      <c r="B73" s="427"/>
      <c r="C73" s="439"/>
      <c r="D73" s="384"/>
    </row>
    <row r="74" spans="1:4" ht="14.25" thickBot="1">
      <c r="A74" s="440"/>
      <c r="B74" s="441"/>
      <c r="C74" s="442"/>
      <c r="D74" s="434"/>
    </row>
    <row r="75" spans="1:4" ht="13.5" thickTop="1">
      <c r="A75" s="443" t="s">
        <v>1963</v>
      </c>
      <c r="B75" s="444"/>
      <c r="C75" s="381"/>
      <c r="D75" s="381"/>
    </row>
  </sheetData>
  <mergeCells count="6">
    <mergeCell ref="A64:B64"/>
    <mergeCell ref="C3:D3"/>
    <mergeCell ref="B26:D26"/>
    <mergeCell ref="E21:E26"/>
    <mergeCell ref="A34:D43"/>
    <mergeCell ref="A45:D57"/>
  </mergeCells>
  <printOptions horizontalCentered="1"/>
  <pageMargins left="0.39370078740157483" right="0.39370078740157483" top="0.39370078740157483" bottom="0.59055118110236227" header="0.82677165354330717" footer="0.23622047244094491"/>
  <pageSetup paperSize="9" scale="68" firstPageNumber="9" orientation="portrait" useFirstPageNumber="1" r:id="rId1"/>
  <headerFooter alignWithMargins="0"/>
  <rowBreaks count="1" manualBreakCount="1">
    <brk id="78" max="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93"/>
  <sheetViews>
    <sheetView showGridLines="0" view="pageBreakPreview" topLeftCell="A71" zoomScale="80" zoomScaleNormal="75" zoomScaleSheetLayoutView="80" workbookViewId="0">
      <selection activeCell="F13" sqref="F13"/>
    </sheetView>
  </sheetViews>
  <sheetFormatPr defaultRowHeight="12.75"/>
  <cols>
    <col min="1" max="1" width="91.140625" customWidth="1"/>
    <col min="2" max="2" width="38.42578125" customWidth="1"/>
  </cols>
  <sheetData>
    <row r="1" spans="1:3" s="5" customFormat="1" ht="33.75">
      <c r="A1" s="940" t="s">
        <v>85</v>
      </c>
      <c r="B1" s="939"/>
      <c r="C1" s="942"/>
    </row>
    <row r="2" spans="1:3" s="5" customFormat="1" ht="35.450000000000003" customHeight="1">
      <c r="A2" s="487" t="s">
        <v>7842</v>
      </c>
      <c r="B2" s="939"/>
      <c r="C2" s="941"/>
    </row>
    <row r="3" spans="1:3" s="5" customFormat="1" ht="33" customHeight="1">
      <c r="A3" s="943" t="s">
        <v>2094</v>
      </c>
      <c r="B3" s="1102" t="str">
        <f>Resumo!E3</f>
        <v>Abril-16</v>
      </c>
      <c r="C3" s="1102"/>
    </row>
    <row r="4" spans="1:3" ht="26.25">
      <c r="C4" s="75"/>
    </row>
    <row r="5" spans="1:3" ht="15.75" thickBot="1">
      <c r="A5" s="76"/>
      <c r="B5" s="77" t="s">
        <v>30</v>
      </c>
      <c r="C5" s="76"/>
    </row>
    <row r="6" spans="1:3" ht="45" customHeight="1" thickBot="1">
      <c r="A6" s="78" t="s">
        <v>86</v>
      </c>
      <c r="B6" s="79" t="s">
        <v>402</v>
      </c>
      <c r="C6" s="80"/>
    </row>
    <row r="7" spans="1:3" ht="25.15" customHeight="1">
      <c r="A7" s="455" t="s">
        <v>1964</v>
      </c>
      <c r="B7" s="81">
        <v>252961.17362017639</v>
      </c>
      <c r="C7" s="80"/>
    </row>
    <row r="8" spans="1:3" ht="25.15" customHeight="1">
      <c r="A8" s="455" t="s">
        <v>1965</v>
      </c>
      <c r="B8" s="82">
        <v>163885.45140029691</v>
      </c>
      <c r="C8" s="80"/>
    </row>
    <row r="9" spans="1:3" ht="25.15" customHeight="1">
      <c r="A9" s="455" t="s">
        <v>1966</v>
      </c>
      <c r="B9" s="82">
        <v>336112.29503828456</v>
      </c>
      <c r="C9" s="80"/>
    </row>
    <row r="10" spans="1:3" ht="25.15" customHeight="1">
      <c r="A10" s="455" t="s">
        <v>1967</v>
      </c>
      <c r="B10" s="82">
        <v>362069.24149082764</v>
      </c>
      <c r="C10" s="80"/>
    </row>
    <row r="11" spans="1:3" ht="25.15" customHeight="1">
      <c r="A11" s="455" t="s">
        <v>1968</v>
      </c>
      <c r="B11" s="82">
        <v>166152.30853585619</v>
      </c>
      <c r="C11" s="80"/>
    </row>
    <row r="12" spans="1:3" ht="25.15" customHeight="1">
      <c r="A12" s="455" t="s">
        <v>1969</v>
      </c>
      <c r="B12" s="82">
        <v>178749.98854554025</v>
      </c>
      <c r="C12" s="80"/>
    </row>
    <row r="13" spans="1:3" ht="25.15" customHeight="1">
      <c r="A13" s="455" t="s">
        <v>1970</v>
      </c>
      <c r="B13" s="82">
        <v>175500.88072766387</v>
      </c>
      <c r="C13" s="80"/>
    </row>
    <row r="14" spans="1:3" ht="25.15" customHeight="1">
      <c r="A14" s="455" t="s">
        <v>1971</v>
      </c>
      <c r="B14" s="82">
        <v>171811.65128338078</v>
      </c>
      <c r="C14" s="80"/>
    </row>
    <row r="15" spans="1:3" ht="25.15" customHeight="1">
      <c r="A15" s="455" t="s">
        <v>1972</v>
      </c>
      <c r="B15" s="82">
        <v>874912.37776328588</v>
      </c>
      <c r="C15" s="80"/>
    </row>
    <row r="16" spans="1:3" ht="25.15" customHeight="1">
      <c r="A16" s="455" t="s">
        <v>1973</v>
      </c>
      <c r="B16" s="82">
        <v>182498.55087404445</v>
      </c>
      <c r="C16" s="80"/>
    </row>
    <row r="17" spans="1:3" ht="25.15" customHeight="1">
      <c r="A17" s="455" t="s">
        <v>1974</v>
      </c>
      <c r="B17" s="82">
        <v>167351.67335466304</v>
      </c>
      <c r="C17" s="80"/>
    </row>
    <row r="18" spans="1:3" ht="25.15" customHeight="1">
      <c r="A18" s="455" t="s">
        <v>1975</v>
      </c>
      <c r="B18" s="82">
        <v>267915.16306844266</v>
      </c>
      <c r="C18" s="80"/>
    </row>
    <row r="19" spans="1:3" ht="25.15" customHeight="1">
      <c r="A19" s="455" t="s">
        <v>1976</v>
      </c>
      <c r="B19" s="82">
        <v>166114.81748151861</v>
      </c>
      <c r="C19" s="446"/>
    </row>
    <row r="20" spans="1:3" ht="25.15" customHeight="1">
      <c r="A20" s="455" t="s">
        <v>1977</v>
      </c>
      <c r="B20" s="82">
        <v>1075211.315292309</v>
      </c>
      <c r="C20" s="447"/>
    </row>
    <row r="21" spans="1:3" ht="25.15" customHeight="1">
      <c r="A21" s="455" t="s">
        <v>1978</v>
      </c>
      <c r="B21" s="82">
        <v>944105.12765334686</v>
      </c>
      <c r="C21" s="446"/>
    </row>
    <row r="22" spans="1:3" ht="25.15" customHeight="1">
      <c r="A22" s="455" t="s">
        <v>1979</v>
      </c>
      <c r="B22" s="82">
        <v>174137.98795080488</v>
      </c>
      <c r="C22" s="448"/>
    </row>
    <row r="23" spans="1:3" ht="25.15" customHeight="1">
      <c r="A23" s="455" t="s">
        <v>1980</v>
      </c>
      <c r="B23" s="82">
        <v>282750.90168160509</v>
      </c>
      <c r="C23" s="1114" t="s">
        <v>109</v>
      </c>
    </row>
    <row r="24" spans="1:3" ht="25.15" customHeight="1">
      <c r="A24" s="455" t="s">
        <v>1981</v>
      </c>
      <c r="B24" s="82">
        <v>652250.35325943434</v>
      </c>
      <c r="C24" s="1114"/>
    </row>
    <row r="25" spans="1:3" ht="25.15" customHeight="1">
      <c r="A25" s="455" t="s">
        <v>1982</v>
      </c>
      <c r="B25" s="82">
        <v>162784.81841533212</v>
      </c>
      <c r="C25" s="1114"/>
    </row>
    <row r="26" spans="1:3" ht="25.15" customHeight="1">
      <c r="A26" s="455" t="s">
        <v>1983</v>
      </c>
      <c r="B26" s="82">
        <v>631427.88306880835</v>
      </c>
      <c r="C26" s="1114"/>
    </row>
    <row r="27" spans="1:3" ht="25.15" customHeight="1">
      <c r="A27" s="455" t="s">
        <v>1984</v>
      </c>
      <c r="B27" s="82">
        <v>218875.99062031507</v>
      </c>
      <c r="C27" s="1114"/>
    </row>
    <row r="28" spans="1:3" ht="25.15" customHeight="1">
      <c r="A28" s="455" t="s">
        <v>1985</v>
      </c>
      <c r="B28" s="82">
        <v>618790.23025224416</v>
      </c>
      <c r="C28" s="1114"/>
    </row>
    <row r="29" spans="1:3" ht="25.15" customHeight="1">
      <c r="A29" s="455" t="s">
        <v>1986</v>
      </c>
      <c r="B29" s="82">
        <v>168442.26481685136</v>
      </c>
      <c r="C29" s="448"/>
    </row>
    <row r="30" spans="1:3" ht="25.15" customHeight="1">
      <c r="A30" s="455" t="s">
        <v>1987</v>
      </c>
      <c r="B30" s="82">
        <v>186416.54353659443</v>
      </c>
    </row>
    <row r="31" spans="1:3" ht="25.15" customHeight="1">
      <c r="A31" s="455" t="s">
        <v>1988</v>
      </c>
      <c r="B31" s="82">
        <v>333049.15792799706</v>
      </c>
    </row>
    <row r="32" spans="1:3" ht="25.15" customHeight="1">
      <c r="A32" s="455" t="s">
        <v>1989</v>
      </c>
      <c r="B32" s="82">
        <v>171200.76492397019</v>
      </c>
    </row>
    <row r="33" spans="1:3" ht="25.15" customHeight="1">
      <c r="A33" s="455" t="s">
        <v>1990</v>
      </c>
      <c r="B33" s="82">
        <v>225772.94300541302</v>
      </c>
    </row>
    <row r="34" spans="1:3" ht="25.15" customHeight="1">
      <c r="A34" s="455" t="s">
        <v>1991</v>
      </c>
      <c r="B34" s="82">
        <v>953443.98574243044</v>
      </c>
    </row>
    <row r="35" spans="1:3" ht="25.15" customHeight="1">
      <c r="A35" s="455" t="s">
        <v>1992</v>
      </c>
      <c r="B35" s="82">
        <v>156252.79212843493</v>
      </c>
    </row>
    <row r="36" spans="1:3" ht="25.15" customHeight="1">
      <c r="A36" s="455" t="s">
        <v>1993</v>
      </c>
      <c r="B36" s="82">
        <v>177080.07048816982</v>
      </c>
      <c r="C36" s="446"/>
    </row>
    <row r="37" spans="1:3" ht="25.15" customHeight="1">
      <c r="A37" s="455" t="s">
        <v>1994</v>
      </c>
      <c r="B37" s="82">
        <v>150585.78982669886</v>
      </c>
      <c r="C37" s="446"/>
    </row>
    <row r="38" spans="1:3" ht="25.15" customHeight="1">
      <c r="A38" s="455" t="s">
        <v>1995</v>
      </c>
      <c r="B38" s="82">
        <v>392912.69625647244</v>
      </c>
      <c r="C38" s="446"/>
    </row>
    <row r="39" spans="1:3" ht="25.15" customHeight="1">
      <c r="A39" s="455" t="s">
        <v>1996</v>
      </c>
      <c r="B39" s="82">
        <v>1622758.4719425424</v>
      </c>
      <c r="C39" s="446"/>
    </row>
    <row r="40" spans="1:3" ht="25.15" customHeight="1">
      <c r="A40" s="455" t="s">
        <v>1997</v>
      </c>
      <c r="B40" s="82">
        <v>142077.50321361149</v>
      </c>
      <c r="C40" s="446"/>
    </row>
    <row r="41" spans="1:3" ht="25.15" customHeight="1">
      <c r="A41" s="455" t="s">
        <v>1998</v>
      </c>
      <c r="B41" s="82">
        <v>161997.99450379013</v>
      </c>
      <c r="C41" s="446"/>
    </row>
    <row r="42" spans="1:3" ht="25.15" hidden="1" customHeight="1">
      <c r="A42" s="455" t="s">
        <v>1999</v>
      </c>
      <c r="B42" s="82">
        <v>512143.10895765305</v>
      </c>
      <c r="C42" s="446"/>
    </row>
    <row r="43" spans="1:3" ht="25.15" customHeight="1">
      <c r="A43" s="455" t="s">
        <v>2000</v>
      </c>
      <c r="B43" s="82">
        <v>1690087.0947185038</v>
      </c>
      <c r="C43" s="446"/>
    </row>
    <row r="44" spans="1:3" ht="25.15" customHeight="1">
      <c r="A44" s="455" t="s">
        <v>2001</v>
      </c>
      <c r="B44" s="82">
        <v>276019.92676807201</v>
      </c>
      <c r="C44" s="446"/>
    </row>
    <row r="45" spans="1:3" ht="25.15" customHeight="1">
      <c r="A45" s="455" t="s">
        <v>2002</v>
      </c>
      <c r="B45" s="82">
        <v>169948.02045157473</v>
      </c>
      <c r="C45" s="446"/>
    </row>
    <row r="46" spans="1:3" ht="25.15" customHeight="1">
      <c r="A46" s="455" t="s">
        <v>2003</v>
      </c>
      <c r="B46" s="82">
        <v>603251.55060561374</v>
      </c>
      <c r="C46" s="446"/>
    </row>
    <row r="47" spans="1:3" ht="25.15" customHeight="1">
      <c r="A47" s="455" t="s">
        <v>2004</v>
      </c>
      <c r="B47" s="82">
        <v>337601.21380978136</v>
      </c>
      <c r="C47" s="450"/>
    </row>
    <row r="48" spans="1:3" ht="25.15" customHeight="1">
      <c r="A48" s="455" t="s">
        <v>2005</v>
      </c>
      <c r="B48" s="451">
        <v>576297.96381103934</v>
      </c>
      <c r="C48" s="446"/>
    </row>
    <row r="49" spans="1:3" ht="25.15" customHeight="1">
      <c r="A49" s="455" t="s">
        <v>2006</v>
      </c>
      <c r="B49" s="82">
        <v>663444.05103735998</v>
      </c>
      <c r="C49" s="446"/>
    </row>
    <row r="50" spans="1:3" ht="25.15" customHeight="1">
      <c r="A50" s="455" t="s">
        <v>2040</v>
      </c>
      <c r="B50" s="82">
        <v>163448.56922962502</v>
      </c>
      <c r="C50" s="446"/>
    </row>
    <row r="51" spans="1:3" ht="25.15" customHeight="1">
      <c r="A51" s="455" t="s">
        <v>2007</v>
      </c>
      <c r="B51" s="82">
        <v>1249199.5737980437</v>
      </c>
      <c r="C51" s="446"/>
    </row>
    <row r="52" spans="1:3" ht="25.15" customHeight="1">
      <c r="A52" s="455" t="s">
        <v>2008</v>
      </c>
      <c r="B52" s="82">
        <v>196641.16355343445</v>
      </c>
      <c r="C52" s="446"/>
    </row>
    <row r="53" spans="1:3" ht="25.15" customHeight="1">
      <c r="A53" s="455" t="s">
        <v>2009</v>
      </c>
      <c r="B53" s="82">
        <v>184411.58166467151</v>
      </c>
      <c r="C53" s="446"/>
    </row>
    <row r="54" spans="1:3" ht="25.15" customHeight="1">
      <c r="A54" s="455" t="s">
        <v>2010</v>
      </c>
      <c r="B54" s="82">
        <v>184979.04838585746</v>
      </c>
      <c r="C54" s="446"/>
    </row>
    <row r="55" spans="1:3" ht="25.15" customHeight="1">
      <c r="A55" s="455" t="s">
        <v>2011</v>
      </c>
      <c r="B55" s="82">
        <v>617553.4519346765</v>
      </c>
      <c r="C55" s="446"/>
    </row>
    <row r="56" spans="1:3" ht="25.15" customHeight="1">
      <c r="A56" s="455" t="s">
        <v>2012</v>
      </c>
      <c r="B56" s="82">
        <v>198585.06338504856</v>
      </c>
      <c r="C56" s="446"/>
    </row>
    <row r="57" spans="1:3" ht="25.15" customHeight="1">
      <c r="A57" s="455" t="s">
        <v>2013</v>
      </c>
      <c r="B57" s="82">
        <v>418677.53175717616</v>
      </c>
      <c r="C57" s="446"/>
    </row>
    <row r="58" spans="1:3" ht="25.15" customHeight="1">
      <c r="A58" s="455" t="s">
        <v>2014</v>
      </c>
      <c r="B58" s="82">
        <v>185982.52565097902</v>
      </c>
      <c r="C58" s="446"/>
    </row>
    <row r="59" spans="1:3" ht="25.15" customHeight="1">
      <c r="A59" s="455" t="s">
        <v>2016</v>
      </c>
      <c r="B59" s="82">
        <v>500785.23594679468</v>
      </c>
      <c r="C59" s="1114" t="s">
        <v>2015</v>
      </c>
    </row>
    <row r="60" spans="1:3" ht="25.15" customHeight="1">
      <c r="A60" s="455" t="s">
        <v>2017</v>
      </c>
      <c r="B60" s="82">
        <v>872950.12648575474</v>
      </c>
      <c r="C60" s="1114"/>
    </row>
    <row r="61" spans="1:3" ht="25.15" customHeight="1">
      <c r="A61" s="455" t="s">
        <v>2018</v>
      </c>
      <c r="B61" s="82">
        <v>1845701.7787873095</v>
      </c>
      <c r="C61" s="1114"/>
    </row>
    <row r="62" spans="1:3" ht="25.15" customHeight="1">
      <c r="A62" s="455" t="s">
        <v>2019</v>
      </c>
      <c r="B62" s="82">
        <v>809337.33873272093</v>
      </c>
      <c r="C62" s="1114"/>
    </row>
    <row r="63" spans="1:3" ht="25.15" customHeight="1">
      <c r="A63" s="455" t="s">
        <v>2020</v>
      </c>
      <c r="B63" s="82">
        <v>1109212.4424038532</v>
      </c>
      <c r="C63" s="1114"/>
    </row>
    <row r="64" spans="1:3" ht="25.15" customHeight="1">
      <c r="A64" s="455" t="s">
        <v>2021</v>
      </c>
      <c r="B64" s="82">
        <v>1101168.4620894371</v>
      </c>
      <c r="C64" s="1114"/>
    </row>
    <row r="65" spans="1:3" ht="25.15" customHeight="1">
      <c r="A65" s="455" t="s">
        <v>2022</v>
      </c>
      <c r="B65" s="82">
        <v>352735.9837772359</v>
      </c>
      <c r="C65" s="1114"/>
    </row>
    <row r="66" spans="1:3" ht="25.15" customHeight="1">
      <c r="A66" s="455" t="s">
        <v>2023</v>
      </c>
      <c r="B66" s="82">
        <v>229027.99383668316</v>
      </c>
    </row>
    <row r="67" spans="1:3" ht="25.15" customHeight="1">
      <c r="A67" s="455" t="s">
        <v>2024</v>
      </c>
      <c r="B67" s="82">
        <v>785592.50920725346</v>
      </c>
    </row>
    <row r="68" spans="1:3" ht="25.15" customHeight="1">
      <c r="A68" s="455" t="s">
        <v>2025</v>
      </c>
      <c r="B68" s="82">
        <v>927390.53732276743</v>
      </c>
    </row>
    <row r="69" spans="1:3" ht="25.15" customHeight="1">
      <c r="A69" s="455" t="s">
        <v>2026</v>
      </c>
      <c r="B69" s="82">
        <v>1376940.887026391</v>
      </c>
    </row>
    <row r="70" spans="1:3" ht="25.15" hidden="1" customHeight="1">
      <c r="A70" s="455" t="s">
        <v>2027</v>
      </c>
      <c r="B70" s="82">
        <v>206993.454285065</v>
      </c>
    </row>
    <row r="71" spans="1:3" ht="25.15" customHeight="1">
      <c r="A71" s="455" t="s">
        <v>2028</v>
      </c>
      <c r="B71" s="82">
        <v>764550.02789247117</v>
      </c>
    </row>
    <row r="72" spans="1:3" ht="25.15" customHeight="1">
      <c r="A72" s="455" t="s">
        <v>2029</v>
      </c>
      <c r="B72" s="82">
        <v>820776.14061029535</v>
      </c>
    </row>
    <row r="73" spans="1:3" ht="25.15" customHeight="1">
      <c r="A73" s="455" t="s">
        <v>2030</v>
      </c>
      <c r="B73" s="82">
        <v>632283.00351844972</v>
      </c>
    </row>
    <row r="74" spans="1:3" ht="25.15" customHeight="1">
      <c r="A74" s="455" t="s">
        <v>2031</v>
      </c>
      <c r="B74" s="82">
        <v>475998.47885414917</v>
      </c>
    </row>
    <row r="75" spans="1:3" ht="25.15" customHeight="1">
      <c r="A75" s="455" t="s">
        <v>2032</v>
      </c>
      <c r="B75" s="82">
        <v>319204.60322261631</v>
      </c>
    </row>
    <row r="76" spans="1:3" ht="25.15" customHeight="1">
      <c r="A76" s="455" t="s">
        <v>2033</v>
      </c>
      <c r="B76" s="82">
        <v>293467.87871427671</v>
      </c>
    </row>
    <row r="77" spans="1:3" ht="25.15" customHeight="1">
      <c r="A77" s="455" t="s">
        <v>2034</v>
      </c>
      <c r="B77" s="82">
        <v>167053.81036535668</v>
      </c>
      <c r="C77" s="446"/>
    </row>
    <row r="78" spans="1:3" ht="25.15" customHeight="1">
      <c r="A78" s="455" t="s">
        <v>2035</v>
      </c>
      <c r="B78" s="82">
        <v>2869768.1421689168</v>
      </c>
    </row>
    <row r="79" spans="1:3" ht="25.15" customHeight="1">
      <c r="A79" s="455" t="s">
        <v>2036</v>
      </c>
      <c r="B79" s="82">
        <v>2010097.7795951348</v>
      </c>
    </row>
    <row r="80" spans="1:3" ht="25.15" customHeight="1" thickBot="1">
      <c r="A80" s="455" t="s">
        <v>2037</v>
      </c>
      <c r="B80" s="82">
        <v>422325.26217383024</v>
      </c>
    </row>
    <row r="81" spans="1:3" ht="25.15" hidden="1" customHeight="1">
      <c r="A81" s="83"/>
      <c r="B81" s="82">
        <v>0</v>
      </c>
      <c r="C81" s="1114"/>
    </row>
    <row r="82" spans="1:3" ht="25.15" hidden="1" customHeight="1">
      <c r="A82" s="83"/>
      <c r="B82" s="82">
        <v>0</v>
      </c>
      <c r="C82" s="1114"/>
    </row>
    <row r="83" spans="1:3" ht="25.15" hidden="1" customHeight="1">
      <c r="A83" s="83"/>
      <c r="B83" s="82">
        <v>0</v>
      </c>
      <c r="C83" s="1114"/>
    </row>
    <row r="84" spans="1:3" ht="25.15" hidden="1" customHeight="1">
      <c r="A84" s="83"/>
      <c r="B84" s="82">
        <v>0</v>
      </c>
      <c r="C84" s="1114"/>
    </row>
    <row r="85" spans="1:3" ht="25.15" hidden="1" customHeight="1">
      <c r="A85" s="83"/>
      <c r="B85" s="82">
        <v>0</v>
      </c>
      <c r="C85" s="1114"/>
    </row>
    <row r="86" spans="1:3" ht="25.15" hidden="1" customHeight="1">
      <c r="A86" s="83"/>
      <c r="B86" s="82">
        <v>0</v>
      </c>
      <c r="C86" s="1114"/>
    </row>
    <row r="87" spans="1:3" ht="25.15" hidden="1" customHeight="1">
      <c r="A87" s="83"/>
      <c r="B87" s="82">
        <v>0</v>
      </c>
      <c r="C87" s="1114"/>
    </row>
    <row r="88" spans="1:3" ht="25.15" hidden="1" customHeight="1">
      <c r="A88" s="83"/>
      <c r="B88" s="82">
        <v>0</v>
      </c>
      <c r="C88" s="1114"/>
    </row>
    <row r="89" spans="1:3" ht="25.15" hidden="1" customHeight="1" thickBot="1">
      <c r="A89" s="449"/>
      <c r="B89" s="452">
        <v>0</v>
      </c>
      <c r="C89" s="1114"/>
    </row>
    <row r="90" spans="1:3" ht="25.15" customHeight="1" thickBot="1">
      <c r="A90" s="453" t="s">
        <v>2038</v>
      </c>
      <c r="B90" s="454">
        <v>40189994.47622703</v>
      </c>
      <c r="C90" s="1114"/>
    </row>
    <row r="91" spans="1:3" ht="25.15" customHeight="1">
      <c r="A91" s="455" t="s">
        <v>2039</v>
      </c>
      <c r="B91" s="754">
        <v>787981.55739785731</v>
      </c>
      <c r="C91" s="1114"/>
    </row>
    <row r="92" spans="1:3" ht="25.15" customHeight="1" thickBot="1">
      <c r="A92" s="83" t="s">
        <v>2041</v>
      </c>
      <c r="B92" s="755">
        <v>4449999.9994907407</v>
      </c>
      <c r="C92" s="1114"/>
    </row>
    <row r="93" spans="1:3" ht="25.15" customHeight="1" thickBot="1">
      <c r="A93" s="453" t="s">
        <v>81</v>
      </c>
      <c r="B93" s="756">
        <v>45427976.033115625</v>
      </c>
      <c r="C93" s="1114"/>
    </row>
  </sheetData>
  <mergeCells count="4">
    <mergeCell ref="C81:C93"/>
    <mergeCell ref="B3:C3"/>
    <mergeCell ref="C23:C28"/>
    <mergeCell ref="C59:C65"/>
  </mergeCells>
  <printOptions horizontalCentered="1"/>
  <pageMargins left="0.78740157480314965" right="0.78740157480314965" top="1.1811023622047245" bottom="1.1811023622047245" header="0.51181102362204722" footer="0.51181102362204722"/>
  <pageSetup paperSize="9" scale="55" firstPageNumber="10" fitToHeight="2" orientation="portrait" useFirstPageNumber="1" r:id="rId1"/>
  <headerFooter alignWithMargins="0"/>
  <rowBreaks count="2" manualBreakCount="2">
    <brk id="43" max="2" man="1"/>
    <brk id="93" max="2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3889"/>
  <sheetViews>
    <sheetView showGridLines="0" view="pageBreakPreview" topLeftCell="C3569" zoomScale="90" zoomScaleNormal="90" zoomScaleSheetLayoutView="90" workbookViewId="0">
      <selection activeCell="F3560" sqref="F3560"/>
    </sheetView>
  </sheetViews>
  <sheetFormatPr defaultColWidth="9.140625" defaultRowHeight="14.25" outlineLevelRow="2"/>
  <cols>
    <col min="1" max="1" width="37" style="849" hidden="1" customWidth="1"/>
    <col min="2" max="2" width="17.7109375" style="831" hidden="1" customWidth="1"/>
    <col min="3" max="3" width="15.28515625" style="831" customWidth="1"/>
    <col min="4" max="4" width="7.5703125" style="457" customWidth="1"/>
    <col min="5" max="5" width="73.85546875" style="457" customWidth="1"/>
    <col min="6" max="6" width="68.5703125" style="458" customWidth="1"/>
    <col min="7" max="7" width="27.140625" style="459" customWidth="1"/>
    <col min="8" max="8" width="13.5703125" style="831" customWidth="1"/>
    <col min="9" max="9" width="16" style="576" customWidth="1"/>
    <col min="10" max="10" width="16.28515625" style="832" customWidth="1"/>
    <col min="11" max="11" width="31.7109375" style="457" bestFit="1" customWidth="1"/>
    <col min="12" max="12" width="14.140625" style="457" customWidth="1"/>
    <col min="13" max="13" width="11.28515625" style="457" bestFit="1" customWidth="1"/>
    <col min="14" max="16384" width="9.140625" style="457"/>
  </cols>
  <sheetData>
    <row r="1" spans="1:13" s="850" customFormat="1">
      <c r="A1" s="540"/>
      <c r="C1" s="713"/>
      <c r="D1" s="1064"/>
      <c r="E1" s="1065"/>
      <c r="F1" s="713" t="s">
        <v>111</v>
      </c>
      <c r="G1" s="1066"/>
      <c r="H1" s="713"/>
      <c r="I1" s="1067"/>
      <c r="J1" s="851"/>
    </row>
    <row r="2" spans="1:13" s="850" customFormat="1">
      <c r="A2" s="540"/>
      <c r="C2" s="713"/>
      <c r="D2" s="1064"/>
      <c r="E2" s="1068"/>
      <c r="F2" s="1069" t="s">
        <v>112</v>
      </c>
      <c r="G2" s="1066"/>
      <c r="H2" s="713"/>
      <c r="I2" s="1067"/>
      <c r="J2" s="851"/>
    </row>
    <row r="3" spans="1:13" s="850" customFormat="1" ht="15" thickBot="1">
      <c r="A3" s="540"/>
      <c r="C3" s="723"/>
      <c r="D3" s="1070"/>
      <c r="E3" s="1071"/>
      <c r="F3" s="1072" t="str">
        <f>Resumo!E3</f>
        <v>Abril-16</v>
      </c>
      <c r="G3" s="1073"/>
      <c r="H3" s="723"/>
      <c r="I3" s="1074"/>
      <c r="J3" s="835"/>
    </row>
    <row r="4" spans="1:13" s="460" customFormat="1" ht="42" customHeight="1" thickBot="1">
      <c r="A4" s="1075" t="s">
        <v>2078</v>
      </c>
      <c r="B4" s="1076" t="s">
        <v>2077</v>
      </c>
      <c r="C4" s="1076" t="s">
        <v>113</v>
      </c>
      <c r="D4" s="1077"/>
      <c r="E4" s="1078" t="s">
        <v>114</v>
      </c>
      <c r="F4" s="1079" t="s">
        <v>115</v>
      </c>
      <c r="G4" s="1079" t="s">
        <v>116</v>
      </c>
      <c r="H4" s="1080" t="s">
        <v>117</v>
      </c>
      <c r="I4" s="1081" t="s">
        <v>118</v>
      </c>
      <c r="J4" s="1082" t="s">
        <v>119</v>
      </c>
      <c r="K4" s="479"/>
      <c r="L4" s="479"/>
      <c r="M4" s="479"/>
    </row>
    <row r="5" spans="1:13" s="852" customFormat="1" outlineLevel="2">
      <c r="A5" s="878" t="s">
        <v>6432</v>
      </c>
      <c r="B5" s="879">
        <v>112120611010</v>
      </c>
      <c r="C5" s="729" t="s">
        <v>476</v>
      </c>
      <c r="D5" s="460"/>
      <c r="E5" s="878" t="s">
        <v>483</v>
      </c>
      <c r="F5" s="881" t="s">
        <v>2208</v>
      </c>
      <c r="G5" s="731" t="str">
        <f>"16973"</f>
        <v>16973</v>
      </c>
      <c r="H5" s="1083">
        <v>42401</v>
      </c>
      <c r="I5" s="1084">
        <v>42473</v>
      </c>
      <c r="J5" s="957">
        <v>30994.54</v>
      </c>
    </row>
    <row r="6" spans="1:13" s="852" customFormat="1" outlineLevel="2">
      <c r="A6" s="878" t="s">
        <v>5953</v>
      </c>
      <c r="B6" s="879">
        <v>112120611020</v>
      </c>
      <c r="C6" s="729" t="s">
        <v>476</v>
      </c>
      <c r="D6" s="460"/>
      <c r="E6" s="878" t="s">
        <v>6470</v>
      </c>
      <c r="F6" s="881" t="s">
        <v>434</v>
      </c>
      <c r="G6" s="731" t="str">
        <f>"2644"</f>
        <v>2644</v>
      </c>
      <c r="H6" s="1083">
        <v>42370</v>
      </c>
      <c r="I6" s="1084">
        <v>42478</v>
      </c>
      <c r="J6" s="957">
        <v>-4862.3100000000004</v>
      </c>
    </row>
    <row r="7" spans="1:13" s="852" customFormat="1" outlineLevel="2">
      <c r="A7" s="878" t="s">
        <v>5953</v>
      </c>
      <c r="B7" s="879">
        <v>112120611020</v>
      </c>
      <c r="C7" s="729" t="s">
        <v>476</v>
      </c>
      <c r="D7" s="460"/>
      <c r="E7" s="878" t="s">
        <v>6470</v>
      </c>
      <c r="F7" s="881" t="s">
        <v>434</v>
      </c>
      <c r="G7" s="731" t="str">
        <f>"2644"</f>
        <v>2644</v>
      </c>
      <c r="H7" s="1083">
        <v>42370</v>
      </c>
      <c r="I7" s="1084">
        <v>42478</v>
      </c>
      <c r="J7" s="957">
        <v>4862.32</v>
      </c>
    </row>
    <row r="8" spans="1:13" s="852" customFormat="1" outlineLevel="2">
      <c r="A8" s="878" t="s">
        <v>5953</v>
      </c>
      <c r="B8" s="879">
        <v>112120611020</v>
      </c>
      <c r="C8" s="729" t="s">
        <v>476</v>
      </c>
      <c r="D8" s="460"/>
      <c r="E8" s="878" t="s">
        <v>6470</v>
      </c>
      <c r="F8" s="881" t="s">
        <v>434</v>
      </c>
      <c r="G8" s="731" t="str">
        <f>"2644"</f>
        <v>2644</v>
      </c>
      <c r="H8" s="1083">
        <v>42370</v>
      </c>
      <c r="I8" s="1084">
        <v>42478</v>
      </c>
      <c r="J8" s="957">
        <v>4862.3100000000004</v>
      </c>
    </row>
    <row r="9" spans="1:13" s="852" customFormat="1" outlineLevel="2">
      <c r="A9" s="878" t="s">
        <v>5953</v>
      </c>
      <c r="B9" s="879">
        <v>112120611020</v>
      </c>
      <c r="C9" s="729" t="s">
        <v>476</v>
      </c>
      <c r="D9" s="460"/>
      <c r="E9" s="878" t="s">
        <v>6470</v>
      </c>
      <c r="F9" s="881" t="s">
        <v>434</v>
      </c>
      <c r="G9" s="731" t="str">
        <f>"2644"</f>
        <v>2644</v>
      </c>
      <c r="H9" s="1083">
        <v>42370</v>
      </c>
      <c r="I9" s="1084">
        <v>42478</v>
      </c>
      <c r="J9" s="957">
        <v>4862.32</v>
      </c>
    </row>
    <row r="10" spans="1:13" s="852" customFormat="1" outlineLevel="2">
      <c r="A10" s="878" t="s">
        <v>5953</v>
      </c>
      <c r="B10" s="879">
        <v>112120611020</v>
      </c>
      <c r="C10" s="729" t="s">
        <v>476</v>
      </c>
      <c r="D10" s="460"/>
      <c r="E10" s="878" t="s">
        <v>6470</v>
      </c>
      <c r="F10" s="881" t="s">
        <v>434</v>
      </c>
      <c r="G10" s="731" t="str">
        <f>"2644"</f>
        <v>2644</v>
      </c>
      <c r="H10" s="1083">
        <v>42370</v>
      </c>
      <c r="I10" s="1084">
        <v>42478</v>
      </c>
      <c r="J10" s="957">
        <v>-4862.32</v>
      </c>
    </row>
    <row r="11" spans="1:13" s="852" customFormat="1" outlineLevel="2">
      <c r="A11" s="878" t="s">
        <v>482</v>
      </c>
      <c r="B11" s="879" t="s">
        <v>7863</v>
      </c>
      <c r="C11" s="729" t="s">
        <v>476</v>
      </c>
      <c r="D11" s="460"/>
      <c r="E11" s="878" t="s">
        <v>2336</v>
      </c>
      <c r="F11" s="881" t="s">
        <v>3275</v>
      </c>
      <c r="G11" s="731" t="s">
        <v>2772</v>
      </c>
      <c r="H11" s="1083">
        <v>42401</v>
      </c>
      <c r="I11" s="1084">
        <v>42480</v>
      </c>
      <c r="J11" s="957">
        <v>4191.0200000000004</v>
      </c>
    </row>
    <row r="12" spans="1:13" s="852" customFormat="1" outlineLevel="2">
      <c r="A12" s="878" t="s">
        <v>480</v>
      </c>
      <c r="B12" s="879" t="s">
        <v>7864</v>
      </c>
      <c r="C12" s="729" t="s">
        <v>476</v>
      </c>
      <c r="D12" s="460"/>
      <c r="E12" s="878" t="s">
        <v>2336</v>
      </c>
      <c r="F12" s="881" t="s">
        <v>4592</v>
      </c>
      <c r="G12" s="731" t="s">
        <v>2776</v>
      </c>
      <c r="H12" s="1083">
        <v>42401</v>
      </c>
      <c r="I12" s="1084">
        <v>42480</v>
      </c>
      <c r="J12" s="957">
        <v>674.05</v>
      </c>
    </row>
    <row r="13" spans="1:13" s="852" customFormat="1" outlineLevel="2">
      <c r="A13" s="878" t="s">
        <v>480</v>
      </c>
      <c r="B13" s="879" t="s">
        <v>7864</v>
      </c>
      <c r="C13" s="729" t="s">
        <v>476</v>
      </c>
      <c r="D13" s="460"/>
      <c r="E13" s="878" t="s">
        <v>2336</v>
      </c>
      <c r="F13" s="881" t="s">
        <v>4831</v>
      </c>
      <c r="G13" s="731" t="s">
        <v>2778</v>
      </c>
      <c r="H13" s="1083">
        <v>42401</v>
      </c>
      <c r="I13" s="1084">
        <v>42480</v>
      </c>
      <c r="J13" s="957">
        <v>443.45</v>
      </c>
    </row>
    <row r="14" spans="1:13" s="852" customFormat="1" outlineLevel="2">
      <c r="A14" s="878" t="s">
        <v>480</v>
      </c>
      <c r="B14" s="879" t="s">
        <v>7864</v>
      </c>
      <c r="C14" s="729" t="s">
        <v>476</v>
      </c>
      <c r="D14" s="460"/>
      <c r="E14" s="878" t="s">
        <v>2336</v>
      </c>
      <c r="F14" s="881" t="s">
        <v>4582</v>
      </c>
      <c r="G14" s="731" t="s">
        <v>2775</v>
      </c>
      <c r="H14" s="1083">
        <v>42401</v>
      </c>
      <c r="I14" s="1084">
        <v>42480</v>
      </c>
      <c r="J14" s="957">
        <v>656.31</v>
      </c>
    </row>
    <row r="15" spans="1:13" s="852" customFormat="1" outlineLevel="2">
      <c r="A15" s="878" t="s">
        <v>2286</v>
      </c>
      <c r="B15" s="879" t="s">
        <v>7865</v>
      </c>
      <c r="C15" s="729" t="s">
        <v>476</v>
      </c>
      <c r="D15" s="460"/>
      <c r="E15" s="878" t="s">
        <v>2336</v>
      </c>
      <c r="F15" s="881" t="s">
        <v>4263</v>
      </c>
      <c r="G15" s="731" t="s">
        <v>2773</v>
      </c>
      <c r="H15" s="1083">
        <v>42430</v>
      </c>
      <c r="I15" s="1084">
        <v>42480</v>
      </c>
      <c r="J15" s="957">
        <v>12972.49</v>
      </c>
    </row>
    <row r="16" spans="1:13" s="852" customFormat="1" outlineLevel="2">
      <c r="A16" s="878" t="s">
        <v>5953</v>
      </c>
      <c r="B16" s="879" t="s">
        <v>7864</v>
      </c>
      <c r="C16" s="729" t="s">
        <v>476</v>
      </c>
      <c r="D16" s="460"/>
      <c r="E16" s="878" t="s">
        <v>2717</v>
      </c>
      <c r="F16" s="881" t="s">
        <v>434</v>
      </c>
      <c r="G16" s="731" t="str">
        <f>"3577"</f>
        <v>3577</v>
      </c>
      <c r="H16" s="1083">
        <v>42401</v>
      </c>
      <c r="I16" s="1084">
        <v>42467</v>
      </c>
      <c r="J16" s="957">
        <v>3198.9</v>
      </c>
    </row>
    <row r="17" spans="1:10" s="852" customFormat="1" outlineLevel="2">
      <c r="A17" s="878" t="s">
        <v>5953</v>
      </c>
      <c r="B17" s="879" t="s">
        <v>7864</v>
      </c>
      <c r="C17" s="729" t="s">
        <v>476</v>
      </c>
      <c r="D17" s="460"/>
      <c r="E17" s="878" t="s">
        <v>409</v>
      </c>
      <c r="F17" s="881" t="s">
        <v>434</v>
      </c>
      <c r="G17" s="731" t="str">
        <f>"6749"</f>
        <v>6749</v>
      </c>
      <c r="H17" s="1083">
        <v>42401</v>
      </c>
      <c r="I17" s="1084">
        <v>42475</v>
      </c>
      <c r="J17" s="957">
        <v>4734.3599999999997</v>
      </c>
    </row>
    <row r="18" spans="1:10" s="852" customFormat="1" outlineLevel="2">
      <c r="A18" s="878" t="s">
        <v>981</v>
      </c>
      <c r="B18" s="879" t="s">
        <v>7866</v>
      </c>
      <c r="C18" s="729" t="s">
        <v>476</v>
      </c>
      <c r="D18" s="460"/>
      <c r="E18" s="878" t="s">
        <v>2282</v>
      </c>
      <c r="F18" s="881" t="s">
        <v>3974</v>
      </c>
      <c r="G18" s="731" t="s">
        <v>2779</v>
      </c>
      <c r="H18" s="1083">
        <v>42401</v>
      </c>
      <c r="I18" s="1084">
        <v>42471</v>
      </c>
      <c r="J18" s="957">
        <v>383.75</v>
      </c>
    </row>
    <row r="19" spans="1:10" s="852" customFormat="1" outlineLevel="2">
      <c r="A19" s="878" t="s">
        <v>981</v>
      </c>
      <c r="B19" s="879" t="s">
        <v>7866</v>
      </c>
      <c r="C19" s="729" t="s">
        <v>476</v>
      </c>
      <c r="D19" s="460"/>
      <c r="E19" s="878" t="s">
        <v>2282</v>
      </c>
      <c r="F19" s="881" t="s">
        <v>4081</v>
      </c>
      <c r="G19" s="731" t="s">
        <v>2781</v>
      </c>
      <c r="H19" s="1083">
        <v>42401</v>
      </c>
      <c r="I19" s="1084">
        <v>42471</v>
      </c>
      <c r="J19" s="957">
        <v>12.27</v>
      </c>
    </row>
    <row r="20" spans="1:10" s="852" customFormat="1" outlineLevel="2">
      <c r="A20" s="878" t="s">
        <v>981</v>
      </c>
      <c r="B20" s="879" t="s">
        <v>7866</v>
      </c>
      <c r="C20" s="729" t="s">
        <v>476</v>
      </c>
      <c r="D20" s="460"/>
      <c r="E20" s="878" t="s">
        <v>2282</v>
      </c>
      <c r="F20" s="881" t="s">
        <v>4165</v>
      </c>
      <c r="G20" s="731" t="s">
        <v>2782</v>
      </c>
      <c r="H20" s="1083">
        <v>42401</v>
      </c>
      <c r="I20" s="1084">
        <v>42471</v>
      </c>
      <c r="J20" s="957">
        <v>144.78</v>
      </c>
    </row>
    <row r="21" spans="1:10" s="852" customFormat="1" outlineLevel="2">
      <c r="A21" s="878" t="s">
        <v>482</v>
      </c>
      <c r="B21" s="879" t="s">
        <v>7863</v>
      </c>
      <c r="C21" s="729" t="s">
        <v>476</v>
      </c>
      <c r="D21" s="460"/>
      <c r="E21" s="878" t="s">
        <v>2335</v>
      </c>
      <c r="F21" s="881" t="s">
        <v>3276</v>
      </c>
      <c r="G21" s="731" t="s">
        <v>2784</v>
      </c>
      <c r="H21" s="1083">
        <v>42401</v>
      </c>
      <c r="I21" s="1084">
        <v>42475</v>
      </c>
      <c r="J21" s="957">
        <v>762</v>
      </c>
    </row>
    <row r="22" spans="1:10" s="852" customFormat="1" outlineLevel="2">
      <c r="A22" s="878" t="s">
        <v>2286</v>
      </c>
      <c r="B22" s="879" t="s">
        <v>7865</v>
      </c>
      <c r="C22" s="729" t="s">
        <v>476</v>
      </c>
      <c r="D22" s="460"/>
      <c r="E22" s="878" t="s">
        <v>2335</v>
      </c>
      <c r="F22" s="881" t="s">
        <v>4265</v>
      </c>
      <c r="G22" s="731" t="s">
        <v>2785</v>
      </c>
      <c r="H22" s="1083">
        <v>42430</v>
      </c>
      <c r="I22" s="1084">
        <v>42475</v>
      </c>
      <c r="J22" s="957">
        <v>4293.33</v>
      </c>
    </row>
    <row r="23" spans="1:10" s="852" customFormat="1" outlineLevel="2">
      <c r="A23" s="878" t="s">
        <v>480</v>
      </c>
      <c r="B23" s="879" t="s">
        <v>7864</v>
      </c>
      <c r="C23" s="729" t="s">
        <v>476</v>
      </c>
      <c r="D23" s="460"/>
      <c r="E23" s="878" t="s">
        <v>2335</v>
      </c>
      <c r="F23" s="881" t="s">
        <v>4584</v>
      </c>
      <c r="G23" s="731" t="s">
        <v>2787</v>
      </c>
      <c r="H23" s="1083">
        <v>42401</v>
      </c>
      <c r="I23" s="1084">
        <v>42475</v>
      </c>
      <c r="J23" s="957">
        <v>238.66</v>
      </c>
    </row>
    <row r="24" spans="1:10" s="852" customFormat="1" outlineLevel="2">
      <c r="A24" s="878" t="s">
        <v>480</v>
      </c>
      <c r="B24" s="879" t="s">
        <v>7864</v>
      </c>
      <c r="C24" s="729" t="s">
        <v>476</v>
      </c>
      <c r="D24" s="460"/>
      <c r="E24" s="878" t="s">
        <v>2335</v>
      </c>
      <c r="F24" s="881" t="s">
        <v>4594</v>
      </c>
      <c r="G24" s="731" t="s">
        <v>2788</v>
      </c>
      <c r="H24" s="1083">
        <v>42401</v>
      </c>
      <c r="I24" s="1084">
        <v>42475</v>
      </c>
      <c r="J24" s="957">
        <v>245.11</v>
      </c>
    </row>
    <row r="25" spans="1:10" s="852" customFormat="1" outlineLevel="2">
      <c r="A25" s="878" t="s">
        <v>480</v>
      </c>
      <c r="B25" s="879" t="s">
        <v>7864</v>
      </c>
      <c r="C25" s="729" t="s">
        <v>476</v>
      </c>
      <c r="D25" s="460"/>
      <c r="E25" s="878" t="s">
        <v>2335</v>
      </c>
      <c r="F25" s="881" t="s">
        <v>4832</v>
      </c>
      <c r="G25" s="731" t="s">
        <v>2790</v>
      </c>
      <c r="H25" s="1083">
        <v>42401</v>
      </c>
      <c r="I25" s="1084">
        <v>42475</v>
      </c>
      <c r="J25" s="957">
        <v>161.25</v>
      </c>
    </row>
    <row r="26" spans="1:10" s="852" customFormat="1" outlineLevel="2">
      <c r="A26" s="878" t="s">
        <v>2286</v>
      </c>
      <c r="B26" s="879" t="s">
        <v>7865</v>
      </c>
      <c r="C26" s="729" t="s">
        <v>476</v>
      </c>
      <c r="D26" s="460"/>
      <c r="E26" s="878" t="s">
        <v>508</v>
      </c>
      <c r="F26" s="881" t="s">
        <v>1094</v>
      </c>
      <c r="G26" s="731" t="s">
        <v>5828</v>
      </c>
      <c r="H26" s="1083">
        <v>42430</v>
      </c>
      <c r="I26" s="1084">
        <v>42489</v>
      </c>
      <c r="J26" s="957">
        <v>184198.84</v>
      </c>
    </row>
    <row r="27" spans="1:10" s="852" customFormat="1" outlineLevel="2">
      <c r="A27" s="878" t="s">
        <v>981</v>
      </c>
      <c r="B27" s="879" t="s">
        <v>7866</v>
      </c>
      <c r="C27" s="729" t="s">
        <v>476</v>
      </c>
      <c r="D27" s="460"/>
      <c r="E27" s="878" t="s">
        <v>1909</v>
      </c>
      <c r="F27" s="881" t="s">
        <v>3935</v>
      </c>
      <c r="G27" s="731" t="s">
        <v>2817</v>
      </c>
      <c r="H27" s="1083">
        <v>42401</v>
      </c>
      <c r="I27" s="1084">
        <v>42480</v>
      </c>
      <c r="J27" s="957">
        <v>115.12</v>
      </c>
    </row>
    <row r="28" spans="1:10" s="852" customFormat="1" outlineLevel="2">
      <c r="A28" s="878" t="s">
        <v>981</v>
      </c>
      <c r="B28" s="879" t="s">
        <v>7866</v>
      </c>
      <c r="C28" s="729" t="s">
        <v>476</v>
      </c>
      <c r="D28" s="460"/>
      <c r="E28" s="878" t="s">
        <v>1909</v>
      </c>
      <c r="F28" s="881" t="s">
        <v>4027</v>
      </c>
      <c r="G28" s="731" t="s">
        <v>2819</v>
      </c>
      <c r="H28" s="1083">
        <v>42401</v>
      </c>
      <c r="I28" s="1084">
        <v>42480</v>
      </c>
      <c r="J28" s="957">
        <v>3.68</v>
      </c>
    </row>
    <row r="29" spans="1:10" s="852" customFormat="1" outlineLevel="2">
      <c r="A29" s="878" t="s">
        <v>981</v>
      </c>
      <c r="B29" s="879" t="s">
        <v>7866</v>
      </c>
      <c r="C29" s="729" t="s">
        <v>476</v>
      </c>
      <c r="D29" s="460"/>
      <c r="E29" s="878" t="s">
        <v>1909</v>
      </c>
      <c r="F29" s="881" t="s">
        <v>4129</v>
      </c>
      <c r="G29" s="731" t="s">
        <v>2821</v>
      </c>
      <c r="H29" s="1083">
        <v>42401</v>
      </c>
      <c r="I29" s="1084">
        <v>42480</v>
      </c>
      <c r="J29" s="957">
        <v>43.43</v>
      </c>
    </row>
    <row r="30" spans="1:10" s="852" customFormat="1" outlineLevel="2">
      <c r="A30" s="878" t="s">
        <v>482</v>
      </c>
      <c r="B30" s="879" t="s">
        <v>7863</v>
      </c>
      <c r="C30" s="729" t="s">
        <v>476</v>
      </c>
      <c r="D30" s="460"/>
      <c r="E30" s="878" t="s">
        <v>1909</v>
      </c>
      <c r="F30" s="881" t="s">
        <v>3273</v>
      </c>
      <c r="G30" s="731" t="s">
        <v>2810</v>
      </c>
      <c r="H30" s="1083">
        <v>42401</v>
      </c>
      <c r="I30" s="1084">
        <v>42480</v>
      </c>
      <c r="J30" s="957">
        <v>381</v>
      </c>
    </row>
    <row r="31" spans="1:10" s="852" customFormat="1" outlineLevel="2">
      <c r="A31" s="878" t="s">
        <v>480</v>
      </c>
      <c r="B31" s="879" t="s">
        <v>7864</v>
      </c>
      <c r="C31" s="729" t="s">
        <v>476</v>
      </c>
      <c r="D31" s="460"/>
      <c r="E31" s="878" t="s">
        <v>1909</v>
      </c>
      <c r="F31" s="881" t="s">
        <v>4591</v>
      </c>
      <c r="G31" s="731" t="s">
        <v>2827</v>
      </c>
      <c r="H31" s="1083">
        <v>42401</v>
      </c>
      <c r="I31" s="1084">
        <v>42480</v>
      </c>
      <c r="J31" s="957">
        <v>61.28</v>
      </c>
    </row>
    <row r="32" spans="1:10" s="852" customFormat="1" outlineLevel="2">
      <c r="A32" s="878" t="s">
        <v>480</v>
      </c>
      <c r="B32" s="879" t="s">
        <v>7864</v>
      </c>
      <c r="C32" s="729" t="s">
        <v>476</v>
      </c>
      <c r="D32" s="460"/>
      <c r="E32" s="878" t="s">
        <v>1909</v>
      </c>
      <c r="F32" s="881" t="s">
        <v>4829</v>
      </c>
      <c r="G32" s="731" t="s">
        <v>2829</v>
      </c>
      <c r="H32" s="1083">
        <v>42401</v>
      </c>
      <c r="I32" s="1084">
        <v>42480</v>
      </c>
      <c r="J32" s="957">
        <v>40.31</v>
      </c>
    </row>
    <row r="33" spans="1:10" s="852" customFormat="1" outlineLevel="2">
      <c r="A33" s="878" t="s">
        <v>480</v>
      </c>
      <c r="B33" s="879" t="s">
        <v>7864</v>
      </c>
      <c r="C33" s="729" t="s">
        <v>476</v>
      </c>
      <c r="D33" s="460"/>
      <c r="E33" s="878" t="s">
        <v>1909</v>
      </c>
      <c r="F33" s="881" t="s">
        <v>4580</v>
      </c>
      <c r="G33" s="731" t="s">
        <v>2825</v>
      </c>
      <c r="H33" s="1083">
        <v>42401</v>
      </c>
      <c r="I33" s="1084">
        <v>42480</v>
      </c>
      <c r="J33" s="957">
        <v>59.66</v>
      </c>
    </row>
    <row r="34" spans="1:10" s="852" customFormat="1" outlineLevel="2">
      <c r="A34" s="878" t="s">
        <v>2286</v>
      </c>
      <c r="B34" s="879" t="s">
        <v>7865</v>
      </c>
      <c r="C34" s="729" t="s">
        <v>476</v>
      </c>
      <c r="D34" s="460"/>
      <c r="E34" s="878" t="s">
        <v>1909</v>
      </c>
      <c r="F34" s="881" t="s">
        <v>4261</v>
      </c>
      <c r="G34" s="731" t="s">
        <v>2823</v>
      </c>
      <c r="H34" s="1083">
        <v>42430</v>
      </c>
      <c r="I34" s="1084">
        <v>42480</v>
      </c>
      <c r="J34" s="957">
        <v>3220</v>
      </c>
    </row>
    <row r="35" spans="1:10" s="852" customFormat="1" ht="28.5" outlineLevel="2">
      <c r="A35" s="878" t="s">
        <v>981</v>
      </c>
      <c r="B35" s="879" t="s">
        <v>7866</v>
      </c>
      <c r="C35" s="729" t="s">
        <v>476</v>
      </c>
      <c r="D35" s="460"/>
      <c r="E35" s="878" t="s">
        <v>1909</v>
      </c>
      <c r="F35" s="881" t="s">
        <v>4956</v>
      </c>
      <c r="G35" s="731" t="s">
        <v>2833</v>
      </c>
      <c r="H35" s="1083">
        <v>42401</v>
      </c>
      <c r="I35" s="1084">
        <v>42480</v>
      </c>
      <c r="J35" s="957">
        <v>356.89</v>
      </c>
    </row>
    <row r="36" spans="1:10" s="852" customFormat="1" ht="28.5" outlineLevel="2">
      <c r="A36" s="878" t="s">
        <v>981</v>
      </c>
      <c r="B36" s="879" t="s">
        <v>7866</v>
      </c>
      <c r="C36" s="729" t="s">
        <v>476</v>
      </c>
      <c r="D36" s="460"/>
      <c r="E36" s="878" t="s">
        <v>1909</v>
      </c>
      <c r="F36" s="881" t="s">
        <v>4903</v>
      </c>
      <c r="G36" s="731" t="s">
        <v>2832</v>
      </c>
      <c r="H36" s="1083">
        <v>42401</v>
      </c>
      <c r="I36" s="1084">
        <v>42480</v>
      </c>
      <c r="J36" s="957">
        <v>11.41</v>
      </c>
    </row>
    <row r="37" spans="1:10" s="852" customFormat="1" ht="28.5" outlineLevel="2">
      <c r="A37" s="878" t="s">
        <v>981</v>
      </c>
      <c r="B37" s="879" t="s">
        <v>7866</v>
      </c>
      <c r="C37" s="729" t="s">
        <v>476</v>
      </c>
      <c r="D37" s="460"/>
      <c r="E37" s="878" t="s">
        <v>1909</v>
      </c>
      <c r="F37" s="881" t="s">
        <v>4853</v>
      </c>
      <c r="G37" s="731" t="s">
        <v>2831</v>
      </c>
      <c r="H37" s="1083">
        <v>42401</v>
      </c>
      <c r="I37" s="1084">
        <v>42480</v>
      </c>
      <c r="J37" s="957">
        <v>134.65</v>
      </c>
    </row>
    <row r="38" spans="1:10" s="852" customFormat="1" ht="28.5" outlineLevel="2">
      <c r="A38" s="878" t="s">
        <v>482</v>
      </c>
      <c r="B38" s="879" t="s">
        <v>7863</v>
      </c>
      <c r="C38" s="729" t="s">
        <v>476</v>
      </c>
      <c r="D38" s="460"/>
      <c r="E38" s="878" t="s">
        <v>1909</v>
      </c>
      <c r="F38" s="881" t="s">
        <v>6195</v>
      </c>
      <c r="G38" s="731" t="s">
        <v>2794</v>
      </c>
      <c r="H38" s="1083">
        <v>42370</v>
      </c>
      <c r="I38" s="1084">
        <v>42480</v>
      </c>
      <c r="J38" s="957">
        <v>1885.25</v>
      </c>
    </row>
    <row r="39" spans="1:10" s="852" customFormat="1" ht="28.5" outlineLevel="2">
      <c r="A39" s="878" t="s">
        <v>482</v>
      </c>
      <c r="B39" s="879" t="s">
        <v>7863</v>
      </c>
      <c r="C39" s="729" t="s">
        <v>476</v>
      </c>
      <c r="D39" s="460"/>
      <c r="E39" s="878" t="s">
        <v>1909</v>
      </c>
      <c r="F39" s="881" t="s">
        <v>6195</v>
      </c>
      <c r="G39" s="731" t="s">
        <v>2796</v>
      </c>
      <c r="H39" s="1083">
        <v>42370</v>
      </c>
      <c r="I39" s="1084">
        <v>42480</v>
      </c>
      <c r="J39" s="957">
        <v>1885.25</v>
      </c>
    </row>
    <row r="40" spans="1:10" s="852" customFormat="1" ht="28.5" outlineLevel="2">
      <c r="A40" s="878" t="s">
        <v>482</v>
      </c>
      <c r="B40" s="879" t="s">
        <v>7863</v>
      </c>
      <c r="C40" s="729" t="s">
        <v>476</v>
      </c>
      <c r="D40" s="460"/>
      <c r="E40" s="878" t="s">
        <v>1909</v>
      </c>
      <c r="F40" s="881" t="s">
        <v>6195</v>
      </c>
      <c r="G40" s="731" t="s">
        <v>2797</v>
      </c>
      <c r="H40" s="1083">
        <v>42370</v>
      </c>
      <c r="I40" s="1084">
        <v>42480</v>
      </c>
      <c r="J40" s="957">
        <v>-1885.25</v>
      </c>
    </row>
    <row r="41" spans="1:10" s="852" customFormat="1" ht="28.5" outlineLevel="2">
      <c r="A41" s="878" t="s">
        <v>475</v>
      </c>
      <c r="B41" s="879" t="s">
        <v>7865</v>
      </c>
      <c r="C41" s="729" t="s">
        <v>476</v>
      </c>
      <c r="D41" s="460"/>
      <c r="E41" s="878" t="s">
        <v>1909</v>
      </c>
      <c r="F41" s="881" t="s">
        <v>6196</v>
      </c>
      <c r="G41" s="731" t="s">
        <v>2799</v>
      </c>
      <c r="H41" s="1083">
        <v>42278</v>
      </c>
      <c r="I41" s="1084">
        <v>42480</v>
      </c>
      <c r="J41" s="957">
        <v>4207.79</v>
      </c>
    </row>
    <row r="42" spans="1:10" s="852" customFormat="1" ht="28.5" outlineLevel="2">
      <c r="A42" s="878" t="s">
        <v>480</v>
      </c>
      <c r="B42" s="879" t="s">
        <v>7864</v>
      </c>
      <c r="C42" s="729" t="s">
        <v>476</v>
      </c>
      <c r="D42" s="460"/>
      <c r="E42" s="878" t="s">
        <v>1909</v>
      </c>
      <c r="F42" s="881" t="s">
        <v>6194</v>
      </c>
      <c r="G42" s="731" t="s">
        <v>2792</v>
      </c>
      <c r="H42" s="1083">
        <v>42370</v>
      </c>
      <c r="I42" s="1084">
        <v>42480</v>
      </c>
      <c r="J42" s="957">
        <v>284.93</v>
      </c>
    </row>
    <row r="43" spans="1:10" s="852" customFormat="1" ht="28.5" outlineLevel="2">
      <c r="A43" s="878" t="s">
        <v>480</v>
      </c>
      <c r="B43" s="879" t="s">
        <v>7864</v>
      </c>
      <c r="C43" s="729" t="s">
        <v>476</v>
      </c>
      <c r="D43" s="460"/>
      <c r="E43" s="878" t="s">
        <v>1909</v>
      </c>
      <c r="F43" s="881" t="s">
        <v>2931</v>
      </c>
      <c r="G43" s="731" t="s">
        <v>2803</v>
      </c>
      <c r="H43" s="1083">
        <v>42370</v>
      </c>
      <c r="I43" s="1084">
        <v>42480</v>
      </c>
      <c r="J43" s="957">
        <v>-187.46</v>
      </c>
    </row>
    <row r="44" spans="1:10" s="852" customFormat="1" ht="28.5" outlineLevel="2">
      <c r="A44" s="878" t="s">
        <v>480</v>
      </c>
      <c r="B44" s="879" t="s">
        <v>7864</v>
      </c>
      <c r="C44" s="729" t="s">
        <v>476</v>
      </c>
      <c r="D44" s="460"/>
      <c r="E44" s="878" t="s">
        <v>1909</v>
      </c>
      <c r="F44" s="881" t="s">
        <v>2931</v>
      </c>
      <c r="G44" s="731" t="s">
        <v>2804</v>
      </c>
      <c r="H44" s="1083">
        <v>42370</v>
      </c>
      <c r="I44" s="1084">
        <v>42480</v>
      </c>
      <c r="J44" s="957">
        <v>-187.46</v>
      </c>
    </row>
    <row r="45" spans="1:10" s="852" customFormat="1" ht="28.5" outlineLevel="2">
      <c r="A45" s="878" t="s">
        <v>480</v>
      </c>
      <c r="B45" s="879" t="s">
        <v>7864</v>
      </c>
      <c r="C45" s="729" t="s">
        <v>476</v>
      </c>
      <c r="D45" s="460"/>
      <c r="E45" s="878" t="s">
        <v>1909</v>
      </c>
      <c r="F45" s="881" t="s">
        <v>2931</v>
      </c>
      <c r="G45" s="731" t="s">
        <v>2806</v>
      </c>
      <c r="H45" s="1083">
        <v>42370</v>
      </c>
      <c r="I45" s="1084">
        <v>42480</v>
      </c>
      <c r="J45" s="957">
        <v>187.46</v>
      </c>
    </row>
    <row r="46" spans="1:10" s="852" customFormat="1" ht="28.5" outlineLevel="2">
      <c r="A46" s="878" t="s">
        <v>480</v>
      </c>
      <c r="B46" s="879" t="s">
        <v>7864</v>
      </c>
      <c r="C46" s="729" t="s">
        <v>476</v>
      </c>
      <c r="D46" s="460"/>
      <c r="E46" s="878" t="s">
        <v>1909</v>
      </c>
      <c r="F46" s="881" t="s">
        <v>2931</v>
      </c>
      <c r="G46" s="731" t="s">
        <v>2807</v>
      </c>
      <c r="H46" s="1083">
        <v>42370</v>
      </c>
      <c r="I46" s="1084">
        <v>42480</v>
      </c>
      <c r="J46" s="957">
        <v>187.46</v>
      </c>
    </row>
    <row r="47" spans="1:10" s="852" customFormat="1" ht="28.5" outlineLevel="2">
      <c r="A47" s="878" t="s">
        <v>480</v>
      </c>
      <c r="B47" s="879" t="s">
        <v>7864</v>
      </c>
      <c r="C47" s="729" t="s">
        <v>476</v>
      </c>
      <c r="D47" s="460"/>
      <c r="E47" s="878" t="s">
        <v>1909</v>
      </c>
      <c r="F47" s="881" t="s">
        <v>2931</v>
      </c>
      <c r="G47" s="731" t="s">
        <v>2809</v>
      </c>
      <c r="H47" s="1083">
        <v>42370</v>
      </c>
      <c r="I47" s="1084">
        <v>42480</v>
      </c>
      <c r="J47" s="957">
        <v>187.46</v>
      </c>
    </row>
    <row r="48" spans="1:10" s="852" customFormat="1" ht="28.5" outlineLevel="2">
      <c r="A48" s="878" t="s">
        <v>480</v>
      </c>
      <c r="B48" s="879" t="s">
        <v>7864</v>
      </c>
      <c r="C48" s="729" t="s">
        <v>476</v>
      </c>
      <c r="D48" s="460"/>
      <c r="E48" s="878" t="s">
        <v>1909</v>
      </c>
      <c r="F48" s="881" t="s">
        <v>3694</v>
      </c>
      <c r="G48" s="731" t="s">
        <v>2811</v>
      </c>
      <c r="H48" s="1083">
        <v>42370</v>
      </c>
      <c r="I48" s="1084">
        <v>42480</v>
      </c>
      <c r="J48" s="957">
        <v>-277.44</v>
      </c>
    </row>
    <row r="49" spans="1:10" s="852" customFormat="1" ht="28.5" outlineLevel="2">
      <c r="A49" s="878" t="s">
        <v>480</v>
      </c>
      <c r="B49" s="879" t="s">
        <v>7864</v>
      </c>
      <c r="C49" s="729" t="s">
        <v>476</v>
      </c>
      <c r="D49" s="460"/>
      <c r="E49" s="878" t="s">
        <v>1909</v>
      </c>
      <c r="F49" s="881" t="s">
        <v>3694</v>
      </c>
      <c r="G49" s="731" t="s">
        <v>2813</v>
      </c>
      <c r="H49" s="1083">
        <v>42370</v>
      </c>
      <c r="I49" s="1084">
        <v>42480</v>
      </c>
      <c r="J49" s="957">
        <v>277.44</v>
      </c>
    </row>
    <row r="50" spans="1:10" s="852" customFormat="1" ht="28.5" outlineLevel="2">
      <c r="A50" s="878" t="s">
        <v>480</v>
      </c>
      <c r="B50" s="879" t="s">
        <v>7864</v>
      </c>
      <c r="C50" s="729" t="s">
        <v>476</v>
      </c>
      <c r="D50" s="460"/>
      <c r="E50" s="878" t="s">
        <v>1909</v>
      </c>
      <c r="F50" s="881" t="s">
        <v>3694</v>
      </c>
      <c r="G50" s="731" t="s">
        <v>2815</v>
      </c>
      <c r="H50" s="1083">
        <v>42370</v>
      </c>
      <c r="I50" s="1084">
        <v>42480</v>
      </c>
      <c r="J50" s="957">
        <v>277.44</v>
      </c>
    </row>
    <row r="51" spans="1:10" s="852" customFormat="1" ht="28.5" outlineLevel="2">
      <c r="A51" s="878" t="s">
        <v>475</v>
      </c>
      <c r="B51" s="879" t="s">
        <v>7865</v>
      </c>
      <c r="C51" s="729" t="s">
        <v>476</v>
      </c>
      <c r="D51" s="460"/>
      <c r="E51" s="878" t="s">
        <v>1909</v>
      </c>
      <c r="F51" s="881" t="s">
        <v>6198</v>
      </c>
      <c r="G51" s="731" t="s">
        <v>2802</v>
      </c>
      <c r="H51" s="1083">
        <v>42278</v>
      </c>
      <c r="I51" s="1084">
        <v>42480</v>
      </c>
      <c r="J51" s="957">
        <v>4207.79</v>
      </c>
    </row>
    <row r="52" spans="1:10" s="852" customFormat="1" ht="28.5" outlineLevel="2">
      <c r="A52" s="878" t="s">
        <v>2286</v>
      </c>
      <c r="B52" s="879" t="s">
        <v>7865</v>
      </c>
      <c r="C52" s="729" t="s">
        <v>476</v>
      </c>
      <c r="D52" s="460"/>
      <c r="E52" s="878" t="s">
        <v>1909</v>
      </c>
      <c r="F52" s="881" t="s">
        <v>4852</v>
      </c>
      <c r="G52" s="731" t="s">
        <v>2830</v>
      </c>
      <c r="H52" s="1083">
        <v>42430</v>
      </c>
      <c r="I52" s="1084">
        <v>42480</v>
      </c>
      <c r="J52" s="957">
        <v>9982</v>
      </c>
    </row>
    <row r="53" spans="1:10" s="852" customFormat="1" ht="28.5" outlineLevel="2">
      <c r="A53" s="878" t="s">
        <v>475</v>
      </c>
      <c r="B53" s="879" t="s">
        <v>7865</v>
      </c>
      <c r="C53" s="729" t="s">
        <v>476</v>
      </c>
      <c r="D53" s="460"/>
      <c r="E53" s="878" t="s">
        <v>1909</v>
      </c>
      <c r="F53" s="881" t="s">
        <v>6197</v>
      </c>
      <c r="G53" s="731" t="s">
        <v>2800</v>
      </c>
      <c r="H53" s="1083">
        <v>42278</v>
      </c>
      <c r="I53" s="1084">
        <v>42480</v>
      </c>
      <c r="J53" s="957">
        <v>4207.79</v>
      </c>
    </row>
    <row r="54" spans="1:10" s="852" customFormat="1" outlineLevel="1">
      <c r="A54" s="878"/>
      <c r="B54" s="879" t="s">
        <v>258</v>
      </c>
      <c r="C54" s="908" t="s">
        <v>476</v>
      </c>
      <c r="D54" s="928" t="str">
        <f>VLOOKUP(C54,$C$3691:$D$3771,2,FALSE)</f>
        <v>TOTAL POUPATEMPO  CARAGUATATUBA</v>
      </c>
      <c r="E54" s="1085"/>
      <c r="F54" s="929"/>
      <c r="G54" s="910"/>
      <c r="H54" s="1086"/>
      <c r="I54" s="1087"/>
      <c r="J54" s="930">
        <f>SUBTOTAL(9,J5:J53)</f>
        <v>282835.30999999994</v>
      </c>
    </row>
    <row r="55" spans="1:10" s="852" customFormat="1" outlineLevel="2">
      <c r="A55" s="878" t="s">
        <v>489</v>
      </c>
      <c r="B55" s="879" t="s">
        <v>7863</v>
      </c>
      <c r="C55" s="729" t="s">
        <v>486</v>
      </c>
      <c r="D55" s="924"/>
      <c r="E55" s="878" t="s">
        <v>490</v>
      </c>
      <c r="F55" s="881" t="s">
        <v>2208</v>
      </c>
      <c r="G55" s="731" t="s">
        <v>5583</v>
      </c>
      <c r="H55" s="1083">
        <v>42401</v>
      </c>
      <c r="I55" s="1084">
        <v>42467</v>
      </c>
      <c r="J55" s="957">
        <v>24390.91</v>
      </c>
    </row>
    <row r="56" spans="1:10" s="852" customFormat="1" ht="28.5" outlineLevel="2">
      <c r="A56" s="878" t="s">
        <v>489</v>
      </c>
      <c r="B56" s="879" t="s">
        <v>7863</v>
      </c>
      <c r="C56" s="729" t="s">
        <v>486</v>
      </c>
      <c r="D56" s="924"/>
      <c r="E56" s="878" t="s">
        <v>2336</v>
      </c>
      <c r="F56" s="881" t="s">
        <v>3799</v>
      </c>
      <c r="G56" s="731" t="s">
        <v>2839</v>
      </c>
      <c r="H56" s="1083">
        <v>42401</v>
      </c>
      <c r="I56" s="1084">
        <v>42480</v>
      </c>
      <c r="J56" s="957">
        <v>3298.09</v>
      </c>
    </row>
    <row r="57" spans="1:10" s="852" customFormat="1" outlineLevel="2">
      <c r="A57" s="878" t="s">
        <v>2834</v>
      </c>
      <c r="B57" s="879" t="s">
        <v>7864</v>
      </c>
      <c r="C57" s="729" t="s">
        <v>486</v>
      </c>
      <c r="D57" s="924"/>
      <c r="E57" s="878" t="s">
        <v>2336</v>
      </c>
      <c r="F57" s="881" t="s">
        <v>5971</v>
      </c>
      <c r="G57" s="731" t="s">
        <v>2835</v>
      </c>
      <c r="H57" s="1083">
        <v>42401</v>
      </c>
      <c r="I57" s="1084">
        <v>42480</v>
      </c>
      <c r="J57" s="957">
        <v>589.33000000000004</v>
      </c>
    </row>
    <row r="58" spans="1:10" s="852" customFormat="1" outlineLevel="2">
      <c r="A58" s="878" t="s">
        <v>2834</v>
      </c>
      <c r="B58" s="879" t="s">
        <v>7864</v>
      </c>
      <c r="C58" s="729" t="s">
        <v>486</v>
      </c>
      <c r="D58" s="924"/>
      <c r="E58" s="878" t="s">
        <v>2336</v>
      </c>
      <c r="F58" s="881" t="s">
        <v>5972</v>
      </c>
      <c r="G58" s="731" t="s">
        <v>2836</v>
      </c>
      <c r="H58" s="1083">
        <v>42401</v>
      </c>
      <c r="I58" s="1084">
        <v>42480</v>
      </c>
      <c r="J58" s="957">
        <v>387.72</v>
      </c>
    </row>
    <row r="59" spans="1:10" s="852" customFormat="1" outlineLevel="2">
      <c r="A59" s="878" t="s">
        <v>2834</v>
      </c>
      <c r="B59" s="879" t="s">
        <v>7864</v>
      </c>
      <c r="C59" s="729" t="s">
        <v>486</v>
      </c>
      <c r="D59" s="924"/>
      <c r="E59" s="878" t="s">
        <v>2336</v>
      </c>
      <c r="F59" s="881" t="s">
        <v>3019</v>
      </c>
      <c r="G59" s="731" t="s">
        <v>2837</v>
      </c>
      <c r="H59" s="1083">
        <v>42401</v>
      </c>
      <c r="I59" s="1084">
        <v>42480</v>
      </c>
      <c r="J59" s="957">
        <v>573.83000000000004</v>
      </c>
    </row>
    <row r="60" spans="1:10" s="852" customFormat="1" outlineLevel="2">
      <c r="A60" s="878" t="s">
        <v>2682</v>
      </c>
      <c r="B60" s="879" t="s">
        <v>7865</v>
      </c>
      <c r="C60" s="729" t="s">
        <v>486</v>
      </c>
      <c r="D60" s="924"/>
      <c r="E60" s="878" t="s">
        <v>2336</v>
      </c>
      <c r="F60" s="881" t="s">
        <v>3759</v>
      </c>
      <c r="G60" s="731" t="s">
        <v>2838</v>
      </c>
      <c r="H60" s="1083">
        <v>42401</v>
      </c>
      <c r="I60" s="1084">
        <v>42480</v>
      </c>
      <c r="J60" s="957">
        <v>11637.64</v>
      </c>
    </row>
    <row r="61" spans="1:10" s="852" customFormat="1" outlineLevel="2">
      <c r="A61" s="878" t="s">
        <v>5955</v>
      </c>
      <c r="B61" s="879" t="s">
        <v>7864</v>
      </c>
      <c r="C61" s="729" t="s">
        <v>486</v>
      </c>
      <c r="D61" s="924"/>
      <c r="E61" s="878" t="s">
        <v>2717</v>
      </c>
      <c r="F61" s="881" t="s">
        <v>434</v>
      </c>
      <c r="G61" s="731" t="str">
        <f>"3516"</f>
        <v>3516</v>
      </c>
      <c r="H61" s="1083">
        <v>42401</v>
      </c>
      <c r="I61" s="1084">
        <v>42467</v>
      </c>
      <c r="J61" s="957">
        <v>2867.37</v>
      </c>
    </row>
    <row r="62" spans="1:10" s="852" customFormat="1" outlineLevel="2">
      <c r="A62" s="878" t="s">
        <v>5955</v>
      </c>
      <c r="B62" s="879" t="s">
        <v>7864</v>
      </c>
      <c r="C62" s="729" t="s">
        <v>486</v>
      </c>
      <c r="D62" s="924"/>
      <c r="E62" s="878" t="s">
        <v>409</v>
      </c>
      <c r="F62" s="881" t="s">
        <v>434</v>
      </c>
      <c r="G62" s="731" t="str">
        <f>"6690"</f>
        <v>6690</v>
      </c>
      <c r="H62" s="1083">
        <v>42401</v>
      </c>
      <c r="I62" s="1084">
        <v>42475</v>
      </c>
      <c r="J62" s="957">
        <v>4243.6899999999996</v>
      </c>
    </row>
    <row r="63" spans="1:10" s="852" customFormat="1" ht="42.75" outlineLevel="2">
      <c r="A63" s="878" t="s">
        <v>1059</v>
      </c>
      <c r="B63" s="879" t="s">
        <v>7867</v>
      </c>
      <c r="C63" s="729" t="s">
        <v>486</v>
      </c>
      <c r="D63" s="924"/>
      <c r="E63" s="878" t="s">
        <v>5654</v>
      </c>
      <c r="F63" s="881" t="s">
        <v>1044</v>
      </c>
      <c r="G63" s="731" t="s">
        <v>5655</v>
      </c>
      <c r="H63" s="1083">
        <v>42461</v>
      </c>
      <c r="I63" s="1084">
        <v>42475</v>
      </c>
      <c r="J63" s="957">
        <v>42793.54</v>
      </c>
    </row>
    <row r="64" spans="1:10" s="852" customFormat="1" outlineLevel="2">
      <c r="A64" s="878" t="s">
        <v>987</v>
      </c>
      <c r="B64" s="879" t="s">
        <v>7866</v>
      </c>
      <c r="C64" s="729" t="s">
        <v>486</v>
      </c>
      <c r="D64" s="924"/>
      <c r="E64" s="878" t="s">
        <v>2282</v>
      </c>
      <c r="F64" s="881" t="s">
        <v>3974</v>
      </c>
      <c r="G64" s="731" t="s">
        <v>2779</v>
      </c>
      <c r="H64" s="1083">
        <v>42401</v>
      </c>
      <c r="I64" s="1084">
        <v>42471</v>
      </c>
      <c r="J64" s="957">
        <v>504.01</v>
      </c>
    </row>
    <row r="65" spans="1:10" s="852" customFormat="1" outlineLevel="2">
      <c r="A65" s="878" t="s">
        <v>987</v>
      </c>
      <c r="B65" s="879" t="s">
        <v>7866</v>
      </c>
      <c r="C65" s="729" t="s">
        <v>486</v>
      </c>
      <c r="D65" s="924"/>
      <c r="E65" s="878" t="s">
        <v>2282</v>
      </c>
      <c r="F65" s="881" t="s">
        <v>4081</v>
      </c>
      <c r="G65" s="731" t="s">
        <v>2781</v>
      </c>
      <c r="H65" s="1083">
        <v>42401</v>
      </c>
      <c r="I65" s="1084">
        <v>42471</v>
      </c>
      <c r="J65" s="957">
        <v>16.11</v>
      </c>
    </row>
    <row r="66" spans="1:10" s="852" customFormat="1" outlineLevel="2">
      <c r="A66" s="878" t="s">
        <v>987</v>
      </c>
      <c r="B66" s="879" t="s">
        <v>7866</v>
      </c>
      <c r="C66" s="729" t="s">
        <v>486</v>
      </c>
      <c r="D66" s="924"/>
      <c r="E66" s="878" t="s">
        <v>2282</v>
      </c>
      <c r="F66" s="881" t="s">
        <v>4165</v>
      </c>
      <c r="G66" s="731" t="s">
        <v>2782</v>
      </c>
      <c r="H66" s="1083">
        <v>42401</v>
      </c>
      <c r="I66" s="1084">
        <v>42471</v>
      </c>
      <c r="J66" s="957">
        <v>190.16</v>
      </c>
    </row>
    <row r="67" spans="1:10" s="852" customFormat="1" outlineLevel="2">
      <c r="A67" s="878" t="s">
        <v>2834</v>
      </c>
      <c r="B67" s="879" t="s">
        <v>7864</v>
      </c>
      <c r="C67" s="729" t="s">
        <v>486</v>
      </c>
      <c r="D67" s="924"/>
      <c r="E67" s="878" t="s">
        <v>2337</v>
      </c>
      <c r="F67" s="881" t="s">
        <v>6178</v>
      </c>
      <c r="G67" s="731" t="s">
        <v>2840</v>
      </c>
      <c r="H67" s="1083">
        <v>42401</v>
      </c>
      <c r="I67" s="1084">
        <v>42485</v>
      </c>
      <c r="J67" s="957">
        <v>107.15</v>
      </c>
    </row>
    <row r="68" spans="1:10" s="852" customFormat="1" outlineLevel="2">
      <c r="A68" s="878" t="s">
        <v>2834</v>
      </c>
      <c r="B68" s="879" t="s">
        <v>7864</v>
      </c>
      <c r="C68" s="729" t="s">
        <v>486</v>
      </c>
      <c r="D68" s="924"/>
      <c r="E68" s="878" t="s">
        <v>2337</v>
      </c>
      <c r="F68" s="881" t="s">
        <v>6179</v>
      </c>
      <c r="G68" s="731" t="s">
        <v>2841</v>
      </c>
      <c r="H68" s="1083">
        <v>42401</v>
      </c>
      <c r="I68" s="1084">
        <v>42485</v>
      </c>
      <c r="J68" s="957">
        <v>70.489999999999995</v>
      </c>
    </row>
    <row r="69" spans="1:10" s="852" customFormat="1" outlineLevel="2">
      <c r="A69" s="878" t="s">
        <v>2834</v>
      </c>
      <c r="B69" s="879" t="s">
        <v>7864</v>
      </c>
      <c r="C69" s="729" t="s">
        <v>486</v>
      </c>
      <c r="D69" s="924"/>
      <c r="E69" s="878" t="s">
        <v>2337</v>
      </c>
      <c r="F69" s="881" t="s">
        <v>3021</v>
      </c>
      <c r="G69" s="731" t="s">
        <v>2842</v>
      </c>
      <c r="H69" s="1083">
        <v>42401</v>
      </c>
      <c r="I69" s="1084">
        <v>42485</v>
      </c>
      <c r="J69" s="957">
        <v>104.33</v>
      </c>
    </row>
    <row r="70" spans="1:10" s="852" customFormat="1" outlineLevel="2">
      <c r="A70" s="878" t="s">
        <v>2682</v>
      </c>
      <c r="B70" s="879" t="s">
        <v>7865</v>
      </c>
      <c r="C70" s="729" t="s">
        <v>486</v>
      </c>
      <c r="D70" s="924"/>
      <c r="E70" s="878" t="s">
        <v>2337</v>
      </c>
      <c r="F70" s="881" t="s">
        <v>3761</v>
      </c>
      <c r="G70" s="731" t="s">
        <v>2843</v>
      </c>
      <c r="H70" s="1083">
        <v>42401</v>
      </c>
      <c r="I70" s="1084">
        <v>42485</v>
      </c>
      <c r="J70" s="957">
        <f>3978.75+0.03</f>
        <v>3978.78</v>
      </c>
    </row>
    <row r="71" spans="1:10" s="852" customFormat="1" outlineLevel="2">
      <c r="A71" s="878" t="s">
        <v>489</v>
      </c>
      <c r="B71" s="879" t="s">
        <v>7863</v>
      </c>
      <c r="C71" s="729" t="s">
        <v>486</v>
      </c>
      <c r="D71" s="924"/>
      <c r="E71" s="878" t="s">
        <v>2337</v>
      </c>
      <c r="F71" s="881" t="s">
        <v>3801</v>
      </c>
      <c r="G71" s="731" t="s">
        <v>2844</v>
      </c>
      <c r="H71" s="1083">
        <v>42401</v>
      </c>
      <c r="I71" s="1084">
        <v>42485</v>
      </c>
      <c r="J71" s="957">
        <v>599.65</v>
      </c>
    </row>
    <row r="72" spans="1:10" s="852" customFormat="1" outlineLevel="2">
      <c r="A72" s="878" t="s">
        <v>2682</v>
      </c>
      <c r="B72" s="879" t="s">
        <v>7865</v>
      </c>
      <c r="C72" s="729" t="s">
        <v>486</v>
      </c>
      <c r="D72" s="924"/>
      <c r="E72" s="878" t="s">
        <v>508</v>
      </c>
      <c r="F72" s="881" t="s">
        <v>1094</v>
      </c>
      <c r="G72" s="731" t="s">
        <v>5558</v>
      </c>
      <c r="H72" s="1083">
        <v>42309</v>
      </c>
      <c r="I72" s="1084">
        <v>42464</v>
      </c>
      <c r="J72" s="957">
        <v>39920.86</v>
      </c>
    </row>
    <row r="73" spans="1:10" s="852" customFormat="1" outlineLevel="2">
      <c r="A73" s="878" t="s">
        <v>2682</v>
      </c>
      <c r="B73" s="879" t="s">
        <v>7865</v>
      </c>
      <c r="C73" s="729" t="s">
        <v>486</v>
      </c>
      <c r="D73" s="924"/>
      <c r="E73" s="878" t="s">
        <v>508</v>
      </c>
      <c r="F73" s="881" t="s">
        <v>1094</v>
      </c>
      <c r="G73" s="731" t="s">
        <v>5559</v>
      </c>
      <c r="H73" s="1083">
        <v>42339</v>
      </c>
      <c r="I73" s="1084">
        <v>42464</v>
      </c>
      <c r="J73" s="957">
        <v>171086.46</v>
      </c>
    </row>
    <row r="74" spans="1:10" s="852" customFormat="1" outlineLevel="2">
      <c r="A74" s="878" t="s">
        <v>2682</v>
      </c>
      <c r="B74" s="879" t="s">
        <v>7865</v>
      </c>
      <c r="C74" s="729" t="s">
        <v>486</v>
      </c>
      <c r="D74" s="924"/>
      <c r="E74" s="878" t="s">
        <v>508</v>
      </c>
      <c r="F74" s="881" t="s">
        <v>1094</v>
      </c>
      <c r="G74" s="731" t="s">
        <v>5560</v>
      </c>
      <c r="H74" s="1083">
        <v>42370</v>
      </c>
      <c r="I74" s="1084">
        <v>42464</v>
      </c>
      <c r="J74" s="957">
        <v>171086.45</v>
      </c>
    </row>
    <row r="75" spans="1:10" s="852" customFormat="1" outlineLevel="2">
      <c r="A75" s="878" t="s">
        <v>987</v>
      </c>
      <c r="B75" s="879" t="s">
        <v>7866</v>
      </c>
      <c r="C75" s="729" t="s">
        <v>486</v>
      </c>
      <c r="D75" s="924"/>
      <c r="E75" s="878" t="s">
        <v>1909</v>
      </c>
      <c r="F75" s="881" t="s">
        <v>3935</v>
      </c>
      <c r="G75" s="731" t="s">
        <v>2817</v>
      </c>
      <c r="H75" s="1083">
        <v>42401</v>
      </c>
      <c r="I75" s="1084">
        <v>42480</v>
      </c>
      <c r="J75" s="957">
        <v>151.19999999999999</v>
      </c>
    </row>
    <row r="76" spans="1:10" s="852" customFormat="1" outlineLevel="2">
      <c r="A76" s="878" t="s">
        <v>987</v>
      </c>
      <c r="B76" s="879" t="s">
        <v>7866</v>
      </c>
      <c r="C76" s="729" t="s">
        <v>486</v>
      </c>
      <c r="D76" s="924"/>
      <c r="E76" s="878" t="s">
        <v>1909</v>
      </c>
      <c r="F76" s="881" t="s">
        <v>4027</v>
      </c>
      <c r="G76" s="731" t="s">
        <v>2819</v>
      </c>
      <c r="H76" s="1083">
        <v>42401</v>
      </c>
      <c r="I76" s="1084">
        <v>42480</v>
      </c>
      <c r="J76" s="957">
        <v>4.83</v>
      </c>
    </row>
    <row r="77" spans="1:10" s="852" customFormat="1" outlineLevel="2">
      <c r="A77" s="878" t="s">
        <v>987</v>
      </c>
      <c r="B77" s="879" t="s">
        <v>7866</v>
      </c>
      <c r="C77" s="729" t="s">
        <v>486</v>
      </c>
      <c r="D77" s="924"/>
      <c r="E77" s="878" t="s">
        <v>1909</v>
      </c>
      <c r="F77" s="881" t="s">
        <v>4129</v>
      </c>
      <c r="G77" s="731" t="s">
        <v>2821</v>
      </c>
      <c r="H77" s="1083">
        <v>42401</v>
      </c>
      <c r="I77" s="1084">
        <v>42480</v>
      </c>
      <c r="J77" s="957">
        <v>57.04</v>
      </c>
    </row>
    <row r="78" spans="1:10" s="852" customFormat="1" ht="28.5" outlineLevel="2">
      <c r="A78" s="878" t="s">
        <v>489</v>
      </c>
      <c r="B78" s="879" t="s">
        <v>7863</v>
      </c>
      <c r="C78" s="729" t="s">
        <v>486</v>
      </c>
      <c r="D78" s="924"/>
      <c r="E78" s="878" t="s">
        <v>1909</v>
      </c>
      <c r="F78" s="881" t="s">
        <v>3798</v>
      </c>
      <c r="G78" s="731" t="s">
        <v>2853</v>
      </c>
      <c r="H78" s="1083">
        <v>42401</v>
      </c>
      <c r="I78" s="1084">
        <v>42480</v>
      </c>
      <c r="J78" s="957">
        <v>299.83</v>
      </c>
    </row>
    <row r="79" spans="1:10" s="852" customFormat="1" outlineLevel="2">
      <c r="A79" s="878" t="s">
        <v>2834</v>
      </c>
      <c r="B79" s="879" t="s">
        <v>7864</v>
      </c>
      <c r="C79" s="729" t="s">
        <v>486</v>
      </c>
      <c r="D79" s="924"/>
      <c r="E79" s="878" t="s">
        <v>1909</v>
      </c>
      <c r="F79" s="881" t="s">
        <v>6200</v>
      </c>
      <c r="G79" s="731" t="s">
        <v>2847</v>
      </c>
      <c r="H79" s="1083">
        <v>42401</v>
      </c>
      <c r="I79" s="1084">
        <v>42480</v>
      </c>
      <c r="J79" s="957">
        <v>53.58</v>
      </c>
    </row>
    <row r="80" spans="1:10" s="852" customFormat="1" outlineLevel="2">
      <c r="A80" s="878" t="s">
        <v>2834</v>
      </c>
      <c r="B80" s="879" t="s">
        <v>7864</v>
      </c>
      <c r="C80" s="729" t="s">
        <v>486</v>
      </c>
      <c r="D80" s="924"/>
      <c r="E80" s="878" t="s">
        <v>1909</v>
      </c>
      <c r="F80" s="881" t="s">
        <v>6201</v>
      </c>
      <c r="G80" s="731" t="s">
        <v>2848</v>
      </c>
      <c r="H80" s="1083">
        <v>42401</v>
      </c>
      <c r="I80" s="1084">
        <v>42480</v>
      </c>
      <c r="J80" s="957">
        <v>35.25</v>
      </c>
    </row>
    <row r="81" spans="1:10" s="852" customFormat="1" outlineLevel="2">
      <c r="A81" s="878" t="s">
        <v>2834</v>
      </c>
      <c r="B81" s="879" t="s">
        <v>7864</v>
      </c>
      <c r="C81" s="729" t="s">
        <v>486</v>
      </c>
      <c r="D81" s="924"/>
      <c r="E81" s="878" t="s">
        <v>1909</v>
      </c>
      <c r="F81" s="881" t="s">
        <v>3017</v>
      </c>
      <c r="G81" s="731" t="s">
        <v>2851</v>
      </c>
      <c r="H81" s="1083">
        <v>42401</v>
      </c>
      <c r="I81" s="1084">
        <v>42480</v>
      </c>
      <c r="J81" s="957">
        <v>52.17</v>
      </c>
    </row>
    <row r="82" spans="1:10" s="852" customFormat="1" outlineLevel="2">
      <c r="A82" s="878" t="s">
        <v>2682</v>
      </c>
      <c r="B82" s="879" t="s">
        <v>7865</v>
      </c>
      <c r="C82" s="729" t="s">
        <v>486</v>
      </c>
      <c r="D82" s="924"/>
      <c r="E82" s="878" t="s">
        <v>1909</v>
      </c>
      <c r="F82" s="881" t="s">
        <v>3757</v>
      </c>
      <c r="G82" s="731" t="s">
        <v>2852</v>
      </c>
      <c r="H82" s="1083">
        <v>42401</v>
      </c>
      <c r="I82" s="1084">
        <v>42480</v>
      </c>
      <c r="J82" s="957">
        <v>2984.06</v>
      </c>
    </row>
    <row r="83" spans="1:10" s="852" customFormat="1" ht="28.5" outlineLevel="2">
      <c r="A83" s="878" t="s">
        <v>987</v>
      </c>
      <c r="B83" s="879" t="s">
        <v>7866</v>
      </c>
      <c r="C83" s="729" t="s">
        <v>486</v>
      </c>
      <c r="D83" s="924"/>
      <c r="E83" s="878" t="s">
        <v>1909</v>
      </c>
      <c r="F83" s="881" t="s">
        <v>4956</v>
      </c>
      <c r="G83" s="731" t="s">
        <v>2833</v>
      </c>
      <c r="H83" s="1083">
        <v>42401</v>
      </c>
      <c r="I83" s="1084">
        <v>42480</v>
      </c>
      <c r="J83" s="957">
        <v>468.73</v>
      </c>
    </row>
    <row r="84" spans="1:10" s="852" customFormat="1" ht="28.5" outlineLevel="2">
      <c r="A84" s="878" t="s">
        <v>987</v>
      </c>
      <c r="B84" s="879" t="s">
        <v>7866</v>
      </c>
      <c r="C84" s="729" t="s">
        <v>486</v>
      </c>
      <c r="D84" s="924"/>
      <c r="E84" s="878" t="s">
        <v>1909</v>
      </c>
      <c r="F84" s="881" t="s">
        <v>4903</v>
      </c>
      <c r="G84" s="731" t="s">
        <v>2832</v>
      </c>
      <c r="H84" s="1083">
        <v>42401</v>
      </c>
      <c r="I84" s="1084">
        <v>42480</v>
      </c>
      <c r="J84" s="957">
        <v>14.98</v>
      </c>
    </row>
    <row r="85" spans="1:10" s="852" customFormat="1" ht="28.5" outlineLevel="2">
      <c r="A85" s="878" t="s">
        <v>987</v>
      </c>
      <c r="B85" s="879" t="s">
        <v>7866</v>
      </c>
      <c r="C85" s="729" t="s">
        <v>486</v>
      </c>
      <c r="D85" s="924"/>
      <c r="E85" s="878" t="s">
        <v>1909</v>
      </c>
      <c r="F85" s="881" t="s">
        <v>4853</v>
      </c>
      <c r="G85" s="731" t="s">
        <v>2831</v>
      </c>
      <c r="H85" s="1083">
        <v>42401</v>
      </c>
      <c r="I85" s="1084">
        <v>42480</v>
      </c>
      <c r="J85" s="957">
        <v>176.84</v>
      </c>
    </row>
    <row r="86" spans="1:10" s="852" customFormat="1" ht="28.5" outlineLevel="2">
      <c r="A86" s="878" t="s">
        <v>489</v>
      </c>
      <c r="B86" s="879" t="s">
        <v>7863</v>
      </c>
      <c r="C86" s="729" t="s">
        <v>486</v>
      </c>
      <c r="D86" s="924"/>
      <c r="E86" s="878" t="s">
        <v>1909</v>
      </c>
      <c r="F86" s="881" t="s">
        <v>6202</v>
      </c>
      <c r="G86" s="731" t="s">
        <v>2850</v>
      </c>
      <c r="H86" s="1083">
        <v>42370</v>
      </c>
      <c r="I86" s="1084">
        <v>42480</v>
      </c>
      <c r="J86" s="957">
        <v>1446.92</v>
      </c>
    </row>
    <row r="87" spans="1:10" s="852" customFormat="1" ht="28.5" outlineLevel="2">
      <c r="A87" s="878" t="s">
        <v>491</v>
      </c>
      <c r="B87" s="879" t="s">
        <v>7864</v>
      </c>
      <c r="C87" s="729" t="s">
        <v>486</v>
      </c>
      <c r="D87" s="924"/>
      <c r="E87" s="878" t="s">
        <v>1909</v>
      </c>
      <c r="F87" s="881" t="s">
        <v>6199</v>
      </c>
      <c r="G87" s="731" t="s">
        <v>2845</v>
      </c>
      <c r="H87" s="1083">
        <v>42370</v>
      </c>
      <c r="I87" s="1084">
        <v>42480</v>
      </c>
      <c r="J87" s="957">
        <v>638.11</v>
      </c>
    </row>
    <row r="88" spans="1:10" s="852" customFormat="1" ht="28.5" outlineLevel="2">
      <c r="A88" s="878" t="s">
        <v>491</v>
      </c>
      <c r="B88" s="879" t="s">
        <v>7864</v>
      </c>
      <c r="C88" s="729" t="s">
        <v>486</v>
      </c>
      <c r="D88" s="924"/>
      <c r="E88" s="878" t="s">
        <v>1909</v>
      </c>
      <c r="F88" s="881" t="s">
        <v>6199</v>
      </c>
      <c r="G88" s="731" t="s">
        <v>2846</v>
      </c>
      <c r="H88" s="1083">
        <v>42370</v>
      </c>
      <c r="I88" s="1084">
        <v>42480</v>
      </c>
      <c r="J88" s="957">
        <v>638.11</v>
      </c>
    </row>
    <row r="89" spans="1:10" s="852" customFormat="1" ht="28.5" outlineLevel="2">
      <c r="A89" s="878" t="s">
        <v>491</v>
      </c>
      <c r="B89" s="879" t="s">
        <v>7864</v>
      </c>
      <c r="C89" s="729" t="s">
        <v>486</v>
      </c>
      <c r="D89" s="924"/>
      <c r="E89" s="878" t="s">
        <v>1909</v>
      </c>
      <c r="F89" s="881" t="s">
        <v>6199</v>
      </c>
      <c r="G89" s="731" t="s">
        <v>2849</v>
      </c>
      <c r="H89" s="1083">
        <v>42370</v>
      </c>
      <c r="I89" s="1084">
        <v>42480</v>
      </c>
      <c r="J89" s="957">
        <v>-638.11</v>
      </c>
    </row>
    <row r="90" spans="1:10" s="852" customFormat="1" outlineLevel="1">
      <c r="A90" s="878"/>
      <c r="B90" s="879" t="s">
        <v>258</v>
      </c>
      <c r="C90" s="908" t="s">
        <v>486</v>
      </c>
      <c r="D90" s="928" t="str">
        <f>VLOOKUP(C90,$C$3691:$D$3771,2,FALSE)</f>
        <v>TOTAL POUPATEMPO  SÃO CARLOS</v>
      </c>
      <c r="E90" s="1085"/>
      <c r="F90" s="929"/>
      <c r="G90" s="910"/>
      <c r="H90" s="1086"/>
      <c r="I90" s="1087"/>
      <c r="J90" s="930">
        <f>SUBTOTAL(9,J55:J89)</f>
        <v>484830.11</v>
      </c>
    </row>
    <row r="91" spans="1:10" s="852" customFormat="1" ht="42.75" outlineLevel="2">
      <c r="A91" s="878" t="s">
        <v>1253</v>
      </c>
      <c r="B91" s="879" t="s">
        <v>7868</v>
      </c>
      <c r="C91" s="729" t="s">
        <v>496</v>
      </c>
      <c r="D91" s="924"/>
      <c r="E91" s="878" t="s">
        <v>1254</v>
      </c>
      <c r="F91" s="881" t="s">
        <v>1233</v>
      </c>
      <c r="G91" s="731" t="s">
        <v>5599</v>
      </c>
      <c r="H91" s="1083">
        <v>42430</v>
      </c>
      <c r="I91" s="1084">
        <v>42471</v>
      </c>
      <c r="J91" s="957">
        <v>12286.2</v>
      </c>
    </row>
    <row r="92" spans="1:10" s="852" customFormat="1" outlineLevel="2">
      <c r="A92" s="878" t="s">
        <v>500</v>
      </c>
      <c r="B92" s="879" t="s">
        <v>7864</v>
      </c>
      <c r="C92" s="729" t="s">
        <v>496</v>
      </c>
      <c r="D92" s="924"/>
      <c r="E92" s="878" t="s">
        <v>2336</v>
      </c>
      <c r="F92" s="881" t="s">
        <v>3127</v>
      </c>
      <c r="G92" s="731" t="s">
        <v>2858</v>
      </c>
      <c r="H92" s="1083">
        <v>42401</v>
      </c>
      <c r="I92" s="1084">
        <v>42480</v>
      </c>
      <c r="J92" s="957">
        <v>1135.49</v>
      </c>
    </row>
    <row r="93" spans="1:10" s="852" customFormat="1" ht="28.5" outlineLevel="2">
      <c r="A93" s="878" t="s">
        <v>498</v>
      </c>
      <c r="B93" s="879" t="s">
        <v>7863</v>
      </c>
      <c r="C93" s="729" t="s">
        <v>496</v>
      </c>
      <c r="D93" s="924"/>
      <c r="E93" s="878" t="s">
        <v>2336</v>
      </c>
      <c r="F93" s="881" t="s">
        <v>3544</v>
      </c>
      <c r="G93" s="731" t="s">
        <v>2860</v>
      </c>
      <c r="H93" s="1083">
        <v>42401</v>
      </c>
      <c r="I93" s="1084">
        <v>42480</v>
      </c>
      <c r="J93" s="957">
        <v>3796.6</v>
      </c>
    </row>
    <row r="94" spans="1:10" s="852" customFormat="1" outlineLevel="2">
      <c r="A94" s="878" t="s">
        <v>2338</v>
      </c>
      <c r="B94" s="879" t="s">
        <v>7865</v>
      </c>
      <c r="C94" s="729" t="s">
        <v>496</v>
      </c>
      <c r="D94" s="924"/>
      <c r="E94" s="878" t="s">
        <v>2336</v>
      </c>
      <c r="F94" s="881" t="s">
        <v>5973</v>
      </c>
      <c r="G94" s="731" t="s">
        <v>2856</v>
      </c>
      <c r="H94" s="1083">
        <v>42401</v>
      </c>
      <c r="I94" s="1084">
        <v>42480</v>
      </c>
      <c r="J94" s="957">
        <v>16111.83</v>
      </c>
    </row>
    <row r="95" spans="1:10" s="852" customFormat="1" outlineLevel="2">
      <c r="A95" s="878" t="s">
        <v>500</v>
      </c>
      <c r="B95" s="879" t="s">
        <v>7864</v>
      </c>
      <c r="C95" s="729" t="s">
        <v>496</v>
      </c>
      <c r="D95" s="924"/>
      <c r="E95" s="878" t="s">
        <v>492</v>
      </c>
      <c r="F95" s="881" t="s">
        <v>434</v>
      </c>
      <c r="G95" s="731" t="s">
        <v>5557</v>
      </c>
      <c r="H95" s="1083">
        <v>42401</v>
      </c>
      <c r="I95" s="1084">
        <v>42464</v>
      </c>
      <c r="J95" s="957">
        <v>10342.44</v>
      </c>
    </row>
    <row r="96" spans="1:10" s="852" customFormat="1" ht="42.75" outlineLevel="2">
      <c r="A96" s="878" t="s">
        <v>1253</v>
      </c>
      <c r="B96" s="879" t="s">
        <v>7868</v>
      </c>
      <c r="C96" s="729" t="s">
        <v>496</v>
      </c>
      <c r="D96" s="924"/>
      <c r="E96" s="878" t="s">
        <v>1256</v>
      </c>
      <c r="F96" s="881" t="s">
        <v>1233</v>
      </c>
      <c r="G96" s="731" t="s">
        <v>5599</v>
      </c>
      <c r="H96" s="1083">
        <v>42430</v>
      </c>
      <c r="I96" s="1084">
        <v>42471</v>
      </c>
      <c r="J96" s="957">
        <v>12286.2</v>
      </c>
    </row>
    <row r="97" spans="1:10" s="852" customFormat="1" outlineLevel="2">
      <c r="A97" s="878" t="s">
        <v>979</v>
      </c>
      <c r="B97" s="879" t="s">
        <v>7866</v>
      </c>
      <c r="C97" s="729" t="s">
        <v>496</v>
      </c>
      <c r="D97" s="924"/>
      <c r="E97" s="878" t="s">
        <v>2282</v>
      </c>
      <c r="F97" s="881" t="s">
        <v>3974</v>
      </c>
      <c r="G97" s="731" t="s">
        <v>2779</v>
      </c>
      <c r="H97" s="1083">
        <v>42401</v>
      </c>
      <c r="I97" s="1084">
        <v>42471</v>
      </c>
      <c r="J97" s="957">
        <v>529.39</v>
      </c>
    </row>
    <row r="98" spans="1:10" s="852" customFormat="1" outlineLevel="2">
      <c r="A98" s="878" t="s">
        <v>979</v>
      </c>
      <c r="B98" s="879" t="s">
        <v>7866</v>
      </c>
      <c r="C98" s="729" t="s">
        <v>496</v>
      </c>
      <c r="D98" s="924"/>
      <c r="E98" s="878" t="s">
        <v>2282</v>
      </c>
      <c r="F98" s="881" t="s">
        <v>4081</v>
      </c>
      <c r="G98" s="731" t="s">
        <v>2781</v>
      </c>
      <c r="H98" s="1083">
        <v>42401</v>
      </c>
      <c r="I98" s="1084">
        <v>42471</v>
      </c>
      <c r="J98" s="957">
        <v>16.920000000000002</v>
      </c>
    </row>
    <row r="99" spans="1:10" s="852" customFormat="1" outlineLevel="2">
      <c r="A99" s="878" t="s">
        <v>979</v>
      </c>
      <c r="B99" s="879" t="s">
        <v>7866</v>
      </c>
      <c r="C99" s="729" t="s">
        <v>496</v>
      </c>
      <c r="D99" s="924"/>
      <c r="E99" s="878" t="s">
        <v>2282</v>
      </c>
      <c r="F99" s="881" t="s">
        <v>4165</v>
      </c>
      <c r="G99" s="731" t="s">
        <v>2782</v>
      </c>
      <c r="H99" s="1083">
        <v>42401</v>
      </c>
      <c r="I99" s="1084">
        <v>42471</v>
      </c>
      <c r="J99" s="957">
        <v>199.73</v>
      </c>
    </row>
    <row r="100" spans="1:10" s="852" customFormat="1" outlineLevel="2">
      <c r="A100" s="878" t="s">
        <v>2338</v>
      </c>
      <c r="B100" s="879" t="s">
        <v>7865</v>
      </c>
      <c r="C100" s="729" t="s">
        <v>496</v>
      </c>
      <c r="D100" s="924"/>
      <c r="E100" s="878" t="s">
        <v>2283</v>
      </c>
      <c r="F100" s="881" t="s">
        <v>6103</v>
      </c>
      <c r="G100" s="731" t="s">
        <v>2865</v>
      </c>
      <c r="H100" s="1083">
        <v>42401</v>
      </c>
      <c r="I100" s="1084">
        <v>42475</v>
      </c>
      <c r="J100" s="957">
        <v>13566.67</v>
      </c>
    </row>
    <row r="101" spans="1:10" s="852" customFormat="1" ht="28.5" outlineLevel="2">
      <c r="A101" s="878" t="s">
        <v>498</v>
      </c>
      <c r="B101" s="879" t="s">
        <v>7863</v>
      </c>
      <c r="C101" s="729" t="s">
        <v>496</v>
      </c>
      <c r="D101" s="924"/>
      <c r="E101" s="878" t="s">
        <v>2283</v>
      </c>
      <c r="F101" s="881" t="s">
        <v>3546</v>
      </c>
      <c r="G101" s="731" t="s">
        <v>2867</v>
      </c>
      <c r="H101" s="1083">
        <v>42401</v>
      </c>
      <c r="I101" s="1084">
        <v>42475</v>
      </c>
      <c r="J101" s="957">
        <v>1208.01</v>
      </c>
    </row>
    <row r="102" spans="1:10" s="852" customFormat="1" outlineLevel="2">
      <c r="A102" s="878" t="s">
        <v>2338</v>
      </c>
      <c r="B102" s="879" t="s">
        <v>7865</v>
      </c>
      <c r="C102" s="729" t="s">
        <v>496</v>
      </c>
      <c r="D102" s="924"/>
      <c r="E102" s="878" t="s">
        <v>508</v>
      </c>
      <c r="F102" s="881" t="s">
        <v>1094</v>
      </c>
      <c r="G102" s="731" t="s">
        <v>5826</v>
      </c>
      <c r="H102" s="1083">
        <v>42430</v>
      </c>
      <c r="I102" s="1084">
        <v>42489</v>
      </c>
      <c r="J102" s="957">
        <v>224967.83</v>
      </c>
    </row>
    <row r="103" spans="1:10" s="852" customFormat="1" outlineLevel="2">
      <c r="A103" s="878" t="s">
        <v>979</v>
      </c>
      <c r="B103" s="879" t="s">
        <v>7866</v>
      </c>
      <c r="C103" s="729" t="s">
        <v>496</v>
      </c>
      <c r="D103" s="924"/>
      <c r="E103" s="878" t="s">
        <v>1909</v>
      </c>
      <c r="F103" s="881" t="s">
        <v>3935</v>
      </c>
      <c r="G103" s="731" t="s">
        <v>2817</v>
      </c>
      <c r="H103" s="1083">
        <v>42401</v>
      </c>
      <c r="I103" s="1084">
        <v>42480</v>
      </c>
      <c r="J103" s="957">
        <v>158.81</v>
      </c>
    </row>
    <row r="104" spans="1:10" s="852" customFormat="1" outlineLevel="2">
      <c r="A104" s="878" t="s">
        <v>979</v>
      </c>
      <c r="B104" s="879" t="s">
        <v>7866</v>
      </c>
      <c r="C104" s="729" t="s">
        <v>496</v>
      </c>
      <c r="D104" s="924"/>
      <c r="E104" s="878" t="s">
        <v>1909</v>
      </c>
      <c r="F104" s="881" t="s">
        <v>4027</v>
      </c>
      <c r="G104" s="731" t="s">
        <v>2819</v>
      </c>
      <c r="H104" s="1083">
        <v>42401</v>
      </c>
      <c r="I104" s="1084">
        <v>42480</v>
      </c>
      <c r="J104" s="957">
        <v>5.07</v>
      </c>
    </row>
    <row r="105" spans="1:10" s="852" customFormat="1" outlineLevel="2">
      <c r="A105" s="878" t="s">
        <v>979</v>
      </c>
      <c r="B105" s="879" t="s">
        <v>7866</v>
      </c>
      <c r="C105" s="729" t="s">
        <v>496</v>
      </c>
      <c r="D105" s="924"/>
      <c r="E105" s="878" t="s">
        <v>1909</v>
      </c>
      <c r="F105" s="881" t="s">
        <v>4129</v>
      </c>
      <c r="G105" s="731" t="s">
        <v>2821</v>
      </c>
      <c r="H105" s="1083">
        <v>42401</v>
      </c>
      <c r="I105" s="1084">
        <v>42480</v>
      </c>
      <c r="J105" s="957">
        <v>59.92</v>
      </c>
    </row>
    <row r="106" spans="1:10" s="852" customFormat="1" outlineLevel="2">
      <c r="A106" s="878" t="s">
        <v>500</v>
      </c>
      <c r="B106" s="879" t="s">
        <v>7864</v>
      </c>
      <c r="C106" s="729" t="s">
        <v>496</v>
      </c>
      <c r="D106" s="924"/>
      <c r="E106" s="878" t="s">
        <v>1909</v>
      </c>
      <c r="F106" s="881" t="s">
        <v>3126</v>
      </c>
      <c r="G106" s="731" t="s">
        <v>2883</v>
      </c>
      <c r="H106" s="1083">
        <v>42401</v>
      </c>
      <c r="I106" s="1084">
        <v>42480</v>
      </c>
      <c r="J106" s="957">
        <v>121.65</v>
      </c>
    </row>
    <row r="107" spans="1:10" s="852" customFormat="1" outlineLevel="2">
      <c r="A107" s="878" t="s">
        <v>2338</v>
      </c>
      <c r="B107" s="879" t="s">
        <v>7865</v>
      </c>
      <c r="C107" s="729" t="s">
        <v>496</v>
      </c>
      <c r="D107" s="924"/>
      <c r="E107" s="878" t="s">
        <v>1909</v>
      </c>
      <c r="F107" s="881" t="s">
        <v>6205</v>
      </c>
      <c r="G107" s="731" t="s">
        <v>2881</v>
      </c>
      <c r="H107" s="1083">
        <v>42401</v>
      </c>
      <c r="I107" s="1084">
        <v>42480</v>
      </c>
      <c r="J107" s="957">
        <v>4070</v>
      </c>
    </row>
    <row r="108" spans="1:10" s="852" customFormat="1" ht="28.5" outlineLevel="2">
      <c r="A108" s="878" t="s">
        <v>979</v>
      </c>
      <c r="B108" s="879" t="s">
        <v>7866</v>
      </c>
      <c r="C108" s="729" t="s">
        <v>496</v>
      </c>
      <c r="D108" s="924"/>
      <c r="E108" s="878" t="s">
        <v>1909</v>
      </c>
      <c r="F108" s="881" t="s">
        <v>4956</v>
      </c>
      <c r="G108" s="731" t="s">
        <v>2833</v>
      </c>
      <c r="H108" s="1083">
        <v>42401</v>
      </c>
      <c r="I108" s="1084">
        <v>42480</v>
      </c>
      <c r="J108" s="957">
        <v>492.33</v>
      </c>
    </row>
    <row r="109" spans="1:10" s="852" customFormat="1" ht="28.5" outlineLevel="2">
      <c r="A109" s="878" t="s">
        <v>979</v>
      </c>
      <c r="B109" s="879" t="s">
        <v>7866</v>
      </c>
      <c r="C109" s="729" t="s">
        <v>496</v>
      </c>
      <c r="D109" s="924"/>
      <c r="E109" s="878" t="s">
        <v>1909</v>
      </c>
      <c r="F109" s="881" t="s">
        <v>4903</v>
      </c>
      <c r="G109" s="731" t="s">
        <v>2832</v>
      </c>
      <c r="H109" s="1083">
        <v>42401</v>
      </c>
      <c r="I109" s="1084">
        <v>42480</v>
      </c>
      <c r="J109" s="957">
        <v>15.74</v>
      </c>
    </row>
    <row r="110" spans="1:10" s="852" customFormat="1" ht="28.5" outlineLevel="2">
      <c r="A110" s="878" t="s">
        <v>979</v>
      </c>
      <c r="B110" s="879" t="s">
        <v>7866</v>
      </c>
      <c r="C110" s="729" t="s">
        <v>496</v>
      </c>
      <c r="D110" s="924"/>
      <c r="E110" s="878" t="s">
        <v>1909</v>
      </c>
      <c r="F110" s="881" t="s">
        <v>4853</v>
      </c>
      <c r="G110" s="731" t="s">
        <v>2831</v>
      </c>
      <c r="H110" s="1083">
        <v>42401</v>
      </c>
      <c r="I110" s="1084">
        <v>42480</v>
      </c>
      <c r="J110" s="957">
        <v>185.75</v>
      </c>
    </row>
    <row r="111" spans="1:10" s="852" customFormat="1" ht="28.5" outlineLevel="2">
      <c r="A111" s="878" t="s">
        <v>500</v>
      </c>
      <c r="B111" s="879" t="s">
        <v>7864</v>
      </c>
      <c r="C111" s="729" t="s">
        <v>496</v>
      </c>
      <c r="D111" s="924"/>
      <c r="E111" s="878" t="s">
        <v>1909</v>
      </c>
      <c r="F111" s="881" t="s">
        <v>6204</v>
      </c>
      <c r="G111" s="731" t="s">
        <v>2875</v>
      </c>
      <c r="H111" s="1083">
        <v>42370</v>
      </c>
      <c r="I111" s="1084">
        <v>42480</v>
      </c>
      <c r="J111" s="957">
        <v>565.67999999999995</v>
      </c>
    </row>
    <row r="112" spans="1:10" s="852" customFormat="1" ht="28.5" outlineLevel="2">
      <c r="A112" s="878" t="s">
        <v>500</v>
      </c>
      <c r="B112" s="879" t="s">
        <v>7864</v>
      </c>
      <c r="C112" s="729" t="s">
        <v>496</v>
      </c>
      <c r="D112" s="924"/>
      <c r="E112" s="878" t="s">
        <v>1909</v>
      </c>
      <c r="F112" s="881" t="s">
        <v>6204</v>
      </c>
      <c r="G112" s="731" t="s">
        <v>2877</v>
      </c>
      <c r="H112" s="1083">
        <v>42370</v>
      </c>
      <c r="I112" s="1084">
        <v>42480</v>
      </c>
      <c r="J112" s="957">
        <v>565.67999999999995</v>
      </c>
    </row>
    <row r="113" spans="1:10" s="852" customFormat="1" ht="28.5" outlineLevel="2">
      <c r="A113" s="878" t="s">
        <v>500</v>
      </c>
      <c r="B113" s="879" t="s">
        <v>7864</v>
      </c>
      <c r="C113" s="729" t="s">
        <v>496</v>
      </c>
      <c r="D113" s="924"/>
      <c r="E113" s="878" t="s">
        <v>1909</v>
      </c>
      <c r="F113" s="881" t="s">
        <v>6204</v>
      </c>
      <c r="G113" s="731" t="s">
        <v>2879</v>
      </c>
      <c r="H113" s="1083">
        <v>42370</v>
      </c>
      <c r="I113" s="1084">
        <v>42480</v>
      </c>
      <c r="J113" s="957">
        <v>-565.67999999999995</v>
      </c>
    </row>
    <row r="114" spans="1:10" s="852" customFormat="1" ht="28.5" outlineLevel="2">
      <c r="A114" s="878" t="s">
        <v>2338</v>
      </c>
      <c r="B114" s="879" t="s">
        <v>7865</v>
      </c>
      <c r="C114" s="729" t="s">
        <v>496</v>
      </c>
      <c r="D114" s="924"/>
      <c r="E114" s="878" t="s">
        <v>1909</v>
      </c>
      <c r="F114" s="881" t="s">
        <v>6203</v>
      </c>
      <c r="G114" s="731" t="s">
        <v>2869</v>
      </c>
      <c r="H114" s="1083">
        <v>42370</v>
      </c>
      <c r="I114" s="1084">
        <v>42480</v>
      </c>
      <c r="J114" s="957">
        <v>12617</v>
      </c>
    </row>
    <row r="115" spans="1:10" s="852" customFormat="1" ht="28.5" outlineLevel="2">
      <c r="A115" s="878" t="s">
        <v>2338</v>
      </c>
      <c r="B115" s="879" t="s">
        <v>7865</v>
      </c>
      <c r="C115" s="729" t="s">
        <v>496</v>
      </c>
      <c r="D115" s="924"/>
      <c r="E115" s="878" t="s">
        <v>1909</v>
      </c>
      <c r="F115" s="881" t="s">
        <v>6203</v>
      </c>
      <c r="G115" s="731" t="s">
        <v>2871</v>
      </c>
      <c r="H115" s="1083">
        <v>42370</v>
      </c>
      <c r="I115" s="1084">
        <v>42480</v>
      </c>
      <c r="J115" s="957">
        <v>12617</v>
      </c>
    </row>
    <row r="116" spans="1:10" s="852" customFormat="1" ht="28.5" outlineLevel="2">
      <c r="A116" s="878" t="s">
        <v>2338</v>
      </c>
      <c r="B116" s="879" t="s">
        <v>7865</v>
      </c>
      <c r="C116" s="729" t="s">
        <v>496</v>
      </c>
      <c r="D116" s="924"/>
      <c r="E116" s="878" t="s">
        <v>1909</v>
      </c>
      <c r="F116" s="881" t="s">
        <v>6203</v>
      </c>
      <c r="G116" s="731" t="s">
        <v>2873</v>
      </c>
      <c r="H116" s="1083">
        <v>42370</v>
      </c>
      <c r="I116" s="1084">
        <v>42480</v>
      </c>
      <c r="J116" s="957">
        <v>-12617</v>
      </c>
    </row>
    <row r="117" spans="1:10" s="852" customFormat="1" ht="28.5" outlineLevel="2">
      <c r="A117" s="878" t="s">
        <v>2338</v>
      </c>
      <c r="B117" s="879" t="s">
        <v>7865</v>
      </c>
      <c r="C117" s="729" t="s">
        <v>496</v>
      </c>
      <c r="D117" s="924"/>
      <c r="E117" s="878" t="s">
        <v>1909</v>
      </c>
      <c r="F117" s="881" t="s">
        <v>4835</v>
      </c>
      <c r="G117" s="731" t="s">
        <v>2888</v>
      </c>
      <c r="H117" s="1083">
        <v>42401</v>
      </c>
      <c r="I117" s="1084">
        <v>42480</v>
      </c>
      <c r="J117" s="957">
        <v>12617</v>
      </c>
    </row>
    <row r="118" spans="1:10" s="852" customFormat="1" outlineLevel="1">
      <c r="A118" s="878"/>
      <c r="B118" s="879" t="s">
        <v>258</v>
      </c>
      <c r="C118" s="908" t="s">
        <v>496</v>
      </c>
      <c r="D118" s="928" t="str">
        <f>VLOOKUP(C118,$C$3691:$D$3771,2,FALSE)</f>
        <v>TOTAL POUPATEMPO  ARARAQUARA</v>
      </c>
      <c r="E118" s="1085"/>
      <c r="F118" s="929"/>
      <c r="G118" s="910"/>
      <c r="H118" s="1086"/>
      <c r="I118" s="1087"/>
      <c r="J118" s="930">
        <f>SUBTOTAL(9,J91:J117)</f>
        <v>327356.26</v>
      </c>
    </row>
    <row r="119" spans="1:10" s="852" customFormat="1" outlineLevel="2">
      <c r="A119" s="878" t="s">
        <v>6439</v>
      </c>
      <c r="B119" s="879" t="s">
        <v>7863</v>
      </c>
      <c r="C119" s="729" t="s">
        <v>502</v>
      </c>
      <c r="D119" s="924"/>
      <c r="E119" s="878" t="s">
        <v>483</v>
      </c>
      <c r="F119" s="881" t="s">
        <v>2208</v>
      </c>
      <c r="G119" s="731" t="str">
        <f>"16978"</f>
        <v>16978</v>
      </c>
      <c r="H119" s="1083">
        <v>42401</v>
      </c>
      <c r="I119" s="1084">
        <v>42473</v>
      </c>
      <c r="J119" s="957">
        <v>30651.54</v>
      </c>
    </row>
    <row r="120" spans="1:10" s="852" customFormat="1" outlineLevel="2">
      <c r="A120" s="878" t="s">
        <v>1127</v>
      </c>
      <c r="B120" s="879" t="s">
        <v>7865</v>
      </c>
      <c r="C120" s="729" t="s">
        <v>502</v>
      </c>
      <c r="D120" s="924"/>
      <c r="E120" s="878" t="s">
        <v>494</v>
      </c>
      <c r="F120" s="881" t="s">
        <v>1094</v>
      </c>
      <c r="G120" s="731" t="s">
        <v>5541</v>
      </c>
      <c r="H120" s="1083">
        <v>42401</v>
      </c>
      <c r="I120" s="1084">
        <v>42464</v>
      </c>
      <c r="J120" s="957">
        <v>102138.72</v>
      </c>
    </row>
    <row r="121" spans="1:10" s="852" customFormat="1" outlineLevel="2">
      <c r="A121" s="878" t="s">
        <v>1127</v>
      </c>
      <c r="B121" s="879" t="s">
        <v>7865</v>
      </c>
      <c r="C121" s="729" t="s">
        <v>502</v>
      </c>
      <c r="D121" s="924"/>
      <c r="E121" s="878" t="s">
        <v>494</v>
      </c>
      <c r="F121" s="881" t="s">
        <v>1094</v>
      </c>
      <c r="G121" s="731" t="s">
        <v>5788</v>
      </c>
      <c r="H121" s="1083">
        <v>42430</v>
      </c>
      <c r="I121" s="1084">
        <v>42489</v>
      </c>
      <c r="J121" s="957">
        <v>102267.01</v>
      </c>
    </row>
    <row r="122" spans="1:10" s="852" customFormat="1" outlineLevel="2">
      <c r="A122" s="878" t="s">
        <v>5957</v>
      </c>
      <c r="B122" s="879" t="s">
        <v>7864</v>
      </c>
      <c r="C122" s="729" t="s">
        <v>502</v>
      </c>
      <c r="D122" s="924"/>
      <c r="E122" s="878" t="s">
        <v>6470</v>
      </c>
      <c r="F122" s="881" t="s">
        <v>434</v>
      </c>
      <c r="G122" s="731" t="str">
        <f>"2594"</f>
        <v>2594</v>
      </c>
      <c r="H122" s="1083">
        <v>42370</v>
      </c>
      <c r="I122" s="1084">
        <v>42478</v>
      </c>
      <c r="J122" s="957">
        <v>-3694.63</v>
      </c>
    </row>
    <row r="123" spans="1:10" s="852" customFormat="1" outlineLevel="2">
      <c r="A123" s="878" t="s">
        <v>5957</v>
      </c>
      <c r="B123" s="879" t="s">
        <v>7864</v>
      </c>
      <c r="C123" s="729" t="s">
        <v>502</v>
      </c>
      <c r="D123" s="924"/>
      <c r="E123" s="878" t="s">
        <v>6470</v>
      </c>
      <c r="F123" s="881" t="s">
        <v>434</v>
      </c>
      <c r="G123" s="731" t="str">
        <f>"2594"</f>
        <v>2594</v>
      </c>
      <c r="H123" s="1083">
        <v>42370</v>
      </c>
      <c r="I123" s="1084">
        <v>42478</v>
      </c>
      <c r="J123" s="957">
        <v>3694.63</v>
      </c>
    </row>
    <row r="124" spans="1:10" s="852" customFormat="1" outlineLevel="2">
      <c r="A124" s="878" t="s">
        <v>5957</v>
      </c>
      <c r="B124" s="879" t="s">
        <v>7864</v>
      </c>
      <c r="C124" s="729" t="s">
        <v>502</v>
      </c>
      <c r="D124" s="924"/>
      <c r="E124" s="878" t="s">
        <v>6470</v>
      </c>
      <c r="F124" s="881" t="s">
        <v>434</v>
      </c>
      <c r="G124" s="731" t="str">
        <f>"2594"</f>
        <v>2594</v>
      </c>
      <c r="H124" s="1083">
        <v>42370</v>
      </c>
      <c r="I124" s="1084">
        <v>42478</v>
      </c>
      <c r="J124" s="957">
        <v>3694.63</v>
      </c>
    </row>
    <row r="125" spans="1:10" s="852" customFormat="1" outlineLevel="2">
      <c r="A125" s="878" t="s">
        <v>5957</v>
      </c>
      <c r="B125" s="879" t="s">
        <v>7864</v>
      </c>
      <c r="C125" s="729" t="s">
        <v>502</v>
      </c>
      <c r="D125" s="924"/>
      <c r="E125" s="878" t="s">
        <v>6470</v>
      </c>
      <c r="F125" s="881" t="s">
        <v>434</v>
      </c>
      <c r="G125" s="731" t="str">
        <f>"2594"</f>
        <v>2594</v>
      </c>
      <c r="H125" s="1083">
        <v>42370</v>
      </c>
      <c r="I125" s="1084">
        <v>42478</v>
      </c>
      <c r="J125" s="957">
        <v>3694.63</v>
      </c>
    </row>
    <row r="126" spans="1:10" s="852" customFormat="1" outlineLevel="2">
      <c r="A126" s="878" t="s">
        <v>5957</v>
      </c>
      <c r="B126" s="879" t="s">
        <v>7864</v>
      </c>
      <c r="C126" s="729" t="s">
        <v>502</v>
      </c>
      <c r="D126" s="924"/>
      <c r="E126" s="878" t="s">
        <v>6470</v>
      </c>
      <c r="F126" s="881" t="s">
        <v>434</v>
      </c>
      <c r="G126" s="731" t="str">
        <f>"2594"</f>
        <v>2594</v>
      </c>
      <c r="H126" s="1083">
        <v>42370</v>
      </c>
      <c r="I126" s="1084">
        <v>42478</v>
      </c>
      <c r="J126" s="957">
        <v>-3694.63</v>
      </c>
    </row>
    <row r="127" spans="1:10" s="852" customFormat="1" outlineLevel="2">
      <c r="A127" s="878" t="s">
        <v>504</v>
      </c>
      <c r="B127" s="879" t="s">
        <v>7863</v>
      </c>
      <c r="C127" s="729" t="s">
        <v>502</v>
      </c>
      <c r="D127" s="924"/>
      <c r="E127" s="878" t="s">
        <v>2336</v>
      </c>
      <c r="F127" s="881" t="s">
        <v>4365</v>
      </c>
      <c r="G127" s="731" t="s">
        <v>2903</v>
      </c>
      <c r="H127" s="1083">
        <v>42401</v>
      </c>
      <c r="I127" s="1084">
        <v>42480</v>
      </c>
      <c r="J127" s="957">
        <v>4303.34</v>
      </c>
    </row>
    <row r="128" spans="1:10" s="852" customFormat="1" outlineLevel="2">
      <c r="A128" s="878" t="s">
        <v>1127</v>
      </c>
      <c r="B128" s="879" t="s">
        <v>7865</v>
      </c>
      <c r="C128" s="729" t="s">
        <v>502</v>
      </c>
      <c r="D128" s="924"/>
      <c r="E128" s="878" t="s">
        <v>2336</v>
      </c>
      <c r="F128" s="881" t="s">
        <v>5976</v>
      </c>
      <c r="G128" s="731" t="s">
        <v>2897</v>
      </c>
      <c r="H128" s="1083">
        <v>42401</v>
      </c>
      <c r="I128" s="1084">
        <v>42480</v>
      </c>
      <c r="J128" s="957">
        <v>12372.56</v>
      </c>
    </row>
    <row r="129" spans="1:10" s="852" customFormat="1" outlineLevel="2">
      <c r="A129" s="878" t="s">
        <v>503</v>
      </c>
      <c r="B129" s="879" t="s">
        <v>7864</v>
      </c>
      <c r="C129" s="729" t="s">
        <v>502</v>
      </c>
      <c r="D129" s="924"/>
      <c r="E129" s="878" t="s">
        <v>2336</v>
      </c>
      <c r="F129" s="881" t="s">
        <v>5974</v>
      </c>
      <c r="G129" s="731" t="s">
        <v>2893</v>
      </c>
      <c r="H129" s="1083">
        <v>42401</v>
      </c>
      <c r="I129" s="1084">
        <v>42480</v>
      </c>
      <c r="J129" s="957">
        <v>518.71</v>
      </c>
    </row>
    <row r="130" spans="1:10" s="852" customFormat="1" outlineLevel="2">
      <c r="A130" s="878" t="s">
        <v>503</v>
      </c>
      <c r="B130" s="879" t="s">
        <v>7864</v>
      </c>
      <c r="C130" s="729" t="s">
        <v>502</v>
      </c>
      <c r="D130" s="924"/>
      <c r="E130" s="878" t="s">
        <v>2336</v>
      </c>
      <c r="F130" s="881" t="s">
        <v>5975</v>
      </c>
      <c r="G130" s="731" t="s">
        <v>2895</v>
      </c>
      <c r="H130" s="1083">
        <v>42401</v>
      </c>
      <c r="I130" s="1084">
        <v>42480</v>
      </c>
      <c r="J130" s="957">
        <v>341.26</v>
      </c>
    </row>
    <row r="131" spans="1:10" s="852" customFormat="1" outlineLevel="2">
      <c r="A131" s="878" t="s">
        <v>503</v>
      </c>
      <c r="B131" s="879" t="s">
        <v>7864</v>
      </c>
      <c r="C131" s="729" t="s">
        <v>502</v>
      </c>
      <c r="D131" s="924"/>
      <c r="E131" s="878" t="s">
        <v>2336</v>
      </c>
      <c r="F131" s="881" t="s">
        <v>3014</v>
      </c>
      <c r="G131" s="731" t="s">
        <v>2901</v>
      </c>
      <c r="H131" s="1083">
        <v>42401</v>
      </c>
      <c r="I131" s="1084">
        <v>42480</v>
      </c>
      <c r="J131" s="957">
        <v>505.06</v>
      </c>
    </row>
    <row r="132" spans="1:10" s="852" customFormat="1" outlineLevel="2">
      <c r="A132" s="878" t="s">
        <v>1127</v>
      </c>
      <c r="B132" s="879" t="s">
        <v>7865</v>
      </c>
      <c r="C132" s="729" t="s">
        <v>502</v>
      </c>
      <c r="D132" s="924"/>
      <c r="E132" s="878" t="s">
        <v>2336</v>
      </c>
      <c r="F132" s="881" t="s">
        <v>5977</v>
      </c>
      <c r="G132" s="731" t="s">
        <v>2899</v>
      </c>
      <c r="H132" s="1083">
        <v>42401</v>
      </c>
      <c r="I132" s="1084">
        <v>42480</v>
      </c>
      <c r="J132" s="957">
        <v>4097.41</v>
      </c>
    </row>
    <row r="133" spans="1:10" s="852" customFormat="1" outlineLevel="2">
      <c r="A133" s="878" t="s">
        <v>5957</v>
      </c>
      <c r="B133" s="879" t="s">
        <v>7864</v>
      </c>
      <c r="C133" s="729" t="s">
        <v>502</v>
      </c>
      <c r="D133" s="924"/>
      <c r="E133" s="878" t="s">
        <v>2717</v>
      </c>
      <c r="F133" s="881" t="s">
        <v>434</v>
      </c>
      <c r="G133" s="731" t="str">
        <f>"3514"</f>
        <v>3514</v>
      </c>
      <c r="H133" s="1083">
        <v>42401</v>
      </c>
      <c r="I133" s="1084">
        <v>42467</v>
      </c>
      <c r="J133" s="957">
        <v>2430.67</v>
      </c>
    </row>
    <row r="134" spans="1:10" s="852" customFormat="1" outlineLevel="2">
      <c r="A134" s="878" t="s">
        <v>5957</v>
      </c>
      <c r="B134" s="879" t="s">
        <v>7864</v>
      </c>
      <c r="C134" s="729" t="s">
        <v>502</v>
      </c>
      <c r="D134" s="924"/>
      <c r="E134" s="878" t="s">
        <v>409</v>
      </c>
      <c r="F134" s="881" t="s">
        <v>434</v>
      </c>
      <c r="G134" s="731" t="str">
        <f>"6688"</f>
        <v>6688</v>
      </c>
      <c r="H134" s="1083">
        <v>42401</v>
      </c>
      <c r="I134" s="1084">
        <v>42475</v>
      </c>
      <c r="J134" s="957">
        <v>3597.41</v>
      </c>
    </row>
    <row r="135" spans="1:10" s="852" customFormat="1" outlineLevel="2">
      <c r="A135" s="878" t="s">
        <v>984</v>
      </c>
      <c r="B135" s="879" t="s">
        <v>7866</v>
      </c>
      <c r="C135" s="729" t="s">
        <v>502</v>
      </c>
      <c r="D135" s="924"/>
      <c r="E135" s="878" t="s">
        <v>2282</v>
      </c>
      <c r="F135" s="881" t="s">
        <v>3974</v>
      </c>
      <c r="G135" s="731" t="s">
        <v>2779</v>
      </c>
      <c r="H135" s="1083">
        <v>42401</v>
      </c>
      <c r="I135" s="1084">
        <v>42471</v>
      </c>
      <c r="J135" s="957">
        <v>397.18</v>
      </c>
    </row>
    <row r="136" spans="1:10" s="852" customFormat="1" outlineLevel="2">
      <c r="A136" s="878" t="s">
        <v>984</v>
      </c>
      <c r="B136" s="879" t="s">
        <v>7866</v>
      </c>
      <c r="C136" s="729" t="s">
        <v>502</v>
      </c>
      <c r="D136" s="924"/>
      <c r="E136" s="878" t="s">
        <v>2282</v>
      </c>
      <c r="F136" s="881" t="s">
        <v>4081</v>
      </c>
      <c r="G136" s="731" t="s">
        <v>2781</v>
      </c>
      <c r="H136" s="1083">
        <v>42401</v>
      </c>
      <c r="I136" s="1084">
        <v>42471</v>
      </c>
      <c r="J136" s="957">
        <v>12.7</v>
      </c>
    </row>
    <row r="137" spans="1:10" s="852" customFormat="1" outlineLevel="2">
      <c r="A137" s="878" t="s">
        <v>984</v>
      </c>
      <c r="B137" s="879" t="s">
        <v>7866</v>
      </c>
      <c r="C137" s="729" t="s">
        <v>502</v>
      </c>
      <c r="D137" s="924"/>
      <c r="E137" s="878" t="s">
        <v>2282</v>
      </c>
      <c r="F137" s="881" t="s">
        <v>4165</v>
      </c>
      <c r="G137" s="731" t="s">
        <v>2782</v>
      </c>
      <c r="H137" s="1083">
        <v>42401</v>
      </c>
      <c r="I137" s="1084">
        <v>42471</v>
      </c>
      <c r="J137" s="957">
        <v>149.85</v>
      </c>
    </row>
    <row r="138" spans="1:10" s="852" customFormat="1" outlineLevel="2">
      <c r="A138" s="878" t="s">
        <v>503</v>
      </c>
      <c r="B138" s="879" t="s">
        <v>7864</v>
      </c>
      <c r="C138" s="729" t="s">
        <v>502</v>
      </c>
      <c r="D138" s="924"/>
      <c r="E138" s="878" t="s">
        <v>2339</v>
      </c>
      <c r="F138" s="881" t="s">
        <v>6128</v>
      </c>
      <c r="G138" s="731" t="s">
        <v>2908</v>
      </c>
      <c r="H138" s="1083">
        <v>42401</v>
      </c>
      <c r="I138" s="1084">
        <v>42480</v>
      </c>
      <c r="J138" s="957">
        <v>235.78</v>
      </c>
    </row>
    <row r="139" spans="1:10" s="852" customFormat="1" outlineLevel="2">
      <c r="A139" s="878" t="s">
        <v>503</v>
      </c>
      <c r="B139" s="879" t="s">
        <v>7864</v>
      </c>
      <c r="C139" s="729" t="s">
        <v>502</v>
      </c>
      <c r="D139" s="924"/>
      <c r="E139" s="878" t="s">
        <v>2339</v>
      </c>
      <c r="F139" s="881" t="s">
        <v>6129</v>
      </c>
      <c r="G139" s="731" t="s">
        <v>2910</v>
      </c>
      <c r="H139" s="1083">
        <v>42401</v>
      </c>
      <c r="I139" s="1084">
        <v>42480</v>
      </c>
      <c r="J139" s="957">
        <v>155.12</v>
      </c>
    </row>
    <row r="140" spans="1:10" s="852" customFormat="1" outlineLevel="2">
      <c r="A140" s="878" t="s">
        <v>1127</v>
      </c>
      <c r="B140" s="879" t="s">
        <v>7865</v>
      </c>
      <c r="C140" s="729" t="s">
        <v>502</v>
      </c>
      <c r="D140" s="924"/>
      <c r="E140" s="878" t="s">
        <v>2339</v>
      </c>
      <c r="F140" s="881" t="s">
        <v>6130</v>
      </c>
      <c r="G140" s="731" t="s">
        <v>2912</v>
      </c>
      <c r="H140" s="1083">
        <v>42401</v>
      </c>
      <c r="I140" s="1084">
        <v>42480</v>
      </c>
      <c r="J140" s="957">
        <v>3781.33</v>
      </c>
    </row>
    <row r="141" spans="1:10" s="852" customFormat="1" outlineLevel="2">
      <c r="A141" s="878" t="s">
        <v>1127</v>
      </c>
      <c r="B141" s="879" t="s">
        <v>7865</v>
      </c>
      <c r="C141" s="729" t="s">
        <v>502</v>
      </c>
      <c r="D141" s="924"/>
      <c r="E141" s="878" t="s">
        <v>2339</v>
      </c>
      <c r="F141" s="881" t="s">
        <v>6131</v>
      </c>
      <c r="G141" s="731" t="s">
        <v>2914</v>
      </c>
      <c r="H141" s="1083">
        <v>42401</v>
      </c>
      <c r="I141" s="1084">
        <v>42480</v>
      </c>
      <c r="J141" s="957">
        <v>3935.67</v>
      </c>
    </row>
    <row r="142" spans="1:10" s="852" customFormat="1" outlineLevel="2">
      <c r="A142" s="878" t="s">
        <v>503</v>
      </c>
      <c r="B142" s="879" t="s">
        <v>7864</v>
      </c>
      <c r="C142" s="729" t="s">
        <v>502</v>
      </c>
      <c r="D142" s="924"/>
      <c r="E142" s="878" t="s">
        <v>2339</v>
      </c>
      <c r="F142" s="881" t="s">
        <v>3016</v>
      </c>
      <c r="G142" s="731" t="s">
        <v>2916</v>
      </c>
      <c r="H142" s="1083">
        <v>42401</v>
      </c>
      <c r="I142" s="1084">
        <v>42480</v>
      </c>
      <c r="J142" s="957">
        <v>229.57</v>
      </c>
    </row>
    <row r="143" spans="1:10" s="852" customFormat="1" outlineLevel="2">
      <c r="A143" s="878" t="s">
        <v>504</v>
      </c>
      <c r="B143" s="879" t="s">
        <v>7863</v>
      </c>
      <c r="C143" s="729" t="s">
        <v>502</v>
      </c>
      <c r="D143" s="924"/>
      <c r="E143" s="878" t="s">
        <v>2339</v>
      </c>
      <c r="F143" s="881" t="s">
        <v>4367</v>
      </c>
      <c r="G143" s="731" t="s">
        <v>2917</v>
      </c>
      <c r="H143" s="1083">
        <v>42401</v>
      </c>
      <c r="I143" s="1084">
        <v>42480</v>
      </c>
      <c r="J143" s="957">
        <v>1956.06</v>
      </c>
    </row>
    <row r="144" spans="1:10" s="852" customFormat="1" outlineLevel="2">
      <c r="A144" s="878" t="s">
        <v>984</v>
      </c>
      <c r="B144" s="879" t="s">
        <v>7866</v>
      </c>
      <c r="C144" s="729" t="s">
        <v>502</v>
      </c>
      <c r="D144" s="924"/>
      <c r="E144" s="878" t="s">
        <v>1909</v>
      </c>
      <c r="F144" s="881" t="s">
        <v>3935</v>
      </c>
      <c r="G144" s="731" t="s">
        <v>2817</v>
      </c>
      <c r="H144" s="1083">
        <v>42401</v>
      </c>
      <c r="I144" s="1084">
        <v>42480</v>
      </c>
      <c r="J144" s="957">
        <v>119.15</v>
      </c>
    </row>
    <row r="145" spans="1:10" s="852" customFormat="1" outlineLevel="2">
      <c r="A145" s="878" t="s">
        <v>984</v>
      </c>
      <c r="B145" s="879" t="s">
        <v>7866</v>
      </c>
      <c r="C145" s="729" t="s">
        <v>502</v>
      </c>
      <c r="D145" s="924"/>
      <c r="E145" s="878" t="s">
        <v>1909</v>
      </c>
      <c r="F145" s="881" t="s">
        <v>4027</v>
      </c>
      <c r="G145" s="731" t="s">
        <v>2819</v>
      </c>
      <c r="H145" s="1083">
        <v>42401</v>
      </c>
      <c r="I145" s="1084">
        <v>42480</v>
      </c>
      <c r="J145" s="957">
        <v>3.81</v>
      </c>
    </row>
    <row r="146" spans="1:10" s="852" customFormat="1" outlineLevel="2">
      <c r="A146" s="878" t="s">
        <v>984</v>
      </c>
      <c r="B146" s="879" t="s">
        <v>7866</v>
      </c>
      <c r="C146" s="729" t="s">
        <v>502</v>
      </c>
      <c r="D146" s="924"/>
      <c r="E146" s="878" t="s">
        <v>1909</v>
      </c>
      <c r="F146" s="881" t="s">
        <v>4129</v>
      </c>
      <c r="G146" s="731" t="s">
        <v>2821</v>
      </c>
      <c r="H146" s="1083">
        <v>42401</v>
      </c>
      <c r="I146" s="1084">
        <v>42480</v>
      </c>
      <c r="J146" s="957">
        <v>44.95</v>
      </c>
    </row>
    <row r="147" spans="1:10" s="852" customFormat="1" outlineLevel="2">
      <c r="A147" s="878" t="s">
        <v>504</v>
      </c>
      <c r="B147" s="879" t="s">
        <v>7863</v>
      </c>
      <c r="C147" s="729" t="s">
        <v>502</v>
      </c>
      <c r="D147" s="924"/>
      <c r="E147" s="878" t="s">
        <v>1909</v>
      </c>
      <c r="F147" s="881" t="s">
        <v>4364</v>
      </c>
      <c r="G147" s="731" t="s">
        <v>2949</v>
      </c>
      <c r="H147" s="1083">
        <v>42401</v>
      </c>
      <c r="I147" s="1084">
        <v>42480</v>
      </c>
      <c r="J147" s="957">
        <v>391.21</v>
      </c>
    </row>
    <row r="148" spans="1:10" s="852" customFormat="1" outlineLevel="2">
      <c r="A148" s="878" t="s">
        <v>1127</v>
      </c>
      <c r="B148" s="879" t="s">
        <v>7865</v>
      </c>
      <c r="C148" s="729" t="s">
        <v>502</v>
      </c>
      <c r="D148" s="924"/>
      <c r="E148" s="878" t="s">
        <v>1909</v>
      </c>
      <c r="F148" s="881" t="s">
        <v>6209</v>
      </c>
      <c r="G148" s="731" t="s">
        <v>2926</v>
      </c>
      <c r="H148" s="1083">
        <v>42401</v>
      </c>
      <c r="I148" s="1084">
        <v>42480</v>
      </c>
      <c r="J148" s="957">
        <v>1890.66</v>
      </c>
    </row>
    <row r="149" spans="1:10" s="852" customFormat="1" outlineLevel="2">
      <c r="A149" s="878" t="s">
        <v>503</v>
      </c>
      <c r="B149" s="879" t="s">
        <v>7864</v>
      </c>
      <c r="C149" s="729" t="s">
        <v>502</v>
      </c>
      <c r="D149" s="924"/>
      <c r="E149" s="878" t="s">
        <v>1909</v>
      </c>
      <c r="F149" s="881" t="s">
        <v>6207</v>
      </c>
      <c r="G149" s="731" t="s">
        <v>2922</v>
      </c>
      <c r="H149" s="1083">
        <v>42401</v>
      </c>
      <c r="I149" s="1084">
        <v>42480</v>
      </c>
      <c r="J149" s="957">
        <v>47.16</v>
      </c>
    </row>
    <row r="150" spans="1:10" s="852" customFormat="1" outlineLevel="2">
      <c r="A150" s="878" t="s">
        <v>503</v>
      </c>
      <c r="B150" s="879" t="s">
        <v>7864</v>
      </c>
      <c r="C150" s="729" t="s">
        <v>502</v>
      </c>
      <c r="D150" s="924"/>
      <c r="E150" s="878" t="s">
        <v>1909</v>
      </c>
      <c r="F150" s="881" t="s">
        <v>6208</v>
      </c>
      <c r="G150" s="731" t="s">
        <v>2923</v>
      </c>
      <c r="H150" s="1083">
        <v>42401</v>
      </c>
      <c r="I150" s="1084">
        <v>42480</v>
      </c>
      <c r="J150" s="957">
        <v>31.02</v>
      </c>
    </row>
    <row r="151" spans="1:10" s="852" customFormat="1" outlineLevel="2">
      <c r="A151" s="878" t="s">
        <v>503</v>
      </c>
      <c r="B151" s="879" t="s">
        <v>7864</v>
      </c>
      <c r="C151" s="729" t="s">
        <v>502</v>
      </c>
      <c r="D151" s="924"/>
      <c r="E151" s="878" t="s">
        <v>1909</v>
      </c>
      <c r="F151" s="881" t="s">
        <v>3012</v>
      </c>
      <c r="G151" s="731" t="s">
        <v>2936</v>
      </c>
      <c r="H151" s="1083">
        <v>42401</v>
      </c>
      <c r="I151" s="1084">
        <v>42480</v>
      </c>
      <c r="J151" s="957">
        <v>45.91</v>
      </c>
    </row>
    <row r="152" spans="1:10" s="852" customFormat="1" outlineLevel="2">
      <c r="A152" s="878" t="s">
        <v>1127</v>
      </c>
      <c r="B152" s="879" t="s">
        <v>7865</v>
      </c>
      <c r="C152" s="729" t="s">
        <v>502</v>
      </c>
      <c r="D152" s="924"/>
      <c r="E152" s="878" t="s">
        <v>1909</v>
      </c>
      <c r="F152" s="881" t="s">
        <v>6210</v>
      </c>
      <c r="G152" s="731" t="s">
        <v>2928</v>
      </c>
      <c r="H152" s="1083">
        <v>42401</v>
      </c>
      <c r="I152" s="1084">
        <v>42480</v>
      </c>
      <c r="J152" s="957">
        <v>1967.84</v>
      </c>
    </row>
    <row r="153" spans="1:10" s="852" customFormat="1" ht="28.5" outlineLevel="2">
      <c r="A153" s="878" t="s">
        <v>984</v>
      </c>
      <c r="B153" s="879" t="s">
        <v>7866</v>
      </c>
      <c r="C153" s="729" t="s">
        <v>502</v>
      </c>
      <c r="D153" s="924"/>
      <c r="E153" s="878" t="s">
        <v>1909</v>
      </c>
      <c r="F153" s="881" t="s">
        <v>4956</v>
      </c>
      <c r="G153" s="731" t="s">
        <v>2833</v>
      </c>
      <c r="H153" s="1083">
        <v>42401</v>
      </c>
      <c r="I153" s="1084">
        <v>42480</v>
      </c>
      <c r="J153" s="957">
        <v>369.38</v>
      </c>
    </row>
    <row r="154" spans="1:10" s="852" customFormat="1" ht="28.5" outlineLevel="2">
      <c r="A154" s="878" t="s">
        <v>984</v>
      </c>
      <c r="B154" s="879" t="s">
        <v>7866</v>
      </c>
      <c r="C154" s="729" t="s">
        <v>502</v>
      </c>
      <c r="D154" s="924"/>
      <c r="E154" s="878" t="s">
        <v>1909</v>
      </c>
      <c r="F154" s="881" t="s">
        <v>4903</v>
      </c>
      <c r="G154" s="731" t="s">
        <v>2832</v>
      </c>
      <c r="H154" s="1083">
        <v>42401</v>
      </c>
      <c r="I154" s="1084">
        <v>42480</v>
      </c>
      <c r="J154" s="957">
        <v>11.81</v>
      </c>
    </row>
    <row r="155" spans="1:10" s="852" customFormat="1" ht="28.5" outlineLevel="2">
      <c r="A155" s="878" t="s">
        <v>984</v>
      </c>
      <c r="B155" s="879" t="s">
        <v>7866</v>
      </c>
      <c r="C155" s="729" t="s">
        <v>502</v>
      </c>
      <c r="D155" s="924"/>
      <c r="E155" s="878" t="s">
        <v>1909</v>
      </c>
      <c r="F155" s="881" t="s">
        <v>4853</v>
      </c>
      <c r="G155" s="731" t="s">
        <v>2831</v>
      </c>
      <c r="H155" s="1083">
        <v>42401</v>
      </c>
      <c r="I155" s="1084">
        <v>42480</v>
      </c>
      <c r="J155" s="957">
        <v>139.36000000000001</v>
      </c>
    </row>
    <row r="156" spans="1:10" s="852" customFormat="1" ht="28.5" outlineLevel="2">
      <c r="A156" s="878" t="s">
        <v>504</v>
      </c>
      <c r="B156" s="879" t="s">
        <v>7863</v>
      </c>
      <c r="C156" s="729" t="s">
        <v>502</v>
      </c>
      <c r="D156" s="924"/>
      <c r="E156" s="878" t="s">
        <v>1909</v>
      </c>
      <c r="F156" s="881" t="s">
        <v>6206</v>
      </c>
      <c r="G156" s="731" t="s">
        <v>2919</v>
      </c>
      <c r="H156" s="1083">
        <v>42370</v>
      </c>
      <c r="I156" s="1084">
        <v>42480</v>
      </c>
      <c r="J156" s="957">
        <v>1944.6</v>
      </c>
    </row>
    <row r="157" spans="1:10" s="852" customFormat="1" ht="28.5" outlineLevel="2">
      <c r="A157" s="878" t="s">
        <v>504</v>
      </c>
      <c r="B157" s="879" t="s">
        <v>7863</v>
      </c>
      <c r="C157" s="729" t="s">
        <v>502</v>
      </c>
      <c r="D157" s="924"/>
      <c r="E157" s="878" t="s">
        <v>1909</v>
      </c>
      <c r="F157" s="881" t="s">
        <v>6206</v>
      </c>
      <c r="G157" s="731" t="s">
        <v>2920</v>
      </c>
      <c r="H157" s="1083">
        <v>42370</v>
      </c>
      <c r="I157" s="1084">
        <v>42480</v>
      </c>
      <c r="J157" s="957">
        <v>1944.6</v>
      </c>
    </row>
    <row r="158" spans="1:10" s="852" customFormat="1" ht="28.5" outlineLevel="2">
      <c r="A158" s="878" t="s">
        <v>504</v>
      </c>
      <c r="B158" s="879" t="s">
        <v>7863</v>
      </c>
      <c r="C158" s="729" t="s">
        <v>502</v>
      </c>
      <c r="D158" s="924"/>
      <c r="E158" s="878" t="s">
        <v>1909</v>
      </c>
      <c r="F158" s="881" t="s">
        <v>6206</v>
      </c>
      <c r="G158" s="731" t="s">
        <v>2925</v>
      </c>
      <c r="H158" s="1083">
        <v>42370</v>
      </c>
      <c r="I158" s="1084">
        <v>42480</v>
      </c>
      <c r="J158" s="957">
        <v>-1944.6</v>
      </c>
    </row>
    <row r="159" spans="1:10" s="852" customFormat="1" ht="28.5" outlineLevel="2">
      <c r="A159" s="878" t="s">
        <v>503</v>
      </c>
      <c r="B159" s="879" t="s">
        <v>7864</v>
      </c>
      <c r="C159" s="729" t="s">
        <v>502</v>
      </c>
      <c r="D159" s="924"/>
      <c r="E159" s="878" t="s">
        <v>1909</v>
      </c>
      <c r="F159" s="881" t="s">
        <v>2892</v>
      </c>
      <c r="G159" s="731" t="s">
        <v>2930</v>
      </c>
      <c r="H159" s="1083">
        <v>42370</v>
      </c>
      <c r="I159" s="1084">
        <v>42480</v>
      </c>
      <c r="J159" s="957">
        <v>-144.25</v>
      </c>
    </row>
    <row r="160" spans="1:10" s="852" customFormat="1" ht="28.5" outlineLevel="2">
      <c r="A160" s="878" t="s">
        <v>503</v>
      </c>
      <c r="B160" s="879" t="s">
        <v>7864</v>
      </c>
      <c r="C160" s="729" t="s">
        <v>502</v>
      </c>
      <c r="D160" s="924"/>
      <c r="E160" s="878" t="s">
        <v>1909</v>
      </c>
      <c r="F160" s="881" t="s">
        <v>2892</v>
      </c>
      <c r="G160" s="731" t="s">
        <v>2932</v>
      </c>
      <c r="H160" s="1083">
        <v>42370</v>
      </c>
      <c r="I160" s="1084">
        <v>42480</v>
      </c>
      <c r="J160" s="957">
        <v>-144.26</v>
      </c>
    </row>
    <row r="161" spans="1:10" s="852" customFormat="1" ht="28.5" outlineLevel="2">
      <c r="A161" s="878" t="s">
        <v>503</v>
      </c>
      <c r="B161" s="879" t="s">
        <v>7864</v>
      </c>
      <c r="C161" s="729" t="s">
        <v>502</v>
      </c>
      <c r="D161" s="924"/>
      <c r="E161" s="878" t="s">
        <v>1909</v>
      </c>
      <c r="F161" s="881" t="s">
        <v>2892</v>
      </c>
      <c r="G161" s="731" t="s">
        <v>2934</v>
      </c>
      <c r="H161" s="1083">
        <v>42370</v>
      </c>
      <c r="I161" s="1084">
        <v>42480</v>
      </c>
      <c r="J161" s="957">
        <v>144.26</v>
      </c>
    </row>
    <row r="162" spans="1:10" s="852" customFormat="1" ht="28.5" outlineLevel="2">
      <c r="A162" s="878" t="s">
        <v>503</v>
      </c>
      <c r="B162" s="879" t="s">
        <v>7864</v>
      </c>
      <c r="C162" s="729" t="s">
        <v>502</v>
      </c>
      <c r="D162" s="924"/>
      <c r="E162" s="878" t="s">
        <v>1909</v>
      </c>
      <c r="F162" s="881" t="s">
        <v>2892</v>
      </c>
      <c r="G162" s="731" t="s">
        <v>2938</v>
      </c>
      <c r="H162" s="1083">
        <v>42370</v>
      </c>
      <c r="I162" s="1084">
        <v>42480</v>
      </c>
      <c r="J162" s="957">
        <v>144.25</v>
      </c>
    </row>
    <row r="163" spans="1:10" s="852" customFormat="1" ht="28.5" outlineLevel="2">
      <c r="A163" s="878" t="s">
        <v>503</v>
      </c>
      <c r="B163" s="879" t="s">
        <v>7864</v>
      </c>
      <c r="C163" s="729" t="s">
        <v>502</v>
      </c>
      <c r="D163" s="924"/>
      <c r="E163" s="878" t="s">
        <v>1909</v>
      </c>
      <c r="F163" s="881" t="s">
        <v>2892</v>
      </c>
      <c r="G163" s="731" t="s">
        <v>2940</v>
      </c>
      <c r="H163" s="1083">
        <v>42370</v>
      </c>
      <c r="I163" s="1084">
        <v>42480</v>
      </c>
      <c r="J163" s="957">
        <v>144.26</v>
      </c>
    </row>
    <row r="164" spans="1:10" s="852" customFormat="1" ht="28.5" outlineLevel="2">
      <c r="A164" s="878" t="s">
        <v>503</v>
      </c>
      <c r="B164" s="879" t="s">
        <v>7864</v>
      </c>
      <c r="C164" s="729" t="s">
        <v>502</v>
      </c>
      <c r="D164" s="924"/>
      <c r="E164" s="878" t="s">
        <v>1909</v>
      </c>
      <c r="F164" s="881" t="s">
        <v>3559</v>
      </c>
      <c r="G164" s="731" t="s">
        <v>2942</v>
      </c>
      <c r="H164" s="1083">
        <v>42370</v>
      </c>
      <c r="I164" s="1084">
        <v>42480</v>
      </c>
      <c r="J164" s="957">
        <v>-213.5</v>
      </c>
    </row>
    <row r="165" spans="1:10" s="852" customFormat="1" ht="28.5" outlineLevel="2">
      <c r="A165" s="878" t="s">
        <v>503</v>
      </c>
      <c r="B165" s="879" t="s">
        <v>7864</v>
      </c>
      <c r="C165" s="729" t="s">
        <v>502</v>
      </c>
      <c r="D165" s="924"/>
      <c r="E165" s="878" t="s">
        <v>1909</v>
      </c>
      <c r="F165" s="881" t="s">
        <v>3559</v>
      </c>
      <c r="G165" s="731" t="s">
        <v>2944</v>
      </c>
      <c r="H165" s="1083">
        <v>42370</v>
      </c>
      <c r="I165" s="1084">
        <v>42480</v>
      </c>
      <c r="J165" s="957">
        <v>213.5</v>
      </c>
    </row>
    <row r="166" spans="1:10" s="852" customFormat="1" ht="28.5" outlineLevel="2">
      <c r="A166" s="878" t="s">
        <v>503</v>
      </c>
      <c r="B166" s="879" t="s">
        <v>7864</v>
      </c>
      <c r="C166" s="729" t="s">
        <v>502</v>
      </c>
      <c r="D166" s="924"/>
      <c r="E166" s="878" t="s">
        <v>1909</v>
      </c>
      <c r="F166" s="881" t="s">
        <v>3559</v>
      </c>
      <c r="G166" s="731" t="s">
        <v>2946</v>
      </c>
      <c r="H166" s="1083">
        <v>42370</v>
      </c>
      <c r="I166" s="1084">
        <v>42480</v>
      </c>
      <c r="J166" s="957">
        <v>213.5</v>
      </c>
    </row>
    <row r="167" spans="1:10" s="852" customFormat="1" outlineLevel="2">
      <c r="A167" s="878" t="s">
        <v>1127</v>
      </c>
      <c r="B167" s="879" t="s">
        <v>7865</v>
      </c>
      <c r="C167" s="729" t="s">
        <v>502</v>
      </c>
      <c r="D167" s="924"/>
      <c r="E167" s="878" t="s">
        <v>589</v>
      </c>
      <c r="F167" s="881" t="s">
        <v>1094</v>
      </c>
      <c r="G167" s="731" t="s">
        <v>5568</v>
      </c>
      <c r="H167" s="1083">
        <v>42401</v>
      </c>
      <c r="I167" s="1084">
        <v>42464</v>
      </c>
      <c r="J167" s="957">
        <v>115087.79</v>
      </c>
    </row>
    <row r="168" spans="1:10" s="852" customFormat="1" outlineLevel="2">
      <c r="A168" s="878" t="s">
        <v>1127</v>
      </c>
      <c r="B168" s="879" t="s">
        <v>7865</v>
      </c>
      <c r="C168" s="729" t="s">
        <v>502</v>
      </c>
      <c r="D168" s="924"/>
      <c r="E168" s="878" t="s">
        <v>589</v>
      </c>
      <c r="F168" s="881" t="s">
        <v>1094</v>
      </c>
      <c r="G168" s="731" t="s">
        <v>5877</v>
      </c>
      <c r="H168" s="1083">
        <v>42430</v>
      </c>
      <c r="I168" s="1084">
        <v>42489</v>
      </c>
      <c r="J168" s="957">
        <v>115130.29</v>
      </c>
    </row>
    <row r="169" spans="1:10" s="852" customFormat="1" outlineLevel="1">
      <c r="A169" s="878"/>
      <c r="B169" s="879" t="s">
        <v>258</v>
      </c>
      <c r="C169" s="908" t="s">
        <v>502</v>
      </c>
      <c r="D169" s="928" t="str">
        <f>VLOOKUP(C169,$C$3691:$D$3771,2,FALSE)</f>
        <v>TOTAL POUPATEMPO  FRANCA</v>
      </c>
      <c r="E169" s="1085"/>
      <c r="F169" s="929"/>
      <c r="G169" s="910"/>
      <c r="H169" s="1086"/>
      <c r="I169" s="1087"/>
      <c r="J169" s="930">
        <f>SUBTOTAL(9,J119:J168)</f>
        <v>515354.27999999997</v>
      </c>
    </row>
    <row r="170" spans="1:10" s="852" customFormat="1" outlineLevel="2">
      <c r="A170" s="878" t="s">
        <v>6438</v>
      </c>
      <c r="B170" s="879" t="s">
        <v>7863</v>
      </c>
      <c r="C170" s="729" t="s">
        <v>506</v>
      </c>
      <c r="D170" s="924"/>
      <c r="E170" s="878" t="s">
        <v>483</v>
      </c>
      <c r="F170" s="881" t="s">
        <v>2208</v>
      </c>
      <c r="G170" s="731" t="str">
        <f>"16983"</f>
        <v>16983</v>
      </c>
      <c r="H170" s="1083">
        <v>42401</v>
      </c>
      <c r="I170" s="1084">
        <v>42473</v>
      </c>
      <c r="J170" s="957">
        <v>42498.28</v>
      </c>
    </row>
    <row r="171" spans="1:10" s="852" customFormat="1" outlineLevel="2">
      <c r="A171" s="878" t="s">
        <v>5949</v>
      </c>
      <c r="B171" s="879" t="s">
        <v>7864</v>
      </c>
      <c r="C171" s="729" t="s">
        <v>506</v>
      </c>
      <c r="D171" s="924"/>
      <c r="E171" s="878" t="s">
        <v>6470</v>
      </c>
      <c r="F171" s="881" t="s">
        <v>434</v>
      </c>
      <c r="G171" s="731" t="str">
        <f>"2647"</f>
        <v>2647</v>
      </c>
      <c r="H171" s="1083">
        <v>42370</v>
      </c>
      <c r="I171" s="1084">
        <v>42478</v>
      </c>
      <c r="J171" s="957">
        <v>11319.88</v>
      </c>
    </row>
    <row r="172" spans="1:10" s="852" customFormat="1" outlineLevel="2">
      <c r="A172" s="878" t="s">
        <v>5949</v>
      </c>
      <c r="B172" s="879" t="s">
        <v>7864</v>
      </c>
      <c r="C172" s="729" t="s">
        <v>506</v>
      </c>
      <c r="D172" s="924"/>
      <c r="E172" s="878" t="s">
        <v>6470</v>
      </c>
      <c r="F172" s="881" t="s">
        <v>434</v>
      </c>
      <c r="G172" s="731" t="str">
        <f>"2647"</f>
        <v>2647</v>
      </c>
      <c r="H172" s="1083">
        <v>42370</v>
      </c>
      <c r="I172" s="1084">
        <v>42478</v>
      </c>
      <c r="J172" s="957">
        <v>-11319.88</v>
      </c>
    </row>
    <row r="173" spans="1:10" s="852" customFormat="1" outlineLevel="2">
      <c r="A173" s="878" t="s">
        <v>5949</v>
      </c>
      <c r="B173" s="879" t="s">
        <v>7864</v>
      </c>
      <c r="C173" s="729" t="s">
        <v>506</v>
      </c>
      <c r="D173" s="924"/>
      <c r="E173" s="878" t="s">
        <v>6470</v>
      </c>
      <c r="F173" s="881" t="s">
        <v>434</v>
      </c>
      <c r="G173" s="731" t="str">
        <f>"2647"</f>
        <v>2647</v>
      </c>
      <c r="H173" s="1083">
        <v>42370</v>
      </c>
      <c r="I173" s="1084">
        <v>42478</v>
      </c>
      <c r="J173" s="957">
        <v>11319.88</v>
      </c>
    </row>
    <row r="174" spans="1:10" s="852" customFormat="1" outlineLevel="2">
      <c r="A174" s="878" t="s">
        <v>5949</v>
      </c>
      <c r="B174" s="879" t="s">
        <v>7864</v>
      </c>
      <c r="C174" s="729" t="s">
        <v>506</v>
      </c>
      <c r="D174" s="924"/>
      <c r="E174" s="878" t="s">
        <v>6470</v>
      </c>
      <c r="F174" s="881" t="s">
        <v>434</v>
      </c>
      <c r="G174" s="731" t="str">
        <f>"2647"</f>
        <v>2647</v>
      </c>
      <c r="H174" s="1083">
        <v>42370</v>
      </c>
      <c r="I174" s="1084">
        <v>42478</v>
      </c>
      <c r="J174" s="957">
        <v>11319.89</v>
      </c>
    </row>
    <row r="175" spans="1:10" s="852" customFormat="1" outlineLevel="2">
      <c r="A175" s="878" t="s">
        <v>5949</v>
      </c>
      <c r="B175" s="879" t="s">
        <v>7864</v>
      </c>
      <c r="C175" s="729" t="s">
        <v>506</v>
      </c>
      <c r="D175" s="924"/>
      <c r="E175" s="878" t="s">
        <v>6470</v>
      </c>
      <c r="F175" s="881" t="s">
        <v>434</v>
      </c>
      <c r="G175" s="731" t="str">
        <f>"2647"</f>
        <v>2647</v>
      </c>
      <c r="H175" s="1083">
        <v>42370</v>
      </c>
      <c r="I175" s="1084">
        <v>42478</v>
      </c>
      <c r="J175" s="957">
        <v>-11319.89</v>
      </c>
    </row>
    <row r="176" spans="1:10" s="852" customFormat="1" outlineLevel="2">
      <c r="A176" s="878" t="s">
        <v>511</v>
      </c>
      <c r="B176" s="879" t="s">
        <v>7863</v>
      </c>
      <c r="C176" s="729" t="s">
        <v>506</v>
      </c>
      <c r="D176" s="924"/>
      <c r="E176" s="878" t="s">
        <v>2336</v>
      </c>
      <c r="F176" s="881" t="s">
        <v>4313</v>
      </c>
      <c r="G176" s="731" t="s">
        <v>2955</v>
      </c>
      <c r="H176" s="1083">
        <v>42401</v>
      </c>
      <c r="I176" s="1084">
        <v>42480</v>
      </c>
      <c r="J176" s="957">
        <v>5746.54</v>
      </c>
    </row>
    <row r="177" spans="1:10" s="852" customFormat="1" outlineLevel="2">
      <c r="A177" s="878" t="s">
        <v>510</v>
      </c>
      <c r="B177" s="879" t="s">
        <v>7864</v>
      </c>
      <c r="C177" s="729" t="s">
        <v>506</v>
      </c>
      <c r="D177" s="924"/>
      <c r="E177" s="878" t="s">
        <v>2336</v>
      </c>
      <c r="F177" s="881" t="s">
        <v>3467</v>
      </c>
      <c r="G177" s="731" t="s">
        <v>2951</v>
      </c>
      <c r="H177" s="1083">
        <v>42401</v>
      </c>
      <c r="I177" s="1084">
        <v>42480</v>
      </c>
      <c r="J177" s="957">
        <v>1530.65</v>
      </c>
    </row>
    <row r="178" spans="1:10" s="852" customFormat="1" outlineLevel="2">
      <c r="A178" s="878" t="s">
        <v>510</v>
      </c>
      <c r="B178" s="879" t="s">
        <v>7864</v>
      </c>
      <c r="C178" s="729" t="s">
        <v>506</v>
      </c>
      <c r="D178" s="924"/>
      <c r="E178" s="878" t="s">
        <v>2336</v>
      </c>
      <c r="F178" s="881" t="s">
        <v>4333</v>
      </c>
      <c r="G178" s="731" t="s">
        <v>2957</v>
      </c>
      <c r="H178" s="1083">
        <v>42401</v>
      </c>
      <c r="I178" s="1084">
        <v>42480</v>
      </c>
      <c r="J178" s="957">
        <v>1007.01</v>
      </c>
    </row>
    <row r="179" spans="1:10" s="852" customFormat="1" outlineLevel="2">
      <c r="A179" s="878" t="s">
        <v>510</v>
      </c>
      <c r="B179" s="879" t="s">
        <v>7864</v>
      </c>
      <c r="C179" s="729" t="s">
        <v>506</v>
      </c>
      <c r="D179" s="924"/>
      <c r="E179" s="878" t="s">
        <v>2336</v>
      </c>
      <c r="F179" s="881" t="s">
        <v>3442</v>
      </c>
      <c r="G179" s="731" t="s">
        <v>2950</v>
      </c>
      <c r="H179" s="1083">
        <v>42401</v>
      </c>
      <c r="I179" s="1084">
        <v>42480</v>
      </c>
      <c r="J179" s="957">
        <v>1490.37</v>
      </c>
    </row>
    <row r="180" spans="1:10" s="852" customFormat="1" outlineLevel="2">
      <c r="A180" s="878" t="s">
        <v>2288</v>
      </c>
      <c r="B180" s="879" t="s">
        <v>7865</v>
      </c>
      <c r="C180" s="729" t="s">
        <v>506</v>
      </c>
      <c r="D180" s="924"/>
      <c r="E180" s="878" t="s">
        <v>2336</v>
      </c>
      <c r="F180" s="881" t="s">
        <v>3484</v>
      </c>
      <c r="G180" s="731" t="s">
        <v>2953</v>
      </c>
      <c r="H180" s="1083">
        <v>42401</v>
      </c>
      <c r="I180" s="1084">
        <v>42480</v>
      </c>
      <c r="J180" s="957">
        <v>57241.61</v>
      </c>
    </row>
    <row r="181" spans="1:10" s="852" customFormat="1" outlineLevel="2">
      <c r="A181" s="878" t="s">
        <v>5949</v>
      </c>
      <c r="B181" s="879" t="s">
        <v>7864</v>
      </c>
      <c r="C181" s="729" t="s">
        <v>506</v>
      </c>
      <c r="D181" s="924"/>
      <c r="E181" s="878" t="s">
        <v>2717</v>
      </c>
      <c r="F181" s="881" t="s">
        <v>434</v>
      </c>
      <c r="G181" s="731" t="str">
        <f>"3566"</f>
        <v>3566</v>
      </c>
      <c r="H181" s="1083">
        <v>42401</v>
      </c>
      <c r="I181" s="1084">
        <v>42467</v>
      </c>
      <c r="J181" s="957">
        <v>7447.29</v>
      </c>
    </row>
    <row r="182" spans="1:10" s="852" customFormat="1" outlineLevel="2">
      <c r="A182" s="878" t="s">
        <v>5949</v>
      </c>
      <c r="B182" s="879" t="s">
        <v>7864</v>
      </c>
      <c r="C182" s="729" t="s">
        <v>506</v>
      </c>
      <c r="D182" s="924"/>
      <c r="E182" s="878" t="s">
        <v>409</v>
      </c>
      <c r="F182" s="881" t="s">
        <v>434</v>
      </c>
      <c r="G182" s="731" t="str">
        <f>"6709"</f>
        <v>6709</v>
      </c>
      <c r="H182" s="1083">
        <v>42401</v>
      </c>
      <c r="I182" s="1084">
        <v>42475</v>
      </c>
      <c r="J182" s="957">
        <v>11021.99</v>
      </c>
    </row>
    <row r="183" spans="1:10" s="852" customFormat="1" outlineLevel="2">
      <c r="A183" s="878" t="s">
        <v>510</v>
      </c>
      <c r="B183" s="879" t="s">
        <v>7864</v>
      </c>
      <c r="C183" s="729" t="s">
        <v>506</v>
      </c>
      <c r="D183" s="924"/>
      <c r="E183" s="878" t="s">
        <v>2282</v>
      </c>
      <c r="F183" s="881" t="s">
        <v>3444</v>
      </c>
      <c r="G183" s="731" t="s">
        <v>2959</v>
      </c>
      <c r="H183" s="1083">
        <v>42401</v>
      </c>
      <c r="I183" s="1084">
        <v>42471</v>
      </c>
      <c r="J183" s="957">
        <v>270.98</v>
      </c>
    </row>
    <row r="184" spans="1:10" s="852" customFormat="1" outlineLevel="2">
      <c r="A184" s="878" t="s">
        <v>510</v>
      </c>
      <c r="B184" s="879" t="s">
        <v>7864</v>
      </c>
      <c r="C184" s="729" t="s">
        <v>506</v>
      </c>
      <c r="D184" s="924"/>
      <c r="E184" s="878" t="s">
        <v>2282</v>
      </c>
      <c r="F184" s="881" t="s">
        <v>3469</v>
      </c>
      <c r="G184" s="731" t="s">
        <v>2961</v>
      </c>
      <c r="H184" s="1083">
        <v>42401</v>
      </c>
      <c r="I184" s="1084">
        <v>42471</v>
      </c>
      <c r="J184" s="957">
        <v>278.3</v>
      </c>
    </row>
    <row r="185" spans="1:10" s="852" customFormat="1" outlineLevel="2">
      <c r="A185" s="878" t="s">
        <v>2288</v>
      </c>
      <c r="B185" s="879" t="s">
        <v>7865</v>
      </c>
      <c r="C185" s="729" t="s">
        <v>506</v>
      </c>
      <c r="D185" s="924"/>
      <c r="E185" s="878" t="s">
        <v>2282</v>
      </c>
      <c r="F185" s="881" t="s">
        <v>3486</v>
      </c>
      <c r="G185" s="731" t="s">
        <v>2963</v>
      </c>
      <c r="H185" s="1083">
        <v>42401</v>
      </c>
      <c r="I185" s="1084">
        <v>42471</v>
      </c>
      <c r="J185" s="957">
        <v>17119.169999999998</v>
      </c>
    </row>
    <row r="186" spans="1:10" s="852" customFormat="1" outlineLevel="2">
      <c r="A186" s="878" t="s">
        <v>975</v>
      </c>
      <c r="B186" s="879" t="s">
        <v>7866</v>
      </c>
      <c r="C186" s="729" t="s">
        <v>506</v>
      </c>
      <c r="D186" s="924"/>
      <c r="E186" s="878" t="s">
        <v>2282</v>
      </c>
      <c r="F186" s="881" t="s">
        <v>3974</v>
      </c>
      <c r="G186" s="731" t="s">
        <v>2779</v>
      </c>
      <c r="H186" s="1083">
        <v>42401</v>
      </c>
      <c r="I186" s="1084">
        <v>42471</v>
      </c>
      <c r="J186" s="957">
        <v>1864.28</v>
      </c>
    </row>
    <row r="187" spans="1:10" s="852" customFormat="1" outlineLevel="2">
      <c r="A187" s="878" t="s">
        <v>975</v>
      </c>
      <c r="B187" s="879" t="s">
        <v>7866</v>
      </c>
      <c r="C187" s="729" t="s">
        <v>506</v>
      </c>
      <c r="D187" s="924"/>
      <c r="E187" s="878" t="s">
        <v>2282</v>
      </c>
      <c r="F187" s="881" t="s">
        <v>4081</v>
      </c>
      <c r="G187" s="731" t="s">
        <v>2781</v>
      </c>
      <c r="H187" s="1083">
        <v>42401</v>
      </c>
      <c r="I187" s="1084">
        <v>42471</v>
      </c>
      <c r="J187" s="957">
        <v>59.61</v>
      </c>
    </row>
    <row r="188" spans="1:10" s="852" customFormat="1" outlineLevel="2">
      <c r="A188" s="878" t="s">
        <v>975</v>
      </c>
      <c r="B188" s="879" t="s">
        <v>7866</v>
      </c>
      <c r="C188" s="729" t="s">
        <v>506</v>
      </c>
      <c r="D188" s="924"/>
      <c r="E188" s="878" t="s">
        <v>2282</v>
      </c>
      <c r="F188" s="881" t="s">
        <v>4165</v>
      </c>
      <c r="G188" s="731" t="s">
        <v>2782</v>
      </c>
      <c r="H188" s="1083">
        <v>42401</v>
      </c>
      <c r="I188" s="1084">
        <v>42471</v>
      </c>
      <c r="J188" s="957">
        <v>703.38</v>
      </c>
    </row>
    <row r="189" spans="1:10" s="852" customFormat="1" outlineLevel="2">
      <c r="A189" s="878" t="s">
        <v>511</v>
      </c>
      <c r="B189" s="879" t="s">
        <v>7863</v>
      </c>
      <c r="C189" s="729" t="s">
        <v>506</v>
      </c>
      <c r="D189" s="924"/>
      <c r="E189" s="878" t="s">
        <v>2282</v>
      </c>
      <c r="F189" s="881" t="s">
        <v>4315</v>
      </c>
      <c r="G189" s="731" t="s">
        <v>2968</v>
      </c>
      <c r="H189" s="1083">
        <v>42401</v>
      </c>
      <c r="I189" s="1084">
        <v>42471</v>
      </c>
      <c r="J189" s="957">
        <v>1044.83</v>
      </c>
    </row>
    <row r="190" spans="1:10" s="852" customFormat="1" outlineLevel="2">
      <c r="A190" s="878" t="s">
        <v>510</v>
      </c>
      <c r="B190" s="879" t="s">
        <v>7864</v>
      </c>
      <c r="C190" s="729" t="s">
        <v>506</v>
      </c>
      <c r="D190" s="924"/>
      <c r="E190" s="878" t="s">
        <v>2282</v>
      </c>
      <c r="F190" s="881" t="s">
        <v>4335</v>
      </c>
      <c r="G190" s="731" t="s">
        <v>2970</v>
      </c>
      <c r="H190" s="1083">
        <v>42401</v>
      </c>
      <c r="I190" s="1084">
        <v>42471</v>
      </c>
      <c r="J190" s="957">
        <v>183.09</v>
      </c>
    </row>
    <row r="191" spans="1:10" s="852" customFormat="1" outlineLevel="2">
      <c r="A191" s="878" t="s">
        <v>2288</v>
      </c>
      <c r="B191" s="879" t="s">
        <v>7865</v>
      </c>
      <c r="C191" s="729" t="s">
        <v>506</v>
      </c>
      <c r="D191" s="924"/>
      <c r="E191" s="878" t="s">
        <v>508</v>
      </c>
      <c r="F191" s="881" t="s">
        <v>1094</v>
      </c>
      <c r="G191" s="731" t="s">
        <v>5830</v>
      </c>
      <c r="H191" s="1083">
        <v>42430</v>
      </c>
      <c r="I191" s="1084">
        <v>42489</v>
      </c>
      <c r="J191" s="957">
        <v>728956.12</v>
      </c>
    </row>
    <row r="192" spans="1:10" s="852" customFormat="1" outlineLevel="2">
      <c r="A192" s="878" t="s">
        <v>975</v>
      </c>
      <c r="B192" s="879" t="s">
        <v>7866</v>
      </c>
      <c r="C192" s="729" t="s">
        <v>506</v>
      </c>
      <c r="D192" s="924"/>
      <c r="E192" s="878" t="s">
        <v>1909</v>
      </c>
      <c r="F192" s="881" t="s">
        <v>3935</v>
      </c>
      <c r="G192" s="731" t="s">
        <v>2817</v>
      </c>
      <c r="H192" s="1083">
        <v>42401</v>
      </c>
      <c r="I192" s="1084">
        <v>42480</v>
      </c>
      <c r="J192" s="957">
        <v>559.28</v>
      </c>
    </row>
    <row r="193" spans="1:10" s="852" customFormat="1" outlineLevel="2">
      <c r="A193" s="878" t="s">
        <v>975</v>
      </c>
      <c r="B193" s="879" t="s">
        <v>7866</v>
      </c>
      <c r="C193" s="729" t="s">
        <v>506</v>
      </c>
      <c r="D193" s="924"/>
      <c r="E193" s="878" t="s">
        <v>1909</v>
      </c>
      <c r="F193" s="881" t="s">
        <v>4027</v>
      </c>
      <c r="G193" s="731" t="s">
        <v>2819</v>
      </c>
      <c r="H193" s="1083">
        <v>42401</v>
      </c>
      <c r="I193" s="1084">
        <v>42480</v>
      </c>
      <c r="J193" s="957">
        <v>17.88</v>
      </c>
    </row>
    <row r="194" spans="1:10" s="852" customFormat="1" outlineLevel="2">
      <c r="A194" s="878" t="s">
        <v>975</v>
      </c>
      <c r="B194" s="879" t="s">
        <v>7866</v>
      </c>
      <c r="C194" s="729" t="s">
        <v>506</v>
      </c>
      <c r="D194" s="924"/>
      <c r="E194" s="878" t="s">
        <v>1909</v>
      </c>
      <c r="F194" s="881" t="s">
        <v>4129</v>
      </c>
      <c r="G194" s="731" t="s">
        <v>2821</v>
      </c>
      <c r="H194" s="1083">
        <v>42401</v>
      </c>
      <c r="I194" s="1084">
        <v>42480</v>
      </c>
      <c r="J194" s="957">
        <v>211.01</v>
      </c>
    </row>
    <row r="195" spans="1:10" s="852" customFormat="1" outlineLevel="2">
      <c r="A195" s="878" t="s">
        <v>511</v>
      </c>
      <c r="B195" s="879" t="s">
        <v>7863</v>
      </c>
      <c r="C195" s="729" t="s">
        <v>506</v>
      </c>
      <c r="D195" s="924"/>
      <c r="E195" s="878" t="s">
        <v>1909</v>
      </c>
      <c r="F195" s="881" t="s">
        <v>4311</v>
      </c>
      <c r="G195" s="731" t="s">
        <v>3002</v>
      </c>
      <c r="H195" s="1083">
        <v>42401</v>
      </c>
      <c r="I195" s="1084">
        <v>42480</v>
      </c>
      <c r="J195" s="957">
        <v>522.41</v>
      </c>
    </row>
    <row r="196" spans="1:10" s="852" customFormat="1" outlineLevel="2">
      <c r="A196" s="878" t="s">
        <v>510</v>
      </c>
      <c r="B196" s="879" t="s">
        <v>7864</v>
      </c>
      <c r="C196" s="729" t="s">
        <v>506</v>
      </c>
      <c r="D196" s="924"/>
      <c r="E196" s="878" t="s">
        <v>1909</v>
      </c>
      <c r="F196" s="881" t="s">
        <v>3465</v>
      </c>
      <c r="G196" s="731" t="s">
        <v>2990</v>
      </c>
      <c r="H196" s="1083">
        <v>42401</v>
      </c>
      <c r="I196" s="1084">
        <v>42480</v>
      </c>
      <c r="J196" s="957">
        <v>139.15</v>
      </c>
    </row>
    <row r="197" spans="1:10" s="852" customFormat="1" outlineLevel="2">
      <c r="A197" s="878" t="s">
        <v>510</v>
      </c>
      <c r="B197" s="879" t="s">
        <v>7864</v>
      </c>
      <c r="C197" s="729" t="s">
        <v>506</v>
      </c>
      <c r="D197" s="924"/>
      <c r="E197" s="878" t="s">
        <v>1909</v>
      </c>
      <c r="F197" s="881" t="s">
        <v>4331</v>
      </c>
      <c r="G197" s="731" t="s">
        <v>3004</v>
      </c>
      <c r="H197" s="1083">
        <v>42401</v>
      </c>
      <c r="I197" s="1084">
        <v>42480</v>
      </c>
      <c r="J197" s="957">
        <v>91.55</v>
      </c>
    </row>
    <row r="198" spans="1:10" s="852" customFormat="1" outlineLevel="2">
      <c r="A198" s="878" t="s">
        <v>510</v>
      </c>
      <c r="B198" s="879" t="s">
        <v>7864</v>
      </c>
      <c r="C198" s="729" t="s">
        <v>506</v>
      </c>
      <c r="D198" s="924"/>
      <c r="E198" s="878" t="s">
        <v>1909</v>
      </c>
      <c r="F198" s="881" t="s">
        <v>3441</v>
      </c>
      <c r="G198" s="731" t="s">
        <v>2988</v>
      </c>
      <c r="H198" s="1083">
        <v>42401</v>
      </c>
      <c r="I198" s="1084">
        <v>42480</v>
      </c>
      <c r="J198" s="957">
        <v>135.49</v>
      </c>
    </row>
    <row r="199" spans="1:10" s="852" customFormat="1" outlineLevel="2">
      <c r="A199" s="878" t="s">
        <v>2288</v>
      </c>
      <c r="B199" s="879" t="s">
        <v>7865</v>
      </c>
      <c r="C199" s="729" t="s">
        <v>506</v>
      </c>
      <c r="D199" s="924"/>
      <c r="E199" s="878" t="s">
        <v>1909</v>
      </c>
      <c r="F199" s="881" t="s">
        <v>3482</v>
      </c>
      <c r="G199" s="731" t="s">
        <v>2992</v>
      </c>
      <c r="H199" s="1083">
        <v>42401</v>
      </c>
      <c r="I199" s="1084">
        <v>42480</v>
      </c>
      <c r="J199" s="957">
        <v>12839.37</v>
      </c>
    </row>
    <row r="200" spans="1:10" s="852" customFormat="1" ht="28.5" outlineLevel="2">
      <c r="A200" s="878" t="s">
        <v>975</v>
      </c>
      <c r="B200" s="879" t="s">
        <v>7866</v>
      </c>
      <c r="C200" s="729" t="s">
        <v>506</v>
      </c>
      <c r="D200" s="924"/>
      <c r="E200" s="878" t="s">
        <v>1909</v>
      </c>
      <c r="F200" s="881" t="s">
        <v>4956</v>
      </c>
      <c r="G200" s="731" t="s">
        <v>2833</v>
      </c>
      <c r="H200" s="1083">
        <v>42401</v>
      </c>
      <c r="I200" s="1084">
        <v>42480</v>
      </c>
      <c r="J200" s="957">
        <v>1733.78</v>
      </c>
    </row>
    <row r="201" spans="1:10" s="852" customFormat="1" ht="28.5" outlineLevel="2">
      <c r="A201" s="878" t="s">
        <v>975</v>
      </c>
      <c r="B201" s="879" t="s">
        <v>7866</v>
      </c>
      <c r="C201" s="729" t="s">
        <v>506</v>
      </c>
      <c r="D201" s="924"/>
      <c r="E201" s="878" t="s">
        <v>1909</v>
      </c>
      <c r="F201" s="881" t="s">
        <v>4903</v>
      </c>
      <c r="G201" s="731" t="s">
        <v>2832</v>
      </c>
      <c r="H201" s="1083">
        <v>42401</v>
      </c>
      <c r="I201" s="1084">
        <v>42480</v>
      </c>
      <c r="J201" s="957">
        <v>55.44</v>
      </c>
    </row>
    <row r="202" spans="1:10" s="852" customFormat="1" ht="28.5" outlineLevel="2">
      <c r="A202" s="878" t="s">
        <v>975</v>
      </c>
      <c r="B202" s="879" t="s">
        <v>7866</v>
      </c>
      <c r="C202" s="729" t="s">
        <v>506</v>
      </c>
      <c r="D202" s="924"/>
      <c r="E202" s="878" t="s">
        <v>1909</v>
      </c>
      <c r="F202" s="881" t="s">
        <v>4853</v>
      </c>
      <c r="G202" s="731" t="s">
        <v>2831</v>
      </c>
      <c r="H202" s="1083">
        <v>42401</v>
      </c>
      <c r="I202" s="1084">
        <v>42480</v>
      </c>
      <c r="J202" s="957">
        <v>654.14</v>
      </c>
    </row>
    <row r="203" spans="1:10" s="852" customFormat="1" ht="28.5" outlineLevel="2">
      <c r="A203" s="878" t="s">
        <v>511</v>
      </c>
      <c r="B203" s="879" t="s">
        <v>7863</v>
      </c>
      <c r="C203" s="729" t="s">
        <v>506</v>
      </c>
      <c r="D203" s="924"/>
      <c r="E203" s="878" t="s">
        <v>1909</v>
      </c>
      <c r="F203" s="881" t="s">
        <v>6211</v>
      </c>
      <c r="G203" s="731" t="s">
        <v>2972</v>
      </c>
      <c r="H203" s="1083">
        <v>42370</v>
      </c>
      <c r="I203" s="1084">
        <v>42480</v>
      </c>
      <c r="J203" s="957">
        <v>2588.4299999999998</v>
      </c>
    </row>
    <row r="204" spans="1:10" s="852" customFormat="1" ht="28.5" outlineLevel="2">
      <c r="A204" s="878" t="s">
        <v>511</v>
      </c>
      <c r="B204" s="879" t="s">
        <v>7863</v>
      </c>
      <c r="C204" s="729" t="s">
        <v>506</v>
      </c>
      <c r="D204" s="924"/>
      <c r="E204" s="878" t="s">
        <v>1909</v>
      </c>
      <c r="F204" s="881" t="s">
        <v>6211</v>
      </c>
      <c r="G204" s="731" t="s">
        <v>2974</v>
      </c>
      <c r="H204" s="1083">
        <v>42370</v>
      </c>
      <c r="I204" s="1084">
        <v>42480</v>
      </c>
      <c r="J204" s="957">
        <v>2588.4299999999998</v>
      </c>
    </row>
    <row r="205" spans="1:10" s="852" customFormat="1" ht="28.5" outlineLevel="2">
      <c r="A205" s="878" t="s">
        <v>511</v>
      </c>
      <c r="B205" s="879" t="s">
        <v>7863</v>
      </c>
      <c r="C205" s="729" t="s">
        <v>506</v>
      </c>
      <c r="D205" s="924"/>
      <c r="E205" s="878" t="s">
        <v>1909</v>
      </c>
      <c r="F205" s="881" t="s">
        <v>6211</v>
      </c>
      <c r="G205" s="731" t="s">
        <v>2976</v>
      </c>
      <c r="H205" s="1083">
        <v>42370</v>
      </c>
      <c r="I205" s="1084">
        <v>42480</v>
      </c>
      <c r="J205" s="957">
        <v>-2588.4299999999998</v>
      </c>
    </row>
    <row r="206" spans="1:10" s="852" customFormat="1" ht="28.5" outlineLevel="2">
      <c r="A206" s="878" t="s">
        <v>510</v>
      </c>
      <c r="B206" s="879" t="s">
        <v>7864</v>
      </c>
      <c r="C206" s="729" t="s">
        <v>506</v>
      </c>
      <c r="D206" s="924"/>
      <c r="E206" s="878" t="s">
        <v>1909</v>
      </c>
      <c r="F206" s="881" t="s">
        <v>2971</v>
      </c>
      <c r="G206" s="731" t="s">
        <v>2978</v>
      </c>
      <c r="H206" s="1083">
        <v>42370</v>
      </c>
      <c r="I206" s="1084">
        <v>42480</v>
      </c>
      <c r="J206" s="957">
        <v>-425.69</v>
      </c>
    </row>
    <row r="207" spans="1:10" s="852" customFormat="1" ht="28.5" outlineLevel="2">
      <c r="A207" s="878" t="s">
        <v>510</v>
      </c>
      <c r="B207" s="879" t="s">
        <v>7864</v>
      </c>
      <c r="C207" s="729" t="s">
        <v>506</v>
      </c>
      <c r="D207" s="924"/>
      <c r="E207" s="878" t="s">
        <v>1909</v>
      </c>
      <c r="F207" s="881" t="s">
        <v>2971</v>
      </c>
      <c r="G207" s="731" t="s">
        <v>2980</v>
      </c>
      <c r="H207" s="1083">
        <v>42370</v>
      </c>
      <c r="I207" s="1084">
        <v>42480</v>
      </c>
      <c r="J207" s="957">
        <v>-425.69</v>
      </c>
    </row>
    <row r="208" spans="1:10" s="852" customFormat="1" ht="28.5" outlineLevel="2">
      <c r="A208" s="878" t="s">
        <v>510</v>
      </c>
      <c r="B208" s="879" t="s">
        <v>7864</v>
      </c>
      <c r="C208" s="729" t="s">
        <v>506</v>
      </c>
      <c r="D208" s="924"/>
      <c r="E208" s="878" t="s">
        <v>1909</v>
      </c>
      <c r="F208" s="881" t="s">
        <v>2971</v>
      </c>
      <c r="G208" s="731" t="s">
        <v>2982</v>
      </c>
      <c r="H208" s="1083">
        <v>42370</v>
      </c>
      <c r="I208" s="1084">
        <v>42480</v>
      </c>
      <c r="J208" s="957">
        <v>425.69</v>
      </c>
    </row>
    <row r="209" spans="1:10" s="852" customFormat="1" ht="28.5" outlineLevel="2">
      <c r="A209" s="878" t="s">
        <v>510</v>
      </c>
      <c r="B209" s="879" t="s">
        <v>7864</v>
      </c>
      <c r="C209" s="729" t="s">
        <v>506</v>
      </c>
      <c r="D209" s="924"/>
      <c r="E209" s="878" t="s">
        <v>1909</v>
      </c>
      <c r="F209" s="881" t="s">
        <v>2971</v>
      </c>
      <c r="G209" s="731" t="s">
        <v>2984</v>
      </c>
      <c r="H209" s="1083">
        <v>42370</v>
      </c>
      <c r="I209" s="1084">
        <v>42480</v>
      </c>
      <c r="J209" s="957">
        <v>425.69</v>
      </c>
    </row>
    <row r="210" spans="1:10" s="852" customFormat="1" ht="28.5" outlineLevel="2">
      <c r="A210" s="878" t="s">
        <v>510</v>
      </c>
      <c r="B210" s="879" t="s">
        <v>7864</v>
      </c>
      <c r="C210" s="729" t="s">
        <v>506</v>
      </c>
      <c r="D210" s="924"/>
      <c r="E210" s="878" t="s">
        <v>1909</v>
      </c>
      <c r="F210" s="881" t="s">
        <v>2971</v>
      </c>
      <c r="G210" s="731" t="s">
        <v>2986</v>
      </c>
      <c r="H210" s="1083">
        <v>42370</v>
      </c>
      <c r="I210" s="1084">
        <v>42480</v>
      </c>
      <c r="J210" s="957">
        <v>425.69</v>
      </c>
    </row>
    <row r="211" spans="1:10" s="852" customFormat="1" ht="28.5" outlineLevel="2">
      <c r="A211" s="878" t="s">
        <v>510</v>
      </c>
      <c r="B211" s="879" t="s">
        <v>7864</v>
      </c>
      <c r="C211" s="729" t="s">
        <v>506</v>
      </c>
      <c r="D211" s="924"/>
      <c r="E211" s="878" t="s">
        <v>1909</v>
      </c>
      <c r="F211" s="881" t="s">
        <v>3571</v>
      </c>
      <c r="G211" s="731" t="s">
        <v>2994</v>
      </c>
      <c r="H211" s="1083">
        <v>42370</v>
      </c>
      <c r="I211" s="1084">
        <v>42480</v>
      </c>
      <c r="J211" s="957">
        <v>-630.02</v>
      </c>
    </row>
    <row r="212" spans="1:10" s="852" customFormat="1" ht="28.5" outlineLevel="2">
      <c r="A212" s="878" t="s">
        <v>510</v>
      </c>
      <c r="B212" s="879" t="s">
        <v>7864</v>
      </c>
      <c r="C212" s="729" t="s">
        <v>506</v>
      </c>
      <c r="D212" s="924"/>
      <c r="E212" s="878" t="s">
        <v>1909</v>
      </c>
      <c r="F212" s="881" t="s">
        <v>3571</v>
      </c>
      <c r="G212" s="731" t="s">
        <v>2995</v>
      </c>
      <c r="H212" s="1083">
        <v>42370</v>
      </c>
      <c r="I212" s="1084">
        <v>42480</v>
      </c>
      <c r="J212" s="957">
        <v>630.02</v>
      </c>
    </row>
    <row r="213" spans="1:10" s="852" customFormat="1" ht="28.5" outlineLevel="2">
      <c r="A213" s="878" t="s">
        <v>510</v>
      </c>
      <c r="B213" s="879" t="s">
        <v>7864</v>
      </c>
      <c r="C213" s="729" t="s">
        <v>506</v>
      </c>
      <c r="D213" s="924"/>
      <c r="E213" s="878" t="s">
        <v>1909</v>
      </c>
      <c r="F213" s="881" t="s">
        <v>3571</v>
      </c>
      <c r="G213" s="731" t="s">
        <v>2997</v>
      </c>
      <c r="H213" s="1083">
        <v>42370</v>
      </c>
      <c r="I213" s="1084">
        <v>42480</v>
      </c>
      <c r="J213" s="957">
        <v>630.02</v>
      </c>
    </row>
    <row r="214" spans="1:10" s="852" customFormat="1" ht="28.5" outlineLevel="2">
      <c r="A214" s="878" t="s">
        <v>2288</v>
      </c>
      <c r="B214" s="879" t="s">
        <v>7865</v>
      </c>
      <c r="C214" s="729" t="s">
        <v>506</v>
      </c>
      <c r="D214" s="924"/>
      <c r="E214" s="878" t="s">
        <v>1909</v>
      </c>
      <c r="F214" s="881" t="s">
        <v>4623</v>
      </c>
      <c r="G214" s="731" t="s">
        <v>3006</v>
      </c>
      <c r="H214" s="1083">
        <v>42401</v>
      </c>
      <c r="I214" s="1084">
        <v>42480</v>
      </c>
      <c r="J214" s="957">
        <v>39802.06</v>
      </c>
    </row>
    <row r="215" spans="1:10" s="852" customFormat="1" outlineLevel="1">
      <c r="A215" s="878"/>
      <c r="B215" s="879" t="s">
        <v>258</v>
      </c>
      <c r="C215" s="908" t="s">
        <v>506</v>
      </c>
      <c r="D215" s="928" t="str">
        <f>VLOOKUP(C215,$C$3691:$D$3771,2,FALSE)</f>
        <v>TOTAL POUPATEMPO  LAPA</v>
      </c>
      <c r="E215" s="1085"/>
      <c r="F215" s="929"/>
      <c r="G215" s="910"/>
      <c r="H215" s="1086"/>
      <c r="I215" s="1087"/>
      <c r="J215" s="930">
        <f>SUBTOTAL(9,J170:J214)</f>
        <v>950189.08000000007</v>
      </c>
    </row>
    <row r="216" spans="1:10" s="852" customFormat="1" outlineLevel="2">
      <c r="A216" s="878" t="s">
        <v>6448</v>
      </c>
      <c r="B216" s="879" t="s">
        <v>7863</v>
      </c>
      <c r="C216" s="729" t="s">
        <v>513</v>
      </c>
      <c r="D216" s="924"/>
      <c r="E216" s="878" t="s">
        <v>483</v>
      </c>
      <c r="F216" s="881" t="s">
        <v>2208</v>
      </c>
      <c r="G216" s="731" t="str">
        <f>"16993"</f>
        <v>16993</v>
      </c>
      <c r="H216" s="1083">
        <v>42401</v>
      </c>
      <c r="I216" s="1084">
        <v>42473</v>
      </c>
      <c r="J216" s="957">
        <v>29051.51</v>
      </c>
    </row>
    <row r="217" spans="1:10" s="852" customFormat="1" outlineLevel="2">
      <c r="A217" s="878" t="s">
        <v>5925</v>
      </c>
      <c r="B217" s="879" t="s">
        <v>7864</v>
      </c>
      <c r="C217" s="729" t="s">
        <v>513</v>
      </c>
      <c r="D217" s="924"/>
      <c r="E217" s="878" t="s">
        <v>6470</v>
      </c>
      <c r="F217" s="881" t="s">
        <v>434</v>
      </c>
      <c r="G217" s="731" t="str">
        <f>"2653"</f>
        <v>2653</v>
      </c>
      <c r="H217" s="1083">
        <v>42370</v>
      </c>
      <c r="I217" s="1084">
        <v>42478</v>
      </c>
      <c r="J217" s="957">
        <v>5005.54</v>
      </c>
    </row>
    <row r="218" spans="1:10" s="852" customFormat="1" outlineLevel="2">
      <c r="A218" s="878" t="s">
        <v>5925</v>
      </c>
      <c r="B218" s="879" t="s">
        <v>7864</v>
      </c>
      <c r="C218" s="729" t="s">
        <v>513</v>
      </c>
      <c r="D218" s="924"/>
      <c r="E218" s="878" t="s">
        <v>6470</v>
      </c>
      <c r="F218" s="881" t="s">
        <v>434</v>
      </c>
      <c r="G218" s="731" t="str">
        <f>"2653"</f>
        <v>2653</v>
      </c>
      <c r="H218" s="1083">
        <v>42370</v>
      </c>
      <c r="I218" s="1084">
        <v>42478</v>
      </c>
      <c r="J218" s="957">
        <v>-5005.54</v>
      </c>
    </row>
    <row r="219" spans="1:10" s="852" customFormat="1" outlineLevel="2">
      <c r="A219" s="878" t="s">
        <v>5925</v>
      </c>
      <c r="B219" s="879" t="s">
        <v>7864</v>
      </c>
      <c r="C219" s="729" t="s">
        <v>513</v>
      </c>
      <c r="D219" s="924"/>
      <c r="E219" s="878" t="s">
        <v>6470</v>
      </c>
      <c r="F219" s="881" t="s">
        <v>434</v>
      </c>
      <c r="G219" s="731" t="str">
        <f>"2653"</f>
        <v>2653</v>
      </c>
      <c r="H219" s="1083">
        <v>42370</v>
      </c>
      <c r="I219" s="1084">
        <v>42478</v>
      </c>
      <c r="J219" s="957">
        <v>5005.54</v>
      </c>
    </row>
    <row r="220" spans="1:10" s="852" customFormat="1" outlineLevel="2">
      <c r="A220" s="878" t="s">
        <v>5925</v>
      </c>
      <c r="B220" s="879" t="s">
        <v>7864</v>
      </c>
      <c r="C220" s="729" t="s">
        <v>513</v>
      </c>
      <c r="D220" s="924"/>
      <c r="E220" s="878" t="s">
        <v>6470</v>
      </c>
      <c r="F220" s="881" t="s">
        <v>434</v>
      </c>
      <c r="G220" s="731" t="str">
        <f>"2653"</f>
        <v>2653</v>
      </c>
      <c r="H220" s="1083">
        <v>42370</v>
      </c>
      <c r="I220" s="1084">
        <v>42478</v>
      </c>
      <c r="J220" s="957">
        <v>5005.54</v>
      </c>
    </row>
    <row r="221" spans="1:10" s="852" customFormat="1" outlineLevel="2">
      <c r="A221" s="878" t="s">
        <v>5925</v>
      </c>
      <c r="B221" s="879" t="s">
        <v>7864</v>
      </c>
      <c r="C221" s="729" t="s">
        <v>513</v>
      </c>
      <c r="D221" s="924"/>
      <c r="E221" s="878" t="s">
        <v>6470</v>
      </c>
      <c r="F221" s="881" t="s">
        <v>434</v>
      </c>
      <c r="G221" s="731" t="str">
        <f>"2653"</f>
        <v>2653</v>
      </c>
      <c r="H221" s="1083">
        <v>42370</v>
      </c>
      <c r="I221" s="1084">
        <v>42478</v>
      </c>
      <c r="J221" s="957">
        <v>-5005.54</v>
      </c>
    </row>
    <row r="222" spans="1:10" s="852" customFormat="1" outlineLevel="2">
      <c r="A222" s="878" t="s">
        <v>516</v>
      </c>
      <c r="B222" s="879" t="s">
        <v>7863</v>
      </c>
      <c r="C222" s="729" t="s">
        <v>513</v>
      </c>
      <c r="D222" s="924"/>
      <c r="E222" s="878" t="s">
        <v>2336</v>
      </c>
      <c r="F222" s="881" t="s">
        <v>4425</v>
      </c>
      <c r="G222" s="731" t="s">
        <v>3022</v>
      </c>
      <c r="H222" s="1083">
        <v>42401</v>
      </c>
      <c r="I222" s="1084">
        <v>42480</v>
      </c>
      <c r="J222" s="957">
        <v>4078.71</v>
      </c>
    </row>
    <row r="223" spans="1:10" s="852" customFormat="1" outlineLevel="2">
      <c r="A223" s="878" t="s">
        <v>515</v>
      </c>
      <c r="B223" s="879" t="s">
        <v>7864</v>
      </c>
      <c r="C223" s="729" t="s">
        <v>513</v>
      </c>
      <c r="D223" s="924"/>
      <c r="E223" s="878" t="s">
        <v>2336</v>
      </c>
      <c r="F223" s="881" t="s">
        <v>5979</v>
      </c>
      <c r="G223" s="731" t="s">
        <v>3013</v>
      </c>
      <c r="H223" s="1083">
        <v>42401</v>
      </c>
      <c r="I223" s="1084">
        <v>42480</v>
      </c>
      <c r="J223" s="957">
        <v>702.76</v>
      </c>
    </row>
    <row r="224" spans="1:10" s="852" customFormat="1" outlineLevel="2">
      <c r="A224" s="878" t="s">
        <v>515</v>
      </c>
      <c r="B224" s="879" t="s">
        <v>7864</v>
      </c>
      <c r="C224" s="729" t="s">
        <v>513</v>
      </c>
      <c r="D224" s="924"/>
      <c r="E224" s="878" t="s">
        <v>2336</v>
      </c>
      <c r="F224" s="881" t="s">
        <v>3619</v>
      </c>
      <c r="G224" s="731" t="s">
        <v>3020</v>
      </c>
      <c r="H224" s="1083">
        <v>42401</v>
      </c>
      <c r="I224" s="1084">
        <v>42480</v>
      </c>
      <c r="J224" s="957">
        <v>462.34</v>
      </c>
    </row>
    <row r="225" spans="1:10" s="852" customFormat="1" outlineLevel="2">
      <c r="A225" s="878" t="s">
        <v>515</v>
      </c>
      <c r="B225" s="879" t="s">
        <v>7864</v>
      </c>
      <c r="C225" s="729" t="s">
        <v>513</v>
      </c>
      <c r="D225" s="924"/>
      <c r="E225" s="878" t="s">
        <v>2336</v>
      </c>
      <c r="F225" s="881" t="s">
        <v>3164</v>
      </c>
      <c r="G225" s="731" t="s">
        <v>3018</v>
      </c>
      <c r="H225" s="1083">
        <v>42401</v>
      </c>
      <c r="I225" s="1084">
        <v>42480</v>
      </c>
      <c r="J225" s="957">
        <v>684.26</v>
      </c>
    </row>
    <row r="226" spans="1:10" s="852" customFormat="1" outlineLevel="2">
      <c r="A226" s="878" t="s">
        <v>514</v>
      </c>
      <c r="B226" s="879" t="s">
        <v>7865</v>
      </c>
      <c r="C226" s="729" t="s">
        <v>513</v>
      </c>
      <c r="D226" s="924"/>
      <c r="E226" s="878" t="s">
        <v>2336</v>
      </c>
      <c r="F226" s="881" t="s">
        <v>5980</v>
      </c>
      <c r="G226" s="731" t="s">
        <v>3015</v>
      </c>
      <c r="H226" s="1083">
        <v>42401</v>
      </c>
      <c r="I226" s="1084">
        <v>42480</v>
      </c>
      <c r="J226" s="957">
        <v>851.72</v>
      </c>
    </row>
    <row r="227" spans="1:10" s="852" customFormat="1" outlineLevel="2">
      <c r="A227" s="878" t="s">
        <v>2754</v>
      </c>
      <c r="B227" s="879" t="s">
        <v>7865</v>
      </c>
      <c r="C227" s="729" t="s">
        <v>513</v>
      </c>
      <c r="D227" s="924"/>
      <c r="E227" s="878" t="s">
        <v>2336</v>
      </c>
      <c r="F227" s="881" t="s">
        <v>5980</v>
      </c>
      <c r="G227" s="731" t="s">
        <v>3015</v>
      </c>
      <c r="H227" s="1083">
        <v>42401</v>
      </c>
      <c r="I227" s="1084">
        <v>42480</v>
      </c>
      <c r="J227" s="957">
        <v>7264.45</v>
      </c>
    </row>
    <row r="228" spans="1:10" s="852" customFormat="1" outlineLevel="2">
      <c r="A228" s="878" t="s">
        <v>2754</v>
      </c>
      <c r="B228" s="879" t="s">
        <v>7865</v>
      </c>
      <c r="C228" s="729" t="s">
        <v>513</v>
      </c>
      <c r="D228" s="924"/>
      <c r="E228" s="878" t="s">
        <v>2336</v>
      </c>
      <c r="F228" s="881" t="s">
        <v>5978</v>
      </c>
      <c r="G228" s="731" t="s">
        <v>3010</v>
      </c>
      <c r="H228" s="1083">
        <v>42401</v>
      </c>
      <c r="I228" s="1084">
        <v>42480</v>
      </c>
      <c r="J228" s="957">
        <v>1581.77</v>
      </c>
    </row>
    <row r="229" spans="1:10" s="852" customFormat="1" outlineLevel="2">
      <c r="A229" s="878" t="s">
        <v>2754</v>
      </c>
      <c r="B229" s="879" t="s">
        <v>7865</v>
      </c>
      <c r="C229" s="729" t="s">
        <v>513</v>
      </c>
      <c r="D229" s="924"/>
      <c r="E229" s="878" t="s">
        <v>2336</v>
      </c>
      <c r="F229" s="881" t="s">
        <v>5978</v>
      </c>
      <c r="G229" s="731" t="s">
        <v>3010</v>
      </c>
      <c r="H229" s="1083">
        <v>42401</v>
      </c>
      <c r="I229" s="1084">
        <v>42480</v>
      </c>
      <c r="J229" s="957">
        <v>13491.13</v>
      </c>
    </row>
    <row r="230" spans="1:10" s="852" customFormat="1" outlineLevel="2">
      <c r="A230" s="878" t="s">
        <v>5925</v>
      </c>
      <c r="B230" s="879" t="s">
        <v>7864</v>
      </c>
      <c r="C230" s="729" t="s">
        <v>513</v>
      </c>
      <c r="D230" s="924"/>
      <c r="E230" s="878" t="s">
        <v>2717</v>
      </c>
      <c r="F230" s="881" t="s">
        <v>434</v>
      </c>
      <c r="G230" s="731" t="str">
        <f>"3521"</f>
        <v>3521</v>
      </c>
      <c r="H230" s="1083">
        <v>42401</v>
      </c>
      <c r="I230" s="1084">
        <v>42467</v>
      </c>
      <c r="J230" s="957">
        <v>3293.13</v>
      </c>
    </row>
    <row r="231" spans="1:10" s="852" customFormat="1" outlineLevel="2">
      <c r="A231" s="878" t="s">
        <v>5925</v>
      </c>
      <c r="B231" s="879" t="s">
        <v>7864</v>
      </c>
      <c r="C231" s="729" t="s">
        <v>513</v>
      </c>
      <c r="D231" s="924"/>
      <c r="E231" s="878" t="s">
        <v>409</v>
      </c>
      <c r="F231" s="881" t="s">
        <v>434</v>
      </c>
      <c r="G231" s="731" t="str">
        <f>"6677"</f>
        <v>6677</v>
      </c>
      <c r="H231" s="1083">
        <v>42401</v>
      </c>
      <c r="I231" s="1084">
        <v>42475</v>
      </c>
      <c r="J231" s="957">
        <v>4873.82</v>
      </c>
    </row>
    <row r="232" spans="1:10" s="852" customFormat="1" outlineLevel="2">
      <c r="A232" s="878" t="s">
        <v>514</v>
      </c>
      <c r="B232" s="879" t="s">
        <v>7865</v>
      </c>
      <c r="C232" s="729" t="s">
        <v>513</v>
      </c>
      <c r="D232" s="924"/>
      <c r="E232" s="878" t="s">
        <v>484</v>
      </c>
      <c r="F232" s="881" t="s">
        <v>1094</v>
      </c>
      <c r="G232" s="731" t="s">
        <v>5812</v>
      </c>
      <c r="H232" s="1083">
        <v>42430</v>
      </c>
      <c r="I232" s="1084">
        <v>42489</v>
      </c>
      <c r="J232" s="957">
        <v>201971.57</v>
      </c>
    </row>
    <row r="233" spans="1:10" s="852" customFormat="1" outlineLevel="2">
      <c r="A233" s="878" t="s">
        <v>990</v>
      </c>
      <c r="B233" s="879" t="s">
        <v>7866</v>
      </c>
      <c r="C233" s="729" t="s">
        <v>513</v>
      </c>
      <c r="D233" s="924"/>
      <c r="E233" s="878" t="s">
        <v>2282</v>
      </c>
      <c r="F233" s="881" t="s">
        <v>3974</v>
      </c>
      <c r="G233" s="731" t="s">
        <v>2779</v>
      </c>
      <c r="H233" s="1083">
        <v>42401</v>
      </c>
      <c r="I233" s="1084">
        <v>42471</v>
      </c>
      <c r="J233" s="957">
        <v>778.29</v>
      </c>
    </row>
    <row r="234" spans="1:10" s="852" customFormat="1" outlineLevel="2">
      <c r="A234" s="878" t="s">
        <v>990</v>
      </c>
      <c r="B234" s="879" t="s">
        <v>7866</v>
      </c>
      <c r="C234" s="729" t="s">
        <v>513</v>
      </c>
      <c r="D234" s="924"/>
      <c r="E234" s="878" t="s">
        <v>2282</v>
      </c>
      <c r="F234" s="881" t="s">
        <v>4081</v>
      </c>
      <c r="G234" s="731" t="s">
        <v>2781</v>
      </c>
      <c r="H234" s="1083">
        <v>42401</v>
      </c>
      <c r="I234" s="1084">
        <v>42471</v>
      </c>
      <c r="J234" s="957">
        <v>24.88</v>
      </c>
    </row>
    <row r="235" spans="1:10" s="852" customFormat="1" outlineLevel="2">
      <c r="A235" s="878" t="s">
        <v>990</v>
      </c>
      <c r="B235" s="879" t="s">
        <v>7866</v>
      </c>
      <c r="C235" s="729" t="s">
        <v>513</v>
      </c>
      <c r="D235" s="924"/>
      <c r="E235" s="878" t="s">
        <v>2282</v>
      </c>
      <c r="F235" s="881" t="s">
        <v>4165</v>
      </c>
      <c r="G235" s="731" t="s">
        <v>2782</v>
      </c>
      <c r="H235" s="1083">
        <v>42401</v>
      </c>
      <c r="I235" s="1084">
        <v>42471</v>
      </c>
      <c r="J235" s="957">
        <v>293.64</v>
      </c>
    </row>
    <row r="236" spans="1:10" s="852" customFormat="1" outlineLevel="2">
      <c r="A236" s="878" t="s">
        <v>2754</v>
      </c>
      <c r="B236" s="879" t="s">
        <v>7865</v>
      </c>
      <c r="C236" s="729" t="s">
        <v>513</v>
      </c>
      <c r="D236" s="924"/>
      <c r="E236" s="878" t="s">
        <v>2340</v>
      </c>
      <c r="F236" s="881" t="s">
        <v>6186</v>
      </c>
      <c r="G236" s="731" t="s">
        <v>3027</v>
      </c>
      <c r="H236" s="1083">
        <v>42401</v>
      </c>
      <c r="I236" s="1084">
        <v>42471</v>
      </c>
      <c r="J236" s="957">
        <v>2304.12</v>
      </c>
    </row>
    <row r="237" spans="1:10" s="852" customFormat="1" outlineLevel="2">
      <c r="A237" s="878" t="s">
        <v>2754</v>
      </c>
      <c r="B237" s="879" t="s">
        <v>7865</v>
      </c>
      <c r="C237" s="729" t="s">
        <v>513</v>
      </c>
      <c r="D237" s="924"/>
      <c r="E237" s="878" t="s">
        <v>2340</v>
      </c>
      <c r="F237" s="881" t="s">
        <v>6186</v>
      </c>
      <c r="G237" s="731" t="s">
        <v>3027</v>
      </c>
      <c r="H237" s="1083">
        <v>42401</v>
      </c>
      <c r="I237" s="1084">
        <v>42471</v>
      </c>
      <c r="J237" s="957">
        <v>19652.14</v>
      </c>
    </row>
    <row r="238" spans="1:10" s="852" customFormat="1" outlineLevel="2">
      <c r="A238" s="878" t="s">
        <v>515</v>
      </c>
      <c r="B238" s="879" t="s">
        <v>7864</v>
      </c>
      <c r="C238" s="729" t="s">
        <v>513</v>
      </c>
      <c r="D238" s="924"/>
      <c r="E238" s="878" t="s">
        <v>2340</v>
      </c>
      <c r="F238" s="881" t="s">
        <v>6187</v>
      </c>
      <c r="G238" s="731" t="s">
        <v>3030</v>
      </c>
      <c r="H238" s="1083">
        <v>42401</v>
      </c>
      <c r="I238" s="1084">
        <v>42471</v>
      </c>
      <c r="J238" s="957">
        <v>319.44</v>
      </c>
    </row>
    <row r="239" spans="1:10" s="852" customFormat="1" outlineLevel="2">
      <c r="A239" s="878" t="s">
        <v>514</v>
      </c>
      <c r="B239" s="879" t="s">
        <v>7865</v>
      </c>
      <c r="C239" s="729" t="s">
        <v>513</v>
      </c>
      <c r="D239" s="924"/>
      <c r="E239" s="878" t="s">
        <v>2340</v>
      </c>
      <c r="F239" s="881" t="s">
        <v>6188</v>
      </c>
      <c r="G239" s="731" t="s">
        <v>3032</v>
      </c>
      <c r="H239" s="1083">
        <v>42401</v>
      </c>
      <c r="I239" s="1084">
        <v>42471</v>
      </c>
      <c r="J239" s="957">
        <v>1240.68</v>
      </c>
    </row>
    <row r="240" spans="1:10" s="852" customFormat="1" outlineLevel="2">
      <c r="A240" s="878" t="s">
        <v>2754</v>
      </c>
      <c r="B240" s="879" t="s">
        <v>7865</v>
      </c>
      <c r="C240" s="729" t="s">
        <v>513</v>
      </c>
      <c r="D240" s="924"/>
      <c r="E240" s="878" t="s">
        <v>2340</v>
      </c>
      <c r="F240" s="881" t="s">
        <v>6188</v>
      </c>
      <c r="G240" s="731" t="s">
        <v>3032</v>
      </c>
      <c r="H240" s="1083">
        <v>42401</v>
      </c>
      <c r="I240" s="1084">
        <v>42471</v>
      </c>
      <c r="J240" s="957">
        <v>10581.91</v>
      </c>
    </row>
    <row r="241" spans="1:10" s="852" customFormat="1" outlineLevel="2">
      <c r="A241" s="878" t="s">
        <v>515</v>
      </c>
      <c r="B241" s="879" t="s">
        <v>7864</v>
      </c>
      <c r="C241" s="729" t="s">
        <v>513</v>
      </c>
      <c r="D241" s="924"/>
      <c r="E241" s="878" t="s">
        <v>2340</v>
      </c>
      <c r="F241" s="881" t="s">
        <v>3165</v>
      </c>
      <c r="G241" s="731" t="s">
        <v>3035</v>
      </c>
      <c r="H241" s="1083">
        <v>42401</v>
      </c>
      <c r="I241" s="1084">
        <v>42471</v>
      </c>
      <c r="J241" s="957">
        <v>311.02999999999997</v>
      </c>
    </row>
    <row r="242" spans="1:10" s="852" customFormat="1" outlineLevel="2">
      <c r="A242" s="878" t="s">
        <v>515</v>
      </c>
      <c r="B242" s="879" t="s">
        <v>7864</v>
      </c>
      <c r="C242" s="729" t="s">
        <v>513</v>
      </c>
      <c r="D242" s="924"/>
      <c r="E242" s="878" t="s">
        <v>2340</v>
      </c>
      <c r="F242" s="881" t="s">
        <v>3621</v>
      </c>
      <c r="G242" s="731" t="s">
        <v>3037</v>
      </c>
      <c r="H242" s="1083">
        <v>42401</v>
      </c>
      <c r="I242" s="1084">
        <v>42471</v>
      </c>
      <c r="J242" s="957">
        <v>210.15</v>
      </c>
    </row>
    <row r="243" spans="1:10" s="852" customFormat="1" outlineLevel="2">
      <c r="A243" s="878" t="s">
        <v>516</v>
      </c>
      <c r="B243" s="879" t="s">
        <v>7863</v>
      </c>
      <c r="C243" s="729" t="s">
        <v>513</v>
      </c>
      <c r="D243" s="924"/>
      <c r="E243" s="878" t="s">
        <v>2340</v>
      </c>
      <c r="F243" s="881" t="s">
        <v>5463</v>
      </c>
      <c r="G243" s="731" t="s">
        <v>3039</v>
      </c>
      <c r="H243" s="1083">
        <v>42401</v>
      </c>
      <c r="I243" s="1084">
        <v>42471</v>
      </c>
      <c r="J243" s="957">
        <v>1853.93</v>
      </c>
    </row>
    <row r="244" spans="1:10" s="852" customFormat="1" outlineLevel="2">
      <c r="A244" s="878" t="s">
        <v>2754</v>
      </c>
      <c r="B244" s="879" t="s">
        <v>7865</v>
      </c>
      <c r="C244" s="729" t="s">
        <v>513</v>
      </c>
      <c r="D244" s="924"/>
      <c r="E244" s="878" t="s">
        <v>508</v>
      </c>
      <c r="F244" s="881" t="s">
        <v>1094</v>
      </c>
      <c r="G244" s="731" t="s">
        <v>5824</v>
      </c>
      <c r="H244" s="1083">
        <v>42430</v>
      </c>
      <c r="I244" s="1084">
        <v>42489</v>
      </c>
      <c r="J244" s="957">
        <v>375090.04</v>
      </c>
    </row>
    <row r="245" spans="1:10" s="852" customFormat="1" outlineLevel="2">
      <c r="A245" s="878" t="s">
        <v>990</v>
      </c>
      <c r="B245" s="879" t="s">
        <v>7866</v>
      </c>
      <c r="C245" s="729" t="s">
        <v>513</v>
      </c>
      <c r="D245" s="924"/>
      <c r="E245" s="878" t="s">
        <v>1909</v>
      </c>
      <c r="F245" s="881" t="s">
        <v>3935</v>
      </c>
      <c r="G245" s="731" t="s">
        <v>2817</v>
      </c>
      <c r="H245" s="1083">
        <v>42401</v>
      </c>
      <c r="I245" s="1084">
        <v>42480</v>
      </c>
      <c r="J245" s="957">
        <v>233.48</v>
      </c>
    </row>
    <row r="246" spans="1:10" s="852" customFormat="1" outlineLevel="2">
      <c r="A246" s="878" t="s">
        <v>990</v>
      </c>
      <c r="B246" s="879" t="s">
        <v>7866</v>
      </c>
      <c r="C246" s="729" t="s">
        <v>513</v>
      </c>
      <c r="D246" s="924"/>
      <c r="E246" s="878" t="s">
        <v>1909</v>
      </c>
      <c r="F246" s="881" t="s">
        <v>4027</v>
      </c>
      <c r="G246" s="731" t="s">
        <v>2819</v>
      </c>
      <c r="H246" s="1083">
        <v>42401</v>
      </c>
      <c r="I246" s="1084">
        <v>42480</v>
      </c>
      <c r="J246" s="957">
        <v>7.46</v>
      </c>
    </row>
    <row r="247" spans="1:10" s="852" customFormat="1" outlineLevel="2">
      <c r="A247" s="878" t="s">
        <v>990</v>
      </c>
      <c r="B247" s="879" t="s">
        <v>7866</v>
      </c>
      <c r="C247" s="729" t="s">
        <v>513</v>
      </c>
      <c r="D247" s="924"/>
      <c r="E247" s="878" t="s">
        <v>1909</v>
      </c>
      <c r="F247" s="881" t="s">
        <v>4129</v>
      </c>
      <c r="G247" s="731" t="s">
        <v>2821</v>
      </c>
      <c r="H247" s="1083">
        <v>42401</v>
      </c>
      <c r="I247" s="1084">
        <v>42480</v>
      </c>
      <c r="J247" s="957">
        <v>88.09</v>
      </c>
    </row>
    <row r="248" spans="1:10" s="852" customFormat="1" outlineLevel="2">
      <c r="A248" s="878" t="s">
        <v>516</v>
      </c>
      <c r="B248" s="879" t="s">
        <v>7863</v>
      </c>
      <c r="C248" s="729" t="s">
        <v>513</v>
      </c>
      <c r="D248" s="924"/>
      <c r="E248" s="878" t="s">
        <v>1909</v>
      </c>
      <c r="F248" s="881" t="s">
        <v>4424</v>
      </c>
      <c r="G248" s="731" t="s">
        <v>3067</v>
      </c>
      <c r="H248" s="1083">
        <v>42401</v>
      </c>
      <c r="I248" s="1084">
        <v>42480</v>
      </c>
      <c r="J248" s="957">
        <v>370.79</v>
      </c>
    </row>
    <row r="249" spans="1:10" s="852" customFormat="1" outlineLevel="2">
      <c r="A249" s="878" t="s">
        <v>515</v>
      </c>
      <c r="B249" s="879" t="s">
        <v>7864</v>
      </c>
      <c r="C249" s="729" t="s">
        <v>513</v>
      </c>
      <c r="D249" s="924"/>
      <c r="E249" s="878" t="s">
        <v>1909</v>
      </c>
      <c r="F249" s="881" t="s">
        <v>6214</v>
      </c>
      <c r="G249" s="731" t="s">
        <v>3050</v>
      </c>
      <c r="H249" s="1083">
        <v>42401</v>
      </c>
      <c r="I249" s="1084">
        <v>42480</v>
      </c>
      <c r="J249" s="957">
        <v>63.89</v>
      </c>
    </row>
    <row r="250" spans="1:10" s="852" customFormat="1" outlineLevel="2">
      <c r="A250" s="878" t="s">
        <v>515</v>
      </c>
      <c r="B250" s="879" t="s">
        <v>7864</v>
      </c>
      <c r="C250" s="729" t="s">
        <v>513</v>
      </c>
      <c r="D250" s="924"/>
      <c r="E250" s="878" t="s">
        <v>1909</v>
      </c>
      <c r="F250" s="881" t="s">
        <v>3618</v>
      </c>
      <c r="G250" s="731" t="s">
        <v>3064</v>
      </c>
      <c r="H250" s="1083">
        <v>42401</v>
      </c>
      <c r="I250" s="1084">
        <v>42480</v>
      </c>
      <c r="J250" s="957">
        <v>42.03</v>
      </c>
    </row>
    <row r="251" spans="1:10" s="852" customFormat="1" outlineLevel="2">
      <c r="A251" s="878" t="s">
        <v>515</v>
      </c>
      <c r="B251" s="879" t="s">
        <v>7864</v>
      </c>
      <c r="C251" s="729" t="s">
        <v>513</v>
      </c>
      <c r="D251" s="924"/>
      <c r="E251" s="878" t="s">
        <v>1909</v>
      </c>
      <c r="F251" s="881" t="s">
        <v>3162</v>
      </c>
      <c r="G251" s="731" t="s">
        <v>3061</v>
      </c>
      <c r="H251" s="1083">
        <v>42401</v>
      </c>
      <c r="I251" s="1084">
        <v>42480</v>
      </c>
      <c r="J251" s="957">
        <v>62.21</v>
      </c>
    </row>
    <row r="252" spans="1:10" s="852" customFormat="1" outlineLevel="2">
      <c r="A252" s="878" t="s">
        <v>514</v>
      </c>
      <c r="B252" s="879" t="s">
        <v>7865</v>
      </c>
      <c r="C252" s="729" t="s">
        <v>513</v>
      </c>
      <c r="D252" s="924"/>
      <c r="E252" s="878" t="s">
        <v>1909</v>
      </c>
      <c r="F252" s="881" t="s">
        <v>6215</v>
      </c>
      <c r="G252" s="731" t="s">
        <v>3056</v>
      </c>
      <c r="H252" s="1083">
        <v>42401</v>
      </c>
      <c r="I252" s="1084">
        <v>42480</v>
      </c>
      <c r="J252" s="957">
        <v>372.2</v>
      </c>
    </row>
    <row r="253" spans="1:10" s="852" customFormat="1" outlineLevel="2">
      <c r="A253" s="878" t="s">
        <v>2754</v>
      </c>
      <c r="B253" s="879" t="s">
        <v>7865</v>
      </c>
      <c r="C253" s="729" t="s">
        <v>513</v>
      </c>
      <c r="D253" s="924"/>
      <c r="E253" s="878" t="s">
        <v>1909</v>
      </c>
      <c r="F253" s="881" t="s">
        <v>6215</v>
      </c>
      <c r="G253" s="731" t="s">
        <v>3056</v>
      </c>
      <c r="H253" s="1083">
        <v>42401</v>
      </c>
      <c r="I253" s="1084">
        <v>42480</v>
      </c>
      <c r="J253" s="957">
        <v>3174.57</v>
      </c>
    </row>
    <row r="254" spans="1:10" s="852" customFormat="1" outlineLevel="2">
      <c r="A254" s="878" t="s">
        <v>2754</v>
      </c>
      <c r="B254" s="879" t="s">
        <v>7865</v>
      </c>
      <c r="C254" s="729" t="s">
        <v>513</v>
      </c>
      <c r="D254" s="924"/>
      <c r="E254" s="878" t="s">
        <v>1909</v>
      </c>
      <c r="F254" s="881" t="s">
        <v>6213</v>
      </c>
      <c r="G254" s="731" t="s">
        <v>3047</v>
      </c>
      <c r="H254" s="1083">
        <v>42401</v>
      </c>
      <c r="I254" s="1084">
        <v>42480</v>
      </c>
      <c r="J254" s="957">
        <v>691.23</v>
      </c>
    </row>
    <row r="255" spans="1:10" s="852" customFormat="1" outlineLevel="2">
      <c r="A255" s="878" t="s">
        <v>2754</v>
      </c>
      <c r="B255" s="879" t="s">
        <v>7865</v>
      </c>
      <c r="C255" s="729" t="s">
        <v>513</v>
      </c>
      <c r="D255" s="924"/>
      <c r="E255" s="878" t="s">
        <v>1909</v>
      </c>
      <c r="F255" s="881" t="s">
        <v>6213</v>
      </c>
      <c r="G255" s="731" t="s">
        <v>3047</v>
      </c>
      <c r="H255" s="1083">
        <v>42401</v>
      </c>
      <c r="I255" s="1084">
        <v>42480</v>
      </c>
      <c r="J255" s="957">
        <v>5895.64</v>
      </c>
    </row>
    <row r="256" spans="1:10" s="852" customFormat="1" ht="28.5" outlineLevel="2">
      <c r="A256" s="878" t="s">
        <v>990</v>
      </c>
      <c r="B256" s="879" t="s">
        <v>7866</v>
      </c>
      <c r="C256" s="729" t="s">
        <v>513</v>
      </c>
      <c r="D256" s="924"/>
      <c r="E256" s="878" t="s">
        <v>1909</v>
      </c>
      <c r="F256" s="881" t="s">
        <v>4956</v>
      </c>
      <c r="G256" s="731" t="s">
        <v>2833</v>
      </c>
      <c r="H256" s="1083">
        <v>42401</v>
      </c>
      <c r="I256" s="1084">
        <v>42480</v>
      </c>
      <c r="J256" s="957">
        <v>723.81</v>
      </c>
    </row>
    <row r="257" spans="1:10" s="852" customFormat="1" ht="28.5" outlineLevel="2">
      <c r="A257" s="878" t="s">
        <v>990</v>
      </c>
      <c r="B257" s="879" t="s">
        <v>7866</v>
      </c>
      <c r="C257" s="729" t="s">
        <v>513</v>
      </c>
      <c r="D257" s="924"/>
      <c r="E257" s="878" t="s">
        <v>1909</v>
      </c>
      <c r="F257" s="881" t="s">
        <v>4903</v>
      </c>
      <c r="G257" s="731" t="s">
        <v>2832</v>
      </c>
      <c r="H257" s="1083">
        <v>42401</v>
      </c>
      <c r="I257" s="1084">
        <v>42480</v>
      </c>
      <c r="J257" s="957">
        <v>23.14</v>
      </c>
    </row>
    <row r="258" spans="1:10" s="852" customFormat="1" ht="28.5" outlineLevel="2">
      <c r="A258" s="878" t="s">
        <v>990</v>
      </c>
      <c r="B258" s="879" t="s">
        <v>7866</v>
      </c>
      <c r="C258" s="729" t="s">
        <v>513</v>
      </c>
      <c r="D258" s="924"/>
      <c r="E258" s="878" t="s">
        <v>1909</v>
      </c>
      <c r="F258" s="881" t="s">
        <v>4853</v>
      </c>
      <c r="G258" s="731" t="s">
        <v>2831</v>
      </c>
      <c r="H258" s="1083">
        <v>42401</v>
      </c>
      <c r="I258" s="1084">
        <v>42480</v>
      </c>
      <c r="J258" s="957">
        <v>273.08999999999997</v>
      </c>
    </row>
    <row r="259" spans="1:10" s="852" customFormat="1" ht="28.5" outlineLevel="2">
      <c r="A259" s="878" t="s">
        <v>516</v>
      </c>
      <c r="B259" s="879" t="s">
        <v>7863</v>
      </c>
      <c r="C259" s="729" t="s">
        <v>513</v>
      </c>
      <c r="D259" s="924"/>
      <c r="E259" s="878" t="s">
        <v>1909</v>
      </c>
      <c r="F259" s="881" t="s">
        <v>6212</v>
      </c>
      <c r="G259" s="731" t="s">
        <v>3041</v>
      </c>
      <c r="H259" s="1083">
        <v>42370</v>
      </c>
      <c r="I259" s="1084">
        <v>42480</v>
      </c>
      <c r="J259" s="957">
        <v>1825.89</v>
      </c>
    </row>
    <row r="260" spans="1:10" s="852" customFormat="1" ht="28.5" outlineLevel="2">
      <c r="A260" s="878" t="s">
        <v>516</v>
      </c>
      <c r="B260" s="879" t="s">
        <v>7863</v>
      </c>
      <c r="C260" s="729" t="s">
        <v>513</v>
      </c>
      <c r="D260" s="924"/>
      <c r="E260" s="878" t="s">
        <v>1909</v>
      </c>
      <c r="F260" s="881" t="s">
        <v>6212</v>
      </c>
      <c r="G260" s="731" t="s">
        <v>3043</v>
      </c>
      <c r="H260" s="1083">
        <v>42370</v>
      </c>
      <c r="I260" s="1084">
        <v>42480</v>
      </c>
      <c r="J260" s="957">
        <v>1825.89</v>
      </c>
    </row>
    <row r="261" spans="1:10" s="852" customFormat="1" ht="28.5" outlineLevel="2">
      <c r="A261" s="878" t="s">
        <v>516</v>
      </c>
      <c r="B261" s="879" t="s">
        <v>7863</v>
      </c>
      <c r="C261" s="729" t="s">
        <v>513</v>
      </c>
      <c r="D261" s="924"/>
      <c r="E261" s="878" t="s">
        <v>1909</v>
      </c>
      <c r="F261" s="881" t="s">
        <v>6212</v>
      </c>
      <c r="G261" s="731" t="s">
        <v>3045</v>
      </c>
      <c r="H261" s="1083">
        <v>42370</v>
      </c>
      <c r="I261" s="1084">
        <v>42480</v>
      </c>
      <c r="J261" s="957">
        <v>-1825.89</v>
      </c>
    </row>
    <row r="262" spans="1:10" s="852" customFormat="1" ht="28.5" outlineLevel="2">
      <c r="A262" s="878" t="s">
        <v>515</v>
      </c>
      <c r="B262" s="879" t="s">
        <v>7864</v>
      </c>
      <c r="C262" s="729" t="s">
        <v>513</v>
      </c>
      <c r="D262" s="924"/>
      <c r="E262" s="878" t="s">
        <v>1909</v>
      </c>
      <c r="F262" s="881" t="s">
        <v>2939</v>
      </c>
      <c r="G262" s="731" t="s">
        <v>3052</v>
      </c>
      <c r="H262" s="1083">
        <v>42370</v>
      </c>
      <c r="I262" s="1084">
        <v>42480</v>
      </c>
      <c r="J262" s="957">
        <v>-195.44</v>
      </c>
    </row>
    <row r="263" spans="1:10" s="852" customFormat="1" ht="28.5" outlineLevel="2">
      <c r="A263" s="878" t="s">
        <v>515</v>
      </c>
      <c r="B263" s="879" t="s">
        <v>7864</v>
      </c>
      <c r="C263" s="729" t="s">
        <v>513</v>
      </c>
      <c r="D263" s="924"/>
      <c r="E263" s="878" t="s">
        <v>1909</v>
      </c>
      <c r="F263" s="881" t="s">
        <v>2939</v>
      </c>
      <c r="G263" s="731" t="s">
        <v>3054</v>
      </c>
      <c r="H263" s="1083">
        <v>42370</v>
      </c>
      <c r="I263" s="1084">
        <v>42480</v>
      </c>
      <c r="J263" s="957">
        <v>-195.44</v>
      </c>
    </row>
    <row r="264" spans="1:10" s="852" customFormat="1" ht="28.5" outlineLevel="2">
      <c r="A264" s="878" t="s">
        <v>515</v>
      </c>
      <c r="B264" s="879" t="s">
        <v>7864</v>
      </c>
      <c r="C264" s="729" t="s">
        <v>513</v>
      </c>
      <c r="D264" s="924"/>
      <c r="E264" s="878" t="s">
        <v>1909</v>
      </c>
      <c r="F264" s="881" t="s">
        <v>2939</v>
      </c>
      <c r="G264" s="731" t="s">
        <v>3059</v>
      </c>
      <c r="H264" s="1083">
        <v>42370</v>
      </c>
      <c r="I264" s="1084">
        <v>42480</v>
      </c>
      <c r="J264" s="957">
        <v>195.44</v>
      </c>
    </row>
    <row r="265" spans="1:10" s="852" customFormat="1" ht="28.5" outlineLevel="2">
      <c r="A265" s="878" t="s">
        <v>515</v>
      </c>
      <c r="B265" s="879" t="s">
        <v>7864</v>
      </c>
      <c r="C265" s="729" t="s">
        <v>513</v>
      </c>
      <c r="D265" s="924"/>
      <c r="E265" s="878" t="s">
        <v>1909</v>
      </c>
      <c r="F265" s="881" t="s">
        <v>2939</v>
      </c>
      <c r="G265" s="731" t="s">
        <v>3060</v>
      </c>
      <c r="H265" s="1083">
        <v>42370</v>
      </c>
      <c r="I265" s="1084">
        <v>42480</v>
      </c>
      <c r="J265" s="957">
        <v>195.44</v>
      </c>
    </row>
    <row r="266" spans="1:10" s="852" customFormat="1" ht="28.5" outlineLevel="2">
      <c r="A266" s="878" t="s">
        <v>515</v>
      </c>
      <c r="B266" s="879" t="s">
        <v>7864</v>
      </c>
      <c r="C266" s="729" t="s">
        <v>513</v>
      </c>
      <c r="D266" s="924"/>
      <c r="E266" s="878" t="s">
        <v>1909</v>
      </c>
      <c r="F266" s="881" t="s">
        <v>2939</v>
      </c>
      <c r="G266" s="731" t="s">
        <v>3062</v>
      </c>
      <c r="H266" s="1083">
        <v>42370</v>
      </c>
      <c r="I266" s="1084">
        <v>42480</v>
      </c>
      <c r="J266" s="957">
        <v>195.44</v>
      </c>
    </row>
    <row r="267" spans="1:10" s="852" customFormat="1" ht="28.5" outlineLevel="2">
      <c r="A267" s="878" t="s">
        <v>515</v>
      </c>
      <c r="B267" s="879" t="s">
        <v>7864</v>
      </c>
      <c r="C267" s="729" t="s">
        <v>513</v>
      </c>
      <c r="D267" s="924"/>
      <c r="E267" s="878" t="s">
        <v>1909</v>
      </c>
      <c r="F267" s="881" t="s">
        <v>3599</v>
      </c>
      <c r="G267" s="731" t="s">
        <v>3063</v>
      </c>
      <c r="H267" s="1083">
        <v>42370</v>
      </c>
      <c r="I267" s="1084">
        <v>42480</v>
      </c>
      <c r="J267" s="957">
        <v>-289.26</v>
      </c>
    </row>
    <row r="268" spans="1:10" s="852" customFormat="1" ht="28.5" outlineLevel="2">
      <c r="A268" s="878" t="s">
        <v>515</v>
      </c>
      <c r="B268" s="879" t="s">
        <v>7864</v>
      </c>
      <c r="C268" s="729" t="s">
        <v>513</v>
      </c>
      <c r="D268" s="924"/>
      <c r="E268" s="878" t="s">
        <v>1909</v>
      </c>
      <c r="F268" s="881" t="s">
        <v>3599</v>
      </c>
      <c r="G268" s="731" t="s">
        <v>3065</v>
      </c>
      <c r="H268" s="1083">
        <v>42370</v>
      </c>
      <c r="I268" s="1084">
        <v>42480</v>
      </c>
      <c r="J268" s="957">
        <v>289.26</v>
      </c>
    </row>
    <row r="269" spans="1:10" s="852" customFormat="1" ht="28.5" outlineLevel="2">
      <c r="A269" s="878" t="s">
        <v>515</v>
      </c>
      <c r="B269" s="879" t="s">
        <v>7864</v>
      </c>
      <c r="C269" s="729" t="s">
        <v>513</v>
      </c>
      <c r="D269" s="924"/>
      <c r="E269" s="878" t="s">
        <v>1909</v>
      </c>
      <c r="F269" s="881" t="s">
        <v>3599</v>
      </c>
      <c r="G269" s="731" t="s">
        <v>3066</v>
      </c>
      <c r="H269" s="1083">
        <v>42370</v>
      </c>
      <c r="I269" s="1084">
        <v>42480</v>
      </c>
      <c r="J269" s="957">
        <v>289.26</v>
      </c>
    </row>
    <row r="270" spans="1:10" s="852" customFormat="1" ht="28.5" outlineLevel="2">
      <c r="A270" s="878" t="s">
        <v>514</v>
      </c>
      <c r="B270" s="879" t="s">
        <v>7865</v>
      </c>
      <c r="C270" s="729" t="s">
        <v>513</v>
      </c>
      <c r="D270" s="924"/>
      <c r="E270" s="878" t="s">
        <v>1909</v>
      </c>
      <c r="F270" s="881" t="s">
        <v>4641</v>
      </c>
      <c r="G270" s="731" t="s">
        <v>3068</v>
      </c>
      <c r="H270" s="1083">
        <v>42401</v>
      </c>
      <c r="I270" s="1084">
        <v>42480</v>
      </c>
      <c r="J270" s="957">
        <v>1153.83</v>
      </c>
    </row>
    <row r="271" spans="1:10" s="852" customFormat="1" ht="28.5" outlineLevel="2">
      <c r="A271" s="878" t="s">
        <v>2754</v>
      </c>
      <c r="B271" s="879" t="s">
        <v>7865</v>
      </c>
      <c r="C271" s="729" t="s">
        <v>513</v>
      </c>
      <c r="D271" s="924"/>
      <c r="E271" s="878" t="s">
        <v>1909</v>
      </c>
      <c r="F271" s="881" t="s">
        <v>4641</v>
      </c>
      <c r="G271" s="731" t="s">
        <v>3068</v>
      </c>
      <c r="H271" s="1083">
        <v>42401</v>
      </c>
      <c r="I271" s="1084">
        <v>42480</v>
      </c>
      <c r="J271" s="957">
        <v>9841.19</v>
      </c>
    </row>
    <row r="272" spans="1:10" s="852" customFormat="1" ht="28.5" outlineLevel="2">
      <c r="A272" s="878" t="s">
        <v>2754</v>
      </c>
      <c r="B272" s="879" t="s">
        <v>7865</v>
      </c>
      <c r="C272" s="729" t="s">
        <v>513</v>
      </c>
      <c r="D272" s="924"/>
      <c r="E272" s="878" t="s">
        <v>1909</v>
      </c>
      <c r="F272" s="881" t="s">
        <v>4736</v>
      </c>
      <c r="G272" s="731" t="s">
        <v>3069</v>
      </c>
      <c r="H272" s="1083">
        <v>42401</v>
      </c>
      <c r="I272" s="1084">
        <v>42480</v>
      </c>
      <c r="J272" s="957">
        <v>2142.83</v>
      </c>
    </row>
    <row r="273" spans="1:10" s="852" customFormat="1" ht="28.5" outlineLevel="2">
      <c r="A273" s="878" t="s">
        <v>2754</v>
      </c>
      <c r="B273" s="879" t="s">
        <v>7865</v>
      </c>
      <c r="C273" s="729" t="s">
        <v>513</v>
      </c>
      <c r="D273" s="924"/>
      <c r="E273" s="878" t="s">
        <v>1909</v>
      </c>
      <c r="F273" s="881" t="s">
        <v>4736</v>
      </c>
      <c r="G273" s="731" t="s">
        <v>3069</v>
      </c>
      <c r="H273" s="1083">
        <v>42401</v>
      </c>
      <c r="I273" s="1084">
        <v>42480</v>
      </c>
      <c r="J273" s="957">
        <v>18276.490000000002</v>
      </c>
    </row>
    <row r="274" spans="1:10" s="852" customFormat="1" outlineLevel="1">
      <c r="A274" s="878"/>
      <c r="B274" s="879" t="s">
        <v>258</v>
      </c>
      <c r="C274" s="908" t="s">
        <v>513</v>
      </c>
      <c r="D274" s="928" t="str">
        <f>VLOOKUP(C274,$C$3691:$D$3771,2,FALSE)</f>
        <v>TOTAL POUPATEMPO  SOROCABA</v>
      </c>
      <c r="E274" s="1085"/>
      <c r="F274" s="929"/>
      <c r="G274" s="910"/>
      <c r="H274" s="1086"/>
      <c r="I274" s="1087"/>
      <c r="J274" s="930">
        <f>SUBTOTAL(9,J216:J273)</f>
        <v>731719.51999999967</v>
      </c>
    </row>
    <row r="275" spans="1:10" s="852" customFormat="1" outlineLevel="2">
      <c r="A275" s="878" t="s">
        <v>520</v>
      </c>
      <c r="B275" s="879" t="s">
        <v>7865</v>
      </c>
      <c r="C275" s="729" t="s">
        <v>518</v>
      </c>
      <c r="D275" s="924"/>
      <c r="E275" s="878" t="s">
        <v>494</v>
      </c>
      <c r="F275" s="881" t="s">
        <v>1094</v>
      </c>
      <c r="G275" s="731" t="s">
        <v>5787</v>
      </c>
      <c r="H275" s="1083">
        <v>42430</v>
      </c>
      <c r="I275" s="1084">
        <v>42489</v>
      </c>
      <c r="J275" s="957">
        <v>162964.98000000001</v>
      </c>
    </row>
    <row r="276" spans="1:10" s="852" customFormat="1" outlineLevel="2">
      <c r="A276" s="878" t="s">
        <v>6473</v>
      </c>
      <c r="B276" s="879" t="s">
        <v>7864</v>
      </c>
      <c r="C276" s="729" t="s">
        <v>518</v>
      </c>
      <c r="D276" s="924"/>
      <c r="E276" s="878" t="s">
        <v>6470</v>
      </c>
      <c r="F276" s="881" t="s">
        <v>434</v>
      </c>
      <c r="G276" s="731" t="str">
        <f>"2669"</f>
        <v>2669</v>
      </c>
      <c r="H276" s="1083">
        <v>42370</v>
      </c>
      <c r="I276" s="1084">
        <v>42478</v>
      </c>
      <c r="J276" s="957">
        <v>5876.64</v>
      </c>
    </row>
    <row r="277" spans="1:10" s="852" customFormat="1" outlineLevel="2">
      <c r="A277" s="878" t="s">
        <v>6473</v>
      </c>
      <c r="B277" s="879" t="s">
        <v>7864</v>
      </c>
      <c r="C277" s="729" t="s">
        <v>518</v>
      </c>
      <c r="D277" s="924"/>
      <c r="E277" s="878" t="s">
        <v>6470</v>
      </c>
      <c r="F277" s="881" t="s">
        <v>434</v>
      </c>
      <c r="G277" s="731" t="str">
        <f>"2669"</f>
        <v>2669</v>
      </c>
      <c r="H277" s="1083">
        <v>42370</v>
      </c>
      <c r="I277" s="1084">
        <v>42478</v>
      </c>
      <c r="J277" s="957">
        <v>5876.64</v>
      </c>
    </row>
    <row r="278" spans="1:10" s="852" customFormat="1" outlineLevel="2">
      <c r="A278" s="878" t="s">
        <v>6473</v>
      </c>
      <c r="B278" s="879" t="s">
        <v>7864</v>
      </c>
      <c r="C278" s="729" t="s">
        <v>518</v>
      </c>
      <c r="D278" s="924"/>
      <c r="E278" s="878" t="s">
        <v>6470</v>
      </c>
      <c r="F278" s="881" t="s">
        <v>434</v>
      </c>
      <c r="G278" s="731" t="str">
        <f>"2669"</f>
        <v>2669</v>
      </c>
      <c r="H278" s="1083">
        <v>42370</v>
      </c>
      <c r="I278" s="1084">
        <v>42478</v>
      </c>
      <c r="J278" s="957">
        <v>-5876.64</v>
      </c>
    </row>
    <row r="279" spans="1:10" s="852" customFormat="1" outlineLevel="2">
      <c r="A279" s="878" t="s">
        <v>6473</v>
      </c>
      <c r="B279" s="879" t="s">
        <v>7864</v>
      </c>
      <c r="C279" s="729" t="s">
        <v>518</v>
      </c>
      <c r="D279" s="924"/>
      <c r="E279" s="878" t="s">
        <v>6470</v>
      </c>
      <c r="F279" s="881" t="s">
        <v>434</v>
      </c>
      <c r="G279" s="731" t="str">
        <f>"2669"</f>
        <v>2669</v>
      </c>
      <c r="H279" s="1083">
        <v>42370</v>
      </c>
      <c r="I279" s="1084">
        <v>42478</v>
      </c>
      <c r="J279" s="957">
        <v>5876.64</v>
      </c>
    </row>
    <row r="280" spans="1:10" s="852" customFormat="1" outlineLevel="2">
      <c r="A280" s="878" t="s">
        <v>6473</v>
      </c>
      <c r="B280" s="879" t="s">
        <v>7864</v>
      </c>
      <c r="C280" s="729" t="s">
        <v>518</v>
      </c>
      <c r="D280" s="924"/>
      <c r="E280" s="878" t="s">
        <v>6470</v>
      </c>
      <c r="F280" s="881" t="s">
        <v>434</v>
      </c>
      <c r="G280" s="731" t="str">
        <f>"2669"</f>
        <v>2669</v>
      </c>
      <c r="H280" s="1083">
        <v>42370</v>
      </c>
      <c r="I280" s="1084">
        <v>42478</v>
      </c>
      <c r="J280" s="957">
        <v>-5876.64</v>
      </c>
    </row>
    <row r="281" spans="1:10" s="852" customFormat="1" outlineLevel="2">
      <c r="A281" s="878" t="s">
        <v>520</v>
      </c>
      <c r="B281" s="879" t="s">
        <v>7865</v>
      </c>
      <c r="C281" s="729" t="s">
        <v>518</v>
      </c>
      <c r="D281" s="924"/>
      <c r="E281" s="878" t="s">
        <v>2336</v>
      </c>
      <c r="F281" s="881" t="s">
        <v>5982</v>
      </c>
      <c r="G281" s="731" t="s">
        <v>3071</v>
      </c>
      <c r="H281" s="1083">
        <v>42401</v>
      </c>
      <c r="I281" s="1084">
        <v>42480</v>
      </c>
      <c r="J281" s="957">
        <v>10483.469999999999</v>
      </c>
    </row>
    <row r="282" spans="1:10" s="852" customFormat="1" outlineLevel="2">
      <c r="A282" s="878" t="s">
        <v>521</v>
      </c>
      <c r="B282" s="879" t="s">
        <v>7864</v>
      </c>
      <c r="C282" s="729" t="s">
        <v>518</v>
      </c>
      <c r="D282" s="924"/>
      <c r="E282" s="878" t="s">
        <v>2336</v>
      </c>
      <c r="F282" s="881" t="s">
        <v>5088</v>
      </c>
      <c r="G282" s="731" t="s">
        <v>3075</v>
      </c>
      <c r="H282" s="1083">
        <v>42401</v>
      </c>
      <c r="I282" s="1084">
        <v>42480</v>
      </c>
      <c r="J282" s="957">
        <v>804.52</v>
      </c>
    </row>
    <row r="283" spans="1:10" s="852" customFormat="1" outlineLevel="2">
      <c r="A283" s="878" t="s">
        <v>521</v>
      </c>
      <c r="B283" s="879" t="s">
        <v>7864</v>
      </c>
      <c r="C283" s="729" t="s">
        <v>518</v>
      </c>
      <c r="D283" s="924"/>
      <c r="E283" s="878" t="s">
        <v>2336</v>
      </c>
      <c r="F283" s="881" t="s">
        <v>5272</v>
      </c>
      <c r="G283" s="731" t="s">
        <v>3076</v>
      </c>
      <c r="H283" s="1083">
        <v>42401</v>
      </c>
      <c r="I283" s="1084">
        <v>42480</v>
      </c>
      <c r="J283" s="957">
        <v>529.29</v>
      </c>
    </row>
    <row r="284" spans="1:10" s="852" customFormat="1" outlineLevel="2">
      <c r="A284" s="878" t="s">
        <v>521</v>
      </c>
      <c r="B284" s="879" t="s">
        <v>7864</v>
      </c>
      <c r="C284" s="729" t="s">
        <v>518</v>
      </c>
      <c r="D284" s="924"/>
      <c r="E284" s="878" t="s">
        <v>2336</v>
      </c>
      <c r="F284" s="881" t="s">
        <v>5082</v>
      </c>
      <c r="G284" s="731" t="s">
        <v>3074</v>
      </c>
      <c r="H284" s="1083">
        <v>42401</v>
      </c>
      <c r="I284" s="1084">
        <v>42480</v>
      </c>
      <c r="J284" s="957">
        <v>783.35</v>
      </c>
    </row>
    <row r="285" spans="1:10" s="852" customFormat="1" outlineLevel="2">
      <c r="A285" s="878" t="s">
        <v>522</v>
      </c>
      <c r="B285" s="879" t="s">
        <v>7863</v>
      </c>
      <c r="C285" s="729" t="s">
        <v>518</v>
      </c>
      <c r="D285" s="924"/>
      <c r="E285" s="878" t="s">
        <v>2336</v>
      </c>
      <c r="F285" s="881" t="s">
        <v>5983</v>
      </c>
      <c r="G285" s="731" t="s">
        <v>3072</v>
      </c>
      <c r="H285" s="1083">
        <v>42401</v>
      </c>
      <c r="I285" s="1084">
        <v>42480</v>
      </c>
      <c r="J285" s="957">
        <v>4005.87</v>
      </c>
    </row>
    <row r="286" spans="1:10" s="852" customFormat="1" ht="28.5" outlineLevel="2">
      <c r="A286" s="878" t="s">
        <v>520</v>
      </c>
      <c r="B286" s="879" t="s">
        <v>7865</v>
      </c>
      <c r="C286" s="729" t="s">
        <v>518</v>
      </c>
      <c r="D286" s="924"/>
      <c r="E286" s="878" t="s">
        <v>2336</v>
      </c>
      <c r="F286" s="881" t="s">
        <v>5981</v>
      </c>
      <c r="G286" s="731" t="s">
        <v>3070</v>
      </c>
      <c r="H286" s="1083">
        <v>42401</v>
      </c>
      <c r="I286" s="1084">
        <v>42480</v>
      </c>
      <c r="J286" s="957">
        <v>10483.469999999999</v>
      </c>
    </row>
    <row r="287" spans="1:10" s="852" customFormat="1" ht="28.5" outlineLevel="2">
      <c r="A287" s="878" t="s">
        <v>520</v>
      </c>
      <c r="B287" s="879" t="s">
        <v>7865</v>
      </c>
      <c r="C287" s="729" t="s">
        <v>518</v>
      </c>
      <c r="D287" s="924"/>
      <c r="E287" s="878" t="s">
        <v>2336</v>
      </c>
      <c r="F287" s="881" t="s">
        <v>3372</v>
      </c>
      <c r="G287" s="731" t="s">
        <v>3073</v>
      </c>
      <c r="H287" s="1083">
        <v>42401</v>
      </c>
      <c r="I287" s="1084">
        <v>42480</v>
      </c>
      <c r="J287" s="957">
        <v>10486.61</v>
      </c>
    </row>
    <row r="288" spans="1:10" s="852" customFormat="1" outlineLevel="2">
      <c r="A288" s="878" t="s">
        <v>521</v>
      </c>
      <c r="B288" s="879" t="s">
        <v>7864</v>
      </c>
      <c r="C288" s="729" t="s">
        <v>518</v>
      </c>
      <c r="D288" s="924"/>
      <c r="E288" s="878" t="s">
        <v>409</v>
      </c>
      <c r="F288" s="881" t="s">
        <v>434</v>
      </c>
      <c r="G288" s="731" t="s">
        <v>5693</v>
      </c>
      <c r="H288" s="1083">
        <v>42401</v>
      </c>
      <c r="I288" s="1084">
        <v>42480</v>
      </c>
      <c r="J288" s="957">
        <v>5721.99</v>
      </c>
    </row>
    <row r="289" spans="1:10" s="852" customFormat="1" outlineLevel="2">
      <c r="A289" s="878" t="s">
        <v>989</v>
      </c>
      <c r="B289" s="879" t="s">
        <v>7866</v>
      </c>
      <c r="C289" s="729" t="s">
        <v>518</v>
      </c>
      <c r="D289" s="924"/>
      <c r="E289" s="878" t="s">
        <v>2282</v>
      </c>
      <c r="F289" s="881" t="s">
        <v>3974</v>
      </c>
      <c r="G289" s="731" t="s">
        <v>2779</v>
      </c>
      <c r="H289" s="1083">
        <v>42401</v>
      </c>
      <c r="I289" s="1084">
        <v>42471</v>
      </c>
      <c r="J289" s="957">
        <v>805.6</v>
      </c>
    </row>
    <row r="290" spans="1:10" s="852" customFormat="1" outlineLevel="2">
      <c r="A290" s="878" t="s">
        <v>989</v>
      </c>
      <c r="B290" s="879" t="s">
        <v>7866</v>
      </c>
      <c r="C290" s="729" t="s">
        <v>518</v>
      </c>
      <c r="D290" s="924"/>
      <c r="E290" s="878" t="s">
        <v>2282</v>
      </c>
      <c r="F290" s="881" t="s">
        <v>4081</v>
      </c>
      <c r="G290" s="731" t="s">
        <v>2781</v>
      </c>
      <c r="H290" s="1083">
        <v>42401</v>
      </c>
      <c r="I290" s="1084">
        <v>42471</v>
      </c>
      <c r="J290" s="957">
        <v>25.76</v>
      </c>
    </row>
    <row r="291" spans="1:10" s="852" customFormat="1" outlineLevel="2">
      <c r="A291" s="878" t="s">
        <v>989</v>
      </c>
      <c r="B291" s="879" t="s">
        <v>7866</v>
      </c>
      <c r="C291" s="729" t="s">
        <v>518</v>
      </c>
      <c r="D291" s="924"/>
      <c r="E291" s="878" t="s">
        <v>2282</v>
      </c>
      <c r="F291" s="881" t="s">
        <v>4165</v>
      </c>
      <c r="G291" s="731" t="s">
        <v>2782</v>
      </c>
      <c r="H291" s="1083">
        <v>42401</v>
      </c>
      <c r="I291" s="1084">
        <v>42471</v>
      </c>
      <c r="J291" s="957">
        <v>303.94</v>
      </c>
    </row>
    <row r="292" spans="1:10" s="852" customFormat="1" ht="28.5" outlineLevel="2">
      <c r="A292" s="878" t="s">
        <v>520</v>
      </c>
      <c r="B292" s="879" t="s">
        <v>7865</v>
      </c>
      <c r="C292" s="729" t="s">
        <v>518</v>
      </c>
      <c r="D292" s="924"/>
      <c r="E292" s="878" t="s">
        <v>2341</v>
      </c>
      <c r="F292" s="881" t="s">
        <v>6149</v>
      </c>
      <c r="G292" s="731" t="s">
        <v>3077</v>
      </c>
      <c r="H292" s="1083">
        <v>42401</v>
      </c>
      <c r="I292" s="1084">
        <v>42471</v>
      </c>
      <c r="J292" s="957">
        <v>5727.52</v>
      </c>
    </row>
    <row r="293" spans="1:10" s="852" customFormat="1" outlineLevel="2">
      <c r="A293" s="878" t="s">
        <v>520</v>
      </c>
      <c r="B293" s="879" t="s">
        <v>7865</v>
      </c>
      <c r="C293" s="729" t="s">
        <v>518</v>
      </c>
      <c r="D293" s="924"/>
      <c r="E293" s="878" t="s">
        <v>2341</v>
      </c>
      <c r="F293" s="881" t="s">
        <v>6150</v>
      </c>
      <c r="G293" s="731" t="s">
        <v>3078</v>
      </c>
      <c r="H293" s="1083">
        <v>42401</v>
      </c>
      <c r="I293" s="1084">
        <v>42471</v>
      </c>
      <c r="J293" s="957">
        <v>5727.52</v>
      </c>
    </row>
    <row r="294" spans="1:10" s="852" customFormat="1" outlineLevel="2">
      <c r="A294" s="878" t="s">
        <v>522</v>
      </c>
      <c r="B294" s="879" t="s">
        <v>7863</v>
      </c>
      <c r="C294" s="729" t="s">
        <v>518</v>
      </c>
      <c r="D294" s="924"/>
      <c r="E294" s="878" t="s">
        <v>2341</v>
      </c>
      <c r="F294" s="881" t="s">
        <v>6151</v>
      </c>
      <c r="G294" s="731" t="s">
        <v>3079</v>
      </c>
      <c r="H294" s="1083">
        <v>42401</v>
      </c>
      <c r="I294" s="1084">
        <v>42471</v>
      </c>
      <c r="J294" s="957">
        <v>728.34</v>
      </c>
    </row>
    <row r="295" spans="1:10" s="852" customFormat="1" ht="28.5" outlineLevel="2">
      <c r="A295" s="878" t="s">
        <v>520</v>
      </c>
      <c r="B295" s="879" t="s">
        <v>7865</v>
      </c>
      <c r="C295" s="729" t="s">
        <v>518</v>
      </c>
      <c r="D295" s="924"/>
      <c r="E295" s="878" t="s">
        <v>2341</v>
      </c>
      <c r="F295" s="881" t="s">
        <v>3373</v>
      </c>
      <c r="G295" s="731" t="s">
        <v>3080</v>
      </c>
      <c r="H295" s="1083">
        <v>42401</v>
      </c>
      <c r="I295" s="1084">
        <v>42471</v>
      </c>
      <c r="J295" s="957">
        <v>5729.24</v>
      </c>
    </row>
    <row r="296" spans="1:10" s="852" customFormat="1" outlineLevel="2">
      <c r="A296" s="878" t="s">
        <v>521</v>
      </c>
      <c r="B296" s="879" t="s">
        <v>7864</v>
      </c>
      <c r="C296" s="729" t="s">
        <v>518</v>
      </c>
      <c r="D296" s="924"/>
      <c r="E296" s="878" t="s">
        <v>2341</v>
      </c>
      <c r="F296" s="881" t="s">
        <v>5084</v>
      </c>
      <c r="G296" s="731" t="s">
        <v>3081</v>
      </c>
      <c r="H296" s="1083">
        <v>42401</v>
      </c>
      <c r="I296" s="1084">
        <v>42471</v>
      </c>
      <c r="J296" s="957">
        <v>213.64</v>
      </c>
    </row>
    <row r="297" spans="1:10" s="852" customFormat="1" outlineLevel="2">
      <c r="A297" s="878" t="s">
        <v>521</v>
      </c>
      <c r="B297" s="879" t="s">
        <v>7864</v>
      </c>
      <c r="C297" s="729" t="s">
        <v>518</v>
      </c>
      <c r="D297" s="924"/>
      <c r="E297" s="878" t="s">
        <v>2341</v>
      </c>
      <c r="F297" s="881" t="s">
        <v>5090</v>
      </c>
      <c r="G297" s="731" t="s">
        <v>3082</v>
      </c>
      <c r="H297" s="1083">
        <v>42401</v>
      </c>
      <c r="I297" s="1084">
        <v>42471</v>
      </c>
      <c r="J297" s="957">
        <v>219.41</v>
      </c>
    </row>
    <row r="298" spans="1:10" s="852" customFormat="1" outlineLevel="2">
      <c r="A298" s="878" t="s">
        <v>521</v>
      </c>
      <c r="B298" s="879" t="s">
        <v>7864</v>
      </c>
      <c r="C298" s="729" t="s">
        <v>518</v>
      </c>
      <c r="D298" s="924"/>
      <c r="E298" s="878" t="s">
        <v>2341</v>
      </c>
      <c r="F298" s="881" t="s">
        <v>5274</v>
      </c>
      <c r="G298" s="731" t="s">
        <v>3083</v>
      </c>
      <c r="H298" s="1083">
        <v>42401</v>
      </c>
      <c r="I298" s="1084">
        <v>42471</v>
      </c>
      <c r="J298" s="957">
        <v>144.35</v>
      </c>
    </row>
    <row r="299" spans="1:10" s="852" customFormat="1" outlineLevel="2">
      <c r="A299" s="878" t="s">
        <v>522</v>
      </c>
      <c r="B299" s="879" t="s">
        <v>7863</v>
      </c>
      <c r="C299" s="729" t="s">
        <v>518</v>
      </c>
      <c r="D299" s="924"/>
      <c r="E299" s="878" t="s">
        <v>523</v>
      </c>
      <c r="F299" s="881" t="s">
        <v>2208</v>
      </c>
      <c r="G299" s="731" t="s">
        <v>5563</v>
      </c>
      <c r="H299" s="1083">
        <v>42401</v>
      </c>
      <c r="I299" s="1084">
        <v>42464</v>
      </c>
      <c r="J299" s="957">
        <v>29625.26</v>
      </c>
    </row>
    <row r="300" spans="1:10" s="852" customFormat="1" outlineLevel="2">
      <c r="A300" s="878" t="s">
        <v>989</v>
      </c>
      <c r="B300" s="879" t="s">
        <v>7866</v>
      </c>
      <c r="C300" s="729" t="s">
        <v>518</v>
      </c>
      <c r="D300" s="924"/>
      <c r="E300" s="878" t="s">
        <v>1909</v>
      </c>
      <c r="F300" s="881" t="s">
        <v>3935</v>
      </c>
      <c r="G300" s="731" t="s">
        <v>2817</v>
      </c>
      <c r="H300" s="1083">
        <v>42401</v>
      </c>
      <c r="I300" s="1084">
        <v>42480</v>
      </c>
      <c r="J300" s="957">
        <v>241.68</v>
      </c>
    </row>
    <row r="301" spans="1:10" s="852" customFormat="1" outlineLevel="2">
      <c r="A301" s="878" t="s">
        <v>989</v>
      </c>
      <c r="B301" s="879" t="s">
        <v>7866</v>
      </c>
      <c r="C301" s="729" t="s">
        <v>518</v>
      </c>
      <c r="D301" s="924"/>
      <c r="E301" s="878" t="s">
        <v>1909</v>
      </c>
      <c r="F301" s="881" t="s">
        <v>4027</v>
      </c>
      <c r="G301" s="731" t="s">
        <v>2819</v>
      </c>
      <c r="H301" s="1083">
        <v>42401</v>
      </c>
      <c r="I301" s="1084">
        <v>42480</v>
      </c>
      <c r="J301" s="957">
        <v>7.72</v>
      </c>
    </row>
    <row r="302" spans="1:10" s="852" customFormat="1" outlineLevel="2">
      <c r="A302" s="878" t="s">
        <v>989</v>
      </c>
      <c r="B302" s="879" t="s">
        <v>7866</v>
      </c>
      <c r="C302" s="729" t="s">
        <v>518</v>
      </c>
      <c r="D302" s="924"/>
      <c r="E302" s="878" t="s">
        <v>1909</v>
      </c>
      <c r="F302" s="881" t="s">
        <v>4129</v>
      </c>
      <c r="G302" s="731" t="s">
        <v>2821</v>
      </c>
      <c r="H302" s="1083">
        <v>42401</v>
      </c>
      <c r="I302" s="1084">
        <v>42480</v>
      </c>
      <c r="J302" s="957">
        <v>91.18</v>
      </c>
    </row>
    <row r="303" spans="1:10" s="852" customFormat="1" outlineLevel="2">
      <c r="A303" s="878" t="s">
        <v>520</v>
      </c>
      <c r="B303" s="879" t="s">
        <v>7865</v>
      </c>
      <c r="C303" s="729" t="s">
        <v>518</v>
      </c>
      <c r="D303" s="924"/>
      <c r="E303" s="878" t="s">
        <v>1909</v>
      </c>
      <c r="F303" s="881" t="s">
        <v>6218</v>
      </c>
      <c r="G303" s="731" t="s">
        <v>3088</v>
      </c>
      <c r="H303" s="1083">
        <v>42401</v>
      </c>
      <c r="I303" s="1084">
        <v>42480</v>
      </c>
      <c r="J303" s="957">
        <v>2863.76</v>
      </c>
    </row>
    <row r="304" spans="1:10" s="852" customFormat="1" outlineLevel="2">
      <c r="A304" s="878" t="s">
        <v>521</v>
      </c>
      <c r="B304" s="879" t="s">
        <v>7864</v>
      </c>
      <c r="C304" s="729" t="s">
        <v>518</v>
      </c>
      <c r="D304" s="924"/>
      <c r="E304" s="878" t="s">
        <v>1909</v>
      </c>
      <c r="F304" s="881" t="s">
        <v>5086</v>
      </c>
      <c r="G304" s="731" t="s">
        <v>3103</v>
      </c>
      <c r="H304" s="1083">
        <v>42401</v>
      </c>
      <c r="I304" s="1084">
        <v>42480</v>
      </c>
      <c r="J304" s="957">
        <v>73.14</v>
      </c>
    </row>
    <row r="305" spans="1:10" s="852" customFormat="1" outlineLevel="2">
      <c r="A305" s="878" t="s">
        <v>521</v>
      </c>
      <c r="B305" s="879" t="s">
        <v>7864</v>
      </c>
      <c r="C305" s="729" t="s">
        <v>518</v>
      </c>
      <c r="D305" s="924"/>
      <c r="E305" s="878" t="s">
        <v>1909</v>
      </c>
      <c r="F305" s="881" t="s">
        <v>5268</v>
      </c>
      <c r="G305" s="731" t="s">
        <v>3104</v>
      </c>
      <c r="H305" s="1083">
        <v>42401</v>
      </c>
      <c r="I305" s="1084">
        <v>42480</v>
      </c>
      <c r="J305" s="957">
        <v>48.12</v>
      </c>
    </row>
    <row r="306" spans="1:10" s="852" customFormat="1" outlineLevel="2">
      <c r="A306" s="878" t="s">
        <v>521</v>
      </c>
      <c r="B306" s="879" t="s">
        <v>7864</v>
      </c>
      <c r="C306" s="729" t="s">
        <v>518</v>
      </c>
      <c r="D306" s="924"/>
      <c r="E306" s="878" t="s">
        <v>1909</v>
      </c>
      <c r="F306" s="881" t="s">
        <v>5080</v>
      </c>
      <c r="G306" s="731" t="s">
        <v>3102</v>
      </c>
      <c r="H306" s="1083">
        <v>42401</v>
      </c>
      <c r="I306" s="1084">
        <v>42480</v>
      </c>
      <c r="J306" s="957">
        <v>71.209999999999994</v>
      </c>
    </row>
    <row r="307" spans="1:10" s="852" customFormat="1" outlineLevel="2">
      <c r="A307" s="878" t="s">
        <v>522</v>
      </c>
      <c r="B307" s="879" t="s">
        <v>7863</v>
      </c>
      <c r="C307" s="729" t="s">
        <v>518</v>
      </c>
      <c r="D307" s="924"/>
      <c r="E307" s="878" t="s">
        <v>1909</v>
      </c>
      <c r="F307" s="881" t="s">
        <v>6219</v>
      </c>
      <c r="G307" s="731" t="s">
        <v>3090</v>
      </c>
      <c r="H307" s="1083">
        <v>42401</v>
      </c>
      <c r="I307" s="1084">
        <v>42480</v>
      </c>
      <c r="J307" s="957">
        <v>364.17</v>
      </c>
    </row>
    <row r="308" spans="1:10" s="852" customFormat="1" ht="28.5" outlineLevel="2">
      <c r="A308" s="878" t="s">
        <v>520</v>
      </c>
      <c r="B308" s="879" t="s">
        <v>7865</v>
      </c>
      <c r="C308" s="729" t="s">
        <v>518</v>
      </c>
      <c r="D308" s="924"/>
      <c r="E308" s="878" t="s">
        <v>1909</v>
      </c>
      <c r="F308" s="881" t="s">
        <v>6217</v>
      </c>
      <c r="G308" s="731" t="s">
        <v>3087</v>
      </c>
      <c r="H308" s="1083">
        <v>42401</v>
      </c>
      <c r="I308" s="1084">
        <v>42480</v>
      </c>
      <c r="J308" s="957">
        <v>2863.76</v>
      </c>
    </row>
    <row r="309" spans="1:10" s="852" customFormat="1" ht="28.5" outlineLevel="2">
      <c r="A309" s="878" t="s">
        <v>520</v>
      </c>
      <c r="B309" s="879" t="s">
        <v>7865</v>
      </c>
      <c r="C309" s="729" t="s">
        <v>518</v>
      </c>
      <c r="D309" s="924"/>
      <c r="E309" s="878" t="s">
        <v>1909</v>
      </c>
      <c r="F309" s="881" t="s">
        <v>3370</v>
      </c>
      <c r="G309" s="731" t="s">
        <v>3095</v>
      </c>
      <c r="H309" s="1083">
        <v>42401</v>
      </c>
      <c r="I309" s="1084">
        <v>42480</v>
      </c>
      <c r="J309" s="957">
        <v>2864.62</v>
      </c>
    </row>
    <row r="310" spans="1:10" s="852" customFormat="1" ht="28.5" outlineLevel="2">
      <c r="A310" s="878" t="s">
        <v>989</v>
      </c>
      <c r="B310" s="879" t="s">
        <v>7866</v>
      </c>
      <c r="C310" s="729" t="s">
        <v>518</v>
      </c>
      <c r="D310" s="924"/>
      <c r="E310" s="878" t="s">
        <v>1909</v>
      </c>
      <c r="F310" s="881" t="s">
        <v>4956</v>
      </c>
      <c r="G310" s="731" t="s">
        <v>2833</v>
      </c>
      <c r="H310" s="1083">
        <v>42401</v>
      </c>
      <c r="I310" s="1084">
        <v>42480</v>
      </c>
      <c r="J310" s="957">
        <v>749.2</v>
      </c>
    </row>
    <row r="311" spans="1:10" s="852" customFormat="1" ht="28.5" outlineLevel="2">
      <c r="A311" s="878" t="s">
        <v>989</v>
      </c>
      <c r="B311" s="879" t="s">
        <v>7866</v>
      </c>
      <c r="C311" s="729" t="s">
        <v>518</v>
      </c>
      <c r="D311" s="924"/>
      <c r="E311" s="878" t="s">
        <v>1909</v>
      </c>
      <c r="F311" s="881" t="s">
        <v>4903</v>
      </c>
      <c r="G311" s="731" t="s">
        <v>2832</v>
      </c>
      <c r="H311" s="1083">
        <v>42401</v>
      </c>
      <c r="I311" s="1084">
        <v>42480</v>
      </c>
      <c r="J311" s="957">
        <v>23.95</v>
      </c>
    </row>
    <row r="312" spans="1:10" s="852" customFormat="1" ht="28.5" outlineLevel="2">
      <c r="A312" s="878" t="s">
        <v>989</v>
      </c>
      <c r="B312" s="879" t="s">
        <v>7866</v>
      </c>
      <c r="C312" s="729" t="s">
        <v>518</v>
      </c>
      <c r="D312" s="924"/>
      <c r="E312" s="878" t="s">
        <v>1909</v>
      </c>
      <c r="F312" s="881" t="s">
        <v>4853</v>
      </c>
      <c r="G312" s="731" t="s">
        <v>2831</v>
      </c>
      <c r="H312" s="1083">
        <v>42401</v>
      </c>
      <c r="I312" s="1084">
        <v>42480</v>
      </c>
      <c r="J312" s="957">
        <v>282.67</v>
      </c>
    </row>
    <row r="313" spans="1:10" s="852" customFormat="1" ht="28.5" outlineLevel="2">
      <c r="A313" s="878" t="s">
        <v>520</v>
      </c>
      <c r="B313" s="879" t="s">
        <v>7865</v>
      </c>
      <c r="C313" s="729" t="s">
        <v>518</v>
      </c>
      <c r="D313" s="924"/>
      <c r="E313" s="878" t="s">
        <v>1909</v>
      </c>
      <c r="F313" s="881" t="s">
        <v>4773</v>
      </c>
      <c r="G313" s="731" t="s">
        <v>3100</v>
      </c>
      <c r="H313" s="1083">
        <v>42401</v>
      </c>
      <c r="I313" s="1084">
        <v>42480</v>
      </c>
      <c r="J313" s="957">
        <v>8877.66</v>
      </c>
    </row>
    <row r="314" spans="1:10" s="852" customFormat="1" ht="28.5" outlineLevel="2">
      <c r="A314" s="878" t="s">
        <v>521</v>
      </c>
      <c r="B314" s="879" t="s">
        <v>7864</v>
      </c>
      <c r="C314" s="729" t="s">
        <v>518</v>
      </c>
      <c r="D314" s="924"/>
      <c r="E314" s="878" t="s">
        <v>1909</v>
      </c>
      <c r="F314" s="881" t="s">
        <v>2884</v>
      </c>
      <c r="G314" s="731" t="s">
        <v>3089</v>
      </c>
      <c r="H314" s="1083">
        <v>42370</v>
      </c>
      <c r="I314" s="1084">
        <v>42480</v>
      </c>
      <c r="J314" s="957">
        <v>-223.74</v>
      </c>
    </row>
    <row r="315" spans="1:10" s="852" customFormat="1" ht="28.5" outlineLevel="2">
      <c r="A315" s="878" t="s">
        <v>521</v>
      </c>
      <c r="B315" s="879" t="s">
        <v>7864</v>
      </c>
      <c r="C315" s="729" t="s">
        <v>518</v>
      </c>
      <c r="D315" s="924"/>
      <c r="E315" s="878" t="s">
        <v>1909</v>
      </c>
      <c r="F315" s="881" t="s">
        <v>2884</v>
      </c>
      <c r="G315" s="731" t="s">
        <v>3091</v>
      </c>
      <c r="H315" s="1083">
        <v>42370</v>
      </c>
      <c r="I315" s="1084">
        <v>42480</v>
      </c>
      <c r="J315" s="957">
        <v>-223.75</v>
      </c>
    </row>
    <row r="316" spans="1:10" s="852" customFormat="1" ht="28.5" outlineLevel="2">
      <c r="A316" s="878" t="s">
        <v>521</v>
      </c>
      <c r="B316" s="879" t="s">
        <v>7864</v>
      </c>
      <c r="C316" s="729" t="s">
        <v>518</v>
      </c>
      <c r="D316" s="924"/>
      <c r="E316" s="878" t="s">
        <v>1909</v>
      </c>
      <c r="F316" s="881" t="s">
        <v>2884</v>
      </c>
      <c r="G316" s="731" t="s">
        <v>3092</v>
      </c>
      <c r="H316" s="1083">
        <v>42370</v>
      </c>
      <c r="I316" s="1084">
        <v>42480</v>
      </c>
      <c r="J316" s="957">
        <v>223.75</v>
      </c>
    </row>
    <row r="317" spans="1:10" s="852" customFormat="1" ht="28.5" outlineLevel="2">
      <c r="A317" s="878" t="s">
        <v>521</v>
      </c>
      <c r="B317" s="879" t="s">
        <v>7864</v>
      </c>
      <c r="C317" s="729" t="s">
        <v>518</v>
      </c>
      <c r="D317" s="924"/>
      <c r="E317" s="878" t="s">
        <v>1909</v>
      </c>
      <c r="F317" s="881" t="s">
        <v>2884</v>
      </c>
      <c r="G317" s="731" t="s">
        <v>3093</v>
      </c>
      <c r="H317" s="1083">
        <v>42370</v>
      </c>
      <c r="I317" s="1084">
        <v>42480</v>
      </c>
      <c r="J317" s="957">
        <v>223.74</v>
      </c>
    </row>
    <row r="318" spans="1:10" s="852" customFormat="1" ht="28.5" outlineLevel="2">
      <c r="A318" s="878" t="s">
        <v>521</v>
      </c>
      <c r="B318" s="879" t="s">
        <v>7864</v>
      </c>
      <c r="C318" s="729" t="s">
        <v>518</v>
      </c>
      <c r="D318" s="924"/>
      <c r="E318" s="878" t="s">
        <v>1909</v>
      </c>
      <c r="F318" s="881" t="s">
        <v>2884</v>
      </c>
      <c r="G318" s="731" t="s">
        <v>3094</v>
      </c>
      <c r="H318" s="1083">
        <v>42370</v>
      </c>
      <c r="I318" s="1084">
        <v>42480</v>
      </c>
      <c r="J318" s="957">
        <v>223.74</v>
      </c>
    </row>
    <row r="319" spans="1:10" s="852" customFormat="1" ht="28.5" outlineLevel="2">
      <c r="A319" s="878" t="s">
        <v>521</v>
      </c>
      <c r="B319" s="879" t="s">
        <v>7864</v>
      </c>
      <c r="C319" s="729" t="s">
        <v>518</v>
      </c>
      <c r="D319" s="924"/>
      <c r="E319" s="878" t="s">
        <v>1909</v>
      </c>
      <c r="F319" s="881" t="s">
        <v>3593</v>
      </c>
      <c r="G319" s="731" t="s">
        <v>3096</v>
      </c>
      <c r="H319" s="1083">
        <v>42370</v>
      </c>
      <c r="I319" s="1084">
        <v>42480</v>
      </c>
      <c r="J319" s="957">
        <v>-331.14</v>
      </c>
    </row>
    <row r="320" spans="1:10" s="852" customFormat="1" ht="28.5" outlineLevel="2">
      <c r="A320" s="878" t="s">
        <v>521</v>
      </c>
      <c r="B320" s="879" t="s">
        <v>7864</v>
      </c>
      <c r="C320" s="729" t="s">
        <v>518</v>
      </c>
      <c r="D320" s="924"/>
      <c r="E320" s="878" t="s">
        <v>1909</v>
      </c>
      <c r="F320" s="881" t="s">
        <v>3593</v>
      </c>
      <c r="G320" s="731" t="s">
        <v>3097</v>
      </c>
      <c r="H320" s="1083">
        <v>42370</v>
      </c>
      <c r="I320" s="1084">
        <v>42480</v>
      </c>
      <c r="J320" s="957">
        <v>331.14</v>
      </c>
    </row>
    <row r="321" spans="1:10" s="852" customFormat="1" ht="28.5" outlineLevel="2">
      <c r="A321" s="878" t="s">
        <v>521</v>
      </c>
      <c r="B321" s="879" t="s">
        <v>7864</v>
      </c>
      <c r="C321" s="729" t="s">
        <v>518</v>
      </c>
      <c r="D321" s="924"/>
      <c r="E321" s="878" t="s">
        <v>1909</v>
      </c>
      <c r="F321" s="881" t="s">
        <v>3593</v>
      </c>
      <c r="G321" s="731" t="s">
        <v>3098</v>
      </c>
      <c r="H321" s="1083">
        <v>42370</v>
      </c>
      <c r="I321" s="1084">
        <v>42480</v>
      </c>
      <c r="J321" s="957">
        <v>331.14</v>
      </c>
    </row>
    <row r="322" spans="1:10" s="852" customFormat="1" ht="28.5" outlineLevel="2">
      <c r="A322" s="878" t="s">
        <v>522</v>
      </c>
      <c r="B322" s="879" t="s">
        <v>7863</v>
      </c>
      <c r="C322" s="729" t="s">
        <v>518</v>
      </c>
      <c r="D322" s="924"/>
      <c r="E322" s="878" t="s">
        <v>1909</v>
      </c>
      <c r="F322" s="881" t="s">
        <v>6216</v>
      </c>
      <c r="G322" s="731" t="s">
        <v>3084</v>
      </c>
      <c r="H322" s="1083">
        <v>42370</v>
      </c>
      <c r="I322" s="1084">
        <v>42480</v>
      </c>
      <c r="J322" s="957">
        <v>1810.18</v>
      </c>
    </row>
    <row r="323" spans="1:10" s="852" customFormat="1" ht="28.5" outlineLevel="2">
      <c r="A323" s="878" t="s">
        <v>522</v>
      </c>
      <c r="B323" s="879" t="s">
        <v>7863</v>
      </c>
      <c r="C323" s="729" t="s">
        <v>518</v>
      </c>
      <c r="D323" s="924"/>
      <c r="E323" s="878" t="s">
        <v>1909</v>
      </c>
      <c r="F323" s="881" t="s">
        <v>6216</v>
      </c>
      <c r="G323" s="731" t="s">
        <v>3085</v>
      </c>
      <c r="H323" s="1083">
        <v>42370</v>
      </c>
      <c r="I323" s="1084">
        <v>42480</v>
      </c>
      <c r="J323" s="957">
        <v>1810.18</v>
      </c>
    </row>
    <row r="324" spans="1:10" s="852" customFormat="1" ht="28.5" outlineLevel="2">
      <c r="A324" s="878" t="s">
        <v>522</v>
      </c>
      <c r="B324" s="879" t="s">
        <v>7863</v>
      </c>
      <c r="C324" s="729" t="s">
        <v>518</v>
      </c>
      <c r="D324" s="924"/>
      <c r="E324" s="878" t="s">
        <v>1909</v>
      </c>
      <c r="F324" s="881" t="s">
        <v>6216</v>
      </c>
      <c r="G324" s="731" t="s">
        <v>3086</v>
      </c>
      <c r="H324" s="1083">
        <v>42370</v>
      </c>
      <c r="I324" s="1084">
        <v>42480</v>
      </c>
      <c r="J324" s="957">
        <v>-1810.18</v>
      </c>
    </row>
    <row r="325" spans="1:10" s="852" customFormat="1" ht="28.5" outlineLevel="2">
      <c r="A325" s="878" t="s">
        <v>520</v>
      </c>
      <c r="B325" s="879" t="s">
        <v>7865</v>
      </c>
      <c r="C325" s="729" t="s">
        <v>518</v>
      </c>
      <c r="D325" s="924"/>
      <c r="E325" s="878" t="s">
        <v>1909</v>
      </c>
      <c r="F325" s="881" t="s">
        <v>4834</v>
      </c>
      <c r="G325" s="731" t="s">
        <v>3101</v>
      </c>
      <c r="H325" s="1083">
        <v>42401</v>
      </c>
      <c r="I325" s="1084">
        <v>42480</v>
      </c>
      <c r="J325" s="957">
        <v>8877.65</v>
      </c>
    </row>
    <row r="326" spans="1:10" s="852" customFormat="1" ht="28.5" outlineLevel="2">
      <c r="A326" s="878" t="s">
        <v>520</v>
      </c>
      <c r="B326" s="879" t="s">
        <v>7865</v>
      </c>
      <c r="C326" s="729" t="s">
        <v>518</v>
      </c>
      <c r="D326" s="924"/>
      <c r="E326" s="878" t="s">
        <v>1909</v>
      </c>
      <c r="F326" s="881" t="s">
        <v>4632</v>
      </c>
      <c r="G326" s="731" t="s">
        <v>3099</v>
      </c>
      <c r="H326" s="1083">
        <v>42401</v>
      </c>
      <c r="I326" s="1084">
        <v>42480</v>
      </c>
      <c r="J326" s="957">
        <v>8880.32</v>
      </c>
    </row>
    <row r="327" spans="1:10" s="852" customFormat="1" outlineLevel="2">
      <c r="A327" s="878" t="s">
        <v>520</v>
      </c>
      <c r="B327" s="879" t="s">
        <v>7865</v>
      </c>
      <c r="C327" s="729" t="s">
        <v>518</v>
      </c>
      <c r="D327" s="924"/>
      <c r="E327" s="878" t="s">
        <v>493</v>
      </c>
      <c r="F327" s="881" t="s">
        <v>1094</v>
      </c>
      <c r="G327" s="731" t="s">
        <v>5839</v>
      </c>
      <c r="H327" s="1083">
        <v>42430</v>
      </c>
      <c r="I327" s="1084">
        <v>42489</v>
      </c>
      <c r="J327" s="957">
        <v>162964.98000000001</v>
      </c>
    </row>
    <row r="328" spans="1:10" s="852" customFormat="1" outlineLevel="2">
      <c r="A328" s="878" t="s">
        <v>520</v>
      </c>
      <c r="B328" s="879" t="s">
        <v>7865</v>
      </c>
      <c r="C328" s="729" t="s">
        <v>518</v>
      </c>
      <c r="D328" s="924"/>
      <c r="E328" s="878" t="s">
        <v>488</v>
      </c>
      <c r="F328" s="881" t="s">
        <v>1094</v>
      </c>
      <c r="G328" s="731" t="s">
        <v>5854</v>
      </c>
      <c r="H328" s="1083">
        <v>42430</v>
      </c>
      <c r="I328" s="1084">
        <v>42489</v>
      </c>
      <c r="J328" s="957">
        <v>163013.85999999999</v>
      </c>
    </row>
    <row r="329" spans="1:10" s="852" customFormat="1" outlineLevel="1">
      <c r="A329" s="878"/>
      <c r="B329" s="879" t="s">
        <v>258</v>
      </c>
      <c r="C329" s="908" t="s">
        <v>518</v>
      </c>
      <c r="D329" s="928" t="str">
        <f>VLOOKUP(C329,$C$3691:$D$3771,2,FALSE)</f>
        <v>TOTAL POUPATEMPO  MOGI DAS CRUZES</v>
      </c>
      <c r="E329" s="1085"/>
      <c r="F329" s="929"/>
      <c r="G329" s="910"/>
      <c r="H329" s="1086"/>
      <c r="I329" s="1087"/>
      <c r="J329" s="930">
        <f>SUBTOTAL(9,J275:J328)</f>
        <v>626915.48</v>
      </c>
    </row>
    <row r="330" spans="1:10" s="852" customFormat="1" outlineLevel="2">
      <c r="A330" s="878" t="s">
        <v>529</v>
      </c>
      <c r="B330" s="879" t="s">
        <v>7865</v>
      </c>
      <c r="C330" s="729" t="s">
        <v>525</v>
      </c>
      <c r="D330" s="924"/>
      <c r="E330" s="878" t="s">
        <v>533</v>
      </c>
      <c r="F330" s="881" t="s">
        <v>1094</v>
      </c>
      <c r="G330" s="731" t="s">
        <v>5775</v>
      </c>
      <c r="H330" s="1083">
        <v>42430</v>
      </c>
      <c r="I330" s="1084">
        <v>42489</v>
      </c>
      <c r="J330" s="957">
        <v>255654.24</v>
      </c>
    </row>
    <row r="331" spans="1:10" s="852" customFormat="1" outlineLevel="2">
      <c r="A331" s="878" t="s">
        <v>529</v>
      </c>
      <c r="B331" s="879" t="s">
        <v>7865</v>
      </c>
      <c r="C331" s="729" t="s">
        <v>525</v>
      </c>
      <c r="D331" s="924"/>
      <c r="E331" s="878" t="s">
        <v>530</v>
      </c>
      <c r="F331" s="881" t="s">
        <v>1094</v>
      </c>
      <c r="G331" s="731" t="s">
        <v>2664</v>
      </c>
      <c r="H331" s="1083">
        <v>42430</v>
      </c>
      <c r="I331" s="1084">
        <v>42489</v>
      </c>
      <c r="J331" s="957">
        <v>255654.24</v>
      </c>
    </row>
    <row r="332" spans="1:10" s="852" customFormat="1" outlineLevel="2">
      <c r="A332" s="878" t="s">
        <v>5947</v>
      </c>
      <c r="B332" s="879" t="s">
        <v>7864</v>
      </c>
      <c r="C332" s="729" t="s">
        <v>525</v>
      </c>
      <c r="D332" s="924"/>
      <c r="E332" s="878" t="s">
        <v>6470</v>
      </c>
      <c r="F332" s="881" t="s">
        <v>434</v>
      </c>
      <c r="G332" s="731" t="str">
        <f>"2671"</f>
        <v>2671</v>
      </c>
      <c r="H332" s="1083">
        <v>42370</v>
      </c>
      <c r="I332" s="1084">
        <v>42478</v>
      </c>
      <c r="J332" s="957">
        <v>3741.75</v>
      </c>
    </row>
    <row r="333" spans="1:10" s="852" customFormat="1" outlineLevel="2">
      <c r="A333" s="878" t="s">
        <v>5947</v>
      </c>
      <c r="B333" s="879" t="s">
        <v>7864</v>
      </c>
      <c r="C333" s="729" t="s">
        <v>525</v>
      </c>
      <c r="D333" s="924"/>
      <c r="E333" s="878" t="s">
        <v>6470</v>
      </c>
      <c r="F333" s="881" t="s">
        <v>434</v>
      </c>
      <c r="G333" s="731" t="str">
        <f>"2671"</f>
        <v>2671</v>
      </c>
      <c r="H333" s="1083">
        <v>42370</v>
      </c>
      <c r="I333" s="1084">
        <v>42478</v>
      </c>
      <c r="J333" s="957">
        <v>3741.75</v>
      </c>
    </row>
    <row r="334" spans="1:10" s="852" customFormat="1" outlineLevel="2">
      <c r="A334" s="878" t="s">
        <v>5947</v>
      </c>
      <c r="B334" s="879" t="s">
        <v>7864</v>
      </c>
      <c r="C334" s="729" t="s">
        <v>525</v>
      </c>
      <c r="D334" s="924"/>
      <c r="E334" s="878" t="s">
        <v>6470</v>
      </c>
      <c r="F334" s="881" t="s">
        <v>434</v>
      </c>
      <c r="G334" s="731" t="str">
        <f>"2671"</f>
        <v>2671</v>
      </c>
      <c r="H334" s="1083">
        <v>42370</v>
      </c>
      <c r="I334" s="1084">
        <v>42478</v>
      </c>
      <c r="J334" s="957">
        <v>-3741.75</v>
      </c>
    </row>
    <row r="335" spans="1:10" s="852" customFormat="1" outlineLevel="2">
      <c r="A335" s="878" t="s">
        <v>5947</v>
      </c>
      <c r="B335" s="879" t="s">
        <v>7864</v>
      </c>
      <c r="C335" s="729" t="s">
        <v>525</v>
      </c>
      <c r="D335" s="924"/>
      <c r="E335" s="878" t="s">
        <v>6470</v>
      </c>
      <c r="F335" s="881" t="s">
        <v>434</v>
      </c>
      <c r="G335" s="731" t="str">
        <f>"2671"</f>
        <v>2671</v>
      </c>
      <c r="H335" s="1083">
        <v>42370</v>
      </c>
      <c r="I335" s="1084">
        <v>42478</v>
      </c>
      <c r="J335" s="957">
        <v>3741.75</v>
      </c>
    </row>
    <row r="336" spans="1:10" s="852" customFormat="1" outlineLevel="2">
      <c r="A336" s="878" t="s">
        <v>5947</v>
      </c>
      <c r="B336" s="879" t="s">
        <v>7864</v>
      </c>
      <c r="C336" s="729" t="s">
        <v>525</v>
      </c>
      <c r="D336" s="924"/>
      <c r="E336" s="878" t="s">
        <v>6470</v>
      </c>
      <c r="F336" s="881" t="s">
        <v>434</v>
      </c>
      <c r="G336" s="731" t="str">
        <f>"2671"</f>
        <v>2671</v>
      </c>
      <c r="H336" s="1083">
        <v>42370</v>
      </c>
      <c r="I336" s="1084">
        <v>42478</v>
      </c>
      <c r="J336" s="957">
        <v>-3741.75</v>
      </c>
    </row>
    <row r="337" spans="1:10" s="852" customFormat="1" outlineLevel="2">
      <c r="A337" s="878" t="s">
        <v>529</v>
      </c>
      <c r="B337" s="879" t="s">
        <v>7865</v>
      </c>
      <c r="C337" s="729" t="s">
        <v>525</v>
      </c>
      <c r="D337" s="924"/>
      <c r="E337" s="878" t="s">
        <v>2336</v>
      </c>
      <c r="F337" s="881" t="s">
        <v>3284</v>
      </c>
      <c r="G337" s="731" t="s">
        <v>3106</v>
      </c>
      <c r="H337" s="1083">
        <v>42401</v>
      </c>
      <c r="I337" s="1084">
        <v>42480</v>
      </c>
      <c r="J337" s="957">
        <v>3007.75</v>
      </c>
    </row>
    <row r="338" spans="1:10" s="852" customFormat="1" outlineLevel="2">
      <c r="A338" s="878" t="s">
        <v>529</v>
      </c>
      <c r="B338" s="879" t="s">
        <v>7865</v>
      </c>
      <c r="C338" s="729" t="s">
        <v>525</v>
      </c>
      <c r="D338" s="924"/>
      <c r="E338" s="878" t="s">
        <v>2336</v>
      </c>
      <c r="F338" s="881" t="s">
        <v>3284</v>
      </c>
      <c r="G338" s="731" t="s">
        <v>3106</v>
      </c>
      <c r="H338" s="1083">
        <v>42401</v>
      </c>
      <c r="I338" s="1084">
        <v>42480</v>
      </c>
      <c r="J338" s="957">
        <v>3336.73</v>
      </c>
    </row>
    <row r="339" spans="1:10" s="852" customFormat="1" outlineLevel="2">
      <c r="A339" s="878" t="s">
        <v>529</v>
      </c>
      <c r="B339" s="879" t="s">
        <v>7865</v>
      </c>
      <c r="C339" s="729" t="s">
        <v>525</v>
      </c>
      <c r="D339" s="924"/>
      <c r="E339" s="878" t="s">
        <v>2336</v>
      </c>
      <c r="F339" s="881" t="s">
        <v>3362</v>
      </c>
      <c r="G339" s="731" t="s">
        <v>3108</v>
      </c>
      <c r="H339" s="1083">
        <v>42401</v>
      </c>
      <c r="I339" s="1084">
        <v>42480</v>
      </c>
      <c r="J339" s="957">
        <v>3007.75</v>
      </c>
    </row>
    <row r="340" spans="1:10" s="852" customFormat="1" outlineLevel="2">
      <c r="A340" s="878" t="s">
        <v>529</v>
      </c>
      <c r="B340" s="879" t="s">
        <v>7865</v>
      </c>
      <c r="C340" s="729" t="s">
        <v>525</v>
      </c>
      <c r="D340" s="924"/>
      <c r="E340" s="878" t="s">
        <v>2336</v>
      </c>
      <c r="F340" s="881" t="s">
        <v>3362</v>
      </c>
      <c r="G340" s="731" t="s">
        <v>3108</v>
      </c>
      <c r="H340" s="1083">
        <v>42401</v>
      </c>
      <c r="I340" s="1084">
        <v>42480</v>
      </c>
      <c r="J340" s="957">
        <v>3336.73</v>
      </c>
    </row>
    <row r="341" spans="1:10" s="852" customFormat="1" outlineLevel="2">
      <c r="A341" s="878" t="s">
        <v>526</v>
      </c>
      <c r="B341" s="879" t="s">
        <v>7864</v>
      </c>
      <c r="C341" s="729" t="s">
        <v>525</v>
      </c>
      <c r="D341" s="924"/>
      <c r="E341" s="878" t="s">
        <v>2336</v>
      </c>
      <c r="F341" s="881" t="s">
        <v>3542</v>
      </c>
      <c r="G341" s="731" t="s">
        <v>3115</v>
      </c>
      <c r="H341" s="1083">
        <v>42401</v>
      </c>
      <c r="I341" s="1084">
        <v>42480</v>
      </c>
      <c r="J341" s="957">
        <v>512.25</v>
      </c>
    </row>
    <row r="342" spans="1:10" s="852" customFormat="1" outlineLevel="2">
      <c r="A342" s="878" t="s">
        <v>526</v>
      </c>
      <c r="B342" s="879" t="s">
        <v>7864</v>
      </c>
      <c r="C342" s="729" t="s">
        <v>525</v>
      </c>
      <c r="D342" s="924"/>
      <c r="E342" s="878" t="s">
        <v>2336</v>
      </c>
      <c r="F342" s="881" t="s">
        <v>3057</v>
      </c>
      <c r="G342" s="731" t="s">
        <v>3105</v>
      </c>
      <c r="H342" s="1083">
        <v>42401</v>
      </c>
      <c r="I342" s="1084">
        <v>42480</v>
      </c>
      <c r="J342" s="957">
        <v>337.01</v>
      </c>
    </row>
    <row r="343" spans="1:10" s="852" customFormat="1" outlineLevel="2">
      <c r="A343" s="878" t="s">
        <v>526</v>
      </c>
      <c r="B343" s="879" t="s">
        <v>7864</v>
      </c>
      <c r="C343" s="729" t="s">
        <v>525</v>
      </c>
      <c r="D343" s="924"/>
      <c r="E343" s="878" t="s">
        <v>2336</v>
      </c>
      <c r="F343" s="881" t="s">
        <v>3532</v>
      </c>
      <c r="G343" s="731" t="s">
        <v>3113</v>
      </c>
      <c r="H343" s="1083">
        <v>42401</v>
      </c>
      <c r="I343" s="1084">
        <v>42480</v>
      </c>
      <c r="J343" s="957">
        <v>498.77</v>
      </c>
    </row>
    <row r="344" spans="1:10" s="852" customFormat="1" outlineLevel="2">
      <c r="A344" s="878" t="s">
        <v>2595</v>
      </c>
      <c r="B344" s="879" t="s">
        <v>7863</v>
      </c>
      <c r="C344" s="729" t="s">
        <v>525</v>
      </c>
      <c r="D344" s="924"/>
      <c r="E344" s="878" t="s">
        <v>2336</v>
      </c>
      <c r="F344" s="881" t="s">
        <v>3502</v>
      </c>
      <c r="G344" s="731" t="s">
        <v>3111</v>
      </c>
      <c r="H344" s="1083">
        <v>42401</v>
      </c>
      <c r="I344" s="1084">
        <v>42480</v>
      </c>
      <c r="J344" s="957">
        <v>2146.87</v>
      </c>
    </row>
    <row r="345" spans="1:10" s="852" customFormat="1" outlineLevel="2">
      <c r="A345" s="878" t="s">
        <v>5947</v>
      </c>
      <c r="B345" s="879" t="s">
        <v>7864</v>
      </c>
      <c r="C345" s="729" t="s">
        <v>525</v>
      </c>
      <c r="D345" s="924"/>
      <c r="E345" s="878" t="s">
        <v>2717</v>
      </c>
      <c r="F345" s="881" t="s">
        <v>434</v>
      </c>
      <c r="G345" s="731" t="str">
        <f>"3570"</f>
        <v>3570</v>
      </c>
      <c r="H345" s="1083">
        <v>42401</v>
      </c>
      <c r="I345" s="1084">
        <v>42467</v>
      </c>
      <c r="J345" s="957">
        <v>2461.67</v>
      </c>
    </row>
    <row r="346" spans="1:10" s="852" customFormat="1" outlineLevel="2">
      <c r="A346" s="878" t="s">
        <v>5947</v>
      </c>
      <c r="B346" s="879" t="s">
        <v>7864</v>
      </c>
      <c r="C346" s="729" t="s">
        <v>525</v>
      </c>
      <c r="D346" s="924"/>
      <c r="E346" s="878" t="s">
        <v>409</v>
      </c>
      <c r="F346" s="881" t="s">
        <v>434</v>
      </c>
      <c r="G346" s="731" t="str">
        <f>"6713"</f>
        <v>6713</v>
      </c>
      <c r="H346" s="1083">
        <v>42401</v>
      </c>
      <c r="I346" s="1084">
        <v>42475</v>
      </c>
      <c r="J346" s="957">
        <v>3643.28</v>
      </c>
    </row>
    <row r="347" spans="1:10" s="852" customFormat="1" outlineLevel="2">
      <c r="A347" s="878" t="s">
        <v>991</v>
      </c>
      <c r="B347" s="879" t="s">
        <v>7866</v>
      </c>
      <c r="C347" s="729" t="s">
        <v>525</v>
      </c>
      <c r="D347" s="924"/>
      <c r="E347" s="878" t="s">
        <v>2282</v>
      </c>
      <c r="F347" s="881" t="s">
        <v>3974</v>
      </c>
      <c r="G347" s="731" t="s">
        <v>2779</v>
      </c>
      <c r="H347" s="1083">
        <v>42401</v>
      </c>
      <c r="I347" s="1084">
        <v>42471</v>
      </c>
      <c r="J347" s="957">
        <v>838.65</v>
      </c>
    </row>
    <row r="348" spans="1:10" s="852" customFormat="1" outlineLevel="2">
      <c r="A348" s="878" t="s">
        <v>991</v>
      </c>
      <c r="B348" s="879" t="s">
        <v>7866</v>
      </c>
      <c r="C348" s="729" t="s">
        <v>525</v>
      </c>
      <c r="D348" s="924"/>
      <c r="E348" s="878" t="s">
        <v>2282</v>
      </c>
      <c r="F348" s="881" t="s">
        <v>4081</v>
      </c>
      <c r="G348" s="731" t="s">
        <v>2781</v>
      </c>
      <c r="H348" s="1083">
        <v>42401</v>
      </c>
      <c r="I348" s="1084">
        <v>42471</v>
      </c>
      <c r="J348" s="957">
        <v>26.81</v>
      </c>
    </row>
    <row r="349" spans="1:10" s="852" customFormat="1" outlineLevel="2">
      <c r="A349" s="878" t="s">
        <v>991</v>
      </c>
      <c r="B349" s="879" t="s">
        <v>7866</v>
      </c>
      <c r="C349" s="729" t="s">
        <v>525</v>
      </c>
      <c r="D349" s="924"/>
      <c r="E349" s="878" t="s">
        <v>2282</v>
      </c>
      <c r="F349" s="881" t="s">
        <v>4165</v>
      </c>
      <c r="G349" s="731" t="s">
        <v>2782</v>
      </c>
      <c r="H349" s="1083">
        <v>42401</v>
      </c>
      <c r="I349" s="1084">
        <v>42471</v>
      </c>
      <c r="J349" s="957">
        <v>316.42</v>
      </c>
    </row>
    <row r="350" spans="1:10" s="852" customFormat="1" outlineLevel="2">
      <c r="A350" s="878" t="s">
        <v>526</v>
      </c>
      <c r="B350" s="879" t="s">
        <v>7864</v>
      </c>
      <c r="C350" s="729" t="s">
        <v>525</v>
      </c>
      <c r="D350" s="924"/>
      <c r="E350" s="878" t="s">
        <v>2342</v>
      </c>
      <c r="F350" s="881" t="s">
        <v>3058</v>
      </c>
      <c r="G350" s="731" t="s">
        <v>3120</v>
      </c>
      <c r="H350" s="1083">
        <v>42401</v>
      </c>
      <c r="I350" s="1084">
        <v>42471</v>
      </c>
      <c r="J350" s="957">
        <v>91.91</v>
      </c>
    </row>
    <row r="351" spans="1:10" s="852" customFormat="1" outlineLevel="2">
      <c r="A351" s="878" t="s">
        <v>529</v>
      </c>
      <c r="B351" s="879" t="s">
        <v>7865</v>
      </c>
      <c r="C351" s="729" t="s">
        <v>525</v>
      </c>
      <c r="D351" s="924"/>
      <c r="E351" s="878" t="s">
        <v>2342</v>
      </c>
      <c r="F351" s="881" t="s">
        <v>3287</v>
      </c>
      <c r="G351" s="731" t="s">
        <v>3122</v>
      </c>
      <c r="H351" s="1083">
        <v>42401</v>
      </c>
      <c r="I351" s="1084">
        <v>42471</v>
      </c>
      <c r="J351" s="957">
        <v>4101.4799999999996</v>
      </c>
    </row>
    <row r="352" spans="1:10" s="852" customFormat="1" outlineLevel="2">
      <c r="A352" s="878" t="s">
        <v>529</v>
      </c>
      <c r="B352" s="879" t="s">
        <v>7865</v>
      </c>
      <c r="C352" s="729" t="s">
        <v>525</v>
      </c>
      <c r="D352" s="924"/>
      <c r="E352" s="878" t="s">
        <v>2342</v>
      </c>
      <c r="F352" s="881" t="s">
        <v>3287</v>
      </c>
      <c r="G352" s="731" t="s">
        <v>3122</v>
      </c>
      <c r="H352" s="1083">
        <v>42401</v>
      </c>
      <c r="I352" s="1084">
        <v>42471</v>
      </c>
      <c r="J352" s="957">
        <v>4550.09</v>
      </c>
    </row>
    <row r="353" spans="1:10" s="852" customFormat="1" outlineLevel="2">
      <c r="A353" s="878" t="s">
        <v>529</v>
      </c>
      <c r="B353" s="879" t="s">
        <v>7865</v>
      </c>
      <c r="C353" s="729" t="s">
        <v>525</v>
      </c>
      <c r="D353" s="924"/>
      <c r="E353" s="878" t="s">
        <v>2342</v>
      </c>
      <c r="F353" s="881" t="s">
        <v>3365</v>
      </c>
      <c r="G353" s="731" t="s">
        <v>3125</v>
      </c>
      <c r="H353" s="1083">
        <v>42401</v>
      </c>
      <c r="I353" s="1084">
        <v>42471</v>
      </c>
      <c r="J353" s="957">
        <v>4101.4799999999996</v>
      </c>
    </row>
    <row r="354" spans="1:10" s="852" customFormat="1" outlineLevel="2">
      <c r="A354" s="878" t="s">
        <v>529</v>
      </c>
      <c r="B354" s="879" t="s">
        <v>7865</v>
      </c>
      <c r="C354" s="729" t="s">
        <v>525</v>
      </c>
      <c r="D354" s="924"/>
      <c r="E354" s="878" t="s">
        <v>2342</v>
      </c>
      <c r="F354" s="881" t="s">
        <v>3365</v>
      </c>
      <c r="G354" s="731" t="s">
        <v>3125</v>
      </c>
      <c r="H354" s="1083">
        <v>42401</v>
      </c>
      <c r="I354" s="1084">
        <v>42471</v>
      </c>
      <c r="J354" s="957">
        <v>4550.09</v>
      </c>
    </row>
    <row r="355" spans="1:10" s="852" customFormat="1" outlineLevel="2">
      <c r="A355" s="878" t="s">
        <v>2595</v>
      </c>
      <c r="B355" s="879" t="s">
        <v>7863</v>
      </c>
      <c r="C355" s="729" t="s">
        <v>525</v>
      </c>
      <c r="D355" s="924"/>
      <c r="E355" s="878" t="s">
        <v>2342</v>
      </c>
      <c r="F355" s="881" t="s">
        <v>3504</v>
      </c>
      <c r="G355" s="731" t="s">
        <v>3128</v>
      </c>
      <c r="H355" s="1083">
        <v>42401</v>
      </c>
      <c r="I355" s="1084">
        <v>42471</v>
      </c>
      <c r="J355" s="957">
        <v>585.51</v>
      </c>
    </row>
    <row r="356" spans="1:10" s="852" customFormat="1" outlineLevel="2">
      <c r="A356" s="878" t="s">
        <v>526</v>
      </c>
      <c r="B356" s="879" t="s">
        <v>7864</v>
      </c>
      <c r="C356" s="729" t="s">
        <v>525</v>
      </c>
      <c r="D356" s="924"/>
      <c r="E356" s="878" t="s">
        <v>2342</v>
      </c>
      <c r="F356" s="881" t="s">
        <v>3534</v>
      </c>
      <c r="G356" s="731" t="s">
        <v>3129</v>
      </c>
      <c r="H356" s="1083">
        <v>42401</v>
      </c>
      <c r="I356" s="1084">
        <v>42471</v>
      </c>
      <c r="J356" s="957">
        <v>136.03</v>
      </c>
    </row>
    <row r="357" spans="1:10" s="852" customFormat="1" outlineLevel="2">
      <c r="A357" s="878" t="s">
        <v>526</v>
      </c>
      <c r="B357" s="879" t="s">
        <v>7864</v>
      </c>
      <c r="C357" s="729" t="s">
        <v>525</v>
      </c>
      <c r="D357" s="924"/>
      <c r="E357" s="878" t="s">
        <v>2342</v>
      </c>
      <c r="F357" s="881" t="s">
        <v>3543</v>
      </c>
      <c r="G357" s="731" t="s">
        <v>3130</v>
      </c>
      <c r="H357" s="1083">
        <v>42401</v>
      </c>
      <c r="I357" s="1084">
        <v>42471</v>
      </c>
      <c r="J357" s="957">
        <v>139.69999999999999</v>
      </c>
    </row>
    <row r="358" spans="1:10" s="852" customFormat="1" outlineLevel="2">
      <c r="A358" s="878" t="s">
        <v>529</v>
      </c>
      <c r="B358" s="879" t="s">
        <v>7865</v>
      </c>
      <c r="C358" s="729" t="s">
        <v>525</v>
      </c>
      <c r="D358" s="924"/>
      <c r="E358" s="878" t="s">
        <v>1909</v>
      </c>
      <c r="F358" s="881" t="s">
        <v>3282</v>
      </c>
      <c r="G358" s="731" t="s">
        <v>3138</v>
      </c>
      <c r="H358" s="1083">
        <v>42401</v>
      </c>
      <c r="I358" s="1084">
        <v>42480</v>
      </c>
      <c r="J358" s="957">
        <v>2050.7399999999998</v>
      </c>
    </row>
    <row r="359" spans="1:10" s="852" customFormat="1" outlineLevel="2">
      <c r="A359" s="878" t="s">
        <v>529</v>
      </c>
      <c r="B359" s="879" t="s">
        <v>7865</v>
      </c>
      <c r="C359" s="729" t="s">
        <v>525</v>
      </c>
      <c r="D359" s="924"/>
      <c r="E359" s="878" t="s">
        <v>1909</v>
      </c>
      <c r="F359" s="881" t="s">
        <v>3282</v>
      </c>
      <c r="G359" s="731" t="s">
        <v>3138</v>
      </c>
      <c r="H359" s="1083">
        <v>42401</v>
      </c>
      <c r="I359" s="1084">
        <v>42480</v>
      </c>
      <c r="J359" s="957">
        <v>2275.04</v>
      </c>
    </row>
    <row r="360" spans="1:10" s="852" customFormat="1" outlineLevel="2">
      <c r="A360" s="878" t="s">
        <v>991</v>
      </c>
      <c r="B360" s="879" t="s">
        <v>7866</v>
      </c>
      <c r="C360" s="729" t="s">
        <v>525</v>
      </c>
      <c r="D360" s="924"/>
      <c r="E360" s="878" t="s">
        <v>1909</v>
      </c>
      <c r="F360" s="881" t="s">
        <v>3935</v>
      </c>
      <c r="G360" s="731" t="s">
        <v>2817</v>
      </c>
      <c r="H360" s="1083">
        <v>42401</v>
      </c>
      <c r="I360" s="1084">
        <v>42480</v>
      </c>
      <c r="J360" s="957">
        <v>251.59</v>
      </c>
    </row>
    <row r="361" spans="1:10" s="852" customFormat="1" outlineLevel="2">
      <c r="A361" s="878" t="s">
        <v>991</v>
      </c>
      <c r="B361" s="879" t="s">
        <v>7866</v>
      </c>
      <c r="C361" s="729" t="s">
        <v>525</v>
      </c>
      <c r="D361" s="924"/>
      <c r="E361" s="878" t="s">
        <v>1909</v>
      </c>
      <c r="F361" s="881" t="s">
        <v>4027</v>
      </c>
      <c r="G361" s="731" t="s">
        <v>2819</v>
      </c>
      <c r="H361" s="1083">
        <v>42401</v>
      </c>
      <c r="I361" s="1084">
        <v>42480</v>
      </c>
      <c r="J361" s="957">
        <v>8.0399999999999991</v>
      </c>
    </row>
    <row r="362" spans="1:10" s="852" customFormat="1" outlineLevel="2">
      <c r="A362" s="878" t="s">
        <v>991</v>
      </c>
      <c r="B362" s="879" t="s">
        <v>7866</v>
      </c>
      <c r="C362" s="729" t="s">
        <v>525</v>
      </c>
      <c r="D362" s="924"/>
      <c r="E362" s="878" t="s">
        <v>1909</v>
      </c>
      <c r="F362" s="881" t="s">
        <v>4129</v>
      </c>
      <c r="G362" s="731" t="s">
        <v>2821</v>
      </c>
      <c r="H362" s="1083">
        <v>42401</v>
      </c>
      <c r="I362" s="1084">
        <v>42480</v>
      </c>
      <c r="J362" s="957">
        <v>94.92</v>
      </c>
    </row>
    <row r="363" spans="1:10" s="852" customFormat="1" outlineLevel="2">
      <c r="A363" s="878" t="s">
        <v>529</v>
      </c>
      <c r="B363" s="879" t="s">
        <v>7865</v>
      </c>
      <c r="C363" s="729" t="s">
        <v>525</v>
      </c>
      <c r="D363" s="924"/>
      <c r="E363" s="878" t="s">
        <v>1909</v>
      </c>
      <c r="F363" s="881" t="s">
        <v>3360</v>
      </c>
      <c r="G363" s="731" t="s">
        <v>3139</v>
      </c>
      <c r="H363" s="1083">
        <v>42401</v>
      </c>
      <c r="I363" s="1084">
        <v>42480</v>
      </c>
      <c r="J363" s="957">
        <v>2050.7399999999998</v>
      </c>
    </row>
    <row r="364" spans="1:10" s="852" customFormat="1" outlineLevel="2">
      <c r="A364" s="878" t="s">
        <v>529</v>
      </c>
      <c r="B364" s="879" t="s">
        <v>7865</v>
      </c>
      <c r="C364" s="729" t="s">
        <v>525</v>
      </c>
      <c r="D364" s="924"/>
      <c r="E364" s="878" t="s">
        <v>1909</v>
      </c>
      <c r="F364" s="881" t="s">
        <v>3360</v>
      </c>
      <c r="G364" s="731" t="s">
        <v>3139</v>
      </c>
      <c r="H364" s="1083">
        <v>42401</v>
      </c>
      <c r="I364" s="1084">
        <v>42480</v>
      </c>
      <c r="J364" s="957">
        <v>2275.04</v>
      </c>
    </row>
    <row r="365" spans="1:10" s="852" customFormat="1" outlineLevel="2">
      <c r="A365" s="878" t="s">
        <v>526</v>
      </c>
      <c r="B365" s="879" t="s">
        <v>7864</v>
      </c>
      <c r="C365" s="729" t="s">
        <v>525</v>
      </c>
      <c r="D365" s="924"/>
      <c r="E365" s="878" t="s">
        <v>1909</v>
      </c>
      <c r="F365" s="881" t="s">
        <v>3541</v>
      </c>
      <c r="G365" s="731" t="s">
        <v>3142</v>
      </c>
      <c r="H365" s="1083">
        <v>42401</v>
      </c>
      <c r="I365" s="1084">
        <v>42480</v>
      </c>
      <c r="J365" s="957">
        <v>46.57</v>
      </c>
    </row>
    <row r="366" spans="1:10" s="852" customFormat="1" outlineLevel="2">
      <c r="A366" s="878" t="s">
        <v>526</v>
      </c>
      <c r="B366" s="879" t="s">
        <v>7864</v>
      </c>
      <c r="C366" s="729" t="s">
        <v>525</v>
      </c>
      <c r="D366" s="924"/>
      <c r="E366" s="878" t="s">
        <v>1909</v>
      </c>
      <c r="F366" s="881" t="s">
        <v>3055</v>
      </c>
      <c r="G366" s="731" t="s">
        <v>3134</v>
      </c>
      <c r="H366" s="1083">
        <v>42401</v>
      </c>
      <c r="I366" s="1084">
        <v>42480</v>
      </c>
      <c r="J366" s="957">
        <v>30.64</v>
      </c>
    </row>
    <row r="367" spans="1:10" s="852" customFormat="1" outlineLevel="2">
      <c r="A367" s="878" t="s">
        <v>526</v>
      </c>
      <c r="B367" s="879" t="s">
        <v>7864</v>
      </c>
      <c r="C367" s="729" t="s">
        <v>525</v>
      </c>
      <c r="D367" s="924"/>
      <c r="E367" s="878" t="s">
        <v>1909</v>
      </c>
      <c r="F367" s="881" t="s">
        <v>3530</v>
      </c>
      <c r="G367" s="731" t="s">
        <v>3141</v>
      </c>
      <c r="H367" s="1083">
        <v>42401</v>
      </c>
      <c r="I367" s="1084">
        <v>42480</v>
      </c>
      <c r="J367" s="957">
        <v>45.34</v>
      </c>
    </row>
    <row r="368" spans="1:10" s="852" customFormat="1" outlineLevel="2">
      <c r="A368" s="878" t="s">
        <v>2595</v>
      </c>
      <c r="B368" s="879" t="s">
        <v>7863</v>
      </c>
      <c r="C368" s="729" t="s">
        <v>525</v>
      </c>
      <c r="D368" s="924"/>
      <c r="E368" s="878" t="s">
        <v>1909</v>
      </c>
      <c r="F368" s="881" t="s">
        <v>3500</v>
      </c>
      <c r="G368" s="731" t="s">
        <v>3140</v>
      </c>
      <c r="H368" s="1083">
        <v>42401</v>
      </c>
      <c r="I368" s="1084">
        <v>42480</v>
      </c>
      <c r="J368" s="957">
        <v>195.17</v>
      </c>
    </row>
    <row r="369" spans="1:10" s="852" customFormat="1" ht="28.5" outlineLevel="2">
      <c r="A369" s="878" t="s">
        <v>529</v>
      </c>
      <c r="B369" s="879" t="s">
        <v>7865</v>
      </c>
      <c r="C369" s="729" t="s">
        <v>525</v>
      </c>
      <c r="D369" s="924"/>
      <c r="E369" s="878" t="s">
        <v>1909</v>
      </c>
      <c r="F369" s="881" t="s">
        <v>4721</v>
      </c>
      <c r="G369" s="731" t="s">
        <v>3153</v>
      </c>
      <c r="H369" s="1083">
        <v>42401</v>
      </c>
      <c r="I369" s="1084">
        <v>42480</v>
      </c>
      <c r="J369" s="957">
        <v>6357.3</v>
      </c>
    </row>
    <row r="370" spans="1:10" s="852" customFormat="1" ht="28.5" outlineLevel="2">
      <c r="A370" s="878" t="s">
        <v>529</v>
      </c>
      <c r="B370" s="879" t="s">
        <v>7865</v>
      </c>
      <c r="C370" s="729" t="s">
        <v>525</v>
      </c>
      <c r="D370" s="924"/>
      <c r="E370" s="878" t="s">
        <v>1909</v>
      </c>
      <c r="F370" s="881" t="s">
        <v>4721</v>
      </c>
      <c r="G370" s="731" t="s">
        <v>3153</v>
      </c>
      <c r="H370" s="1083">
        <v>42401</v>
      </c>
      <c r="I370" s="1084">
        <v>42480</v>
      </c>
      <c r="J370" s="957">
        <v>7052.64</v>
      </c>
    </row>
    <row r="371" spans="1:10" s="852" customFormat="1" ht="28.5" outlineLevel="2">
      <c r="A371" s="878" t="s">
        <v>991</v>
      </c>
      <c r="B371" s="879" t="s">
        <v>7866</v>
      </c>
      <c r="C371" s="729" t="s">
        <v>525</v>
      </c>
      <c r="D371" s="924"/>
      <c r="E371" s="878" t="s">
        <v>1909</v>
      </c>
      <c r="F371" s="881" t="s">
        <v>4956</v>
      </c>
      <c r="G371" s="731" t="s">
        <v>2833</v>
      </c>
      <c r="H371" s="1083">
        <v>42401</v>
      </c>
      <c r="I371" s="1084">
        <v>42480</v>
      </c>
      <c r="J371" s="957">
        <v>779.95</v>
      </c>
    </row>
    <row r="372" spans="1:10" s="852" customFormat="1" ht="28.5" outlineLevel="2">
      <c r="A372" s="878" t="s">
        <v>991</v>
      </c>
      <c r="B372" s="879" t="s">
        <v>7866</v>
      </c>
      <c r="C372" s="729" t="s">
        <v>525</v>
      </c>
      <c r="D372" s="924"/>
      <c r="E372" s="878" t="s">
        <v>1909</v>
      </c>
      <c r="F372" s="881" t="s">
        <v>4903</v>
      </c>
      <c r="G372" s="731" t="s">
        <v>2832</v>
      </c>
      <c r="H372" s="1083">
        <v>42401</v>
      </c>
      <c r="I372" s="1084">
        <v>42480</v>
      </c>
      <c r="J372" s="957">
        <v>24.94</v>
      </c>
    </row>
    <row r="373" spans="1:10" s="852" customFormat="1" ht="28.5" outlineLevel="2">
      <c r="A373" s="878" t="s">
        <v>991</v>
      </c>
      <c r="B373" s="879" t="s">
        <v>7866</v>
      </c>
      <c r="C373" s="729" t="s">
        <v>525</v>
      </c>
      <c r="D373" s="924"/>
      <c r="E373" s="878" t="s">
        <v>1909</v>
      </c>
      <c r="F373" s="881" t="s">
        <v>4853</v>
      </c>
      <c r="G373" s="731" t="s">
        <v>2831</v>
      </c>
      <c r="H373" s="1083">
        <v>42401</v>
      </c>
      <c r="I373" s="1084">
        <v>42480</v>
      </c>
      <c r="J373" s="957">
        <v>294.27</v>
      </c>
    </row>
    <row r="374" spans="1:10" s="852" customFormat="1" ht="28.5" outlineLevel="2">
      <c r="A374" s="878" t="s">
        <v>529</v>
      </c>
      <c r="B374" s="879" t="s">
        <v>7865</v>
      </c>
      <c r="C374" s="729" t="s">
        <v>525</v>
      </c>
      <c r="D374" s="924"/>
      <c r="E374" s="878" t="s">
        <v>1909</v>
      </c>
      <c r="F374" s="881" t="s">
        <v>4633</v>
      </c>
      <c r="G374" s="731" t="s">
        <v>3150</v>
      </c>
      <c r="H374" s="1083">
        <v>42401</v>
      </c>
      <c r="I374" s="1084">
        <v>42480</v>
      </c>
      <c r="J374" s="957">
        <v>6357.3</v>
      </c>
    </row>
    <row r="375" spans="1:10" s="852" customFormat="1" ht="28.5" outlineLevel="2">
      <c r="A375" s="878" t="s">
        <v>529</v>
      </c>
      <c r="B375" s="879" t="s">
        <v>7865</v>
      </c>
      <c r="C375" s="729" t="s">
        <v>525</v>
      </c>
      <c r="D375" s="924"/>
      <c r="E375" s="878" t="s">
        <v>1909</v>
      </c>
      <c r="F375" s="881" t="s">
        <v>4633</v>
      </c>
      <c r="G375" s="731" t="s">
        <v>3150</v>
      </c>
      <c r="H375" s="1083">
        <v>42401</v>
      </c>
      <c r="I375" s="1084">
        <v>42480</v>
      </c>
      <c r="J375" s="957">
        <v>7052.64</v>
      </c>
    </row>
    <row r="376" spans="1:10" s="852" customFormat="1" ht="28.5" outlineLevel="2">
      <c r="A376" s="878" t="s">
        <v>526</v>
      </c>
      <c r="B376" s="879" t="s">
        <v>7864</v>
      </c>
      <c r="C376" s="729" t="s">
        <v>525</v>
      </c>
      <c r="D376" s="924"/>
      <c r="E376" s="878" t="s">
        <v>1909</v>
      </c>
      <c r="F376" s="881" t="s">
        <v>2863</v>
      </c>
      <c r="G376" s="731" t="s">
        <v>3131</v>
      </c>
      <c r="H376" s="1083">
        <v>42370</v>
      </c>
      <c r="I376" s="1084">
        <v>42480</v>
      </c>
      <c r="J376" s="957">
        <v>-142.46</v>
      </c>
    </row>
    <row r="377" spans="1:10" s="852" customFormat="1" ht="28.5" outlineLevel="2">
      <c r="A377" s="878" t="s">
        <v>526</v>
      </c>
      <c r="B377" s="879" t="s">
        <v>7864</v>
      </c>
      <c r="C377" s="729" t="s">
        <v>525</v>
      </c>
      <c r="D377" s="924"/>
      <c r="E377" s="878" t="s">
        <v>1909</v>
      </c>
      <c r="F377" s="881" t="s">
        <v>2863</v>
      </c>
      <c r="G377" s="731" t="s">
        <v>3132</v>
      </c>
      <c r="H377" s="1083">
        <v>42370</v>
      </c>
      <c r="I377" s="1084">
        <v>42480</v>
      </c>
      <c r="J377" s="957">
        <v>-142.46</v>
      </c>
    </row>
    <row r="378" spans="1:10" s="852" customFormat="1" ht="28.5" outlineLevel="2">
      <c r="A378" s="878" t="s">
        <v>526</v>
      </c>
      <c r="B378" s="879" t="s">
        <v>7864</v>
      </c>
      <c r="C378" s="729" t="s">
        <v>525</v>
      </c>
      <c r="D378" s="924"/>
      <c r="E378" s="878" t="s">
        <v>1909</v>
      </c>
      <c r="F378" s="881" t="s">
        <v>2863</v>
      </c>
      <c r="G378" s="731" t="s">
        <v>3133</v>
      </c>
      <c r="H378" s="1083">
        <v>42370</v>
      </c>
      <c r="I378" s="1084">
        <v>42480</v>
      </c>
      <c r="J378" s="957">
        <v>142.46</v>
      </c>
    </row>
    <row r="379" spans="1:10" s="852" customFormat="1" ht="28.5" outlineLevel="2">
      <c r="A379" s="878" t="s">
        <v>526</v>
      </c>
      <c r="B379" s="879" t="s">
        <v>7864</v>
      </c>
      <c r="C379" s="729" t="s">
        <v>525</v>
      </c>
      <c r="D379" s="924"/>
      <c r="E379" s="878" t="s">
        <v>1909</v>
      </c>
      <c r="F379" s="881" t="s">
        <v>2863</v>
      </c>
      <c r="G379" s="731" t="s">
        <v>3135</v>
      </c>
      <c r="H379" s="1083">
        <v>42370</v>
      </c>
      <c r="I379" s="1084">
        <v>42480</v>
      </c>
      <c r="J379" s="957">
        <v>142.46</v>
      </c>
    </row>
    <row r="380" spans="1:10" s="852" customFormat="1" ht="28.5" outlineLevel="2">
      <c r="A380" s="878" t="s">
        <v>526</v>
      </c>
      <c r="B380" s="879" t="s">
        <v>7864</v>
      </c>
      <c r="C380" s="729" t="s">
        <v>525</v>
      </c>
      <c r="D380" s="924"/>
      <c r="E380" s="878" t="s">
        <v>1909</v>
      </c>
      <c r="F380" s="881" t="s">
        <v>2863</v>
      </c>
      <c r="G380" s="731" t="s">
        <v>3136</v>
      </c>
      <c r="H380" s="1083">
        <v>42370</v>
      </c>
      <c r="I380" s="1084">
        <v>42480</v>
      </c>
      <c r="J380" s="957">
        <v>142.46</v>
      </c>
    </row>
    <row r="381" spans="1:10" s="852" customFormat="1" ht="28.5" outlineLevel="2">
      <c r="A381" s="878" t="s">
        <v>526</v>
      </c>
      <c r="B381" s="879" t="s">
        <v>7864</v>
      </c>
      <c r="C381" s="729" t="s">
        <v>525</v>
      </c>
      <c r="D381" s="924"/>
      <c r="E381" s="878" t="s">
        <v>1909</v>
      </c>
      <c r="F381" s="881" t="s">
        <v>3595</v>
      </c>
      <c r="G381" s="731" t="s">
        <v>3143</v>
      </c>
      <c r="H381" s="1083">
        <v>42370</v>
      </c>
      <c r="I381" s="1084">
        <v>42480</v>
      </c>
      <c r="J381" s="957">
        <v>-210.84</v>
      </c>
    </row>
    <row r="382" spans="1:10" s="852" customFormat="1" ht="28.5" outlineLevel="2">
      <c r="A382" s="878" t="s">
        <v>526</v>
      </c>
      <c r="B382" s="879" t="s">
        <v>7864</v>
      </c>
      <c r="C382" s="729" t="s">
        <v>525</v>
      </c>
      <c r="D382" s="924"/>
      <c r="E382" s="878" t="s">
        <v>1909</v>
      </c>
      <c r="F382" s="881" t="s">
        <v>3595</v>
      </c>
      <c r="G382" s="731" t="s">
        <v>3144</v>
      </c>
      <c r="H382" s="1083">
        <v>42370</v>
      </c>
      <c r="I382" s="1084">
        <v>42480</v>
      </c>
      <c r="J382" s="957">
        <v>210.84</v>
      </c>
    </row>
    <row r="383" spans="1:10" s="852" customFormat="1" ht="28.5" outlineLevel="2">
      <c r="A383" s="878" t="s">
        <v>526</v>
      </c>
      <c r="B383" s="879" t="s">
        <v>7864</v>
      </c>
      <c r="C383" s="729" t="s">
        <v>525</v>
      </c>
      <c r="D383" s="924"/>
      <c r="E383" s="878" t="s">
        <v>1909</v>
      </c>
      <c r="F383" s="881" t="s">
        <v>3595</v>
      </c>
      <c r="G383" s="731" t="s">
        <v>3145</v>
      </c>
      <c r="H383" s="1083">
        <v>42370</v>
      </c>
      <c r="I383" s="1084">
        <v>42480</v>
      </c>
      <c r="J383" s="957">
        <v>210.84</v>
      </c>
    </row>
    <row r="384" spans="1:10" s="852" customFormat="1" ht="28.5" outlineLevel="2">
      <c r="A384" s="878" t="s">
        <v>2595</v>
      </c>
      <c r="B384" s="879" t="s">
        <v>7863</v>
      </c>
      <c r="C384" s="729" t="s">
        <v>525</v>
      </c>
      <c r="D384" s="924"/>
      <c r="E384" s="878" t="s">
        <v>1909</v>
      </c>
      <c r="F384" s="881" t="s">
        <v>3266</v>
      </c>
      <c r="G384" s="731" t="s">
        <v>3137</v>
      </c>
      <c r="H384" s="1083">
        <v>42370</v>
      </c>
      <c r="I384" s="1084">
        <v>42480</v>
      </c>
      <c r="J384" s="957">
        <v>500.71</v>
      </c>
    </row>
    <row r="385" spans="1:10" s="852" customFormat="1" outlineLevel="2">
      <c r="A385" s="878" t="s">
        <v>2595</v>
      </c>
      <c r="B385" s="879" t="s">
        <v>7863</v>
      </c>
      <c r="C385" s="729" t="s">
        <v>525</v>
      </c>
      <c r="D385" s="924"/>
      <c r="E385" s="878" t="s">
        <v>2596</v>
      </c>
      <c r="F385" s="881" t="s">
        <v>2208</v>
      </c>
      <c r="G385" s="731" t="s">
        <v>5595</v>
      </c>
      <c r="H385" s="1083">
        <v>42401</v>
      </c>
      <c r="I385" s="1084">
        <v>42468</v>
      </c>
      <c r="J385" s="957">
        <v>15681.91</v>
      </c>
    </row>
    <row r="386" spans="1:10" s="852" customFormat="1" outlineLevel="1">
      <c r="A386" s="878"/>
      <c r="B386" s="879" t="s">
        <v>258</v>
      </c>
      <c r="C386" s="908" t="s">
        <v>525</v>
      </c>
      <c r="D386" s="928" t="str">
        <f>VLOOKUP(C386,$C$3691:$D$3771,2,FALSE)</f>
        <v>TOTAL POUPATEMPO  SUZANO</v>
      </c>
      <c r="E386" s="1085"/>
      <c r="F386" s="929"/>
      <c r="G386" s="910"/>
      <c r="H386" s="1086"/>
      <c r="I386" s="1087"/>
      <c r="J386" s="930">
        <f>SUBTOTAL(9,J330:J385)</f>
        <v>610556.00000000012</v>
      </c>
    </row>
    <row r="387" spans="1:10" s="852" customFormat="1" outlineLevel="2">
      <c r="A387" s="878" t="s">
        <v>6444</v>
      </c>
      <c r="B387" s="879" t="s">
        <v>7863</v>
      </c>
      <c r="C387" s="729" t="s">
        <v>535</v>
      </c>
      <c r="D387" s="924"/>
      <c r="E387" s="878" t="s">
        <v>483</v>
      </c>
      <c r="F387" s="881" t="s">
        <v>2208</v>
      </c>
      <c r="G387" s="731" t="str">
        <f>"16989"</f>
        <v>16989</v>
      </c>
      <c r="H387" s="1083">
        <v>42401</v>
      </c>
      <c r="I387" s="1084">
        <v>42473</v>
      </c>
      <c r="J387" s="957">
        <v>37470.85</v>
      </c>
    </row>
    <row r="388" spans="1:10" s="852" customFormat="1" outlineLevel="2">
      <c r="A388" s="878" t="s">
        <v>537</v>
      </c>
      <c r="B388" s="879" t="s">
        <v>7863</v>
      </c>
      <c r="C388" s="729" t="s">
        <v>535</v>
      </c>
      <c r="D388" s="924"/>
      <c r="E388" s="878" t="s">
        <v>2336</v>
      </c>
      <c r="F388" s="881" t="s">
        <v>4406</v>
      </c>
      <c r="G388" s="731" t="s">
        <v>3163</v>
      </c>
      <c r="H388" s="1083">
        <v>42401</v>
      </c>
      <c r="I388" s="1084">
        <v>42480</v>
      </c>
      <c r="J388" s="957">
        <v>5066.74</v>
      </c>
    </row>
    <row r="389" spans="1:10" s="852" customFormat="1" outlineLevel="2">
      <c r="A389" s="878" t="s">
        <v>2343</v>
      </c>
      <c r="B389" s="879" t="s">
        <v>7864</v>
      </c>
      <c r="C389" s="729" t="s">
        <v>535</v>
      </c>
      <c r="D389" s="924"/>
      <c r="E389" s="878" t="s">
        <v>2336</v>
      </c>
      <c r="F389" s="881" t="s">
        <v>3904</v>
      </c>
      <c r="G389" s="731" t="s">
        <v>3161</v>
      </c>
      <c r="H389" s="1083">
        <v>42401</v>
      </c>
      <c r="I389" s="1084">
        <v>42480</v>
      </c>
      <c r="J389" s="957">
        <v>1602.33</v>
      </c>
    </row>
    <row r="390" spans="1:10" s="852" customFormat="1" outlineLevel="2">
      <c r="A390" s="878" t="s">
        <v>538</v>
      </c>
      <c r="B390" s="879" t="s">
        <v>7865</v>
      </c>
      <c r="C390" s="729" t="s">
        <v>535</v>
      </c>
      <c r="D390" s="924"/>
      <c r="E390" s="878" t="s">
        <v>2336</v>
      </c>
      <c r="F390" s="881" t="s">
        <v>5984</v>
      </c>
      <c r="G390" s="731" t="s">
        <v>3159</v>
      </c>
      <c r="H390" s="1083">
        <v>42401</v>
      </c>
      <c r="I390" s="1084">
        <v>42480</v>
      </c>
      <c r="J390" s="957">
        <v>73608.28</v>
      </c>
    </row>
    <row r="391" spans="1:10" s="852" customFormat="1" outlineLevel="2">
      <c r="A391" s="878" t="s">
        <v>2343</v>
      </c>
      <c r="B391" s="879" t="s">
        <v>7864</v>
      </c>
      <c r="C391" s="729" t="s">
        <v>535</v>
      </c>
      <c r="D391" s="924"/>
      <c r="E391" s="878" t="s">
        <v>407</v>
      </c>
      <c r="F391" s="881" t="s">
        <v>434</v>
      </c>
      <c r="G391" s="731" t="s">
        <v>5626</v>
      </c>
      <c r="H391" s="1083">
        <v>42401</v>
      </c>
      <c r="I391" s="1084">
        <v>42473</v>
      </c>
      <c r="J391" s="957">
        <v>11704.31</v>
      </c>
    </row>
    <row r="392" spans="1:10" s="852" customFormat="1" outlineLevel="2">
      <c r="A392" s="878" t="s">
        <v>538</v>
      </c>
      <c r="B392" s="879" t="s">
        <v>7865</v>
      </c>
      <c r="C392" s="729" t="s">
        <v>535</v>
      </c>
      <c r="D392" s="924"/>
      <c r="E392" s="878" t="s">
        <v>484</v>
      </c>
      <c r="F392" s="881" t="s">
        <v>1094</v>
      </c>
      <c r="G392" s="731" t="s">
        <v>5813</v>
      </c>
      <c r="H392" s="1083">
        <v>42430</v>
      </c>
      <c r="I392" s="1084">
        <v>42489</v>
      </c>
      <c r="J392" s="957">
        <v>541020.88</v>
      </c>
    </row>
    <row r="393" spans="1:10" s="852" customFormat="1" outlineLevel="2">
      <c r="A393" s="878" t="s">
        <v>992</v>
      </c>
      <c r="B393" s="879" t="s">
        <v>7866</v>
      </c>
      <c r="C393" s="729" t="s">
        <v>535</v>
      </c>
      <c r="D393" s="924"/>
      <c r="E393" s="878" t="s">
        <v>2282</v>
      </c>
      <c r="F393" s="881" t="s">
        <v>3974</v>
      </c>
      <c r="G393" s="731" t="s">
        <v>2779</v>
      </c>
      <c r="H393" s="1083">
        <v>42401</v>
      </c>
      <c r="I393" s="1084">
        <v>42471</v>
      </c>
      <c r="J393" s="957">
        <v>1150.25</v>
      </c>
    </row>
    <row r="394" spans="1:10" s="852" customFormat="1" outlineLevel="2">
      <c r="A394" s="878" t="s">
        <v>992</v>
      </c>
      <c r="B394" s="879" t="s">
        <v>7866</v>
      </c>
      <c r="C394" s="729" t="s">
        <v>535</v>
      </c>
      <c r="D394" s="924"/>
      <c r="E394" s="878" t="s">
        <v>2282</v>
      </c>
      <c r="F394" s="881" t="s">
        <v>4081</v>
      </c>
      <c r="G394" s="731" t="s">
        <v>2781</v>
      </c>
      <c r="H394" s="1083">
        <v>42401</v>
      </c>
      <c r="I394" s="1084">
        <v>42471</v>
      </c>
      <c r="J394" s="957">
        <v>36.78</v>
      </c>
    </row>
    <row r="395" spans="1:10" s="852" customFormat="1" outlineLevel="2">
      <c r="A395" s="878" t="s">
        <v>992</v>
      </c>
      <c r="B395" s="879" t="s">
        <v>7866</v>
      </c>
      <c r="C395" s="729" t="s">
        <v>535</v>
      </c>
      <c r="D395" s="924"/>
      <c r="E395" s="878" t="s">
        <v>2282</v>
      </c>
      <c r="F395" s="881" t="s">
        <v>4165</v>
      </c>
      <c r="G395" s="731" t="s">
        <v>2782</v>
      </c>
      <c r="H395" s="1083">
        <v>42401</v>
      </c>
      <c r="I395" s="1084">
        <v>42471</v>
      </c>
      <c r="J395" s="957">
        <v>433.98</v>
      </c>
    </row>
    <row r="396" spans="1:10" s="852" customFormat="1" outlineLevel="2">
      <c r="A396" s="878" t="s">
        <v>538</v>
      </c>
      <c r="B396" s="879" t="s">
        <v>7865</v>
      </c>
      <c r="C396" s="729" t="s">
        <v>535</v>
      </c>
      <c r="D396" s="924"/>
      <c r="E396" s="878" t="s">
        <v>2683</v>
      </c>
      <c r="F396" s="881" t="s">
        <v>6176</v>
      </c>
      <c r="G396" s="731" t="s">
        <v>3168</v>
      </c>
      <c r="H396" s="1083">
        <v>42401</v>
      </c>
      <c r="I396" s="1084">
        <v>42480</v>
      </c>
      <c r="J396" s="957">
        <v>13383.32</v>
      </c>
    </row>
    <row r="397" spans="1:10" s="852" customFormat="1" outlineLevel="2">
      <c r="A397" s="878" t="s">
        <v>2343</v>
      </c>
      <c r="B397" s="879" t="s">
        <v>7864</v>
      </c>
      <c r="C397" s="729" t="s">
        <v>535</v>
      </c>
      <c r="D397" s="924"/>
      <c r="E397" s="878" t="s">
        <v>2683</v>
      </c>
      <c r="F397" s="881" t="s">
        <v>3905</v>
      </c>
      <c r="G397" s="731" t="s">
        <v>3170</v>
      </c>
      <c r="H397" s="1083">
        <v>42401</v>
      </c>
      <c r="I397" s="1084">
        <v>42480</v>
      </c>
      <c r="J397" s="957">
        <v>437</v>
      </c>
    </row>
    <row r="398" spans="1:10" s="852" customFormat="1" outlineLevel="2">
      <c r="A398" s="878" t="s">
        <v>537</v>
      </c>
      <c r="B398" s="879" t="s">
        <v>7863</v>
      </c>
      <c r="C398" s="729" t="s">
        <v>535</v>
      </c>
      <c r="D398" s="924"/>
      <c r="E398" s="878" t="s">
        <v>2683</v>
      </c>
      <c r="F398" s="881" t="s">
        <v>4407</v>
      </c>
      <c r="G398" s="731" t="s">
        <v>3172</v>
      </c>
      <c r="H398" s="1083">
        <v>42401</v>
      </c>
      <c r="I398" s="1084">
        <v>42480</v>
      </c>
      <c r="J398" s="957">
        <v>921.23</v>
      </c>
    </row>
    <row r="399" spans="1:10" s="852" customFormat="1" outlineLevel="2">
      <c r="A399" s="878" t="s">
        <v>992</v>
      </c>
      <c r="B399" s="879" t="s">
        <v>7866</v>
      </c>
      <c r="C399" s="729" t="s">
        <v>535</v>
      </c>
      <c r="D399" s="924"/>
      <c r="E399" s="878" t="s">
        <v>1909</v>
      </c>
      <c r="F399" s="881" t="s">
        <v>3935</v>
      </c>
      <c r="G399" s="731" t="s">
        <v>2817</v>
      </c>
      <c r="H399" s="1083">
        <v>42401</v>
      </c>
      <c r="I399" s="1084">
        <v>42480</v>
      </c>
      <c r="J399" s="957">
        <v>345.07</v>
      </c>
    </row>
    <row r="400" spans="1:10" s="852" customFormat="1" outlineLevel="2">
      <c r="A400" s="878" t="s">
        <v>992</v>
      </c>
      <c r="B400" s="879" t="s">
        <v>7866</v>
      </c>
      <c r="C400" s="729" t="s">
        <v>535</v>
      </c>
      <c r="D400" s="924"/>
      <c r="E400" s="878" t="s">
        <v>1909</v>
      </c>
      <c r="F400" s="881" t="s">
        <v>4027</v>
      </c>
      <c r="G400" s="731" t="s">
        <v>2819</v>
      </c>
      <c r="H400" s="1083">
        <v>42401</v>
      </c>
      <c r="I400" s="1084">
        <v>42480</v>
      </c>
      <c r="J400" s="957">
        <v>11.03</v>
      </c>
    </row>
    <row r="401" spans="1:10" s="852" customFormat="1" outlineLevel="2">
      <c r="A401" s="878" t="s">
        <v>992</v>
      </c>
      <c r="B401" s="879" t="s">
        <v>7866</v>
      </c>
      <c r="C401" s="729" t="s">
        <v>535</v>
      </c>
      <c r="D401" s="924"/>
      <c r="E401" s="878" t="s">
        <v>1909</v>
      </c>
      <c r="F401" s="881" t="s">
        <v>4129</v>
      </c>
      <c r="G401" s="731" t="s">
        <v>2821</v>
      </c>
      <c r="H401" s="1083">
        <v>42401</v>
      </c>
      <c r="I401" s="1084">
        <v>42480</v>
      </c>
      <c r="J401" s="957">
        <v>130.19</v>
      </c>
    </row>
    <row r="402" spans="1:10" s="852" customFormat="1" outlineLevel="2">
      <c r="A402" s="878" t="s">
        <v>537</v>
      </c>
      <c r="B402" s="879" t="s">
        <v>7863</v>
      </c>
      <c r="C402" s="729" t="s">
        <v>535</v>
      </c>
      <c r="D402" s="924"/>
      <c r="E402" s="878" t="s">
        <v>1909</v>
      </c>
      <c r="F402" s="881" t="s">
        <v>4405</v>
      </c>
      <c r="G402" s="731" t="s">
        <v>3195</v>
      </c>
      <c r="H402" s="1083">
        <v>42401</v>
      </c>
      <c r="I402" s="1084">
        <v>42480</v>
      </c>
      <c r="J402" s="957">
        <v>460.61</v>
      </c>
    </row>
    <row r="403" spans="1:10" s="852" customFormat="1" outlineLevel="2">
      <c r="A403" s="878" t="s">
        <v>2343</v>
      </c>
      <c r="B403" s="879" t="s">
        <v>7864</v>
      </c>
      <c r="C403" s="729" t="s">
        <v>535</v>
      </c>
      <c r="D403" s="924"/>
      <c r="E403" s="878" t="s">
        <v>1909</v>
      </c>
      <c r="F403" s="881" t="s">
        <v>3902</v>
      </c>
      <c r="G403" s="731" t="s">
        <v>3190</v>
      </c>
      <c r="H403" s="1083">
        <v>42401</v>
      </c>
      <c r="I403" s="1084">
        <v>42480</v>
      </c>
      <c r="J403" s="957">
        <v>145.66999999999999</v>
      </c>
    </row>
    <row r="404" spans="1:10" s="852" customFormat="1" outlineLevel="2">
      <c r="A404" s="878" t="s">
        <v>538</v>
      </c>
      <c r="B404" s="879" t="s">
        <v>7865</v>
      </c>
      <c r="C404" s="729" t="s">
        <v>535</v>
      </c>
      <c r="D404" s="924"/>
      <c r="E404" s="878" t="s">
        <v>1909</v>
      </c>
      <c r="F404" s="881" t="s">
        <v>6222</v>
      </c>
      <c r="G404" s="731" t="s">
        <v>3182</v>
      </c>
      <c r="H404" s="1083">
        <v>42401</v>
      </c>
      <c r="I404" s="1084">
        <v>42480</v>
      </c>
      <c r="J404" s="957">
        <v>10037.49</v>
      </c>
    </row>
    <row r="405" spans="1:10" s="852" customFormat="1" ht="28.5" outlineLevel="2">
      <c r="A405" s="878" t="s">
        <v>992</v>
      </c>
      <c r="B405" s="879" t="s">
        <v>7866</v>
      </c>
      <c r="C405" s="729" t="s">
        <v>535</v>
      </c>
      <c r="D405" s="924"/>
      <c r="E405" s="878" t="s">
        <v>1909</v>
      </c>
      <c r="F405" s="881" t="s">
        <v>4956</v>
      </c>
      <c r="G405" s="731" t="s">
        <v>2833</v>
      </c>
      <c r="H405" s="1083">
        <v>42401</v>
      </c>
      <c r="I405" s="1084">
        <v>42480</v>
      </c>
      <c r="J405" s="957">
        <v>1069.73</v>
      </c>
    </row>
    <row r="406" spans="1:10" s="852" customFormat="1" ht="28.5" outlineLevel="2">
      <c r="A406" s="878" t="s">
        <v>992</v>
      </c>
      <c r="B406" s="879" t="s">
        <v>7866</v>
      </c>
      <c r="C406" s="729" t="s">
        <v>535</v>
      </c>
      <c r="D406" s="924"/>
      <c r="E406" s="878" t="s">
        <v>1909</v>
      </c>
      <c r="F406" s="881" t="s">
        <v>4903</v>
      </c>
      <c r="G406" s="731" t="s">
        <v>2832</v>
      </c>
      <c r="H406" s="1083">
        <v>42401</v>
      </c>
      <c r="I406" s="1084">
        <v>42480</v>
      </c>
      <c r="J406" s="957">
        <v>34.200000000000003</v>
      </c>
    </row>
    <row r="407" spans="1:10" s="852" customFormat="1" ht="28.5" outlineLevel="2">
      <c r="A407" s="878" t="s">
        <v>992</v>
      </c>
      <c r="B407" s="879" t="s">
        <v>7866</v>
      </c>
      <c r="C407" s="729" t="s">
        <v>535</v>
      </c>
      <c r="D407" s="924"/>
      <c r="E407" s="878" t="s">
        <v>1909</v>
      </c>
      <c r="F407" s="881" t="s">
        <v>4853</v>
      </c>
      <c r="G407" s="731" t="s">
        <v>2831</v>
      </c>
      <c r="H407" s="1083">
        <v>42401</v>
      </c>
      <c r="I407" s="1084">
        <v>42480</v>
      </c>
      <c r="J407" s="957">
        <v>403.6</v>
      </c>
    </row>
    <row r="408" spans="1:10" s="852" customFormat="1" ht="28.5" outlineLevel="2">
      <c r="A408" s="878" t="s">
        <v>537</v>
      </c>
      <c r="B408" s="879" t="s">
        <v>7863</v>
      </c>
      <c r="C408" s="729" t="s">
        <v>535</v>
      </c>
      <c r="D408" s="924"/>
      <c r="E408" s="878" t="s">
        <v>1909</v>
      </c>
      <c r="F408" s="881" t="s">
        <v>6220</v>
      </c>
      <c r="G408" s="731" t="s">
        <v>3174</v>
      </c>
      <c r="H408" s="1083">
        <v>42370</v>
      </c>
      <c r="I408" s="1084">
        <v>42480</v>
      </c>
      <c r="J408" s="957">
        <v>2289.5700000000002</v>
      </c>
    </row>
    <row r="409" spans="1:10" s="852" customFormat="1" ht="28.5" outlineLevel="2">
      <c r="A409" s="878" t="s">
        <v>537</v>
      </c>
      <c r="B409" s="879" t="s">
        <v>7863</v>
      </c>
      <c r="C409" s="729" t="s">
        <v>535</v>
      </c>
      <c r="D409" s="924"/>
      <c r="E409" s="878" t="s">
        <v>1909</v>
      </c>
      <c r="F409" s="881" t="s">
        <v>6220</v>
      </c>
      <c r="G409" s="731" t="s">
        <v>3176</v>
      </c>
      <c r="H409" s="1083">
        <v>42370</v>
      </c>
      <c r="I409" s="1084">
        <v>42480</v>
      </c>
      <c r="J409" s="957">
        <v>2289.56</v>
      </c>
    </row>
    <row r="410" spans="1:10" s="852" customFormat="1" ht="28.5" outlineLevel="2">
      <c r="A410" s="878" t="s">
        <v>537</v>
      </c>
      <c r="B410" s="879" t="s">
        <v>7863</v>
      </c>
      <c r="C410" s="729" t="s">
        <v>535</v>
      </c>
      <c r="D410" s="924"/>
      <c r="E410" s="878" t="s">
        <v>1909</v>
      </c>
      <c r="F410" s="881" t="s">
        <v>6220</v>
      </c>
      <c r="G410" s="731" t="s">
        <v>3178</v>
      </c>
      <c r="H410" s="1083">
        <v>42370</v>
      </c>
      <c r="I410" s="1084">
        <v>42480</v>
      </c>
      <c r="J410" s="957">
        <v>-2289.5700000000002</v>
      </c>
    </row>
    <row r="411" spans="1:10" s="852" customFormat="1" ht="28.5" outlineLevel="2">
      <c r="A411" s="878" t="s">
        <v>2343</v>
      </c>
      <c r="B411" s="879" t="s">
        <v>7864</v>
      </c>
      <c r="C411" s="729" t="s">
        <v>535</v>
      </c>
      <c r="D411" s="924"/>
      <c r="E411" s="878" t="s">
        <v>1909</v>
      </c>
      <c r="F411" s="881" t="s">
        <v>6221</v>
      </c>
      <c r="G411" s="731" t="s">
        <v>3180</v>
      </c>
      <c r="H411" s="1083">
        <v>42370</v>
      </c>
      <c r="I411" s="1084">
        <v>42480</v>
      </c>
      <c r="J411" s="957">
        <v>677.35</v>
      </c>
    </row>
    <row r="412" spans="1:10" s="852" customFormat="1" ht="28.5" outlineLevel="2">
      <c r="A412" s="878" t="s">
        <v>2343</v>
      </c>
      <c r="B412" s="879" t="s">
        <v>7864</v>
      </c>
      <c r="C412" s="729" t="s">
        <v>535</v>
      </c>
      <c r="D412" s="924"/>
      <c r="E412" s="878" t="s">
        <v>1909</v>
      </c>
      <c r="F412" s="881" t="s">
        <v>3550</v>
      </c>
      <c r="G412" s="731" t="s">
        <v>3184</v>
      </c>
      <c r="H412" s="1083">
        <v>42370</v>
      </c>
      <c r="I412" s="1084">
        <v>42480</v>
      </c>
      <c r="J412" s="957">
        <v>-677.35</v>
      </c>
    </row>
    <row r="413" spans="1:10" s="852" customFormat="1" ht="28.5" outlineLevel="2">
      <c r="A413" s="878" t="s">
        <v>2343</v>
      </c>
      <c r="B413" s="879" t="s">
        <v>7864</v>
      </c>
      <c r="C413" s="729" t="s">
        <v>535</v>
      </c>
      <c r="D413" s="924"/>
      <c r="E413" s="878" t="s">
        <v>1909</v>
      </c>
      <c r="F413" s="881" t="s">
        <v>3550</v>
      </c>
      <c r="G413" s="731" t="s">
        <v>3186</v>
      </c>
      <c r="H413" s="1083">
        <v>42370</v>
      </c>
      <c r="I413" s="1084">
        <v>42480</v>
      </c>
      <c r="J413" s="957">
        <v>677.35</v>
      </c>
    </row>
    <row r="414" spans="1:10" s="852" customFormat="1" ht="28.5" outlineLevel="2">
      <c r="A414" s="878" t="s">
        <v>2343</v>
      </c>
      <c r="B414" s="879" t="s">
        <v>7864</v>
      </c>
      <c r="C414" s="729" t="s">
        <v>535</v>
      </c>
      <c r="D414" s="924"/>
      <c r="E414" s="878" t="s">
        <v>1909</v>
      </c>
      <c r="F414" s="881" t="s">
        <v>3550</v>
      </c>
      <c r="G414" s="731" t="s">
        <v>3188</v>
      </c>
      <c r="H414" s="1083">
        <v>42370</v>
      </c>
      <c r="I414" s="1084">
        <v>42480</v>
      </c>
      <c r="J414" s="957">
        <v>677.35</v>
      </c>
    </row>
    <row r="415" spans="1:10" s="852" customFormat="1" ht="28.5" outlineLevel="2">
      <c r="A415" s="878" t="s">
        <v>538</v>
      </c>
      <c r="B415" s="879" t="s">
        <v>7865</v>
      </c>
      <c r="C415" s="729" t="s">
        <v>535</v>
      </c>
      <c r="D415" s="924"/>
      <c r="E415" s="878" t="s">
        <v>1909</v>
      </c>
      <c r="F415" s="881" t="s">
        <v>4710</v>
      </c>
      <c r="G415" s="731" t="s">
        <v>3197</v>
      </c>
      <c r="H415" s="1083">
        <v>42401</v>
      </c>
      <c r="I415" s="1084">
        <v>42480</v>
      </c>
      <c r="J415" s="957">
        <v>31116.23</v>
      </c>
    </row>
    <row r="416" spans="1:10" s="852" customFormat="1" outlineLevel="1">
      <c r="A416" s="878"/>
      <c r="B416" s="879" t="s">
        <v>258</v>
      </c>
      <c r="C416" s="908" t="s">
        <v>535</v>
      </c>
      <c r="D416" s="928" t="str">
        <f>VLOOKUP(C416,$C$3691:$D$3771,2,FALSE)</f>
        <v>TOTAL POUPATEMPO  SANTO ANDRÉ</v>
      </c>
      <c r="E416" s="1085"/>
      <c r="F416" s="929"/>
      <c r="G416" s="910"/>
      <c r="H416" s="1086"/>
      <c r="I416" s="1087"/>
      <c r="J416" s="930">
        <f>SUBTOTAL(9,J387:J415)</f>
        <v>734234.0299999998</v>
      </c>
    </row>
    <row r="417" spans="1:10" s="852" customFormat="1" outlineLevel="2">
      <c r="A417" s="878" t="s">
        <v>2220</v>
      </c>
      <c r="B417" s="879" t="s">
        <v>7869</v>
      </c>
      <c r="C417" s="729" t="s">
        <v>540</v>
      </c>
      <c r="D417" s="924"/>
      <c r="E417" s="878" t="s">
        <v>2221</v>
      </c>
      <c r="F417" s="881" t="s">
        <v>863</v>
      </c>
      <c r="G417" s="731" t="s">
        <v>5571</v>
      </c>
      <c r="H417" s="1083">
        <v>42401</v>
      </c>
      <c r="I417" s="1084">
        <v>42465</v>
      </c>
      <c r="J417" s="957">
        <v>8102.08</v>
      </c>
    </row>
    <row r="418" spans="1:10" s="852" customFormat="1" outlineLevel="2">
      <c r="A418" s="878" t="s">
        <v>541</v>
      </c>
      <c r="B418" s="879" t="s">
        <v>7865</v>
      </c>
      <c r="C418" s="729" t="s">
        <v>540</v>
      </c>
      <c r="D418" s="924"/>
      <c r="E418" s="878" t="s">
        <v>533</v>
      </c>
      <c r="F418" s="881" t="s">
        <v>1094</v>
      </c>
      <c r="G418" s="731" t="s">
        <v>5774</v>
      </c>
      <c r="H418" s="1083">
        <v>42430</v>
      </c>
      <c r="I418" s="1084">
        <v>42489</v>
      </c>
      <c r="J418" s="957">
        <v>54688.4</v>
      </c>
    </row>
    <row r="419" spans="1:10" s="852" customFormat="1" ht="28.5" outlineLevel="2">
      <c r="A419" s="878" t="s">
        <v>6482</v>
      </c>
      <c r="B419" s="879" t="s">
        <v>7870</v>
      </c>
      <c r="C419" s="729" t="s">
        <v>540</v>
      </c>
      <c r="D419" s="924"/>
      <c r="E419" s="878" t="s">
        <v>1599</v>
      </c>
      <c r="F419" s="881" t="s">
        <v>426</v>
      </c>
      <c r="G419" s="731" t="s">
        <v>5708</v>
      </c>
      <c r="H419" s="1083">
        <v>42401</v>
      </c>
      <c r="I419" s="1084">
        <v>42482</v>
      </c>
      <c r="J419" s="957">
        <v>-0.82</v>
      </c>
    </row>
    <row r="420" spans="1:10" s="852" customFormat="1" outlineLevel="2">
      <c r="A420" s="878" t="s">
        <v>6482</v>
      </c>
      <c r="B420" s="879" t="s">
        <v>7870</v>
      </c>
      <c r="C420" s="729" t="s">
        <v>540</v>
      </c>
      <c r="D420" s="924"/>
      <c r="E420" s="878" t="s">
        <v>1599</v>
      </c>
      <c r="F420" s="881" t="s">
        <v>2274</v>
      </c>
      <c r="G420" s="731" t="s">
        <v>5709</v>
      </c>
      <c r="H420" s="1083">
        <v>42401</v>
      </c>
      <c r="I420" s="1084">
        <v>42482</v>
      </c>
      <c r="J420" s="957">
        <v>14.47</v>
      </c>
    </row>
    <row r="421" spans="1:10" s="852" customFormat="1" outlineLevel="2">
      <c r="A421" s="878" t="s">
        <v>541</v>
      </c>
      <c r="B421" s="879" t="s">
        <v>7865</v>
      </c>
      <c r="C421" s="729" t="s">
        <v>540</v>
      </c>
      <c r="D421" s="924"/>
      <c r="E421" s="878" t="s">
        <v>2336</v>
      </c>
      <c r="F421" s="881" t="s">
        <v>5986</v>
      </c>
      <c r="G421" s="731" t="s">
        <v>3202</v>
      </c>
      <c r="H421" s="1083">
        <v>42401</v>
      </c>
      <c r="I421" s="1084">
        <v>42480</v>
      </c>
      <c r="J421" s="957">
        <v>7533.78</v>
      </c>
    </row>
    <row r="422" spans="1:10" s="852" customFormat="1" outlineLevel="2">
      <c r="A422" s="878" t="s">
        <v>541</v>
      </c>
      <c r="B422" s="879" t="s">
        <v>7865</v>
      </c>
      <c r="C422" s="729" t="s">
        <v>540</v>
      </c>
      <c r="D422" s="924"/>
      <c r="E422" s="878" t="s">
        <v>2336</v>
      </c>
      <c r="F422" s="881" t="s">
        <v>3293</v>
      </c>
      <c r="G422" s="731" t="s">
        <v>3203</v>
      </c>
      <c r="H422" s="1083">
        <v>42401</v>
      </c>
      <c r="I422" s="1084">
        <v>42480</v>
      </c>
      <c r="J422" s="957">
        <v>3772.29</v>
      </c>
    </row>
    <row r="423" spans="1:10" s="852" customFormat="1" outlineLevel="2">
      <c r="A423" s="878" t="s">
        <v>541</v>
      </c>
      <c r="B423" s="879" t="s">
        <v>7865</v>
      </c>
      <c r="C423" s="729" t="s">
        <v>540</v>
      </c>
      <c r="D423" s="924"/>
      <c r="E423" s="878" t="s">
        <v>2336</v>
      </c>
      <c r="F423" s="881" t="s">
        <v>3293</v>
      </c>
      <c r="G423" s="731" t="s">
        <v>3203</v>
      </c>
      <c r="H423" s="1083">
        <v>42401</v>
      </c>
      <c r="I423" s="1084">
        <v>42480</v>
      </c>
      <c r="J423" s="957">
        <v>747.97</v>
      </c>
    </row>
    <row r="424" spans="1:10" s="852" customFormat="1" outlineLevel="2">
      <c r="A424" s="878" t="s">
        <v>541</v>
      </c>
      <c r="B424" s="879" t="s">
        <v>7865</v>
      </c>
      <c r="C424" s="729" t="s">
        <v>540</v>
      </c>
      <c r="D424" s="924"/>
      <c r="E424" s="878" t="s">
        <v>2336</v>
      </c>
      <c r="F424" s="881" t="s">
        <v>5985</v>
      </c>
      <c r="G424" s="731" t="s">
        <v>3201</v>
      </c>
      <c r="H424" s="1083">
        <v>42401</v>
      </c>
      <c r="I424" s="1084">
        <v>42480</v>
      </c>
      <c r="J424" s="957">
        <v>3013.51</v>
      </c>
    </row>
    <row r="425" spans="1:10" s="852" customFormat="1" outlineLevel="2">
      <c r="A425" s="878" t="s">
        <v>993</v>
      </c>
      <c r="B425" s="879" t="s">
        <v>7866</v>
      </c>
      <c r="C425" s="729" t="s">
        <v>540</v>
      </c>
      <c r="D425" s="924"/>
      <c r="E425" s="878" t="s">
        <v>2282</v>
      </c>
      <c r="F425" s="881" t="s">
        <v>3974</v>
      </c>
      <c r="G425" s="731" t="s">
        <v>2779</v>
      </c>
      <c r="H425" s="1083">
        <v>42401</v>
      </c>
      <c r="I425" s="1084">
        <v>42471</v>
      </c>
      <c r="J425" s="957">
        <v>328.51</v>
      </c>
    </row>
    <row r="426" spans="1:10" s="852" customFormat="1" outlineLevel="2">
      <c r="A426" s="878" t="s">
        <v>993</v>
      </c>
      <c r="B426" s="879" t="s">
        <v>7866</v>
      </c>
      <c r="C426" s="729" t="s">
        <v>540</v>
      </c>
      <c r="D426" s="924"/>
      <c r="E426" s="878" t="s">
        <v>2282</v>
      </c>
      <c r="F426" s="881" t="s">
        <v>4081</v>
      </c>
      <c r="G426" s="731" t="s">
        <v>2781</v>
      </c>
      <c r="H426" s="1083">
        <v>42401</v>
      </c>
      <c r="I426" s="1084">
        <v>42471</v>
      </c>
      <c r="J426" s="957">
        <v>10.5</v>
      </c>
    </row>
    <row r="427" spans="1:10" s="852" customFormat="1" outlineLevel="2">
      <c r="A427" s="878" t="s">
        <v>993</v>
      </c>
      <c r="B427" s="879" t="s">
        <v>7866</v>
      </c>
      <c r="C427" s="729" t="s">
        <v>540</v>
      </c>
      <c r="D427" s="924"/>
      <c r="E427" s="878" t="s">
        <v>2282</v>
      </c>
      <c r="F427" s="881" t="s">
        <v>4165</v>
      </c>
      <c r="G427" s="731" t="s">
        <v>2782</v>
      </c>
      <c r="H427" s="1083">
        <v>42401</v>
      </c>
      <c r="I427" s="1084">
        <v>42471</v>
      </c>
      <c r="J427" s="957">
        <v>123.94</v>
      </c>
    </row>
    <row r="428" spans="1:10" s="852" customFormat="1" outlineLevel="2">
      <c r="A428" s="878" t="s">
        <v>541</v>
      </c>
      <c r="B428" s="879" t="s">
        <v>7865</v>
      </c>
      <c r="C428" s="729" t="s">
        <v>540</v>
      </c>
      <c r="D428" s="924"/>
      <c r="E428" s="878" t="s">
        <v>2684</v>
      </c>
      <c r="F428" s="881" t="s">
        <v>6099</v>
      </c>
      <c r="G428" s="731" t="s">
        <v>3204</v>
      </c>
      <c r="H428" s="1083">
        <v>42401</v>
      </c>
      <c r="I428" s="1084">
        <v>42480</v>
      </c>
      <c r="J428" s="957">
        <v>821.87</v>
      </c>
    </row>
    <row r="429" spans="1:10" s="852" customFormat="1" outlineLevel="2">
      <c r="A429" s="878" t="s">
        <v>541</v>
      </c>
      <c r="B429" s="879" t="s">
        <v>7865</v>
      </c>
      <c r="C429" s="729" t="s">
        <v>540</v>
      </c>
      <c r="D429" s="924"/>
      <c r="E429" s="878" t="s">
        <v>2684</v>
      </c>
      <c r="F429" s="881" t="s">
        <v>3536</v>
      </c>
      <c r="G429" s="731" t="s">
        <v>3206</v>
      </c>
      <c r="H429" s="1083">
        <v>42401</v>
      </c>
      <c r="I429" s="1084">
        <v>42480</v>
      </c>
      <c r="J429" s="957">
        <v>2054.65</v>
      </c>
    </row>
    <row r="430" spans="1:10" s="852" customFormat="1" outlineLevel="2">
      <c r="A430" s="878" t="s">
        <v>541</v>
      </c>
      <c r="B430" s="879" t="s">
        <v>7865</v>
      </c>
      <c r="C430" s="729" t="s">
        <v>540</v>
      </c>
      <c r="D430" s="924"/>
      <c r="E430" s="878" t="s">
        <v>2684</v>
      </c>
      <c r="F430" s="881" t="s">
        <v>3647</v>
      </c>
      <c r="G430" s="731" t="s">
        <v>3208</v>
      </c>
      <c r="H430" s="1083">
        <v>42401</v>
      </c>
      <c r="I430" s="1084">
        <v>42480</v>
      </c>
      <c r="J430" s="957">
        <v>1028.81</v>
      </c>
    </row>
    <row r="431" spans="1:10" s="852" customFormat="1" outlineLevel="2">
      <c r="A431" s="878" t="s">
        <v>541</v>
      </c>
      <c r="B431" s="879" t="s">
        <v>7865</v>
      </c>
      <c r="C431" s="729" t="s">
        <v>540</v>
      </c>
      <c r="D431" s="924"/>
      <c r="E431" s="878" t="s">
        <v>2684</v>
      </c>
      <c r="F431" s="881" t="s">
        <v>3647</v>
      </c>
      <c r="G431" s="731" t="s">
        <v>3208</v>
      </c>
      <c r="H431" s="1083">
        <v>42401</v>
      </c>
      <c r="I431" s="1084">
        <v>42480</v>
      </c>
      <c r="J431" s="957">
        <v>203.99</v>
      </c>
    </row>
    <row r="432" spans="1:10" s="852" customFormat="1" outlineLevel="2">
      <c r="A432" s="878" t="s">
        <v>541</v>
      </c>
      <c r="B432" s="879" t="s">
        <v>7865</v>
      </c>
      <c r="C432" s="729" t="s">
        <v>540</v>
      </c>
      <c r="D432" s="924"/>
      <c r="E432" s="878" t="s">
        <v>1909</v>
      </c>
      <c r="F432" s="881" t="s">
        <v>6224</v>
      </c>
      <c r="G432" s="731" t="s">
        <v>3211</v>
      </c>
      <c r="H432" s="1083">
        <v>42401</v>
      </c>
      <c r="I432" s="1084">
        <v>42480</v>
      </c>
      <c r="J432" s="957">
        <v>1027.33</v>
      </c>
    </row>
    <row r="433" spans="1:10" s="852" customFormat="1" outlineLevel="2">
      <c r="A433" s="878" t="s">
        <v>993</v>
      </c>
      <c r="B433" s="879" t="s">
        <v>7866</v>
      </c>
      <c r="C433" s="729" t="s">
        <v>540</v>
      </c>
      <c r="D433" s="924"/>
      <c r="E433" s="878" t="s">
        <v>1909</v>
      </c>
      <c r="F433" s="881" t="s">
        <v>3935</v>
      </c>
      <c r="G433" s="731" t="s">
        <v>2817</v>
      </c>
      <c r="H433" s="1083">
        <v>42401</v>
      </c>
      <c r="I433" s="1084">
        <v>42480</v>
      </c>
      <c r="J433" s="957">
        <v>98.55</v>
      </c>
    </row>
    <row r="434" spans="1:10" s="852" customFormat="1" outlineLevel="2">
      <c r="A434" s="878" t="s">
        <v>993</v>
      </c>
      <c r="B434" s="879" t="s">
        <v>7866</v>
      </c>
      <c r="C434" s="729" t="s">
        <v>540</v>
      </c>
      <c r="D434" s="924"/>
      <c r="E434" s="878" t="s">
        <v>1909</v>
      </c>
      <c r="F434" s="881" t="s">
        <v>4027</v>
      </c>
      <c r="G434" s="731" t="s">
        <v>2819</v>
      </c>
      <c r="H434" s="1083">
        <v>42401</v>
      </c>
      <c r="I434" s="1084">
        <v>42480</v>
      </c>
      <c r="J434" s="957">
        <v>3.15</v>
      </c>
    </row>
    <row r="435" spans="1:10" s="852" customFormat="1" outlineLevel="2">
      <c r="A435" s="878" t="s">
        <v>993</v>
      </c>
      <c r="B435" s="879" t="s">
        <v>7866</v>
      </c>
      <c r="C435" s="729" t="s">
        <v>540</v>
      </c>
      <c r="D435" s="924"/>
      <c r="E435" s="878" t="s">
        <v>1909</v>
      </c>
      <c r="F435" s="881" t="s">
        <v>4129</v>
      </c>
      <c r="G435" s="731" t="s">
        <v>2821</v>
      </c>
      <c r="H435" s="1083">
        <v>42401</v>
      </c>
      <c r="I435" s="1084">
        <v>42480</v>
      </c>
      <c r="J435" s="957">
        <v>37.18</v>
      </c>
    </row>
    <row r="436" spans="1:10" s="852" customFormat="1" outlineLevel="2">
      <c r="A436" s="878" t="s">
        <v>541</v>
      </c>
      <c r="B436" s="879" t="s">
        <v>7865</v>
      </c>
      <c r="C436" s="729" t="s">
        <v>540</v>
      </c>
      <c r="D436" s="924"/>
      <c r="E436" s="878" t="s">
        <v>1909</v>
      </c>
      <c r="F436" s="881" t="s">
        <v>3290</v>
      </c>
      <c r="G436" s="731" t="s">
        <v>3212</v>
      </c>
      <c r="H436" s="1083">
        <v>42401</v>
      </c>
      <c r="I436" s="1084">
        <v>42480</v>
      </c>
      <c r="J436" s="957">
        <v>514.4</v>
      </c>
    </row>
    <row r="437" spans="1:10" s="852" customFormat="1" outlineLevel="2">
      <c r="A437" s="878" t="s">
        <v>541</v>
      </c>
      <c r="B437" s="879" t="s">
        <v>7865</v>
      </c>
      <c r="C437" s="729" t="s">
        <v>540</v>
      </c>
      <c r="D437" s="924"/>
      <c r="E437" s="878" t="s">
        <v>1909</v>
      </c>
      <c r="F437" s="881" t="s">
        <v>3290</v>
      </c>
      <c r="G437" s="731" t="s">
        <v>3212</v>
      </c>
      <c r="H437" s="1083">
        <v>42401</v>
      </c>
      <c r="I437" s="1084">
        <v>42480</v>
      </c>
      <c r="J437" s="957">
        <v>101.99</v>
      </c>
    </row>
    <row r="438" spans="1:10" s="852" customFormat="1" outlineLevel="2">
      <c r="A438" s="878" t="s">
        <v>541</v>
      </c>
      <c r="B438" s="879" t="s">
        <v>7865</v>
      </c>
      <c r="C438" s="729" t="s">
        <v>540</v>
      </c>
      <c r="D438" s="924"/>
      <c r="E438" s="878" t="s">
        <v>1909</v>
      </c>
      <c r="F438" s="881" t="s">
        <v>6223</v>
      </c>
      <c r="G438" s="731" t="s">
        <v>3210</v>
      </c>
      <c r="H438" s="1083">
        <v>42401</v>
      </c>
      <c r="I438" s="1084">
        <v>42480</v>
      </c>
      <c r="J438" s="957">
        <v>410.93</v>
      </c>
    </row>
    <row r="439" spans="1:10" s="852" customFormat="1" ht="28.5" outlineLevel="2">
      <c r="A439" s="878" t="s">
        <v>541</v>
      </c>
      <c r="B439" s="879" t="s">
        <v>7865</v>
      </c>
      <c r="C439" s="729" t="s">
        <v>540</v>
      </c>
      <c r="D439" s="924"/>
      <c r="E439" s="878" t="s">
        <v>1909</v>
      </c>
      <c r="F439" s="881" t="s">
        <v>4617</v>
      </c>
      <c r="G439" s="731" t="s">
        <v>3214</v>
      </c>
      <c r="H439" s="1083">
        <v>42401</v>
      </c>
      <c r="I439" s="1084">
        <v>42480</v>
      </c>
      <c r="J439" s="957">
        <v>3184.73</v>
      </c>
    </row>
    <row r="440" spans="1:10" s="852" customFormat="1" ht="28.5" outlineLevel="2">
      <c r="A440" s="878" t="s">
        <v>993</v>
      </c>
      <c r="B440" s="879" t="s">
        <v>7866</v>
      </c>
      <c r="C440" s="729" t="s">
        <v>540</v>
      </c>
      <c r="D440" s="924"/>
      <c r="E440" s="878" t="s">
        <v>1909</v>
      </c>
      <c r="F440" s="881" t="s">
        <v>4956</v>
      </c>
      <c r="G440" s="731" t="s">
        <v>2833</v>
      </c>
      <c r="H440" s="1083">
        <v>42401</v>
      </c>
      <c r="I440" s="1084">
        <v>42480</v>
      </c>
      <c r="J440" s="957">
        <v>305.52</v>
      </c>
    </row>
    <row r="441" spans="1:10" s="852" customFormat="1" ht="28.5" outlineLevel="2">
      <c r="A441" s="878" t="s">
        <v>993</v>
      </c>
      <c r="B441" s="879" t="s">
        <v>7866</v>
      </c>
      <c r="C441" s="729" t="s">
        <v>540</v>
      </c>
      <c r="D441" s="924"/>
      <c r="E441" s="878" t="s">
        <v>1909</v>
      </c>
      <c r="F441" s="881" t="s">
        <v>4903</v>
      </c>
      <c r="G441" s="731" t="s">
        <v>2832</v>
      </c>
      <c r="H441" s="1083">
        <v>42401</v>
      </c>
      <c r="I441" s="1084">
        <v>42480</v>
      </c>
      <c r="J441" s="957">
        <v>9.77</v>
      </c>
    </row>
    <row r="442" spans="1:10" s="852" customFormat="1" ht="28.5" outlineLevel="2">
      <c r="A442" s="878" t="s">
        <v>993</v>
      </c>
      <c r="B442" s="879" t="s">
        <v>7866</v>
      </c>
      <c r="C442" s="729" t="s">
        <v>540</v>
      </c>
      <c r="D442" s="924"/>
      <c r="E442" s="878" t="s">
        <v>1909</v>
      </c>
      <c r="F442" s="881" t="s">
        <v>4853</v>
      </c>
      <c r="G442" s="731" t="s">
        <v>2831</v>
      </c>
      <c r="H442" s="1083">
        <v>42401</v>
      </c>
      <c r="I442" s="1084">
        <v>42480</v>
      </c>
      <c r="J442" s="957">
        <v>115.27</v>
      </c>
    </row>
    <row r="443" spans="1:10" s="852" customFormat="1" ht="28.5" outlineLevel="2">
      <c r="A443" s="878" t="s">
        <v>541</v>
      </c>
      <c r="B443" s="879" t="s">
        <v>7865</v>
      </c>
      <c r="C443" s="729" t="s">
        <v>540</v>
      </c>
      <c r="D443" s="924"/>
      <c r="E443" s="878" t="s">
        <v>1909</v>
      </c>
      <c r="F443" s="881" t="s">
        <v>4615</v>
      </c>
      <c r="G443" s="731" t="s">
        <v>3213</v>
      </c>
      <c r="H443" s="1083">
        <v>42401</v>
      </c>
      <c r="I443" s="1084">
        <v>42480</v>
      </c>
      <c r="J443" s="957">
        <v>1594.64</v>
      </c>
    </row>
    <row r="444" spans="1:10" s="852" customFormat="1" ht="28.5" outlineLevel="2">
      <c r="A444" s="878" t="s">
        <v>541</v>
      </c>
      <c r="B444" s="879" t="s">
        <v>7865</v>
      </c>
      <c r="C444" s="729" t="s">
        <v>540</v>
      </c>
      <c r="D444" s="924"/>
      <c r="E444" s="878" t="s">
        <v>1909</v>
      </c>
      <c r="F444" s="881" t="s">
        <v>4615</v>
      </c>
      <c r="G444" s="731" t="s">
        <v>3213</v>
      </c>
      <c r="H444" s="1083">
        <v>42401</v>
      </c>
      <c r="I444" s="1084">
        <v>42480</v>
      </c>
      <c r="J444" s="957">
        <v>316.19</v>
      </c>
    </row>
    <row r="445" spans="1:10" s="852" customFormat="1" ht="28.5" outlineLevel="2">
      <c r="A445" s="878" t="s">
        <v>541</v>
      </c>
      <c r="B445" s="879" t="s">
        <v>7865</v>
      </c>
      <c r="C445" s="729" t="s">
        <v>540</v>
      </c>
      <c r="D445" s="924"/>
      <c r="E445" s="878" t="s">
        <v>1909</v>
      </c>
      <c r="F445" s="881" t="s">
        <v>5022</v>
      </c>
      <c r="G445" s="731" t="s">
        <v>3215</v>
      </c>
      <c r="H445" s="1083">
        <v>42401</v>
      </c>
      <c r="I445" s="1084">
        <v>42480</v>
      </c>
      <c r="J445" s="957">
        <v>1273.9000000000001</v>
      </c>
    </row>
    <row r="446" spans="1:10" s="852" customFormat="1" outlineLevel="1">
      <c r="A446" s="878"/>
      <c r="B446" s="879" t="s">
        <v>258</v>
      </c>
      <c r="C446" s="908" t="s">
        <v>540</v>
      </c>
      <c r="D446" s="928" t="str">
        <f>VLOOKUP(C446,$C$3691:$D$3771,2,FALSE)</f>
        <v>TOTAL POUPATEMPO  AMERICANA</v>
      </c>
      <c r="E446" s="1085"/>
      <c r="F446" s="929"/>
      <c r="G446" s="910"/>
      <c r="H446" s="1086"/>
      <c r="I446" s="1087"/>
      <c r="J446" s="930">
        <f>SUBTOTAL(9,J417:J445)</f>
        <v>91437.499999999971</v>
      </c>
    </row>
    <row r="447" spans="1:10" s="852" customFormat="1" outlineLevel="2">
      <c r="A447" s="878" t="s">
        <v>2232</v>
      </c>
      <c r="B447" s="879" t="s">
        <v>7869</v>
      </c>
      <c r="C447" s="729" t="s">
        <v>544</v>
      </c>
      <c r="D447" s="924"/>
      <c r="E447" s="878" t="s">
        <v>2221</v>
      </c>
      <c r="F447" s="881" t="s">
        <v>863</v>
      </c>
      <c r="G447" s="731" t="s">
        <v>5571</v>
      </c>
      <c r="H447" s="1083">
        <v>42401</v>
      </c>
      <c r="I447" s="1084">
        <v>42465</v>
      </c>
      <c r="J447" s="957">
        <v>4051.04</v>
      </c>
    </row>
    <row r="448" spans="1:10" s="852" customFormat="1" outlineLevel="2">
      <c r="A448" s="878" t="s">
        <v>6460</v>
      </c>
      <c r="B448" s="879" t="s">
        <v>7863</v>
      </c>
      <c r="C448" s="729" t="s">
        <v>544</v>
      </c>
      <c r="D448" s="924"/>
      <c r="E448" s="878" t="s">
        <v>483</v>
      </c>
      <c r="F448" s="881" t="s">
        <v>2208</v>
      </c>
      <c r="G448" s="731" t="str">
        <f>"17002"</f>
        <v>17002</v>
      </c>
      <c r="H448" s="1083">
        <v>42401</v>
      </c>
      <c r="I448" s="1084">
        <v>42475</v>
      </c>
      <c r="J448" s="957">
        <v>12469.11</v>
      </c>
    </row>
    <row r="449" spans="1:10" s="852" customFormat="1" outlineLevel="2">
      <c r="A449" s="878" t="s">
        <v>5929</v>
      </c>
      <c r="B449" s="879" t="s">
        <v>7864</v>
      </c>
      <c r="C449" s="729" t="s">
        <v>544</v>
      </c>
      <c r="D449" s="924"/>
      <c r="E449" s="878" t="s">
        <v>6470</v>
      </c>
      <c r="F449" s="881" t="s">
        <v>434</v>
      </c>
      <c r="G449" s="731" t="str">
        <f>"2592"</f>
        <v>2592</v>
      </c>
      <c r="H449" s="1083">
        <v>42370</v>
      </c>
      <c r="I449" s="1084">
        <v>42478</v>
      </c>
      <c r="J449" s="957">
        <v>-1741.79</v>
      </c>
    </row>
    <row r="450" spans="1:10" s="852" customFormat="1" outlineLevel="2">
      <c r="A450" s="878" t="s">
        <v>5929</v>
      </c>
      <c r="B450" s="879" t="s">
        <v>7864</v>
      </c>
      <c r="C450" s="729" t="s">
        <v>544</v>
      </c>
      <c r="D450" s="924"/>
      <c r="E450" s="878" t="s">
        <v>6470</v>
      </c>
      <c r="F450" s="881" t="s">
        <v>434</v>
      </c>
      <c r="G450" s="731" t="str">
        <f>"2592"</f>
        <v>2592</v>
      </c>
      <c r="H450" s="1083">
        <v>42370</v>
      </c>
      <c r="I450" s="1084">
        <v>42478</v>
      </c>
      <c r="J450" s="957">
        <v>1741.79</v>
      </c>
    </row>
    <row r="451" spans="1:10" s="852" customFormat="1" outlineLevel="2">
      <c r="A451" s="878" t="s">
        <v>5929</v>
      </c>
      <c r="B451" s="879" t="s">
        <v>7864</v>
      </c>
      <c r="C451" s="729" t="s">
        <v>544</v>
      </c>
      <c r="D451" s="924"/>
      <c r="E451" s="878" t="s">
        <v>6470</v>
      </c>
      <c r="F451" s="881" t="s">
        <v>434</v>
      </c>
      <c r="G451" s="731" t="str">
        <f>"2592"</f>
        <v>2592</v>
      </c>
      <c r="H451" s="1083">
        <v>42370</v>
      </c>
      <c r="I451" s="1084">
        <v>42478</v>
      </c>
      <c r="J451" s="957">
        <v>1741.79</v>
      </c>
    </row>
    <row r="452" spans="1:10" s="852" customFormat="1" outlineLevel="2">
      <c r="A452" s="878" t="s">
        <v>5929</v>
      </c>
      <c r="B452" s="879" t="s">
        <v>7864</v>
      </c>
      <c r="C452" s="729" t="s">
        <v>544</v>
      </c>
      <c r="D452" s="924"/>
      <c r="E452" s="878" t="s">
        <v>6470</v>
      </c>
      <c r="F452" s="881" t="s">
        <v>434</v>
      </c>
      <c r="G452" s="731" t="str">
        <f>"2592"</f>
        <v>2592</v>
      </c>
      <c r="H452" s="1083">
        <v>42370</v>
      </c>
      <c r="I452" s="1084">
        <v>42478</v>
      </c>
      <c r="J452" s="957">
        <v>1741.79</v>
      </c>
    </row>
    <row r="453" spans="1:10" s="852" customFormat="1" outlineLevel="2">
      <c r="A453" s="878" t="s">
        <v>5929</v>
      </c>
      <c r="B453" s="879" t="s">
        <v>7864</v>
      </c>
      <c r="C453" s="729" t="s">
        <v>544</v>
      </c>
      <c r="D453" s="924"/>
      <c r="E453" s="878" t="s">
        <v>6470</v>
      </c>
      <c r="F453" s="881" t="s">
        <v>434</v>
      </c>
      <c r="G453" s="731" t="str">
        <f>"2592"</f>
        <v>2592</v>
      </c>
      <c r="H453" s="1083">
        <v>42370</v>
      </c>
      <c r="I453" s="1084">
        <v>42478</v>
      </c>
      <c r="J453" s="957">
        <v>-1741.79</v>
      </c>
    </row>
    <row r="454" spans="1:10" s="852" customFormat="1" outlineLevel="2">
      <c r="A454" s="878" t="s">
        <v>549</v>
      </c>
      <c r="B454" s="879" t="s">
        <v>7863</v>
      </c>
      <c r="C454" s="729" t="s">
        <v>544</v>
      </c>
      <c r="D454" s="924"/>
      <c r="E454" s="878" t="s">
        <v>2336</v>
      </c>
      <c r="F454" s="881" t="s">
        <v>4277</v>
      </c>
      <c r="G454" s="731" t="s">
        <v>3222</v>
      </c>
      <c r="H454" s="1083">
        <v>42401</v>
      </c>
      <c r="I454" s="1084">
        <v>42480</v>
      </c>
      <c r="J454" s="957">
        <v>1707.03</v>
      </c>
    </row>
    <row r="455" spans="1:10" s="852" customFormat="1" outlineLevel="2">
      <c r="A455" s="878" t="s">
        <v>547</v>
      </c>
      <c r="B455" s="879" t="s">
        <v>7864</v>
      </c>
      <c r="C455" s="729" t="s">
        <v>544</v>
      </c>
      <c r="D455" s="924"/>
      <c r="E455" s="878" t="s">
        <v>2336</v>
      </c>
      <c r="F455" s="881" t="s">
        <v>5987</v>
      </c>
      <c r="G455" s="731" t="s">
        <v>3216</v>
      </c>
      <c r="H455" s="1083">
        <v>42401</v>
      </c>
      <c r="I455" s="1084">
        <v>42480</v>
      </c>
      <c r="J455" s="957">
        <v>238.45</v>
      </c>
    </row>
    <row r="456" spans="1:10" s="852" customFormat="1" outlineLevel="2">
      <c r="A456" s="878" t="s">
        <v>547</v>
      </c>
      <c r="B456" s="879" t="s">
        <v>7864</v>
      </c>
      <c r="C456" s="729" t="s">
        <v>544</v>
      </c>
      <c r="D456" s="924"/>
      <c r="E456" s="878" t="s">
        <v>2336</v>
      </c>
      <c r="F456" s="881" t="s">
        <v>3640</v>
      </c>
      <c r="G456" s="731" t="s">
        <v>3221</v>
      </c>
      <c r="H456" s="1083">
        <v>42401</v>
      </c>
      <c r="I456" s="1084">
        <v>42480</v>
      </c>
      <c r="J456" s="957">
        <v>156.88</v>
      </c>
    </row>
    <row r="457" spans="1:10" s="852" customFormat="1" outlineLevel="2">
      <c r="A457" s="878" t="s">
        <v>547</v>
      </c>
      <c r="B457" s="879" t="s">
        <v>7864</v>
      </c>
      <c r="C457" s="729" t="s">
        <v>544</v>
      </c>
      <c r="D457" s="924"/>
      <c r="E457" s="878" t="s">
        <v>2336</v>
      </c>
      <c r="F457" s="881" t="s">
        <v>3151</v>
      </c>
      <c r="G457" s="731" t="s">
        <v>3217</v>
      </c>
      <c r="H457" s="1083">
        <v>42401</v>
      </c>
      <c r="I457" s="1084">
        <v>42480</v>
      </c>
      <c r="J457" s="957">
        <v>232.18</v>
      </c>
    </row>
    <row r="458" spans="1:10" s="852" customFormat="1" outlineLevel="2">
      <c r="A458" s="878" t="s">
        <v>545</v>
      </c>
      <c r="B458" s="879" t="s">
        <v>7865</v>
      </c>
      <c r="C458" s="729" t="s">
        <v>544</v>
      </c>
      <c r="D458" s="924"/>
      <c r="E458" s="878" t="s">
        <v>2336</v>
      </c>
      <c r="F458" s="881" t="s">
        <v>3413</v>
      </c>
      <c r="G458" s="731" t="s">
        <v>3220</v>
      </c>
      <c r="H458" s="1083">
        <v>42401</v>
      </c>
      <c r="I458" s="1084">
        <v>42480</v>
      </c>
      <c r="J458" s="957">
        <v>3963.11</v>
      </c>
    </row>
    <row r="459" spans="1:10" s="852" customFormat="1" outlineLevel="2">
      <c r="A459" s="878" t="s">
        <v>545</v>
      </c>
      <c r="B459" s="879" t="s">
        <v>7865</v>
      </c>
      <c r="C459" s="729" t="s">
        <v>544</v>
      </c>
      <c r="D459" s="924"/>
      <c r="E459" s="878" t="s">
        <v>2336</v>
      </c>
      <c r="F459" s="881" t="s">
        <v>3407</v>
      </c>
      <c r="G459" s="731" t="s">
        <v>3219</v>
      </c>
      <c r="H459" s="1083">
        <v>42401</v>
      </c>
      <c r="I459" s="1084">
        <v>42480</v>
      </c>
      <c r="J459" s="957">
        <v>240.32</v>
      </c>
    </row>
    <row r="460" spans="1:10" s="852" customFormat="1" outlineLevel="2">
      <c r="A460" s="878" t="s">
        <v>545</v>
      </c>
      <c r="B460" s="879" t="s">
        <v>7865</v>
      </c>
      <c r="C460" s="729" t="s">
        <v>544</v>
      </c>
      <c r="D460" s="924"/>
      <c r="E460" s="878" t="s">
        <v>2336</v>
      </c>
      <c r="F460" s="881" t="s">
        <v>3407</v>
      </c>
      <c r="G460" s="731" t="s">
        <v>3219</v>
      </c>
      <c r="H460" s="1083">
        <v>42401</v>
      </c>
      <c r="I460" s="1084">
        <v>42480</v>
      </c>
      <c r="J460" s="957">
        <v>369.38</v>
      </c>
    </row>
    <row r="461" spans="1:10" s="852" customFormat="1" outlineLevel="2">
      <c r="A461" s="878" t="s">
        <v>545</v>
      </c>
      <c r="B461" s="879" t="s">
        <v>7865</v>
      </c>
      <c r="C461" s="729" t="s">
        <v>544</v>
      </c>
      <c r="D461" s="924"/>
      <c r="E461" s="878" t="s">
        <v>2336</v>
      </c>
      <c r="F461" s="881" t="s">
        <v>3315</v>
      </c>
      <c r="G461" s="731" t="s">
        <v>3218</v>
      </c>
      <c r="H461" s="1083">
        <v>42401</v>
      </c>
      <c r="I461" s="1084">
        <v>42480</v>
      </c>
      <c r="J461" s="957">
        <v>600.79</v>
      </c>
    </row>
    <row r="462" spans="1:10" s="852" customFormat="1" outlineLevel="2">
      <c r="A462" s="878" t="s">
        <v>545</v>
      </c>
      <c r="B462" s="879" t="s">
        <v>7865</v>
      </c>
      <c r="C462" s="729" t="s">
        <v>544</v>
      </c>
      <c r="D462" s="924"/>
      <c r="E462" s="878" t="s">
        <v>2336</v>
      </c>
      <c r="F462" s="881" t="s">
        <v>3315</v>
      </c>
      <c r="G462" s="731" t="s">
        <v>3218</v>
      </c>
      <c r="H462" s="1083">
        <v>42401</v>
      </c>
      <c r="I462" s="1084">
        <v>42480</v>
      </c>
      <c r="J462" s="957">
        <v>923.47</v>
      </c>
    </row>
    <row r="463" spans="1:10" s="852" customFormat="1" outlineLevel="2">
      <c r="A463" s="878" t="s">
        <v>5929</v>
      </c>
      <c r="B463" s="879" t="s">
        <v>7864</v>
      </c>
      <c r="C463" s="729" t="s">
        <v>544</v>
      </c>
      <c r="D463" s="924"/>
      <c r="E463" s="878" t="s">
        <v>2717</v>
      </c>
      <c r="F463" s="881" t="s">
        <v>434</v>
      </c>
      <c r="G463" s="731" t="str">
        <f>"3532"</f>
        <v>3532</v>
      </c>
      <c r="H463" s="1083">
        <v>42401</v>
      </c>
      <c r="I463" s="1084">
        <v>42467</v>
      </c>
      <c r="J463" s="957">
        <v>1145.92</v>
      </c>
    </row>
    <row r="464" spans="1:10" s="852" customFormat="1" outlineLevel="2">
      <c r="A464" s="878" t="s">
        <v>5929</v>
      </c>
      <c r="B464" s="879" t="s">
        <v>7864</v>
      </c>
      <c r="C464" s="729" t="s">
        <v>544</v>
      </c>
      <c r="D464" s="924"/>
      <c r="E464" s="878" t="s">
        <v>409</v>
      </c>
      <c r="F464" s="881" t="s">
        <v>434</v>
      </c>
      <c r="G464" s="731" t="str">
        <f>"6672"</f>
        <v>6672</v>
      </c>
      <c r="H464" s="1083">
        <v>42401</v>
      </c>
      <c r="I464" s="1084">
        <v>42475</v>
      </c>
      <c r="J464" s="957">
        <v>1695.95</v>
      </c>
    </row>
    <row r="465" spans="1:10" s="852" customFormat="1" outlineLevel="2">
      <c r="A465" s="878" t="s">
        <v>1782</v>
      </c>
      <c r="B465" s="879" t="s">
        <v>7871</v>
      </c>
      <c r="C465" s="729" t="s">
        <v>544</v>
      </c>
      <c r="D465" s="924"/>
      <c r="E465" s="878" t="s">
        <v>484</v>
      </c>
      <c r="F465" s="881" t="s">
        <v>1753</v>
      </c>
      <c r="G465" s="731" t="s">
        <v>5669</v>
      </c>
      <c r="H465" s="1083">
        <v>42430</v>
      </c>
      <c r="I465" s="1084">
        <v>42478</v>
      </c>
      <c r="J465" s="957">
        <v>87.71</v>
      </c>
    </row>
    <row r="466" spans="1:10" s="852" customFormat="1" outlineLevel="2">
      <c r="A466" s="878" t="s">
        <v>545</v>
      </c>
      <c r="B466" s="879" t="s">
        <v>7865</v>
      </c>
      <c r="C466" s="729" t="s">
        <v>544</v>
      </c>
      <c r="D466" s="924"/>
      <c r="E466" s="878" t="s">
        <v>484</v>
      </c>
      <c r="F466" s="881" t="s">
        <v>1094</v>
      </c>
      <c r="G466" s="731" t="s">
        <v>5808</v>
      </c>
      <c r="H466" s="1083">
        <v>42430</v>
      </c>
      <c r="I466" s="1084">
        <v>42489</v>
      </c>
      <c r="J466" s="957">
        <v>69283.490000000005</v>
      </c>
    </row>
    <row r="467" spans="1:10" s="852" customFormat="1" outlineLevel="2">
      <c r="A467" s="878" t="s">
        <v>1004</v>
      </c>
      <c r="B467" s="879" t="s">
        <v>7866</v>
      </c>
      <c r="C467" s="729" t="s">
        <v>544</v>
      </c>
      <c r="D467" s="924"/>
      <c r="E467" s="878" t="s">
        <v>2282</v>
      </c>
      <c r="F467" s="881" t="s">
        <v>3974</v>
      </c>
      <c r="G467" s="731" t="s">
        <v>2779</v>
      </c>
      <c r="H467" s="1083">
        <v>42401</v>
      </c>
      <c r="I467" s="1084">
        <v>42471</v>
      </c>
      <c r="J467" s="957">
        <v>204.73</v>
      </c>
    </row>
    <row r="468" spans="1:10" s="852" customFormat="1" outlineLevel="2">
      <c r="A468" s="878" t="s">
        <v>1004</v>
      </c>
      <c r="B468" s="879" t="s">
        <v>7866</v>
      </c>
      <c r="C468" s="729" t="s">
        <v>544</v>
      </c>
      <c r="D468" s="924"/>
      <c r="E468" s="878" t="s">
        <v>2282</v>
      </c>
      <c r="F468" s="881" t="s">
        <v>4081</v>
      </c>
      <c r="G468" s="731" t="s">
        <v>2781</v>
      </c>
      <c r="H468" s="1083">
        <v>42401</v>
      </c>
      <c r="I468" s="1084">
        <v>42471</v>
      </c>
      <c r="J468" s="957">
        <v>6.54</v>
      </c>
    </row>
    <row r="469" spans="1:10" s="852" customFormat="1" outlineLevel="2">
      <c r="A469" s="878" t="s">
        <v>1004</v>
      </c>
      <c r="B469" s="879" t="s">
        <v>7866</v>
      </c>
      <c r="C469" s="729" t="s">
        <v>544</v>
      </c>
      <c r="D469" s="924"/>
      <c r="E469" s="878" t="s">
        <v>2282</v>
      </c>
      <c r="F469" s="881" t="s">
        <v>4165</v>
      </c>
      <c r="G469" s="731" t="s">
        <v>2782</v>
      </c>
      <c r="H469" s="1083">
        <v>42401</v>
      </c>
      <c r="I469" s="1084">
        <v>42471</v>
      </c>
      <c r="J469" s="957">
        <v>77.239999999999995</v>
      </c>
    </row>
    <row r="470" spans="1:10" s="852" customFormat="1" outlineLevel="2">
      <c r="A470" s="878" t="s">
        <v>547</v>
      </c>
      <c r="B470" s="879" t="s">
        <v>7864</v>
      </c>
      <c r="C470" s="729" t="s">
        <v>544</v>
      </c>
      <c r="D470" s="924"/>
      <c r="E470" s="878" t="s">
        <v>546</v>
      </c>
      <c r="F470" s="881" t="s">
        <v>6100</v>
      </c>
      <c r="G470" s="731" t="s">
        <v>3223</v>
      </c>
      <c r="H470" s="1083">
        <v>42401</v>
      </c>
      <c r="I470" s="1084">
        <v>42485</v>
      </c>
      <c r="J470" s="957">
        <v>65.03</v>
      </c>
    </row>
    <row r="471" spans="1:10" s="852" customFormat="1" outlineLevel="2">
      <c r="A471" s="878" t="s">
        <v>547</v>
      </c>
      <c r="B471" s="879" t="s">
        <v>7864</v>
      </c>
      <c r="C471" s="729" t="s">
        <v>544</v>
      </c>
      <c r="D471" s="924"/>
      <c r="E471" s="878" t="s">
        <v>546</v>
      </c>
      <c r="F471" s="881" t="s">
        <v>3152</v>
      </c>
      <c r="G471" s="731" t="s">
        <v>3224</v>
      </c>
      <c r="H471" s="1083">
        <v>42401</v>
      </c>
      <c r="I471" s="1084">
        <v>42485</v>
      </c>
      <c r="J471" s="957">
        <v>63.32</v>
      </c>
    </row>
    <row r="472" spans="1:10" s="852" customFormat="1" outlineLevel="2">
      <c r="A472" s="878" t="s">
        <v>545</v>
      </c>
      <c r="B472" s="879" t="s">
        <v>7865</v>
      </c>
      <c r="C472" s="729" t="s">
        <v>544</v>
      </c>
      <c r="D472" s="924"/>
      <c r="E472" s="878" t="s">
        <v>546</v>
      </c>
      <c r="F472" s="881" t="s">
        <v>3409</v>
      </c>
      <c r="G472" s="731" t="s">
        <v>3225</v>
      </c>
      <c r="H472" s="1083">
        <v>42401</v>
      </c>
      <c r="I472" s="1084">
        <v>42485</v>
      </c>
      <c r="J472" s="957">
        <v>146.68</v>
      </c>
    </row>
    <row r="473" spans="1:10" s="852" customFormat="1" outlineLevel="2">
      <c r="A473" s="878" t="s">
        <v>545</v>
      </c>
      <c r="B473" s="879" t="s">
        <v>7865</v>
      </c>
      <c r="C473" s="729" t="s">
        <v>544</v>
      </c>
      <c r="D473" s="924"/>
      <c r="E473" s="878" t="s">
        <v>546</v>
      </c>
      <c r="F473" s="881" t="s">
        <v>3409</v>
      </c>
      <c r="G473" s="731" t="s">
        <v>3225</v>
      </c>
      <c r="H473" s="1083">
        <v>42401</v>
      </c>
      <c r="I473" s="1084">
        <v>42485</v>
      </c>
      <c r="J473" s="957">
        <v>225.43</v>
      </c>
    </row>
    <row r="474" spans="1:10" s="852" customFormat="1" outlineLevel="2">
      <c r="A474" s="878" t="s">
        <v>545</v>
      </c>
      <c r="B474" s="879" t="s">
        <v>7865</v>
      </c>
      <c r="C474" s="729" t="s">
        <v>544</v>
      </c>
      <c r="D474" s="924"/>
      <c r="E474" s="878" t="s">
        <v>546</v>
      </c>
      <c r="F474" s="881" t="s">
        <v>3414</v>
      </c>
      <c r="G474" s="731" t="s">
        <v>3226</v>
      </c>
      <c r="H474" s="1083">
        <v>42401</v>
      </c>
      <c r="I474" s="1084">
        <v>42485</v>
      </c>
      <c r="J474" s="957">
        <v>2418.71</v>
      </c>
    </row>
    <row r="475" spans="1:10" s="852" customFormat="1" outlineLevel="2">
      <c r="A475" s="878" t="s">
        <v>547</v>
      </c>
      <c r="B475" s="879" t="s">
        <v>7864</v>
      </c>
      <c r="C475" s="729" t="s">
        <v>544</v>
      </c>
      <c r="D475" s="924"/>
      <c r="E475" s="878" t="s">
        <v>546</v>
      </c>
      <c r="F475" s="881" t="s">
        <v>3641</v>
      </c>
      <c r="G475" s="731" t="s">
        <v>3227</v>
      </c>
      <c r="H475" s="1083">
        <v>42401</v>
      </c>
      <c r="I475" s="1084">
        <v>42485</v>
      </c>
      <c r="J475" s="957">
        <v>42.78</v>
      </c>
    </row>
    <row r="476" spans="1:10" s="852" customFormat="1" outlineLevel="2">
      <c r="A476" s="878" t="s">
        <v>549</v>
      </c>
      <c r="B476" s="879" t="s">
        <v>7863</v>
      </c>
      <c r="C476" s="729" t="s">
        <v>544</v>
      </c>
      <c r="D476" s="924"/>
      <c r="E476" s="878" t="s">
        <v>546</v>
      </c>
      <c r="F476" s="881" t="s">
        <v>4279</v>
      </c>
      <c r="G476" s="731" t="s">
        <v>3228</v>
      </c>
      <c r="H476" s="1083">
        <v>42401</v>
      </c>
      <c r="I476" s="1084">
        <v>42485</v>
      </c>
      <c r="J476" s="957">
        <v>465.55</v>
      </c>
    </row>
    <row r="477" spans="1:10" s="852" customFormat="1" outlineLevel="2">
      <c r="A477" s="878" t="s">
        <v>545</v>
      </c>
      <c r="B477" s="879" t="s">
        <v>7865</v>
      </c>
      <c r="C477" s="729" t="s">
        <v>544</v>
      </c>
      <c r="D477" s="924"/>
      <c r="E477" s="878" t="s">
        <v>546</v>
      </c>
      <c r="F477" s="881" t="s">
        <v>5516</v>
      </c>
      <c r="G477" s="731" t="s">
        <v>3229</v>
      </c>
      <c r="H477" s="1083">
        <v>42401</v>
      </c>
      <c r="I477" s="1084">
        <v>42485</v>
      </c>
      <c r="J477" s="957">
        <v>366.67</v>
      </c>
    </row>
    <row r="478" spans="1:10" s="852" customFormat="1" outlineLevel="2">
      <c r="A478" s="878" t="s">
        <v>545</v>
      </c>
      <c r="B478" s="879" t="s">
        <v>7865</v>
      </c>
      <c r="C478" s="729" t="s">
        <v>544</v>
      </c>
      <c r="D478" s="924"/>
      <c r="E478" s="878" t="s">
        <v>546</v>
      </c>
      <c r="F478" s="881" t="s">
        <v>5516</v>
      </c>
      <c r="G478" s="731" t="s">
        <v>3229</v>
      </c>
      <c r="H478" s="1083">
        <v>42401</v>
      </c>
      <c r="I478" s="1084">
        <v>42485</v>
      </c>
      <c r="J478" s="957">
        <v>563.6</v>
      </c>
    </row>
    <row r="479" spans="1:10" s="852" customFormat="1" outlineLevel="2">
      <c r="A479" s="878" t="s">
        <v>1004</v>
      </c>
      <c r="B479" s="879" t="s">
        <v>7866</v>
      </c>
      <c r="C479" s="729" t="s">
        <v>544</v>
      </c>
      <c r="D479" s="924"/>
      <c r="E479" s="878" t="s">
        <v>1909</v>
      </c>
      <c r="F479" s="881" t="s">
        <v>3935</v>
      </c>
      <c r="G479" s="731" t="s">
        <v>2817</v>
      </c>
      <c r="H479" s="1083">
        <v>42401</v>
      </c>
      <c r="I479" s="1084">
        <v>42480</v>
      </c>
      <c r="J479" s="957">
        <v>61.42</v>
      </c>
    </row>
    <row r="480" spans="1:10" s="852" customFormat="1" outlineLevel="2">
      <c r="A480" s="878" t="s">
        <v>1004</v>
      </c>
      <c r="B480" s="879" t="s">
        <v>7866</v>
      </c>
      <c r="C480" s="729" t="s">
        <v>544</v>
      </c>
      <c r="D480" s="924"/>
      <c r="E480" s="878" t="s">
        <v>1909</v>
      </c>
      <c r="F480" s="881" t="s">
        <v>4027</v>
      </c>
      <c r="G480" s="731" t="s">
        <v>2819</v>
      </c>
      <c r="H480" s="1083">
        <v>42401</v>
      </c>
      <c r="I480" s="1084">
        <v>42480</v>
      </c>
      <c r="J480" s="957">
        <v>1.96</v>
      </c>
    </row>
    <row r="481" spans="1:10" s="852" customFormat="1" outlineLevel="2">
      <c r="A481" s="878" t="s">
        <v>1004</v>
      </c>
      <c r="B481" s="879" t="s">
        <v>7866</v>
      </c>
      <c r="C481" s="729" t="s">
        <v>544</v>
      </c>
      <c r="D481" s="924"/>
      <c r="E481" s="878" t="s">
        <v>1909</v>
      </c>
      <c r="F481" s="881" t="s">
        <v>4129</v>
      </c>
      <c r="G481" s="731" t="s">
        <v>2821</v>
      </c>
      <c r="H481" s="1083">
        <v>42401</v>
      </c>
      <c r="I481" s="1084">
        <v>42480</v>
      </c>
      <c r="J481" s="957">
        <v>23.17</v>
      </c>
    </row>
    <row r="482" spans="1:10" s="852" customFormat="1" outlineLevel="2">
      <c r="A482" s="878" t="s">
        <v>549</v>
      </c>
      <c r="B482" s="879" t="s">
        <v>7863</v>
      </c>
      <c r="C482" s="729" t="s">
        <v>544</v>
      </c>
      <c r="D482" s="924"/>
      <c r="E482" s="878" t="s">
        <v>1909</v>
      </c>
      <c r="F482" s="881" t="s">
        <v>4275</v>
      </c>
      <c r="G482" s="731" t="s">
        <v>3255</v>
      </c>
      <c r="H482" s="1083">
        <v>42401</v>
      </c>
      <c r="I482" s="1084">
        <v>42480</v>
      </c>
      <c r="J482" s="957">
        <v>155.18</v>
      </c>
    </row>
    <row r="483" spans="1:10" s="852" customFormat="1" outlineLevel="2">
      <c r="A483" s="878" t="s">
        <v>547</v>
      </c>
      <c r="B483" s="879" t="s">
        <v>7864</v>
      </c>
      <c r="C483" s="729" t="s">
        <v>544</v>
      </c>
      <c r="D483" s="924"/>
      <c r="E483" s="878" t="s">
        <v>1909</v>
      </c>
      <c r="F483" s="881" t="s">
        <v>6226</v>
      </c>
      <c r="G483" s="731" t="s">
        <v>3233</v>
      </c>
      <c r="H483" s="1083">
        <v>42401</v>
      </c>
      <c r="I483" s="1084">
        <v>42480</v>
      </c>
      <c r="J483" s="957">
        <v>21.68</v>
      </c>
    </row>
    <row r="484" spans="1:10" s="852" customFormat="1" outlineLevel="2">
      <c r="A484" s="878" t="s">
        <v>547</v>
      </c>
      <c r="B484" s="879" t="s">
        <v>7864</v>
      </c>
      <c r="C484" s="729" t="s">
        <v>544</v>
      </c>
      <c r="D484" s="924"/>
      <c r="E484" s="878" t="s">
        <v>1909</v>
      </c>
      <c r="F484" s="881" t="s">
        <v>3638</v>
      </c>
      <c r="G484" s="731" t="s">
        <v>3246</v>
      </c>
      <c r="H484" s="1083">
        <v>42401</v>
      </c>
      <c r="I484" s="1084">
        <v>42480</v>
      </c>
      <c r="J484" s="957">
        <v>14.26</v>
      </c>
    </row>
    <row r="485" spans="1:10" s="852" customFormat="1" outlineLevel="2">
      <c r="A485" s="878" t="s">
        <v>547</v>
      </c>
      <c r="B485" s="879" t="s">
        <v>7864</v>
      </c>
      <c r="C485" s="729" t="s">
        <v>544</v>
      </c>
      <c r="D485" s="924"/>
      <c r="E485" s="878" t="s">
        <v>1909</v>
      </c>
      <c r="F485" s="881" t="s">
        <v>3149</v>
      </c>
      <c r="G485" s="731" t="s">
        <v>3238</v>
      </c>
      <c r="H485" s="1083">
        <v>42401</v>
      </c>
      <c r="I485" s="1084">
        <v>42480</v>
      </c>
      <c r="J485" s="957">
        <v>21.11</v>
      </c>
    </row>
    <row r="486" spans="1:10" s="852" customFormat="1" outlineLevel="2">
      <c r="A486" s="878" t="s">
        <v>545</v>
      </c>
      <c r="B486" s="879" t="s">
        <v>7865</v>
      </c>
      <c r="C486" s="729" t="s">
        <v>544</v>
      </c>
      <c r="D486" s="924"/>
      <c r="E486" s="878" t="s">
        <v>1909</v>
      </c>
      <c r="F486" s="881" t="s">
        <v>3411</v>
      </c>
      <c r="G486" s="731" t="s">
        <v>3242</v>
      </c>
      <c r="H486" s="1083">
        <v>42401</v>
      </c>
      <c r="I486" s="1084">
        <v>42480</v>
      </c>
      <c r="J486" s="957">
        <v>1209.3599999999999</v>
      </c>
    </row>
    <row r="487" spans="1:10" s="852" customFormat="1" outlineLevel="2">
      <c r="A487" s="878" t="s">
        <v>545</v>
      </c>
      <c r="B487" s="879" t="s">
        <v>7865</v>
      </c>
      <c r="C487" s="729" t="s">
        <v>544</v>
      </c>
      <c r="D487" s="924"/>
      <c r="E487" s="878" t="s">
        <v>1909</v>
      </c>
      <c r="F487" s="881" t="s">
        <v>3406</v>
      </c>
      <c r="G487" s="731" t="s">
        <v>3241</v>
      </c>
      <c r="H487" s="1083">
        <v>42401</v>
      </c>
      <c r="I487" s="1084">
        <v>42480</v>
      </c>
      <c r="J487" s="957">
        <v>73.33</v>
      </c>
    </row>
    <row r="488" spans="1:10" s="852" customFormat="1" outlineLevel="2">
      <c r="A488" s="878" t="s">
        <v>545</v>
      </c>
      <c r="B488" s="879" t="s">
        <v>7865</v>
      </c>
      <c r="C488" s="729" t="s">
        <v>544</v>
      </c>
      <c r="D488" s="924"/>
      <c r="E488" s="878" t="s">
        <v>1909</v>
      </c>
      <c r="F488" s="881" t="s">
        <v>3406</v>
      </c>
      <c r="G488" s="731" t="s">
        <v>3241</v>
      </c>
      <c r="H488" s="1083">
        <v>42401</v>
      </c>
      <c r="I488" s="1084">
        <v>42480</v>
      </c>
      <c r="J488" s="957">
        <v>112.71</v>
      </c>
    </row>
    <row r="489" spans="1:10" s="852" customFormat="1" outlineLevel="2">
      <c r="A489" s="878" t="s">
        <v>545</v>
      </c>
      <c r="B489" s="879" t="s">
        <v>7865</v>
      </c>
      <c r="C489" s="729" t="s">
        <v>544</v>
      </c>
      <c r="D489" s="924"/>
      <c r="E489" s="878" t="s">
        <v>1909</v>
      </c>
      <c r="F489" s="881" t="s">
        <v>3312</v>
      </c>
      <c r="G489" s="731" t="s">
        <v>3240</v>
      </c>
      <c r="H489" s="1083">
        <v>42401</v>
      </c>
      <c r="I489" s="1084">
        <v>42480</v>
      </c>
      <c r="J489" s="957">
        <v>183.33</v>
      </c>
    </row>
    <row r="490" spans="1:10" s="852" customFormat="1" outlineLevel="2">
      <c r="A490" s="878" t="s">
        <v>545</v>
      </c>
      <c r="B490" s="879" t="s">
        <v>7865</v>
      </c>
      <c r="C490" s="729" t="s">
        <v>544</v>
      </c>
      <c r="D490" s="924"/>
      <c r="E490" s="878" t="s">
        <v>1909</v>
      </c>
      <c r="F490" s="881" t="s">
        <v>3312</v>
      </c>
      <c r="G490" s="731" t="s">
        <v>3240</v>
      </c>
      <c r="H490" s="1083">
        <v>42401</v>
      </c>
      <c r="I490" s="1084">
        <v>42480</v>
      </c>
      <c r="J490" s="957">
        <v>281.8</v>
      </c>
    </row>
    <row r="491" spans="1:10" s="852" customFormat="1" ht="28.5" outlineLevel="2">
      <c r="A491" s="878" t="s">
        <v>1004</v>
      </c>
      <c r="B491" s="879" t="s">
        <v>7866</v>
      </c>
      <c r="C491" s="729" t="s">
        <v>544</v>
      </c>
      <c r="D491" s="924"/>
      <c r="E491" s="878" t="s">
        <v>1909</v>
      </c>
      <c r="F491" s="881" t="s">
        <v>4956</v>
      </c>
      <c r="G491" s="731" t="s">
        <v>2833</v>
      </c>
      <c r="H491" s="1083">
        <v>42401</v>
      </c>
      <c r="I491" s="1084">
        <v>42480</v>
      </c>
      <c r="J491" s="957">
        <v>190.4</v>
      </c>
    </row>
    <row r="492" spans="1:10" s="852" customFormat="1" ht="28.5" outlineLevel="2">
      <c r="A492" s="878" t="s">
        <v>1004</v>
      </c>
      <c r="B492" s="879" t="s">
        <v>7866</v>
      </c>
      <c r="C492" s="729" t="s">
        <v>544</v>
      </c>
      <c r="D492" s="924"/>
      <c r="E492" s="878" t="s">
        <v>1909</v>
      </c>
      <c r="F492" s="881" t="s">
        <v>4903</v>
      </c>
      <c r="G492" s="731" t="s">
        <v>2832</v>
      </c>
      <c r="H492" s="1083">
        <v>42401</v>
      </c>
      <c r="I492" s="1084">
        <v>42480</v>
      </c>
      <c r="J492" s="957">
        <v>6.08</v>
      </c>
    </row>
    <row r="493" spans="1:10" s="852" customFormat="1" ht="28.5" outlineLevel="2">
      <c r="A493" s="878" t="s">
        <v>1004</v>
      </c>
      <c r="B493" s="879" t="s">
        <v>7866</v>
      </c>
      <c r="C493" s="729" t="s">
        <v>544</v>
      </c>
      <c r="D493" s="924"/>
      <c r="E493" s="878" t="s">
        <v>1909</v>
      </c>
      <c r="F493" s="881" t="s">
        <v>4853</v>
      </c>
      <c r="G493" s="731" t="s">
        <v>2831</v>
      </c>
      <c r="H493" s="1083">
        <v>42401</v>
      </c>
      <c r="I493" s="1084">
        <v>42480</v>
      </c>
      <c r="J493" s="957">
        <v>71.83</v>
      </c>
    </row>
    <row r="494" spans="1:10" s="852" customFormat="1" ht="28.5" outlineLevel="2">
      <c r="A494" s="878" t="s">
        <v>549</v>
      </c>
      <c r="B494" s="879" t="s">
        <v>7863</v>
      </c>
      <c r="C494" s="729" t="s">
        <v>544</v>
      </c>
      <c r="D494" s="924"/>
      <c r="E494" s="878" t="s">
        <v>1909</v>
      </c>
      <c r="F494" s="881" t="s">
        <v>6225</v>
      </c>
      <c r="G494" s="731" t="s">
        <v>3230</v>
      </c>
      <c r="H494" s="1083">
        <v>42370</v>
      </c>
      <c r="I494" s="1084">
        <v>42480</v>
      </c>
      <c r="J494" s="957">
        <v>771.37</v>
      </c>
    </row>
    <row r="495" spans="1:10" s="852" customFormat="1" ht="28.5" outlineLevel="2">
      <c r="A495" s="878" t="s">
        <v>549</v>
      </c>
      <c r="B495" s="879" t="s">
        <v>7863</v>
      </c>
      <c r="C495" s="729" t="s">
        <v>544</v>
      </c>
      <c r="D495" s="924"/>
      <c r="E495" s="878" t="s">
        <v>1909</v>
      </c>
      <c r="F495" s="881" t="s">
        <v>6225</v>
      </c>
      <c r="G495" s="731" t="s">
        <v>3231</v>
      </c>
      <c r="H495" s="1083">
        <v>42370</v>
      </c>
      <c r="I495" s="1084">
        <v>42480</v>
      </c>
      <c r="J495" s="957">
        <v>771.38</v>
      </c>
    </row>
    <row r="496" spans="1:10" s="852" customFormat="1" ht="28.5" outlineLevel="2">
      <c r="A496" s="878" t="s">
        <v>549</v>
      </c>
      <c r="B496" s="879" t="s">
        <v>7863</v>
      </c>
      <c r="C496" s="729" t="s">
        <v>544</v>
      </c>
      <c r="D496" s="924"/>
      <c r="E496" s="878" t="s">
        <v>1909</v>
      </c>
      <c r="F496" s="881" t="s">
        <v>6225</v>
      </c>
      <c r="G496" s="731" t="s">
        <v>3232</v>
      </c>
      <c r="H496" s="1083">
        <v>42370</v>
      </c>
      <c r="I496" s="1084">
        <v>42480</v>
      </c>
      <c r="J496" s="957">
        <v>-771.37</v>
      </c>
    </row>
    <row r="497" spans="1:10" s="852" customFormat="1" ht="28.5" outlineLevel="2">
      <c r="A497" s="878" t="s">
        <v>547</v>
      </c>
      <c r="B497" s="879" t="s">
        <v>7864</v>
      </c>
      <c r="C497" s="729" t="s">
        <v>544</v>
      </c>
      <c r="D497" s="924"/>
      <c r="E497" s="878" t="s">
        <v>1909</v>
      </c>
      <c r="F497" s="881" t="s">
        <v>2896</v>
      </c>
      <c r="G497" s="731" t="s">
        <v>3234</v>
      </c>
      <c r="H497" s="1083">
        <v>42370</v>
      </c>
      <c r="I497" s="1084">
        <v>42480</v>
      </c>
      <c r="J497" s="957">
        <v>-66.319999999999993</v>
      </c>
    </row>
    <row r="498" spans="1:10" s="852" customFormat="1" ht="28.5" outlineLevel="2">
      <c r="A498" s="878" t="s">
        <v>547</v>
      </c>
      <c r="B498" s="879" t="s">
        <v>7864</v>
      </c>
      <c r="C498" s="729" t="s">
        <v>544</v>
      </c>
      <c r="D498" s="924"/>
      <c r="E498" s="878" t="s">
        <v>1909</v>
      </c>
      <c r="F498" s="881" t="s">
        <v>2896</v>
      </c>
      <c r="G498" s="731" t="s">
        <v>3235</v>
      </c>
      <c r="H498" s="1083">
        <v>42370</v>
      </c>
      <c r="I498" s="1084">
        <v>42480</v>
      </c>
      <c r="J498" s="957">
        <v>-66.319999999999993</v>
      </c>
    </row>
    <row r="499" spans="1:10" s="852" customFormat="1" ht="28.5" outlineLevel="2">
      <c r="A499" s="878" t="s">
        <v>547</v>
      </c>
      <c r="B499" s="879" t="s">
        <v>7864</v>
      </c>
      <c r="C499" s="729" t="s">
        <v>544</v>
      </c>
      <c r="D499" s="924"/>
      <c r="E499" s="878" t="s">
        <v>1909</v>
      </c>
      <c r="F499" s="881" t="s">
        <v>2896</v>
      </c>
      <c r="G499" s="731" t="s">
        <v>3236</v>
      </c>
      <c r="H499" s="1083">
        <v>42370</v>
      </c>
      <c r="I499" s="1084">
        <v>42480</v>
      </c>
      <c r="J499" s="957">
        <v>66.319999999999993</v>
      </c>
    </row>
    <row r="500" spans="1:10" s="852" customFormat="1" ht="28.5" outlineLevel="2">
      <c r="A500" s="878" t="s">
        <v>547</v>
      </c>
      <c r="B500" s="879" t="s">
        <v>7864</v>
      </c>
      <c r="C500" s="729" t="s">
        <v>544</v>
      </c>
      <c r="D500" s="924"/>
      <c r="E500" s="878" t="s">
        <v>1909</v>
      </c>
      <c r="F500" s="881" t="s">
        <v>2896</v>
      </c>
      <c r="G500" s="731" t="s">
        <v>3237</v>
      </c>
      <c r="H500" s="1083">
        <v>42370</v>
      </c>
      <c r="I500" s="1084">
        <v>42480</v>
      </c>
      <c r="J500" s="957">
        <v>66.319999999999993</v>
      </c>
    </row>
    <row r="501" spans="1:10" s="852" customFormat="1" ht="28.5" outlineLevel="2">
      <c r="A501" s="878" t="s">
        <v>547</v>
      </c>
      <c r="B501" s="879" t="s">
        <v>7864</v>
      </c>
      <c r="C501" s="729" t="s">
        <v>544</v>
      </c>
      <c r="D501" s="924"/>
      <c r="E501" s="878" t="s">
        <v>1909</v>
      </c>
      <c r="F501" s="881" t="s">
        <v>2896</v>
      </c>
      <c r="G501" s="731" t="s">
        <v>3239</v>
      </c>
      <c r="H501" s="1083">
        <v>42370</v>
      </c>
      <c r="I501" s="1084">
        <v>42480</v>
      </c>
      <c r="J501" s="957">
        <v>66.319999999999993</v>
      </c>
    </row>
    <row r="502" spans="1:10" s="852" customFormat="1" ht="28.5" outlineLevel="2">
      <c r="A502" s="878" t="s">
        <v>547</v>
      </c>
      <c r="B502" s="879" t="s">
        <v>7864</v>
      </c>
      <c r="C502" s="729" t="s">
        <v>544</v>
      </c>
      <c r="D502" s="924"/>
      <c r="E502" s="878" t="s">
        <v>1909</v>
      </c>
      <c r="F502" s="881" t="s">
        <v>3563</v>
      </c>
      <c r="G502" s="731" t="s">
        <v>3244</v>
      </c>
      <c r="H502" s="1083">
        <v>42370</v>
      </c>
      <c r="I502" s="1084">
        <v>42480</v>
      </c>
      <c r="J502" s="957">
        <v>-98.14</v>
      </c>
    </row>
    <row r="503" spans="1:10" s="852" customFormat="1" ht="28.5" outlineLevel="2">
      <c r="A503" s="878" t="s">
        <v>547</v>
      </c>
      <c r="B503" s="879" t="s">
        <v>7864</v>
      </c>
      <c r="C503" s="729" t="s">
        <v>544</v>
      </c>
      <c r="D503" s="924"/>
      <c r="E503" s="878" t="s">
        <v>1909</v>
      </c>
      <c r="F503" s="881" t="s">
        <v>3563</v>
      </c>
      <c r="G503" s="731" t="s">
        <v>3248</v>
      </c>
      <c r="H503" s="1083">
        <v>42370</v>
      </c>
      <c r="I503" s="1084">
        <v>42480</v>
      </c>
      <c r="J503" s="957">
        <v>98.15</v>
      </c>
    </row>
    <row r="504" spans="1:10" s="852" customFormat="1" ht="28.5" outlineLevel="2">
      <c r="A504" s="878" t="s">
        <v>547</v>
      </c>
      <c r="B504" s="879" t="s">
        <v>7864</v>
      </c>
      <c r="C504" s="729" t="s">
        <v>544</v>
      </c>
      <c r="D504" s="924"/>
      <c r="E504" s="878" t="s">
        <v>1909</v>
      </c>
      <c r="F504" s="881" t="s">
        <v>3563</v>
      </c>
      <c r="G504" s="731" t="s">
        <v>3250</v>
      </c>
      <c r="H504" s="1083">
        <v>42370</v>
      </c>
      <c r="I504" s="1084">
        <v>42480</v>
      </c>
      <c r="J504" s="957">
        <v>98.14</v>
      </c>
    </row>
    <row r="505" spans="1:10" s="852" customFormat="1" ht="28.5" outlineLevel="2">
      <c r="A505" s="878" t="s">
        <v>545</v>
      </c>
      <c r="B505" s="879" t="s">
        <v>7865</v>
      </c>
      <c r="C505" s="729" t="s">
        <v>544</v>
      </c>
      <c r="D505" s="924"/>
      <c r="E505" s="878" t="s">
        <v>1909</v>
      </c>
      <c r="F505" s="881" t="s">
        <v>4628</v>
      </c>
      <c r="G505" s="731" t="s">
        <v>3257</v>
      </c>
      <c r="H505" s="1083">
        <v>42401</v>
      </c>
      <c r="I505" s="1084">
        <v>42480</v>
      </c>
      <c r="J505" s="957">
        <v>3749</v>
      </c>
    </row>
    <row r="506" spans="1:10" s="852" customFormat="1" ht="28.5" outlineLevel="2">
      <c r="A506" s="878" t="s">
        <v>545</v>
      </c>
      <c r="B506" s="879" t="s">
        <v>7865</v>
      </c>
      <c r="C506" s="729" t="s">
        <v>544</v>
      </c>
      <c r="D506" s="924"/>
      <c r="E506" s="878" t="s">
        <v>1909</v>
      </c>
      <c r="F506" s="881" t="s">
        <v>4717</v>
      </c>
      <c r="G506" s="731" t="s">
        <v>3258</v>
      </c>
      <c r="H506" s="1083">
        <v>42401</v>
      </c>
      <c r="I506" s="1084">
        <v>42480</v>
      </c>
      <c r="J506" s="957">
        <v>568.33000000000004</v>
      </c>
    </row>
    <row r="507" spans="1:10" s="852" customFormat="1" ht="28.5" outlineLevel="2">
      <c r="A507" s="878" t="s">
        <v>545</v>
      </c>
      <c r="B507" s="879" t="s">
        <v>7865</v>
      </c>
      <c r="C507" s="729" t="s">
        <v>544</v>
      </c>
      <c r="D507" s="924"/>
      <c r="E507" s="878" t="s">
        <v>1909</v>
      </c>
      <c r="F507" s="881" t="s">
        <v>4717</v>
      </c>
      <c r="G507" s="731" t="s">
        <v>3258</v>
      </c>
      <c r="H507" s="1083">
        <v>42401</v>
      </c>
      <c r="I507" s="1084">
        <v>42480</v>
      </c>
      <c r="J507" s="957">
        <v>873.58</v>
      </c>
    </row>
    <row r="508" spans="1:10" s="852" customFormat="1" outlineLevel="2">
      <c r="A508" s="878" t="s">
        <v>545</v>
      </c>
      <c r="B508" s="879" t="s">
        <v>7865</v>
      </c>
      <c r="C508" s="729" t="s">
        <v>544</v>
      </c>
      <c r="D508" s="924"/>
      <c r="E508" s="878" t="s">
        <v>548</v>
      </c>
      <c r="F508" s="881" t="s">
        <v>1094</v>
      </c>
      <c r="G508" s="731" t="s">
        <v>5880</v>
      </c>
      <c r="H508" s="1083">
        <v>42430</v>
      </c>
      <c r="I508" s="1084">
        <v>42489</v>
      </c>
      <c r="J508" s="957">
        <v>26647.5</v>
      </c>
    </row>
    <row r="509" spans="1:10" s="852" customFormat="1" outlineLevel="1">
      <c r="A509" s="878"/>
      <c r="B509" s="879" t="s">
        <v>258</v>
      </c>
      <c r="C509" s="908" t="s">
        <v>544</v>
      </c>
      <c r="D509" s="928" t="str">
        <f>VLOOKUP(C509,$C$3691:$D$3771,2,FALSE)</f>
        <v>TOTAL POUPATEMPO  ANDRADINA</v>
      </c>
      <c r="E509" s="1085"/>
      <c r="F509" s="929"/>
      <c r="G509" s="910"/>
      <c r="H509" s="1086"/>
      <c r="I509" s="1087"/>
      <c r="J509" s="930">
        <f>SUBTOTAL(9,J447:J508)</f>
        <v>138754.78000000003</v>
      </c>
    </row>
    <row r="510" spans="1:10" s="852" customFormat="1" outlineLevel="2">
      <c r="A510" s="878" t="s">
        <v>2222</v>
      </c>
      <c r="B510" s="879" t="s">
        <v>7869</v>
      </c>
      <c r="C510" s="729" t="s">
        <v>551</v>
      </c>
      <c r="D510" s="924"/>
      <c r="E510" s="878" t="s">
        <v>2221</v>
      </c>
      <c r="F510" s="881" t="s">
        <v>863</v>
      </c>
      <c r="G510" s="731" t="s">
        <v>5571</v>
      </c>
      <c r="H510" s="1083">
        <v>42401</v>
      </c>
      <c r="I510" s="1084">
        <v>42465</v>
      </c>
      <c r="J510" s="957">
        <v>8102.08</v>
      </c>
    </row>
    <row r="511" spans="1:10" s="852" customFormat="1" outlineLevel="2">
      <c r="A511" s="878" t="s">
        <v>553</v>
      </c>
      <c r="B511" s="879" t="s">
        <v>7865</v>
      </c>
      <c r="C511" s="729" t="s">
        <v>551</v>
      </c>
      <c r="D511" s="924"/>
      <c r="E511" s="878" t="s">
        <v>533</v>
      </c>
      <c r="F511" s="881" t="s">
        <v>1094</v>
      </c>
      <c r="G511" s="731" t="s">
        <v>5768</v>
      </c>
      <c r="H511" s="1083">
        <v>42430</v>
      </c>
      <c r="I511" s="1084">
        <v>42489</v>
      </c>
      <c r="J511" s="957">
        <v>44206.98</v>
      </c>
    </row>
    <row r="512" spans="1:10" s="852" customFormat="1" outlineLevel="2">
      <c r="A512" s="878" t="s">
        <v>6430</v>
      </c>
      <c r="B512" s="879" t="s">
        <v>7863</v>
      </c>
      <c r="C512" s="729" t="s">
        <v>551</v>
      </c>
      <c r="D512" s="924"/>
      <c r="E512" s="878" t="s">
        <v>483</v>
      </c>
      <c r="F512" s="881" t="s">
        <v>2208</v>
      </c>
      <c r="G512" s="731" t="str">
        <f>"16970"</f>
        <v>16970</v>
      </c>
      <c r="H512" s="1083">
        <v>42401</v>
      </c>
      <c r="I512" s="1084">
        <v>42473</v>
      </c>
      <c r="J512" s="957">
        <v>12425.03</v>
      </c>
    </row>
    <row r="513" spans="1:10" s="852" customFormat="1" outlineLevel="2">
      <c r="A513" s="878" t="s">
        <v>553</v>
      </c>
      <c r="B513" s="879" t="s">
        <v>7865</v>
      </c>
      <c r="C513" s="729" t="s">
        <v>551</v>
      </c>
      <c r="D513" s="924"/>
      <c r="E513" s="878" t="s">
        <v>530</v>
      </c>
      <c r="F513" s="881" t="s">
        <v>1094</v>
      </c>
      <c r="G513" s="731" t="s">
        <v>5781</v>
      </c>
      <c r="H513" s="1083">
        <v>42430</v>
      </c>
      <c r="I513" s="1084">
        <v>42489</v>
      </c>
      <c r="J513" s="957">
        <v>26524.19</v>
      </c>
    </row>
    <row r="514" spans="1:10" s="852" customFormat="1" outlineLevel="2">
      <c r="A514" s="878" t="s">
        <v>1714</v>
      </c>
      <c r="B514" s="879" t="s">
        <v>7872</v>
      </c>
      <c r="C514" s="729" t="s">
        <v>551</v>
      </c>
      <c r="D514" s="924"/>
      <c r="E514" s="878" t="s">
        <v>1715</v>
      </c>
      <c r="F514" s="881" t="s">
        <v>1696</v>
      </c>
      <c r="G514" s="731" t="s">
        <v>5677</v>
      </c>
      <c r="H514" s="1083">
        <v>42430</v>
      </c>
      <c r="I514" s="1084">
        <v>42479</v>
      </c>
      <c r="J514" s="957">
        <v>10069.44</v>
      </c>
    </row>
    <row r="515" spans="1:10" s="852" customFormat="1" outlineLevel="2">
      <c r="A515" s="878" t="s">
        <v>553</v>
      </c>
      <c r="B515" s="879" t="s">
        <v>7865</v>
      </c>
      <c r="C515" s="729" t="s">
        <v>551</v>
      </c>
      <c r="D515" s="924"/>
      <c r="E515" s="878" t="s">
        <v>542</v>
      </c>
      <c r="F515" s="881" t="s">
        <v>1094</v>
      </c>
      <c r="G515" s="731" t="s">
        <v>5794</v>
      </c>
      <c r="H515" s="1083">
        <v>42430</v>
      </c>
      <c r="I515" s="1084">
        <v>42489</v>
      </c>
      <c r="J515" s="957">
        <v>17682.8</v>
      </c>
    </row>
    <row r="516" spans="1:10" s="852" customFormat="1" outlineLevel="2">
      <c r="A516" s="878" t="s">
        <v>5962</v>
      </c>
      <c r="B516" s="879" t="s">
        <v>7864</v>
      </c>
      <c r="C516" s="729" t="s">
        <v>551</v>
      </c>
      <c r="D516" s="924"/>
      <c r="E516" s="878" t="s">
        <v>6470</v>
      </c>
      <c r="F516" s="881" t="s">
        <v>434</v>
      </c>
      <c r="G516" s="731" t="str">
        <f>"2596"</f>
        <v>2596</v>
      </c>
      <c r="H516" s="1083">
        <v>42370</v>
      </c>
      <c r="I516" s="1084">
        <v>42478</v>
      </c>
      <c r="J516" s="957">
        <v>-2870.95</v>
      </c>
    </row>
    <row r="517" spans="1:10" s="852" customFormat="1" outlineLevel="2">
      <c r="A517" s="878" t="s">
        <v>5962</v>
      </c>
      <c r="B517" s="879" t="s">
        <v>7864</v>
      </c>
      <c r="C517" s="729" t="s">
        <v>551</v>
      </c>
      <c r="D517" s="924"/>
      <c r="E517" s="878" t="s">
        <v>6470</v>
      </c>
      <c r="F517" s="881" t="s">
        <v>434</v>
      </c>
      <c r="G517" s="731" t="str">
        <f>"2596"</f>
        <v>2596</v>
      </c>
      <c r="H517" s="1083">
        <v>42370</v>
      </c>
      <c r="I517" s="1084">
        <v>42478</v>
      </c>
      <c r="J517" s="957">
        <v>2870.95</v>
      </c>
    </row>
    <row r="518" spans="1:10" s="852" customFormat="1" outlineLevel="2">
      <c r="A518" s="878" t="s">
        <v>5962</v>
      </c>
      <c r="B518" s="879" t="s">
        <v>7864</v>
      </c>
      <c r="C518" s="729" t="s">
        <v>551</v>
      </c>
      <c r="D518" s="924"/>
      <c r="E518" s="878" t="s">
        <v>6470</v>
      </c>
      <c r="F518" s="881" t="s">
        <v>434</v>
      </c>
      <c r="G518" s="731" t="str">
        <f>"2596"</f>
        <v>2596</v>
      </c>
      <c r="H518" s="1083">
        <v>42370</v>
      </c>
      <c r="I518" s="1084">
        <v>42478</v>
      </c>
      <c r="J518" s="957">
        <v>2870.95</v>
      </c>
    </row>
    <row r="519" spans="1:10" s="852" customFormat="1" outlineLevel="2">
      <c r="A519" s="878" t="s">
        <v>5962</v>
      </c>
      <c r="B519" s="879" t="s">
        <v>7864</v>
      </c>
      <c r="C519" s="729" t="s">
        <v>551</v>
      </c>
      <c r="D519" s="924"/>
      <c r="E519" s="878" t="s">
        <v>6470</v>
      </c>
      <c r="F519" s="881" t="s">
        <v>434</v>
      </c>
      <c r="G519" s="731" t="str">
        <f>"2596"</f>
        <v>2596</v>
      </c>
      <c r="H519" s="1083">
        <v>42370</v>
      </c>
      <c r="I519" s="1084">
        <v>42478</v>
      </c>
      <c r="J519" s="957">
        <v>2870.95</v>
      </c>
    </row>
    <row r="520" spans="1:10" s="852" customFormat="1" outlineLevel="2">
      <c r="A520" s="878" t="s">
        <v>5962</v>
      </c>
      <c r="B520" s="879" t="s">
        <v>7864</v>
      </c>
      <c r="C520" s="729" t="s">
        <v>551</v>
      </c>
      <c r="D520" s="924"/>
      <c r="E520" s="878" t="s">
        <v>6470</v>
      </c>
      <c r="F520" s="881" t="s">
        <v>434</v>
      </c>
      <c r="G520" s="731" t="str">
        <f>"2596"</f>
        <v>2596</v>
      </c>
      <c r="H520" s="1083">
        <v>42370</v>
      </c>
      <c r="I520" s="1084">
        <v>42478</v>
      </c>
      <c r="J520" s="957">
        <v>-2870.95</v>
      </c>
    </row>
    <row r="521" spans="1:10" s="852" customFormat="1" outlineLevel="2">
      <c r="A521" s="878" t="s">
        <v>553</v>
      </c>
      <c r="B521" s="879" t="s">
        <v>7865</v>
      </c>
      <c r="C521" s="729" t="s">
        <v>551</v>
      </c>
      <c r="D521" s="924"/>
      <c r="E521" s="878" t="s">
        <v>2336</v>
      </c>
      <c r="F521" s="881" t="s">
        <v>5989</v>
      </c>
      <c r="G521" s="731" t="s">
        <v>3265</v>
      </c>
      <c r="H521" s="1083">
        <v>42401</v>
      </c>
      <c r="I521" s="1084">
        <v>42480</v>
      </c>
      <c r="J521" s="957">
        <v>5642.57</v>
      </c>
    </row>
    <row r="522" spans="1:10" s="852" customFormat="1" outlineLevel="2">
      <c r="A522" s="878" t="s">
        <v>553</v>
      </c>
      <c r="B522" s="879" t="s">
        <v>7865</v>
      </c>
      <c r="C522" s="729" t="s">
        <v>551</v>
      </c>
      <c r="D522" s="924"/>
      <c r="E522" s="878" t="s">
        <v>2336</v>
      </c>
      <c r="F522" s="881" t="s">
        <v>5989</v>
      </c>
      <c r="G522" s="731" t="s">
        <v>3265</v>
      </c>
      <c r="H522" s="1083">
        <v>42401</v>
      </c>
      <c r="I522" s="1084">
        <v>42480</v>
      </c>
      <c r="J522" s="957">
        <v>603.75</v>
      </c>
    </row>
    <row r="523" spans="1:10" s="852" customFormat="1" outlineLevel="2">
      <c r="A523" s="878" t="s">
        <v>554</v>
      </c>
      <c r="B523" s="879" t="s">
        <v>7863</v>
      </c>
      <c r="C523" s="729" t="s">
        <v>551</v>
      </c>
      <c r="D523" s="924"/>
      <c r="E523" s="878" t="s">
        <v>2336</v>
      </c>
      <c r="F523" s="881" t="s">
        <v>3260</v>
      </c>
      <c r="G523" s="731" t="s">
        <v>3270</v>
      </c>
      <c r="H523" s="1083">
        <v>42401</v>
      </c>
      <c r="I523" s="1084">
        <v>42480</v>
      </c>
      <c r="J523" s="957">
        <v>1744.42</v>
      </c>
    </row>
    <row r="524" spans="1:10" s="852" customFormat="1" outlineLevel="2">
      <c r="A524" s="878" t="s">
        <v>553</v>
      </c>
      <c r="B524" s="879" t="s">
        <v>7865</v>
      </c>
      <c r="C524" s="729" t="s">
        <v>551</v>
      </c>
      <c r="D524" s="924"/>
      <c r="E524" s="878" t="s">
        <v>2336</v>
      </c>
      <c r="F524" s="881" t="s">
        <v>3298</v>
      </c>
      <c r="G524" s="731" t="s">
        <v>3271</v>
      </c>
      <c r="H524" s="1083">
        <v>42401</v>
      </c>
      <c r="I524" s="1084">
        <v>42480</v>
      </c>
      <c r="J524" s="957">
        <v>3385.54</v>
      </c>
    </row>
    <row r="525" spans="1:10" s="852" customFormat="1" outlineLevel="2">
      <c r="A525" s="878" t="s">
        <v>553</v>
      </c>
      <c r="B525" s="879" t="s">
        <v>7865</v>
      </c>
      <c r="C525" s="729" t="s">
        <v>551</v>
      </c>
      <c r="D525" s="924"/>
      <c r="E525" s="878" t="s">
        <v>2336</v>
      </c>
      <c r="F525" s="881" t="s">
        <v>3298</v>
      </c>
      <c r="G525" s="731" t="s">
        <v>3271</v>
      </c>
      <c r="H525" s="1083">
        <v>42401</v>
      </c>
      <c r="I525" s="1084">
        <v>42480</v>
      </c>
      <c r="J525" s="957">
        <v>362.25</v>
      </c>
    </row>
    <row r="526" spans="1:10" s="852" customFormat="1" outlineLevel="2">
      <c r="A526" s="878" t="s">
        <v>553</v>
      </c>
      <c r="B526" s="879" t="s">
        <v>7865</v>
      </c>
      <c r="C526" s="729" t="s">
        <v>551</v>
      </c>
      <c r="D526" s="924"/>
      <c r="E526" s="878" t="s">
        <v>2336</v>
      </c>
      <c r="F526" s="881" t="s">
        <v>5988</v>
      </c>
      <c r="G526" s="731" t="s">
        <v>3263</v>
      </c>
      <c r="H526" s="1083">
        <v>42401</v>
      </c>
      <c r="I526" s="1084">
        <v>42480</v>
      </c>
      <c r="J526" s="957">
        <v>2498.5300000000002</v>
      </c>
    </row>
    <row r="527" spans="1:10" s="852" customFormat="1" outlineLevel="2">
      <c r="A527" s="878" t="s">
        <v>552</v>
      </c>
      <c r="B527" s="879" t="s">
        <v>7864</v>
      </c>
      <c r="C527" s="729" t="s">
        <v>551</v>
      </c>
      <c r="D527" s="924"/>
      <c r="E527" s="878" t="s">
        <v>2336</v>
      </c>
      <c r="F527" s="881" t="s">
        <v>5990</v>
      </c>
      <c r="G527" s="731" t="s">
        <v>3268</v>
      </c>
      <c r="H527" s="1083">
        <v>42401</v>
      </c>
      <c r="I527" s="1084">
        <v>42480</v>
      </c>
      <c r="J527" s="957">
        <v>403.07</v>
      </c>
    </row>
    <row r="528" spans="1:10" s="852" customFormat="1" outlineLevel="2">
      <c r="A528" s="878" t="s">
        <v>552</v>
      </c>
      <c r="B528" s="879" t="s">
        <v>7864</v>
      </c>
      <c r="C528" s="729" t="s">
        <v>551</v>
      </c>
      <c r="D528" s="924"/>
      <c r="E528" s="878" t="s">
        <v>2336</v>
      </c>
      <c r="F528" s="881" t="s">
        <v>3607</v>
      </c>
      <c r="G528" s="731" t="s">
        <v>3274</v>
      </c>
      <c r="H528" s="1083">
        <v>42401</v>
      </c>
      <c r="I528" s="1084">
        <v>42480</v>
      </c>
      <c r="J528" s="957">
        <v>265.18</v>
      </c>
    </row>
    <row r="529" spans="1:10" s="852" customFormat="1" outlineLevel="2">
      <c r="A529" s="878" t="s">
        <v>552</v>
      </c>
      <c r="B529" s="879" t="s">
        <v>7864</v>
      </c>
      <c r="C529" s="729" t="s">
        <v>551</v>
      </c>
      <c r="D529" s="924"/>
      <c r="E529" s="878" t="s">
        <v>2336</v>
      </c>
      <c r="F529" s="881" t="s">
        <v>3185</v>
      </c>
      <c r="G529" s="731" t="s">
        <v>3269</v>
      </c>
      <c r="H529" s="1083">
        <v>42401</v>
      </c>
      <c r="I529" s="1084">
        <v>42480</v>
      </c>
      <c r="J529" s="957">
        <v>392.46</v>
      </c>
    </row>
    <row r="530" spans="1:10" s="852" customFormat="1" outlineLevel="2">
      <c r="A530" s="878" t="s">
        <v>5962</v>
      </c>
      <c r="B530" s="879" t="s">
        <v>7864</v>
      </c>
      <c r="C530" s="729" t="s">
        <v>551</v>
      </c>
      <c r="D530" s="924"/>
      <c r="E530" s="878" t="s">
        <v>2717</v>
      </c>
      <c r="F530" s="881" t="s">
        <v>434</v>
      </c>
      <c r="G530" s="731" t="str">
        <f>"3518"</f>
        <v>3518</v>
      </c>
      <c r="H530" s="1083">
        <v>42401</v>
      </c>
      <c r="I530" s="1084">
        <v>42467</v>
      </c>
      <c r="J530" s="957">
        <v>1888.77</v>
      </c>
    </row>
    <row r="531" spans="1:10" s="852" customFormat="1" outlineLevel="2">
      <c r="A531" s="878" t="s">
        <v>5962</v>
      </c>
      <c r="B531" s="879" t="s">
        <v>7864</v>
      </c>
      <c r="C531" s="729" t="s">
        <v>551</v>
      </c>
      <c r="D531" s="924"/>
      <c r="E531" s="878" t="s">
        <v>409</v>
      </c>
      <c r="F531" s="881" t="s">
        <v>434</v>
      </c>
      <c r="G531" s="731" t="str">
        <f>"6674"</f>
        <v>6674</v>
      </c>
      <c r="H531" s="1083">
        <v>42401</v>
      </c>
      <c r="I531" s="1084">
        <v>42475</v>
      </c>
      <c r="J531" s="957">
        <v>2795.4</v>
      </c>
    </row>
    <row r="532" spans="1:10" s="852" customFormat="1" outlineLevel="2">
      <c r="A532" s="878" t="s">
        <v>994</v>
      </c>
      <c r="B532" s="879" t="s">
        <v>7866</v>
      </c>
      <c r="C532" s="729" t="s">
        <v>551</v>
      </c>
      <c r="D532" s="924"/>
      <c r="E532" s="878" t="s">
        <v>2282</v>
      </c>
      <c r="F532" s="881" t="s">
        <v>3974</v>
      </c>
      <c r="G532" s="731" t="s">
        <v>2779</v>
      </c>
      <c r="H532" s="1083">
        <v>42401</v>
      </c>
      <c r="I532" s="1084">
        <v>42471</v>
      </c>
      <c r="J532" s="957">
        <v>300.27999999999997</v>
      </c>
    </row>
    <row r="533" spans="1:10" s="852" customFormat="1" outlineLevel="2">
      <c r="A533" s="878" t="s">
        <v>994</v>
      </c>
      <c r="B533" s="879" t="s">
        <v>7866</v>
      </c>
      <c r="C533" s="729" t="s">
        <v>551</v>
      </c>
      <c r="D533" s="924"/>
      <c r="E533" s="878" t="s">
        <v>2282</v>
      </c>
      <c r="F533" s="881" t="s">
        <v>4081</v>
      </c>
      <c r="G533" s="731" t="s">
        <v>2781</v>
      </c>
      <c r="H533" s="1083">
        <v>42401</v>
      </c>
      <c r="I533" s="1084">
        <v>42471</v>
      </c>
      <c r="J533" s="957">
        <v>9.6</v>
      </c>
    </row>
    <row r="534" spans="1:10" s="852" customFormat="1" outlineLevel="2">
      <c r="A534" s="878" t="s">
        <v>994</v>
      </c>
      <c r="B534" s="879" t="s">
        <v>7866</v>
      </c>
      <c r="C534" s="729" t="s">
        <v>551</v>
      </c>
      <c r="D534" s="924"/>
      <c r="E534" s="878" t="s">
        <v>2282</v>
      </c>
      <c r="F534" s="881" t="s">
        <v>4165</v>
      </c>
      <c r="G534" s="731" t="s">
        <v>2782</v>
      </c>
      <c r="H534" s="1083">
        <v>42401</v>
      </c>
      <c r="I534" s="1084">
        <v>42471</v>
      </c>
      <c r="J534" s="957">
        <v>113.29</v>
      </c>
    </row>
    <row r="535" spans="1:10" s="852" customFormat="1" outlineLevel="2">
      <c r="A535" s="878" t="s">
        <v>553</v>
      </c>
      <c r="B535" s="879" t="s">
        <v>7865</v>
      </c>
      <c r="C535" s="729" t="s">
        <v>551</v>
      </c>
      <c r="D535" s="924"/>
      <c r="E535" s="878" t="s">
        <v>2685</v>
      </c>
      <c r="F535" s="881" t="s">
        <v>6104</v>
      </c>
      <c r="G535" s="731" t="s">
        <v>3279</v>
      </c>
      <c r="H535" s="1083">
        <v>42401</v>
      </c>
      <c r="I535" s="1084">
        <v>42475</v>
      </c>
      <c r="J535" s="957">
        <v>1135.69</v>
      </c>
    </row>
    <row r="536" spans="1:10" s="852" customFormat="1" outlineLevel="2">
      <c r="A536" s="878" t="s">
        <v>553</v>
      </c>
      <c r="B536" s="879" t="s">
        <v>7865</v>
      </c>
      <c r="C536" s="729" t="s">
        <v>551</v>
      </c>
      <c r="D536" s="924"/>
      <c r="E536" s="878" t="s">
        <v>2685</v>
      </c>
      <c r="F536" s="881" t="s">
        <v>6105</v>
      </c>
      <c r="G536" s="731" t="s">
        <v>3281</v>
      </c>
      <c r="H536" s="1083">
        <v>42401</v>
      </c>
      <c r="I536" s="1084">
        <v>42475</v>
      </c>
      <c r="J536" s="957">
        <v>2564.8000000000002</v>
      </c>
    </row>
    <row r="537" spans="1:10" s="852" customFormat="1" outlineLevel="2">
      <c r="A537" s="878" t="s">
        <v>553</v>
      </c>
      <c r="B537" s="879" t="s">
        <v>7865</v>
      </c>
      <c r="C537" s="729" t="s">
        <v>551</v>
      </c>
      <c r="D537" s="924"/>
      <c r="E537" s="878" t="s">
        <v>2685</v>
      </c>
      <c r="F537" s="881" t="s">
        <v>6105</v>
      </c>
      <c r="G537" s="731" t="s">
        <v>3281</v>
      </c>
      <c r="H537" s="1083">
        <v>42401</v>
      </c>
      <c r="I537" s="1084">
        <v>42475</v>
      </c>
      <c r="J537" s="957">
        <v>274.43</v>
      </c>
    </row>
    <row r="538" spans="1:10" s="852" customFormat="1" outlineLevel="2">
      <c r="A538" s="878" t="s">
        <v>552</v>
      </c>
      <c r="B538" s="879" t="s">
        <v>7864</v>
      </c>
      <c r="C538" s="729" t="s">
        <v>551</v>
      </c>
      <c r="D538" s="924"/>
      <c r="E538" s="878" t="s">
        <v>2685</v>
      </c>
      <c r="F538" s="881" t="s">
        <v>6106</v>
      </c>
      <c r="G538" s="731" t="s">
        <v>3283</v>
      </c>
      <c r="H538" s="1083">
        <v>42401</v>
      </c>
      <c r="I538" s="1084">
        <v>42475</v>
      </c>
      <c r="J538" s="957">
        <v>183.21</v>
      </c>
    </row>
    <row r="539" spans="1:10" s="852" customFormat="1" outlineLevel="2">
      <c r="A539" s="878" t="s">
        <v>552</v>
      </c>
      <c r="B539" s="879" t="s">
        <v>7864</v>
      </c>
      <c r="C539" s="729" t="s">
        <v>551</v>
      </c>
      <c r="D539" s="924"/>
      <c r="E539" s="878" t="s">
        <v>2685</v>
      </c>
      <c r="F539" s="881" t="s">
        <v>3187</v>
      </c>
      <c r="G539" s="731" t="s">
        <v>3285</v>
      </c>
      <c r="H539" s="1083">
        <v>42401</v>
      </c>
      <c r="I539" s="1084">
        <v>42475</v>
      </c>
      <c r="J539" s="957">
        <v>178.39</v>
      </c>
    </row>
    <row r="540" spans="1:10" s="852" customFormat="1" outlineLevel="2">
      <c r="A540" s="878" t="s">
        <v>553</v>
      </c>
      <c r="B540" s="879" t="s">
        <v>7865</v>
      </c>
      <c r="C540" s="729" t="s">
        <v>551</v>
      </c>
      <c r="D540" s="924"/>
      <c r="E540" s="878" t="s">
        <v>2685</v>
      </c>
      <c r="F540" s="881" t="s">
        <v>3301</v>
      </c>
      <c r="G540" s="731" t="s">
        <v>3286</v>
      </c>
      <c r="H540" s="1083">
        <v>42401</v>
      </c>
      <c r="I540" s="1084">
        <v>42475</v>
      </c>
      <c r="J540" s="957">
        <v>1538.87</v>
      </c>
    </row>
    <row r="541" spans="1:10" s="852" customFormat="1" outlineLevel="2">
      <c r="A541" s="878" t="s">
        <v>553</v>
      </c>
      <c r="B541" s="879" t="s">
        <v>7865</v>
      </c>
      <c r="C541" s="729" t="s">
        <v>551</v>
      </c>
      <c r="D541" s="924"/>
      <c r="E541" s="878" t="s">
        <v>2685</v>
      </c>
      <c r="F541" s="881" t="s">
        <v>3301</v>
      </c>
      <c r="G541" s="731" t="s">
        <v>3286</v>
      </c>
      <c r="H541" s="1083">
        <v>42401</v>
      </c>
      <c r="I541" s="1084">
        <v>42475</v>
      </c>
      <c r="J541" s="957">
        <v>164.66</v>
      </c>
    </row>
    <row r="542" spans="1:10" s="852" customFormat="1" outlineLevel="2">
      <c r="A542" s="878" t="s">
        <v>552</v>
      </c>
      <c r="B542" s="879" t="s">
        <v>7864</v>
      </c>
      <c r="C542" s="729" t="s">
        <v>551</v>
      </c>
      <c r="D542" s="924"/>
      <c r="E542" s="878" t="s">
        <v>2685</v>
      </c>
      <c r="F542" s="881" t="s">
        <v>3608</v>
      </c>
      <c r="G542" s="731" t="s">
        <v>3288</v>
      </c>
      <c r="H542" s="1083">
        <v>42401</v>
      </c>
      <c r="I542" s="1084">
        <v>42475</v>
      </c>
      <c r="J542" s="957">
        <v>120.54</v>
      </c>
    </row>
    <row r="543" spans="1:10" s="852" customFormat="1" outlineLevel="2">
      <c r="A543" s="878" t="s">
        <v>554</v>
      </c>
      <c r="B543" s="879" t="s">
        <v>7863</v>
      </c>
      <c r="C543" s="729" t="s">
        <v>551</v>
      </c>
      <c r="D543" s="924"/>
      <c r="E543" s="878" t="s">
        <v>2685</v>
      </c>
      <c r="F543" s="881" t="s">
        <v>5480</v>
      </c>
      <c r="G543" s="731" t="s">
        <v>3289</v>
      </c>
      <c r="H543" s="1083">
        <v>42401</v>
      </c>
      <c r="I543" s="1084">
        <v>42475</v>
      </c>
      <c r="J543" s="957">
        <v>792.93</v>
      </c>
    </row>
    <row r="544" spans="1:10" s="852" customFormat="1" outlineLevel="2">
      <c r="A544" s="878" t="s">
        <v>553</v>
      </c>
      <c r="B544" s="879" t="s">
        <v>7865</v>
      </c>
      <c r="C544" s="729" t="s">
        <v>551</v>
      </c>
      <c r="D544" s="924"/>
      <c r="E544" s="878" t="s">
        <v>1909</v>
      </c>
      <c r="F544" s="881" t="s">
        <v>6229</v>
      </c>
      <c r="G544" s="731" t="s">
        <v>3297</v>
      </c>
      <c r="H544" s="1083">
        <v>42401</v>
      </c>
      <c r="I544" s="1084">
        <v>42480</v>
      </c>
      <c r="J544" s="957">
        <v>769.43</v>
      </c>
    </row>
    <row r="545" spans="1:10" s="852" customFormat="1" outlineLevel="2">
      <c r="A545" s="878" t="s">
        <v>553</v>
      </c>
      <c r="B545" s="879" t="s">
        <v>7865</v>
      </c>
      <c r="C545" s="729" t="s">
        <v>551</v>
      </c>
      <c r="D545" s="924"/>
      <c r="E545" s="878" t="s">
        <v>1909</v>
      </c>
      <c r="F545" s="881" t="s">
        <v>6229</v>
      </c>
      <c r="G545" s="731" t="s">
        <v>3297</v>
      </c>
      <c r="H545" s="1083">
        <v>42401</v>
      </c>
      <c r="I545" s="1084">
        <v>42480</v>
      </c>
      <c r="J545" s="957">
        <v>82.33</v>
      </c>
    </row>
    <row r="546" spans="1:10" s="852" customFormat="1" outlineLevel="2">
      <c r="A546" s="878" t="s">
        <v>994</v>
      </c>
      <c r="B546" s="879" t="s">
        <v>7866</v>
      </c>
      <c r="C546" s="729" t="s">
        <v>551</v>
      </c>
      <c r="D546" s="924"/>
      <c r="E546" s="878" t="s">
        <v>1909</v>
      </c>
      <c r="F546" s="881" t="s">
        <v>3935</v>
      </c>
      <c r="G546" s="731" t="s">
        <v>2817</v>
      </c>
      <c r="H546" s="1083">
        <v>42401</v>
      </c>
      <c r="I546" s="1084">
        <v>42480</v>
      </c>
      <c r="J546" s="957">
        <v>90.08</v>
      </c>
    </row>
    <row r="547" spans="1:10" s="852" customFormat="1" outlineLevel="2">
      <c r="A547" s="878" t="s">
        <v>994</v>
      </c>
      <c r="B547" s="879" t="s">
        <v>7866</v>
      </c>
      <c r="C547" s="729" t="s">
        <v>551</v>
      </c>
      <c r="D547" s="924"/>
      <c r="E547" s="878" t="s">
        <v>1909</v>
      </c>
      <c r="F547" s="881" t="s">
        <v>4027</v>
      </c>
      <c r="G547" s="731" t="s">
        <v>2819</v>
      </c>
      <c r="H547" s="1083">
        <v>42401</v>
      </c>
      <c r="I547" s="1084">
        <v>42480</v>
      </c>
      <c r="J547" s="957">
        <v>2.88</v>
      </c>
    </row>
    <row r="548" spans="1:10" s="852" customFormat="1" outlineLevel="2">
      <c r="A548" s="878" t="s">
        <v>994</v>
      </c>
      <c r="B548" s="879" t="s">
        <v>7866</v>
      </c>
      <c r="C548" s="729" t="s">
        <v>551</v>
      </c>
      <c r="D548" s="924"/>
      <c r="E548" s="878" t="s">
        <v>1909</v>
      </c>
      <c r="F548" s="881" t="s">
        <v>4129</v>
      </c>
      <c r="G548" s="731" t="s">
        <v>2821</v>
      </c>
      <c r="H548" s="1083">
        <v>42401</v>
      </c>
      <c r="I548" s="1084">
        <v>42480</v>
      </c>
      <c r="J548" s="957">
        <v>33.979999999999997</v>
      </c>
    </row>
    <row r="549" spans="1:10" s="852" customFormat="1" outlineLevel="2">
      <c r="A549" s="878" t="s">
        <v>554</v>
      </c>
      <c r="B549" s="879" t="s">
        <v>7863</v>
      </c>
      <c r="C549" s="729" t="s">
        <v>551</v>
      </c>
      <c r="D549" s="924"/>
      <c r="E549" s="878" t="s">
        <v>1909</v>
      </c>
      <c r="F549" s="881" t="s">
        <v>3259</v>
      </c>
      <c r="G549" s="731" t="s">
        <v>3309</v>
      </c>
      <c r="H549" s="1083">
        <v>42401</v>
      </c>
      <c r="I549" s="1084">
        <v>42480</v>
      </c>
      <c r="J549" s="957">
        <v>158.58000000000001</v>
      </c>
    </row>
    <row r="550" spans="1:10" s="852" customFormat="1" outlineLevel="2">
      <c r="A550" s="878" t="s">
        <v>553</v>
      </c>
      <c r="B550" s="879" t="s">
        <v>7865</v>
      </c>
      <c r="C550" s="729" t="s">
        <v>551</v>
      </c>
      <c r="D550" s="924"/>
      <c r="E550" s="878" t="s">
        <v>1909</v>
      </c>
      <c r="F550" s="881" t="s">
        <v>3296</v>
      </c>
      <c r="G550" s="731" t="s">
        <v>3311</v>
      </c>
      <c r="H550" s="1083">
        <v>42401</v>
      </c>
      <c r="I550" s="1084">
        <v>42480</v>
      </c>
      <c r="J550" s="957">
        <v>461.66</v>
      </c>
    </row>
    <row r="551" spans="1:10" s="852" customFormat="1" outlineLevel="2">
      <c r="A551" s="878" t="s">
        <v>553</v>
      </c>
      <c r="B551" s="879" t="s">
        <v>7865</v>
      </c>
      <c r="C551" s="729" t="s">
        <v>551</v>
      </c>
      <c r="D551" s="924"/>
      <c r="E551" s="878" t="s">
        <v>1909</v>
      </c>
      <c r="F551" s="881" t="s">
        <v>3296</v>
      </c>
      <c r="G551" s="731" t="s">
        <v>3311</v>
      </c>
      <c r="H551" s="1083">
        <v>42401</v>
      </c>
      <c r="I551" s="1084">
        <v>42480</v>
      </c>
      <c r="J551" s="957">
        <v>49.39</v>
      </c>
    </row>
    <row r="552" spans="1:10" s="852" customFormat="1" outlineLevel="2">
      <c r="A552" s="878" t="s">
        <v>553</v>
      </c>
      <c r="B552" s="879" t="s">
        <v>7865</v>
      </c>
      <c r="C552" s="729" t="s">
        <v>551</v>
      </c>
      <c r="D552" s="924"/>
      <c r="E552" s="878" t="s">
        <v>1909</v>
      </c>
      <c r="F552" s="881" t="s">
        <v>6228</v>
      </c>
      <c r="G552" s="731" t="s">
        <v>3295</v>
      </c>
      <c r="H552" s="1083">
        <v>42401</v>
      </c>
      <c r="I552" s="1084">
        <v>42480</v>
      </c>
      <c r="J552" s="957">
        <v>340.71</v>
      </c>
    </row>
    <row r="553" spans="1:10" s="852" customFormat="1" outlineLevel="2">
      <c r="A553" s="878" t="s">
        <v>552</v>
      </c>
      <c r="B553" s="879" t="s">
        <v>7864</v>
      </c>
      <c r="C553" s="729" t="s">
        <v>551</v>
      </c>
      <c r="D553" s="924"/>
      <c r="E553" s="878" t="s">
        <v>1909</v>
      </c>
      <c r="F553" s="881" t="s">
        <v>6230</v>
      </c>
      <c r="G553" s="731" t="s">
        <v>3299</v>
      </c>
      <c r="H553" s="1083">
        <v>42401</v>
      </c>
      <c r="I553" s="1084">
        <v>42480</v>
      </c>
      <c r="J553" s="957">
        <v>36.64</v>
      </c>
    </row>
    <row r="554" spans="1:10" s="852" customFormat="1" outlineLevel="2">
      <c r="A554" s="878" t="s">
        <v>552</v>
      </c>
      <c r="B554" s="879" t="s">
        <v>7864</v>
      </c>
      <c r="C554" s="729" t="s">
        <v>551</v>
      </c>
      <c r="D554" s="924"/>
      <c r="E554" s="878" t="s">
        <v>1909</v>
      </c>
      <c r="F554" s="881" t="s">
        <v>3605</v>
      </c>
      <c r="G554" s="731" t="s">
        <v>3314</v>
      </c>
      <c r="H554" s="1083">
        <v>42401</v>
      </c>
      <c r="I554" s="1084">
        <v>42480</v>
      </c>
      <c r="J554" s="957">
        <v>24.11</v>
      </c>
    </row>
    <row r="555" spans="1:10" s="852" customFormat="1" outlineLevel="2">
      <c r="A555" s="878" t="s">
        <v>552</v>
      </c>
      <c r="B555" s="879" t="s">
        <v>7864</v>
      </c>
      <c r="C555" s="729" t="s">
        <v>551</v>
      </c>
      <c r="D555" s="924"/>
      <c r="E555" s="878" t="s">
        <v>1909</v>
      </c>
      <c r="F555" s="881" t="s">
        <v>3183</v>
      </c>
      <c r="G555" s="731" t="s">
        <v>3306</v>
      </c>
      <c r="H555" s="1083">
        <v>42401</v>
      </c>
      <c r="I555" s="1084">
        <v>42480</v>
      </c>
      <c r="J555" s="957">
        <v>35.68</v>
      </c>
    </row>
    <row r="556" spans="1:10" s="852" customFormat="1" ht="28.5" outlineLevel="2">
      <c r="A556" s="878" t="s">
        <v>553</v>
      </c>
      <c r="B556" s="879" t="s">
        <v>7865</v>
      </c>
      <c r="C556" s="729" t="s">
        <v>551</v>
      </c>
      <c r="D556" s="924"/>
      <c r="E556" s="878" t="s">
        <v>1909</v>
      </c>
      <c r="F556" s="881" t="s">
        <v>4755</v>
      </c>
      <c r="G556" s="731" t="s">
        <v>3321</v>
      </c>
      <c r="H556" s="1083">
        <v>42401</v>
      </c>
      <c r="I556" s="1084">
        <v>42480</v>
      </c>
      <c r="J556" s="957">
        <v>2385.27</v>
      </c>
    </row>
    <row r="557" spans="1:10" s="852" customFormat="1" ht="28.5" outlineLevel="2">
      <c r="A557" s="878" t="s">
        <v>553</v>
      </c>
      <c r="B557" s="879" t="s">
        <v>7865</v>
      </c>
      <c r="C557" s="729" t="s">
        <v>551</v>
      </c>
      <c r="D557" s="924"/>
      <c r="E557" s="878" t="s">
        <v>1909</v>
      </c>
      <c r="F557" s="881" t="s">
        <v>4755</v>
      </c>
      <c r="G557" s="731" t="s">
        <v>3321</v>
      </c>
      <c r="H557" s="1083">
        <v>42401</v>
      </c>
      <c r="I557" s="1084">
        <v>42480</v>
      </c>
      <c r="J557" s="957">
        <v>255.22</v>
      </c>
    </row>
    <row r="558" spans="1:10" s="852" customFormat="1" ht="28.5" outlineLevel="2">
      <c r="A558" s="878" t="s">
        <v>994</v>
      </c>
      <c r="B558" s="879" t="s">
        <v>7866</v>
      </c>
      <c r="C558" s="729" t="s">
        <v>551</v>
      </c>
      <c r="D558" s="924"/>
      <c r="E558" s="878" t="s">
        <v>1909</v>
      </c>
      <c r="F558" s="881" t="s">
        <v>4956</v>
      </c>
      <c r="G558" s="731" t="s">
        <v>2833</v>
      </c>
      <c r="H558" s="1083">
        <v>42401</v>
      </c>
      <c r="I558" s="1084">
        <v>42480</v>
      </c>
      <c r="J558" s="957">
        <v>279.26</v>
      </c>
    </row>
    <row r="559" spans="1:10" s="852" customFormat="1" ht="28.5" outlineLevel="2">
      <c r="A559" s="878" t="s">
        <v>994</v>
      </c>
      <c r="B559" s="879" t="s">
        <v>7866</v>
      </c>
      <c r="C559" s="729" t="s">
        <v>551</v>
      </c>
      <c r="D559" s="924"/>
      <c r="E559" s="878" t="s">
        <v>1909</v>
      </c>
      <c r="F559" s="881" t="s">
        <v>4903</v>
      </c>
      <c r="G559" s="731" t="s">
        <v>2832</v>
      </c>
      <c r="H559" s="1083">
        <v>42401</v>
      </c>
      <c r="I559" s="1084">
        <v>42480</v>
      </c>
      <c r="J559" s="957">
        <v>8.93</v>
      </c>
    </row>
    <row r="560" spans="1:10" s="852" customFormat="1" ht="28.5" outlineLevel="2">
      <c r="A560" s="878" t="s">
        <v>994</v>
      </c>
      <c r="B560" s="879" t="s">
        <v>7866</v>
      </c>
      <c r="C560" s="729" t="s">
        <v>551</v>
      </c>
      <c r="D560" s="924"/>
      <c r="E560" s="878" t="s">
        <v>1909</v>
      </c>
      <c r="F560" s="881" t="s">
        <v>4853</v>
      </c>
      <c r="G560" s="731" t="s">
        <v>2831</v>
      </c>
      <c r="H560" s="1083">
        <v>42401</v>
      </c>
      <c r="I560" s="1084">
        <v>42480</v>
      </c>
      <c r="J560" s="957">
        <v>105.36</v>
      </c>
    </row>
    <row r="561" spans="1:10" s="852" customFormat="1" ht="28.5" outlineLevel="2">
      <c r="A561" s="878" t="s">
        <v>554</v>
      </c>
      <c r="B561" s="879" t="s">
        <v>7863</v>
      </c>
      <c r="C561" s="729" t="s">
        <v>551</v>
      </c>
      <c r="D561" s="924"/>
      <c r="E561" s="878" t="s">
        <v>1909</v>
      </c>
      <c r="F561" s="881" t="s">
        <v>6227</v>
      </c>
      <c r="G561" s="731" t="s">
        <v>3291</v>
      </c>
      <c r="H561" s="1083">
        <v>42370</v>
      </c>
      <c r="I561" s="1084">
        <v>42480</v>
      </c>
      <c r="J561" s="957">
        <v>788.27</v>
      </c>
    </row>
    <row r="562" spans="1:10" s="852" customFormat="1" ht="28.5" outlineLevel="2">
      <c r="A562" s="878" t="s">
        <v>554</v>
      </c>
      <c r="B562" s="879" t="s">
        <v>7863</v>
      </c>
      <c r="C562" s="729" t="s">
        <v>551</v>
      </c>
      <c r="D562" s="924"/>
      <c r="E562" s="878" t="s">
        <v>1909</v>
      </c>
      <c r="F562" s="881" t="s">
        <v>6227</v>
      </c>
      <c r="G562" s="731" t="s">
        <v>3292</v>
      </c>
      <c r="H562" s="1083">
        <v>42370</v>
      </c>
      <c r="I562" s="1084">
        <v>42480</v>
      </c>
      <c r="J562" s="957">
        <v>788.27</v>
      </c>
    </row>
    <row r="563" spans="1:10" s="852" customFormat="1" ht="28.5" outlineLevel="2">
      <c r="A563" s="878" t="s">
        <v>554</v>
      </c>
      <c r="B563" s="879" t="s">
        <v>7863</v>
      </c>
      <c r="C563" s="729" t="s">
        <v>551</v>
      </c>
      <c r="D563" s="924"/>
      <c r="E563" s="878" t="s">
        <v>1909</v>
      </c>
      <c r="F563" s="881" t="s">
        <v>6227</v>
      </c>
      <c r="G563" s="731" t="s">
        <v>3294</v>
      </c>
      <c r="H563" s="1083">
        <v>42370</v>
      </c>
      <c r="I563" s="1084">
        <v>42480</v>
      </c>
      <c r="J563" s="957">
        <v>-788.27</v>
      </c>
    </row>
    <row r="564" spans="1:10" s="852" customFormat="1" ht="28.5" outlineLevel="2">
      <c r="A564" s="878" t="s">
        <v>553</v>
      </c>
      <c r="B564" s="879" t="s">
        <v>7865</v>
      </c>
      <c r="C564" s="729" t="s">
        <v>551</v>
      </c>
      <c r="D564" s="924"/>
      <c r="E564" s="878" t="s">
        <v>1909</v>
      </c>
      <c r="F564" s="881" t="s">
        <v>4719</v>
      </c>
      <c r="G564" s="731" t="s">
        <v>3320</v>
      </c>
      <c r="H564" s="1083">
        <v>42401</v>
      </c>
      <c r="I564" s="1084">
        <v>42480</v>
      </c>
      <c r="J564" s="957">
        <v>1431.16</v>
      </c>
    </row>
    <row r="565" spans="1:10" s="852" customFormat="1" ht="28.5" outlineLevel="2">
      <c r="A565" s="878" t="s">
        <v>553</v>
      </c>
      <c r="B565" s="879" t="s">
        <v>7865</v>
      </c>
      <c r="C565" s="729" t="s">
        <v>551</v>
      </c>
      <c r="D565" s="924"/>
      <c r="E565" s="878" t="s">
        <v>1909</v>
      </c>
      <c r="F565" s="881" t="s">
        <v>4719</v>
      </c>
      <c r="G565" s="731" t="s">
        <v>3320</v>
      </c>
      <c r="H565" s="1083">
        <v>42401</v>
      </c>
      <c r="I565" s="1084">
        <v>42480</v>
      </c>
      <c r="J565" s="957">
        <v>153.13</v>
      </c>
    </row>
    <row r="566" spans="1:10" s="852" customFormat="1" ht="28.5" outlineLevel="2">
      <c r="A566" s="878" t="s">
        <v>553</v>
      </c>
      <c r="B566" s="879" t="s">
        <v>7865</v>
      </c>
      <c r="C566" s="729" t="s">
        <v>551</v>
      </c>
      <c r="D566" s="924"/>
      <c r="E566" s="878" t="s">
        <v>1909</v>
      </c>
      <c r="F566" s="881" t="s">
        <v>5020</v>
      </c>
      <c r="G566" s="731" t="s">
        <v>3322</v>
      </c>
      <c r="H566" s="1083">
        <v>42401</v>
      </c>
      <c r="I566" s="1084">
        <v>42480</v>
      </c>
      <c r="J566" s="957">
        <v>1056.2</v>
      </c>
    </row>
    <row r="567" spans="1:10" s="852" customFormat="1" ht="28.5" outlineLevel="2">
      <c r="A567" s="878" t="s">
        <v>552</v>
      </c>
      <c r="B567" s="879" t="s">
        <v>7864</v>
      </c>
      <c r="C567" s="729" t="s">
        <v>551</v>
      </c>
      <c r="D567" s="924"/>
      <c r="E567" s="878" t="s">
        <v>1909</v>
      </c>
      <c r="F567" s="881" t="s">
        <v>2911</v>
      </c>
      <c r="G567" s="731" t="s">
        <v>3300</v>
      </c>
      <c r="H567" s="1083">
        <v>42370</v>
      </c>
      <c r="I567" s="1084">
        <v>42480</v>
      </c>
      <c r="J567" s="957">
        <v>-112.1</v>
      </c>
    </row>
    <row r="568" spans="1:10" s="852" customFormat="1" ht="28.5" outlineLevel="2">
      <c r="A568" s="878" t="s">
        <v>552</v>
      </c>
      <c r="B568" s="879" t="s">
        <v>7864</v>
      </c>
      <c r="C568" s="729" t="s">
        <v>551</v>
      </c>
      <c r="D568" s="924"/>
      <c r="E568" s="878" t="s">
        <v>1909</v>
      </c>
      <c r="F568" s="881" t="s">
        <v>2911</v>
      </c>
      <c r="G568" s="731" t="s">
        <v>3302</v>
      </c>
      <c r="H568" s="1083">
        <v>42370</v>
      </c>
      <c r="I568" s="1084">
        <v>42480</v>
      </c>
      <c r="J568" s="957">
        <v>-112.09</v>
      </c>
    </row>
    <row r="569" spans="1:10" s="852" customFormat="1" ht="28.5" outlineLevel="2">
      <c r="A569" s="878" t="s">
        <v>552</v>
      </c>
      <c r="B569" s="879" t="s">
        <v>7864</v>
      </c>
      <c r="C569" s="729" t="s">
        <v>551</v>
      </c>
      <c r="D569" s="924"/>
      <c r="E569" s="878" t="s">
        <v>1909</v>
      </c>
      <c r="F569" s="881" t="s">
        <v>2911</v>
      </c>
      <c r="G569" s="731" t="s">
        <v>3303</v>
      </c>
      <c r="H569" s="1083">
        <v>42370</v>
      </c>
      <c r="I569" s="1084">
        <v>42480</v>
      </c>
      <c r="J569" s="957">
        <v>112.09</v>
      </c>
    </row>
    <row r="570" spans="1:10" s="852" customFormat="1" ht="28.5" outlineLevel="2">
      <c r="A570" s="878" t="s">
        <v>552</v>
      </c>
      <c r="B570" s="879" t="s">
        <v>7864</v>
      </c>
      <c r="C570" s="729" t="s">
        <v>551</v>
      </c>
      <c r="D570" s="924"/>
      <c r="E570" s="878" t="s">
        <v>1909</v>
      </c>
      <c r="F570" s="881" t="s">
        <v>2911</v>
      </c>
      <c r="G570" s="731" t="s">
        <v>3305</v>
      </c>
      <c r="H570" s="1083">
        <v>42370</v>
      </c>
      <c r="I570" s="1084">
        <v>42480</v>
      </c>
      <c r="J570" s="957">
        <v>112.1</v>
      </c>
    </row>
    <row r="571" spans="1:10" s="852" customFormat="1" ht="28.5" outlineLevel="2">
      <c r="A571" s="878" t="s">
        <v>552</v>
      </c>
      <c r="B571" s="879" t="s">
        <v>7864</v>
      </c>
      <c r="C571" s="729" t="s">
        <v>551</v>
      </c>
      <c r="D571" s="924"/>
      <c r="E571" s="878" t="s">
        <v>1909</v>
      </c>
      <c r="F571" s="881" t="s">
        <v>2911</v>
      </c>
      <c r="G571" s="731" t="s">
        <v>3308</v>
      </c>
      <c r="H571" s="1083">
        <v>42370</v>
      </c>
      <c r="I571" s="1084">
        <v>42480</v>
      </c>
      <c r="J571" s="957">
        <v>112.1</v>
      </c>
    </row>
    <row r="572" spans="1:10" s="852" customFormat="1" ht="28.5" outlineLevel="2">
      <c r="A572" s="878" t="s">
        <v>552</v>
      </c>
      <c r="B572" s="879" t="s">
        <v>7864</v>
      </c>
      <c r="C572" s="729" t="s">
        <v>551</v>
      </c>
      <c r="D572" s="924"/>
      <c r="E572" s="878" t="s">
        <v>1909</v>
      </c>
      <c r="F572" s="881" t="s">
        <v>3554</v>
      </c>
      <c r="G572" s="731" t="s">
        <v>3313</v>
      </c>
      <c r="H572" s="1083">
        <v>42370</v>
      </c>
      <c r="I572" s="1084">
        <v>42480</v>
      </c>
      <c r="J572" s="957">
        <v>-165.91</v>
      </c>
    </row>
    <row r="573" spans="1:10" s="852" customFormat="1" ht="28.5" outlineLevel="2">
      <c r="A573" s="878" t="s">
        <v>552</v>
      </c>
      <c r="B573" s="879" t="s">
        <v>7864</v>
      </c>
      <c r="C573" s="729" t="s">
        <v>551</v>
      </c>
      <c r="D573" s="924"/>
      <c r="E573" s="878" t="s">
        <v>1909</v>
      </c>
      <c r="F573" s="881" t="s">
        <v>3554</v>
      </c>
      <c r="G573" s="731" t="s">
        <v>3316</v>
      </c>
      <c r="H573" s="1083">
        <v>42370</v>
      </c>
      <c r="I573" s="1084">
        <v>42480</v>
      </c>
      <c r="J573" s="957">
        <v>165.9</v>
      </c>
    </row>
    <row r="574" spans="1:10" s="852" customFormat="1" ht="28.5" outlineLevel="2">
      <c r="A574" s="878" t="s">
        <v>552</v>
      </c>
      <c r="B574" s="879" t="s">
        <v>7864</v>
      </c>
      <c r="C574" s="729" t="s">
        <v>551</v>
      </c>
      <c r="D574" s="924"/>
      <c r="E574" s="878" t="s">
        <v>1909</v>
      </c>
      <c r="F574" s="881" t="s">
        <v>3554</v>
      </c>
      <c r="G574" s="731" t="s">
        <v>3317</v>
      </c>
      <c r="H574" s="1083">
        <v>42370</v>
      </c>
      <c r="I574" s="1084">
        <v>42480</v>
      </c>
      <c r="J574" s="957">
        <v>165.91</v>
      </c>
    </row>
    <row r="575" spans="1:10" s="852" customFormat="1" outlineLevel="2">
      <c r="A575" s="878" t="s">
        <v>1772</v>
      </c>
      <c r="B575" s="879" t="s">
        <v>7871</v>
      </c>
      <c r="C575" s="729" t="s">
        <v>551</v>
      </c>
      <c r="D575" s="924"/>
      <c r="E575" s="878" t="s">
        <v>1773</v>
      </c>
      <c r="F575" s="881" t="s">
        <v>1753</v>
      </c>
      <c r="G575" s="731" t="s">
        <v>5611</v>
      </c>
      <c r="H575" s="1083">
        <v>42430</v>
      </c>
      <c r="I575" s="1084">
        <v>42471</v>
      </c>
      <c r="J575" s="957">
        <v>251.91</v>
      </c>
    </row>
    <row r="576" spans="1:10" s="852" customFormat="1" outlineLevel="1">
      <c r="A576" s="878"/>
      <c r="B576" s="879" t="s">
        <v>258</v>
      </c>
      <c r="C576" s="908" t="s">
        <v>551</v>
      </c>
      <c r="D576" s="928" t="str">
        <f>VLOOKUP(C576,$C$3691:$D$3771,2,FALSE)</f>
        <v>TOTAL POUPATEMPO  ARARAS</v>
      </c>
      <c r="E576" s="1085"/>
      <c r="F576" s="929"/>
      <c r="G576" s="910"/>
      <c r="H576" s="1086"/>
      <c r="I576" s="1087"/>
      <c r="J576" s="930">
        <f>SUBTOTAL(9,J510:J575)</f>
        <v>158318.27999999994</v>
      </c>
    </row>
    <row r="577" spans="1:10" s="852" customFormat="1" outlineLevel="2">
      <c r="A577" s="878" t="s">
        <v>2233</v>
      </c>
      <c r="B577" s="879" t="s">
        <v>7869</v>
      </c>
      <c r="C577" s="729" t="s">
        <v>556</v>
      </c>
      <c r="D577" s="924"/>
      <c r="E577" s="878" t="s">
        <v>2221</v>
      </c>
      <c r="F577" s="881" t="s">
        <v>863</v>
      </c>
      <c r="G577" s="731" t="s">
        <v>5571</v>
      </c>
      <c r="H577" s="1083">
        <v>42401</v>
      </c>
      <c r="I577" s="1084">
        <v>42465</v>
      </c>
      <c r="J577" s="957">
        <v>4051.04</v>
      </c>
    </row>
    <row r="578" spans="1:10" s="852" customFormat="1" outlineLevel="2">
      <c r="A578" s="878" t="s">
        <v>1725</v>
      </c>
      <c r="B578" s="879" t="s">
        <v>7872</v>
      </c>
      <c r="C578" s="729" t="s">
        <v>556</v>
      </c>
      <c r="D578" s="924"/>
      <c r="E578" s="878" t="s">
        <v>1726</v>
      </c>
      <c r="F578" s="881" t="s">
        <v>1696</v>
      </c>
      <c r="G578" s="731" t="s">
        <v>5524</v>
      </c>
      <c r="H578" s="1083">
        <v>42430</v>
      </c>
      <c r="I578" s="1084">
        <v>42461</v>
      </c>
      <c r="J578" s="957">
        <v>6133.5</v>
      </c>
    </row>
    <row r="579" spans="1:10" s="852" customFormat="1" outlineLevel="2">
      <c r="A579" s="878" t="s">
        <v>557</v>
      </c>
      <c r="B579" s="879" t="s">
        <v>7865</v>
      </c>
      <c r="C579" s="729" t="s">
        <v>556</v>
      </c>
      <c r="D579" s="924"/>
      <c r="E579" s="878" t="s">
        <v>2336</v>
      </c>
      <c r="F579" s="881" t="s">
        <v>3349</v>
      </c>
      <c r="G579" s="731" t="s">
        <v>3324</v>
      </c>
      <c r="H579" s="1083">
        <v>42401</v>
      </c>
      <c r="I579" s="1084">
        <v>42480</v>
      </c>
      <c r="J579" s="957">
        <v>3116.6</v>
      </c>
    </row>
    <row r="580" spans="1:10" s="852" customFormat="1" outlineLevel="2">
      <c r="A580" s="878" t="s">
        <v>557</v>
      </c>
      <c r="B580" s="879" t="s">
        <v>7865</v>
      </c>
      <c r="C580" s="729" t="s">
        <v>556</v>
      </c>
      <c r="D580" s="924"/>
      <c r="E580" s="878" t="s">
        <v>2336</v>
      </c>
      <c r="F580" s="881" t="s">
        <v>5991</v>
      </c>
      <c r="G580" s="731" t="s">
        <v>3323</v>
      </c>
      <c r="H580" s="1083">
        <v>42401</v>
      </c>
      <c r="I580" s="1084">
        <v>42480</v>
      </c>
      <c r="J580" s="957">
        <v>4674.91</v>
      </c>
    </row>
    <row r="581" spans="1:10" s="852" customFormat="1" outlineLevel="2">
      <c r="A581" s="878" t="s">
        <v>557</v>
      </c>
      <c r="B581" s="879" t="s">
        <v>7865</v>
      </c>
      <c r="C581" s="729" t="s">
        <v>556</v>
      </c>
      <c r="D581" s="924"/>
      <c r="E581" s="878" t="s">
        <v>484</v>
      </c>
      <c r="F581" s="881" t="s">
        <v>1094</v>
      </c>
      <c r="G581" s="731" t="s">
        <v>5809</v>
      </c>
      <c r="H581" s="1083">
        <v>42430</v>
      </c>
      <c r="I581" s="1084">
        <v>42489</v>
      </c>
      <c r="J581" s="957">
        <v>43432.95</v>
      </c>
    </row>
    <row r="582" spans="1:10" s="852" customFormat="1" outlineLevel="2">
      <c r="A582" s="878" t="s">
        <v>1005</v>
      </c>
      <c r="B582" s="879" t="s">
        <v>7866</v>
      </c>
      <c r="C582" s="729" t="s">
        <v>556</v>
      </c>
      <c r="D582" s="924"/>
      <c r="E582" s="878" t="s">
        <v>2282</v>
      </c>
      <c r="F582" s="881" t="s">
        <v>3974</v>
      </c>
      <c r="G582" s="731" t="s">
        <v>2779</v>
      </c>
      <c r="H582" s="1083">
        <v>42401</v>
      </c>
      <c r="I582" s="1084">
        <v>42471</v>
      </c>
      <c r="J582" s="957">
        <v>188.36</v>
      </c>
    </row>
    <row r="583" spans="1:10" s="852" customFormat="1" outlineLevel="2">
      <c r="A583" s="878" t="s">
        <v>1005</v>
      </c>
      <c r="B583" s="879" t="s">
        <v>7866</v>
      </c>
      <c r="C583" s="729" t="s">
        <v>556</v>
      </c>
      <c r="D583" s="924"/>
      <c r="E583" s="878" t="s">
        <v>2282</v>
      </c>
      <c r="F583" s="881" t="s">
        <v>4081</v>
      </c>
      <c r="G583" s="731" t="s">
        <v>2781</v>
      </c>
      <c r="H583" s="1083">
        <v>42401</v>
      </c>
      <c r="I583" s="1084">
        <v>42471</v>
      </c>
      <c r="J583" s="957">
        <v>6.02</v>
      </c>
    </row>
    <row r="584" spans="1:10" s="852" customFormat="1" outlineLevel="2">
      <c r="A584" s="878" t="s">
        <v>1005</v>
      </c>
      <c r="B584" s="879" t="s">
        <v>7866</v>
      </c>
      <c r="C584" s="729" t="s">
        <v>556</v>
      </c>
      <c r="D584" s="924"/>
      <c r="E584" s="878" t="s">
        <v>2282</v>
      </c>
      <c r="F584" s="881" t="s">
        <v>4165</v>
      </c>
      <c r="G584" s="731" t="s">
        <v>2782</v>
      </c>
      <c r="H584" s="1083">
        <v>42401</v>
      </c>
      <c r="I584" s="1084">
        <v>42471</v>
      </c>
      <c r="J584" s="957">
        <v>71.06</v>
      </c>
    </row>
    <row r="585" spans="1:10" s="852" customFormat="1" outlineLevel="2">
      <c r="A585" s="878" t="s">
        <v>557</v>
      </c>
      <c r="B585" s="879" t="s">
        <v>7865</v>
      </c>
      <c r="C585" s="729" t="s">
        <v>556</v>
      </c>
      <c r="D585" s="924"/>
      <c r="E585" s="878" t="s">
        <v>2686</v>
      </c>
      <c r="F585" s="881" t="s">
        <v>3351</v>
      </c>
      <c r="G585" s="731" t="s">
        <v>3325</v>
      </c>
      <c r="H585" s="1083">
        <v>42401</v>
      </c>
      <c r="I585" s="1084">
        <v>42485</v>
      </c>
      <c r="J585" s="957">
        <v>1803.24</v>
      </c>
    </row>
    <row r="586" spans="1:10" s="852" customFormat="1" outlineLevel="2">
      <c r="A586" s="878" t="s">
        <v>557</v>
      </c>
      <c r="B586" s="879" t="s">
        <v>7865</v>
      </c>
      <c r="C586" s="729" t="s">
        <v>556</v>
      </c>
      <c r="D586" s="924"/>
      <c r="E586" s="878" t="s">
        <v>2686</v>
      </c>
      <c r="F586" s="881" t="s">
        <v>5514</v>
      </c>
      <c r="G586" s="731" t="s">
        <v>3326</v>
      </c>
      <c r="H586" s="1083">
        <v>42401</v>
      </c>
      <c r="I586" s="1084">
        <v>42485</v>
      </c>
      <c r="J586" s="957">
        <v>2704.88</v>
      </c>
    </row>
    <row r="587" spans="1:10" s="852" customFormat="1" outlineLevel="2">
      <c r="A587" s="878" t="s">
        <v>1005</v>
      </c>
      <c r="B587" s="879" t="s">
        <v>7866</v>
      </c>
      <c r="C587" s="729" t="s">
        <v>556</v>
      </c>
      <c r="D587" s="924"/>
      <c r="E587" s="878" t="s">
        <v>1909</v>
      </c>
      <c r="F587" s="881" t="s">
        <v>3935</v>
      </c>
      <c r="G587" s="731" t="s">
        <v>2817</v>
      </c>
      <c r="H587" s="1083">
        <v>42401</v>
      </c>
      <c r="I587" s="1084">
        <v>42480</v>
      </c>
      <c r="J587" s="957">
        <v>56.5</v>
      </c>
    </row>
    <row r="588" spans="1:10" s="852" customFormat="1" outlineLevel="2">
      <c r="A588" s="878" t="s">
        <v>1005</v>
      </c>
      <c r="B588" s="879" t="s">
        <v>7866</v>
      </c>
      <c r="C588" s="729" t="s">
        <v>556</v>
      </c>
      <c r="D588" s="924"/>
      <c r="E588" s="878" t="s">
        <v>1909</v>
      </c>
      <c r="F588" s="881" t="s">
        <v>4027</v>
      </c>
      <c r="G588" s="731" t="s">
        <v>2819</v>
      </c>
      <c r="H588" s="1083">
        <v>42401</v>
      </c>
      <c r="I588" s="1084">
        <v>42480</v>
      </c>
      <c r="J588" s="957">
        <v>1.8</v>
      </c>
    </row>
    <row r="589" spans="1:10" s="852" customFormat="1" outlineLevel="2">
      <c r="A589" s="878" t="s">
        <v>1005</v>
      </c>
      <c r="B589" s="879" t="s">
        <v>7866</v>
      </c>
      <c r="C589" s="729" t="s">
        <v>556</v>
      </c>
      <c r="D589" s="924"/>
      <c r="E589" s="878" t="s">
        <v>1909</v>
      </c>
      <c r="F589" s="881" t="s">
        <v>4129</v>
      </c>
      <c r="G589" s="731" t="s">
        <v>2821</v>
      </c>
      <c r="H589" s="1083">
        <v>42401</v>
      </c>
      <c r="I589" s="1084">
        <v>42480</v>
      </c>
      <c r="J589" s="957">
        <v>21.32</v>
      </c>
    </row>
    <row r="590" spans="1:10" s="852" customFormat="1" outlineLevel="2">
      <c r="A590" s="878" t="s">
        <v>557</v>
      </c>
      <c r="B590" s="879" t="s">
        <v>7865</v>
      </c>
      <c r="C590" s="729" t="s">
        <v>556</v>
      </c>
      <c r="D590" s="924"/>
      <c r="E590" s="878" t="s">
        <v>1909</v>
      </c>
      <c r="F590" s="881" t="s">
        <v>3347</v>
      </c>
      <c r="G590" s="731" t="s">
        <v>3328</v>
      </c>
      <c r="H590" s="1083">
        <v>42401</v>
      </c>
      <c r="I590" s="1084">
        <v>42480</v>
      </c>
      <c r="J590" s="957">
        <v>772.82</v>
      </c>
    </row>
    <row r="591" spans="1:10" s="852" customFormat="1" outlineLevel="2">
      <c r="A591" s="878" t="s">
        <v>557</v>
      </c>
      <c r="B591" s="879" t="s">
        <v>7865</v>
      </c>
      <c r="C591" s="729" t="s">
        <v>556</v>
      </c>
      <c r="D591" s="924"/>
      <c r="E591" s="878" t="s">
        <v>1909</v>
      </c>
      <c r="F591" s="881" t="s">
        <v>6231</v>
      </c>
      <c r="G591" s="731" t="s">
        <v>3327</v>
      </c>
      <c r="H591" s="1083">
        <v>42401</v>
      </c>
      <c r="I591" s="1084">
        <v>42480</v>
      </c>
      <c r="J591" s="957">
        <v>1159.23</v>
      </c>
    </row>
    <row r="592" spans="1:10" s="852" customFormat="1" ht="28.5" outlineLevel="2">
      <c r="A592" s="878" t="s">
        <v>1005</v>
      </c>
      <c r="B592" s="879" t="s">
        <v>7866</v>
      </c>
      <c r="C592" s="729" t="s">
        <v>556</v>
      </c>
      <c r="D592" s="924"/>
      <c r="E592" s="878" t="s">
        <v>1909</v>
      </c>
      <c r="F592" s="881" t="s">
        <v>4956</v>
      </c>
      <c r="G592" s="731" t="s">
        <v>2833</v>
      </c>
      <c r="H592" s="1083">
        <v>42401</v>
      </c>
      <c r="I592" s="1084">
        <v>42480</v>
      </c>
      <c r="J592" s="957">
        <v>175.18</v>
      </c>
    </row>
    <row r="593" spans="1:10" s="852" customFormat="1" ht="28.5" outlineLevel="2">
      <c r="A593" s="878" t="s">
        <v>1005</v>
      </c>
      <c r="B593" s="879" t="s">
        <v>7866</v>
      </c>
      <c r="C593" s="729" t="s">
        <v>556</v>
      </c>
      <c r="D593" s="924"/>
      <c r="E593" s="878" t="s">
        <v>1909</v>
      </c>
      <c r="F593" s="881" t="s">
        <v>4903</v>
      </c>
      <c r="G593" s="731" t="s">
        <v>2832</v>
      </c>
      <c r="H593" s="1083">
        <v>42401</v>
      </c>
      <c r="I593" s="1084">
        <v>42480</v>
      </c>
      <c r="J593" s="957">
        <v>5.6</v>
      </c>
    </row>
    <row r="594" spans="1:10" s="852" customFormat="1" ht="28.5" outlineLevel="2">
      <c r="A594" s="878" t="s">
        <v>1005</v>
      </c>
      <c r="B594" s="879" t="s">
        <v>7866</v>
      </c>
      <c r="C594" s="729" t="s">
        <v>556</v>
      </c>
      <c r="D594" s="924"/>
      <c r="E594" s="878" t="s">
        <v>1909</v>
      </c>
      <c r="F594" s="881" t="s">
        <v>4853</v>
      </c>
      <c r="G594" s="731" t="s">
        <v>2831</v>
      </c>
      <c r="H594" s="1083">
        <v>42401</v>
      </c>
      <c r="I594" s="1084">
        <v>42480</v>
      </c>
      <c r="J594" s="957">
        <v>66.09</v>
      </c>
    </row>
    <row r="595" spans="1:10" s="852" customFormat="1" ht="28.5" outlineLevel="2">
      <c r="A595" s="878" t="s">
        <v>557</v>
      </c>
      <c r="B595" s="879" t="s">
        <v>7865</v>
      </c>
      <c r="C595" s="729" t="s">
        <v>556</v>
      </c>
      <c r="D595" s="924"/>
      <c r="E595" s="878" t="s">
        <v>1909</v>
      </c>
      <c r="F595" s="881" t="s">
        <v>4637</v>
      </c>
      <c r="G595" s="731" t="s">
        <v>3329</v>
      </c>
      <c r="H595" s="1083">
        <v>42401</v>
      </c>
      <c r="I595" s="1084">
        <v>42480</v>
      </c>
      <c r="J595" s="957">
        <v>2395.7399999999998</v>
      </c>
    </row>
    <row r="596" spans="1:10" s="852" customFormat="1" ht="28.5" outlineLevel="2">
      <c r="A596" s="878" t="s">
        <v>557</v>
      </c>
      <c r="B596" s="879" t="s">
        <v>7865</v>
      </c>
      <c r="C596" s="729" t="s">
        <v>556</v>
      </c>
      <c r="D596" s="924"/>
      <c r="E596" s="878" t="s">
        <v>1909</v>
      </c>
      <c r="F596" s="881" t="s">
        <v>4837</v>
      </c>
      <c r="G596" s="731" t="s">
        <v>3330</v>
      </c>
      <c r="H596" s="1083">
        <v>42401</v>
      </c>
      <c r="I596" s="1084">
        <v>42480</v>
      </c>
      <c r="J596" s="957">
        <v>3593.61</v>
      </c>
    </row>
    <row r="597" spans="1:10" s="852" customFormat="1" outlineLevel="2">
      <c r="A597" s="878" t="s">
        <v>1784</v>
      </c>
      <c r="B597" s="879" t="s">
        <v>7871</v>
      </c>
      <c r="C597" s="729" t="s">
        <v>556</v>
      </c>
      <c r="D597" s="924"/>
      <c r="E597" s="878" t="s">
        <v>1752</v>
      </c>
      <c r="F597" s="881" t="s">
        <v>1753</v>
      </c>
      <c r="G597" s="731" t="s">
        <v>5721</v>
      </c>
      <c r="H597" s="1083">
        <v>42430</v>
      </c>
      <c r="I597" s="1084">
        <v>42485</v>
      </c>
      <c r="J597" s="957">
        <v>219.73</v>
      </c>
    </row>
    <row r="598" spans="1:10" s="852" customFormat="1" outlineLevel="1">
      <c r="A598" s="878"/>
      <c r="B598" s="879" t="s">
        <v>258</v>
      </c>
      <c r="C598" s="908" t="s">
        <v>556</v>
      </c>
      <c r="D598" s="928" t="str">
        <f>VLOOKUP(C598,$C$3691:$D$3771,2,FALSE)</f>
        <v>TOTAL POUPATEMPO  ASSIS</v>
      </c>
      <c r="E598" s="1085"/>
      <c r="F598" s="929"/>
      <c r="G598" s="910"/>
      <c r="H598" s="1086"/>
      <c r="I598" s="1087"/>
      <c r="J598" s="930">
        <f>SUBTOTAL(9,J577:J597)</f>
        <v>74650.180000000008</v>
      </c>
    </row>
    <row r="599" spans="1:10" s="852" customFormat="1" outlineLevel="2">
      <c r="A599" s="878" t="s">
        <v>558</v>
      </c>
      <c r="B599" s="879" t="s">
        <v>7865</v>
      </c>
      <c r="C599" s="729" t="s">
        <v>559</v>
      </c>
      <c r="D599" s="924"/>
      <c r="E599" s="878" t="s">
        <v>560</v>
      </c>
      <c r="F599" s="881" t="s">
        <v>1094</v>
      </c>
      <c r="G599" s="731" t="s">
        <v>5751</v>
      </c>
      <c r="H599" s="1083">
        <v>42430</v>
      </c>
      <c r="I599" s="1084">
        <v>42489</v>
      </c>
      <c r="J599" s="957">
        <v>67290.559999999998</v>
      </c>
    </row>
    <row r="600" spans="1:10" s="852" customFormat="1" outlineLevel="2">
      <c r="A600" s="878" t="s">
        <v>2234</v>
      </c>
      <c r="B600" s="879" t="s">
        <v>7869</v>
      </c>
      <c r="C600" s="729" t="s">
        <v>559</v>
      </c>
      <c r="D600" s="924"/>
      <c r="E600" s="878" t="s">
        <v>2221</v>
      </c>
      <c r="F600" s="881" t="s">
        <v>863</v>
      </c>
      <c r="G600" s="731" t="s">
        <v>5571</v>
      </c>
      <c r="H600" s="1083">
        <v>42401</v>
      </c>
      <c r="I600" s="1084">
        <v>42465</v>
      </c>
      <c r="J600" s="957">
        <v>4051.04</v>
      </c>
    </row>
    <row r="601" spans="1:10" s="852" customFormat="1" outlineLevel="2">
      <c r="A601" s="878" t="s">
        <v>2573</v>
      </c>
      <c r="B601" s="879" t="s">
        <v>7872</v>
      </c>
      <c r="C601" s="729" t="s">
        <v>559</v>
      </c>
      <c r="D601" s="924"/>
      <c r="E601" s="878" t="s">
        <v>2262</v>
      </c>
      <c r="F601" s="881" t="s">
        <v>1696</v>
      </c>
      <c r="G601" s="731" t="s">
        <v>5786</v>
      </c>
      <c r="H601" s="1083">
        <v>42430</v>
      </c>
      <c r="I601" s="1084">
        <v>42489</v>
      </c>
      <c r="J601" s="957">
        <v>5500.35</v>
      </c>
    </row>
    <row r="602" spans="1:10" s="852" customFormat="1" ht="28.5" outlineLevel="2">
      <c r="A602" s="878" t="s">
        <v>558</v>
      </c>
      <c r="B602" s="879" t="s">
        <v>7865</v>
      </c>
      <c r="C602" s="729" t="s">
        <v>559</v>
      </c>
      <c r="D602" s="924"/>
      <c r="E602" s="878" t="s">
        <v>2336</v>
      </c>
      <c r="F602" s="881" t="s">
        <v>5106</v>
      </c>
      <c r="G602" s="731" t="s">
        <v>3333</v>
      </c>
      <c r="H602" s="1083">
        <v>42430</v>
      </c>
      <c r="I602" s="1084">
        <v>42480</v>
      </c>
      <c r="J602" s="957">
        <v>2504.91</v>
      </c>
    </row>
    <row r="603" spans="1:10" s="852" customFormat="1" outlineLevel="2">
      <c r="A603" s="878" t="s">
        <v>558</v>
      </c>
      <c r="B603" s="879" t="s">
        <v>7865</v>
      </c>
      <c r="C603" s="729" t="s">
        <v>559</v>
      </c>
      <c r="D603" s="924"/>
      <c r="E603" s="878" t="s">
        <v>2336</v>
      </c>
      <c r="F603" s="881" t="s">
        <v>2967</v>
      </c>
      <c r="G603" s="731" t="s">
        <v>3331</v>
      </c>
      <c r="H603" s="1083">
        <v>42401</v>
      </c>
      <c r="I603" s="1084">
        <v>42480</v>
      </c>
      <c r="J603" s="957">
        <v>1669.94</v>
      </c>
    </row>
    <row r="604" spans="1:10" s="852" customFormat="1" outlineLevel="2">
      <c r="A604" s="878" t="s">
        <v>1006</v>
      </c>
      <c r="B604" s="879" t="s">
        <v>7866</v>
      </c>
      <c r="C604" s="729" t="s">
        <v>559</v>
      </c>
      <c r="D604" s="924"/>
      <c r="E604" s="878" t="s">
        <v>2282</v>
      </c>
      <c r="F604" s="881" t="s">
        <v>3974</v>
      </c>
      <c r="G604" s="731" t="s">
        <v>2779</v>
      </c>
      <c r="H604" s="1083">
        <v>42401</v>
      </c>
      <c r="I604" s="1084">
        <v>42471</v>
      </c>
      <c r="J604" s="957">
        <v>156.09</v>
      </c>
    </row>
    <row r="605" spans="1:10" s="852" customFormat="1" outlineLevel="2">
      <c r="A605" s="878" t="s">
        <v>1006</v>
      </c>
      <c r="B605" s="879" t="s">
        <v>7866</v>
      </c>
      <c r="C605" s="729" t="s">
        <v>559</v>
      </c>
      <c r="D605" s="924"/>
      <c r="E605" s="878" t="s">
        <v>2282</v>
      </c>
      <c r="F605" s="881" t="s">
        <v>4081</v>
      </c>
      <c r="G605" s="731" t="s">
        <v>2781</v>
      </c>
      <c r="H605" s="1083">
        <v>42401</v>
      </c>
      <c r="I605" s="1084">
        <v>42471</v>
      </c>
      <c r="J605" s="957">
        <v>4.99</v>
      </c>
    </row>
    <row r="606" spans="1:10" s="852" customFormat="1" outlineLevel="2">
      <c r="A606" s="878" t="s">
        <v>1006</v>
      </c>
      <c r="B606" s="879" t="s">
        <v>7866</v>
      </c>
      <c r="C606" s="729" t="s">
        <v>559</v>
      </c>
      <c r="D606" s="924"/>
      <c r="E606" s="878" t="s">
        <v>2282</v>
      </c>
      <c r="F606" s="881" t="s">
        <v>4165</v>
      </c>
      <c r="G606" s="731" t="s">
        <v>2782</v>
      </c>
      <c r="H606" s="1083">
        <v>42401</v>
      </c>
      <c r="I606" s="1084">
        <v>42471</v>
      </c>
      <c r="J606" s="957">
        <v>58.89</v>
      </c>
    </row>
    <row r="607" spans="1:10" s="852" customFormat="1" outlineLevel="2">
      <c r="A607" s="878" t="s">
        <v>558</v>
      </c>
      <c r="B607" s="879" t="s">
        <v>7865</v>
      </c>
      <c r="C607" s="729" t="s">
        <v>559</v>
      </c>
      <c r="D607" s="924"/>
      <c r="E607" s="878" t="s">
        <v>2687</v>
      </c>
      <c r="F607" s="881" t="s">
        <v>3011</v>
      </c>
      <c r="G607" s="731" t="s">
        <v>3336</v>
      </c>
      <c r="H607" s="1083">
        <v>42401</v>
      </c>
      <c r="I607" s="1084">
        <v>42475</v>
      </c>
      <c r="J607" s="957">
        <v>1013.18</v>
      </c>
    </row>
    <row r="608" spans="1:10" s="852" customFormat="1" ht="28.5" outlineLevel="2">
      <c r="A608" s="878" t="s">
        <v>558</v>
      </c>
      <c r="B608" s="879" t="s">
        <v>7865</v>
      </c>
      <c r="C608" s="729" t="s">
        <v>559</v>
      </c>
      <c r="D608" s="924"/>
      <c r="E608" s="878" t="s">
        <v>2687</v>
      </c>
      <c r="F608" s="881" t="s">
        <v>5107</v>
      </c>
      <c r="G608" s="731" t="s">
        <v>3337</v>
      </c>
      <c r="H608" s="1083">
        <v>42430</v>
      </c>
      <c r="I608" s="1084">
        <v>42475</v>
      </c>
      <c r="J608" s="957">
        <v>1519.77</v>
      </c>
    </row>
    <row r="609" spans="1:10" s="852" customFormat="1" ht="28.5" outlineLevel="2">
      <c r="A609" s="878" t="s">
        <v>558</v>
      </c>
      <c r="B609" s="879" t="s">
        <v>7865</v>
      </c>
      <c r="C609" s="729" t="s">
        <v>559</v>
      </c>
      <c r="D609" s="924"/>
      <c r="E609" s="878" t="s">
        <v>1909</v>
      </c>
      <c r="F609" s="881" t="s">
        <v>5104</v>
      </c>
      <c r="G609" s="731" t="s">
        <v>3348</v>
      </c>
      <c r="H609" s="1083">
        <v>42430</v>
      </c>
      <c r="I609" s="1084">
        <v>42480</v>
      </c>
      <c r="J609" s="957">
        <v>1139.83</v>
      </c>
    </row>
    <row r="610" spans="1:10" s="852" customFormat="1" outlineLevel="2">
      <c r="A610" s="878" t="s">
        <v>1006</v>
      </c>
      <c r="B610" s="879" t="s">
        <v>7866</v>
      </c>
      <c r="C610" s="729" t="s">
        <v>559</v>
      </c>
      <c r="D610" s="924"/>
      <c r="E610" s="878" t="s">
        <v>1909</v>
      </c>
      <c r="F610" s="881" t="s">
        <v>3935</v>
      </c>
      <c r="G610" s="731" t="s">
        <v>2817</v>
      </c>
      <c r="H610" s="1083">
        <v>42401</v>
      </c>
      <c r="I610" s="1084">
        <v>42480</v>
      </c>
      <c r="J610" s="957">
        <v>46.82</v>
      </c>
    </row>
    <row r="611" spans="1:10" s="852" customFormat="1" outlineLevel="2">
      <c r="A611" s="878" t="s">
        <v>1006</v>
      </c>
      <c r="B611" s="879" t="s">
        <v>7866</v>
      </c>
      <c r="C611" s="729" t="s">
        <v>559</v>
      </c>
      <c r="D611" s="924"/>
      <c r="E611" s="878" t="s">
        <v>1909</v>
      </c>
      <c r="F611" s="881" t="s">
        <v>4027</v>
      </c>
      <c r="G611" s="731" t="s">
        <v>2819</v>
      </c>
      <c r="H611" s="1083">
        <v>42401</v>
      </c>
      <c r="I611" s="1084">
        <v>42480</v>
      </c>
      <c r="J611" s="957">
        <v>1.49</v>
      </c>
    </row>
    <row r="612" spans="1:10" s="852" customFormat="1" outlineLevel="2">
      <c r="A612" s="878" t="s">
        <v>1006</v>
      </c>
      <c r="B612" s="879" t="s">
        <v>7866</v>
      </c>
      <c r="C612" s="729" t="s">
        <v>559</v>
      </c>
      <c r="D612" s="924"/>
      <c r="E612" s="878" t="s">
        <v>1909</v>
      </c>
      <c r="F612" s="881" t="s">
        <v>4129</v>
      </c>
      <c r="G612" s="731" t="s">
        <v>2821</v>
      </c>
      <c r="H612" s="1083">
        <v>42401</v>
      </c>
      <c r="I612" s="1084">
        <v>42480</v>
      </c>
      <c r="J612" s="957">
        <v>17.66</v>
      </c>
    </row>
    <row r="613" spans="1:10" s="852" customFormat="1" outlineLevel="2">
      <c r="A613" s="878" t="s">
        <v>558</v>
      </c>
      <c r="B613" s="879" t="s">
        <v>7865</v>
      </c>
      <c r="C613" s="729" t="s">
        <v>559</v>
      </c>
      <c r="D613" s="924"/>
      <c r="E613" s="878" t="s">
        <v>1909</v>
      </c>
      <c r="F613" s="881" t="s">
        <v>2966</v>
      </c>
      <c r="G613" s="731" t="s">
        <v>3339</v>
      </c>
      <c r="H613" s="1083">
        <v>42401</v>
      </c>
      <c r="I613" s="1084">
        <v>42480</v>
      </c>
      <c r="J613" s="957">
        <v>759.89</v>
      </c>
    </row>
    <row r="614" spans="1:10" s="852" customFormat="1" ht="42.75" outlineLevel="2">
      <c r="A614" s="878" t="s">
        <v>558</v>
      </c>
      <c r="B614" s="879" t="s">
        <v>7865</v>
      </c>
      <c r="C614" s="729" t="s">
        <v>559</v>
      </c>
      <c r="D614" s="924"/>
      <c r="E614" s="878" t="s">
        <v>1909</v>
      </c>
      <c r="F614" s="881" t="s">
        <v>5046</v>
      </c>
      <c r="G614" s="731" t="s">
        <v>3346</v>
      </c>
      <c r="H614" s="1083">
        <v>42401</v>
      </c>
      <c r="I614" s="1084">
        <v>42480</v>
      </c>
      <c r="J614" s="957">
        <v>3533.46</v>
      </c>
    </row>
    <row r="615" spans="1:10" s="852" customFormat="1" ht="28.5" outlineLevel="2">
      <c r="A615" s="878" t="s">
        <v>1006</v>
      </c>
      <c r="B615" s="879" t="s">
        <v>7866</v>
      </c>
      <c r="C615" s="729" t="s">
        <v>559</v>
      </c>
      <c r="D615" s="924"/>
      <c r="E615" s="878" t="s">
        <v>1909</v>
      </c>
      <c r="F615" s="881" t="s">
        <v>4956</v>
      </c>
      <c r="G615" s="731" t="s">
        <v>2833</v>
      </c>
      <c r="H615" s="1083">
        <v>42401</v>
      </c>
      <c r="I615" s="1084">
        <v>42480</v>
      </c>
      <c r="J615" s="957">
        <v>145.16999999999999</v>
      </c>
    </row>
    <row r="616" spans="1:10" s="852" customFormat="1" ht="28.5" outlineLevel="2">
      <c r="A616" s="878" t="s">
        <v>1006</v>
      </c>
      <c r="B616" s="879" t="s">
        <v>7866</v>
      </c>
      <c r="C616" s="729" t="s">
        <v>559</v>
      </c>
      <c r="D616" s="924"/>
      <c r="E616" s="878" t="s">
        <v>1909</v>
      </c>
      <c r="F616" s="881" t="s">
        <v>4903</v>
      </c>
      <c r="G616" s="731" t="s">
        <v>2832</v>
      </c>
      <c r="H616" s="1083">
        <v>42401</v>
      </c>
      <c r="I616" s="1084">
        <v>42480</v>
      </c>
      <c r="J616" s="957">
        <v>4.6399999999999997</v>
      </c>
    </row>
    <row r="617" spans="1:10" s="852" customFormat="1" ht="28.5" outlineLevel="2">
      <c r="A617" s="878" t="s">
        <v>1006</v>
      </c>
      <c r="B617" s="879" t="s">
        <v>7866</v>
      </c>
      <c r="C617" s="729" t="s">
        <v>559</v>
      </c>
      <c r="D617" s="924"/>
      <c r="E617" s="878" t="s">
        <v>1909</v>
      </c>
      <c r="F617" s="881" t="s">
        <v>4853</v>
      </c>
      <c r="G617" s="731" t="s">
        <v>2831</v>
      </c>
      <c r="H617" s="1083">
        <v>42401</v>
      </c>
      <c r="I617" s="1084">
        <v>42480</v>
      </c>
      <c r="J617" s="957">
        <v>54.77</v>
      </c>
    </row>
    <row r="618" spans="1:10" s="852" customFormat="1" ht="28.5" outlineLevel="2">
      <c r="A618" s="878" t="s">
        <v>558</v>
      </c>
      <c r="B618" s="879" t="s">
        <v>7865</v>
      </c>
      <c r="C618" s="729" t="s">
        <v>559</v>
      </c>
      <c r="D618" s="924"/>
      <c r="E618" s="878" t="s">
        <v>1909</v>
      </c>
      <c r="F618" s="881" t="s">
        <v>4656</v>
      </c>
      <c r="G618" s="731" t="s">
        <v>3342</v>
      </c>
      <c r="H618" s="1083">
        <v>42401</v>
      </c>
      <c r="I618" s="1084">
        <v>42480</v>
      </c>
      <c r="J618" s="957">
        <v>2355.65</v>
      </c>
    </row>
    <row r="619" spans="1:10" s="852" customFormat="1" outlineLevel="2">
      <c r="A619" s="878" t="s">
        <v>1786</v>
      </c>
      <c r="B619" s="879" t="s">
        <v>7871</v>
      </c>
      <c r="C619" s="729" t="s">
        <v>559</v>
      </c>
      <c r="D619" s="924"/>
      <c r="E619" s="878" t="s">
        <v>1752</v>
      </c>
      <c r="F619" s="881" t="s">
        <v>1753</v>
      </c>
      <c r="G619" s="731" t="s">
        <v>5588</v>
      </c>
      <c r="H619" s="1083">
        <v>42430</v>
      </c>
      <c r="I619" s="1084">
        <v>42467</v>
      </c>
      <c r="J619" s="957">
        <v>995.05</v>
      </c>
    </row>
    <row r="620" spans="1:10" s="852" customFormat="1" outlineLevel="2">
      <c r="A620" s="878" t="s">
        <v>558</v>
      </c>
      <c r="B620" s="879" t="s">
        <v>7865</v>
      </c>
      <c r="C620" s="729" t="s">
        <v>559</v>
      </c>
      <c r="D620" s="924"/>
      <c r="E620" s="878" t="s">
        <v>447</v>
      </c>
      <c r="F620" s="881" t="s">
        <v>1094</v>
      </c>
      <c r="G620" s="731" t="s">
        <v>5861</v>
      </c>
      <c r="H620" s="1083">
        <v>42430</v>
      </c>
      <c r="I620" s="1084">
        <v>42489</v>
      </c>
      <c r="J620" s="957">
        <v>44860.36</v>
      </c>
    </row>
    <row r="621" spans="1:10" s="852" customFormat="1" outlineLevel="1">
      <c r="A621" s="878"/>
      <c r="B621" s="879" t="s">
        <v>258</v>
      </c>
      <c r="C621" s="908" t="s">
        <v>559</v>
      </c>
      <c r="D621" s="928" t="str">
        <f>VLOOKUP(C621,$C$3691:$D$3771,2,FALSE)</f>
        <v>TOTAL POUPATEMPO  AVARÉ</v>
      </c>
      <c r="E621" s="1085"/>
      <c r="F621" s="929"/>
      <c r="G621" s="910"/>
      <c r="H621" s="1086"/>
      <c r="I621" s="1087"/>
      <c r="J621" s="930">
        <f>SUBTOTAL(9,J599:J620)</f>
        <v>137684.51</v>
      </c>
    </row>
    <row r="622" spans="1:10" s="852" customFormat="1" outlineLevel="2">
      <c r="A622" s="878" t="s">
        <v>2235</v>
      </c>
      <c r="B622" s="879" t="s">
        <v>7869</v>
      </c>
      <c r="C622" s="729" t="s">
        <v>563</v>
      </c>
      <c r="D622" s="924"/>
      <c r="E622" s="878" t="s">
        <v>2221</v>
      </c>
      <c r="F622" s="881" t="s">
        <v>863</v>
      </c>
      <c r="G622" s="731" t="s">
        <v>5571</v>
      </c>
      <c r="H622" s="1083">
        <v>42401</v>
      </c>
      <c r="I622" s="1084">
        <v>42465</v>
      </c>
      <c r="J622" s="957">
        <v>4051.04</v>
      </c>
    </row>
    <row r="623" spans="1:10" s="852" customFormat="1" outlineLevel="2">
      <c r="A623" s="878" t="s">
        <v>1728</v>
      </c>
      <c r="B623" s="879" t="s">
        <v>7872</v>
      </c>
      <c r="C623" s="729" t="s">
        <v>563</v>
      </c>
      <c r="D623" s="924"/>
      <c r="E623" s="878" t="s">
        <v>1699</v>
      </c>
      <c r="F623" s="881" t="s">
        <v>1696</v>
      </c>
      <c r="G623" s="731" t="s">
        <v>5690</v>
      </c>
      <c r="H623" s="1083">
        <v>42430</v>
      </c>
      <c r="I623" s="1084">
        <v>42480</v>
      </c>
      <c r="J623" s="957">
        <v>10058.77</v>
      </c>
    </row>
    <row r="624" spans="1:10" s="852" customFormat="1" outlineLevel="2">
      <c r="A624" s="878" t="s">
        <v>564</v>
      </c>
      <c r="B624" s="879" t="s">
        <v>7865</v>
      </c>
      <c r="C624" s="729" t="s">
        <v>563</v>
      </c>
      <c r="D624" s="924"/>
      <c r="E624" s="878" t="s">
        <v>2336</v>
      </c>
      <c r="F624" s="881" t="s">
        <v>2798</v>
      </c>
      <c r="G624" s="731" t="s">
        <v>3355</v>
      </c>
      <c r="H624" s="1083">
        <v>42370</v>
      </c>
      <c r="I624" s="1084">
        <v>42480</v>
      </c>
      <c r="J624" s="957">
        <v>890.46</v>
      </c>
    </row>
    <row r="625" spans="1:10" s="852" customFormat="1" outlineLevel="2">
      <c r="A625" s="878" t="s">
        <v>564</v>
      </c>
      <c r="B625" s="879" t="s">
        <v>7865</v>
      </c>
      <c r="C625" s="729" t="s">
        <v>563</v>
      </c>
      <c r="D625" s="924"/>
      <c r="E625" s="878" t="s">
        <v>2336</v>
      </c>
      <c r="F625" s="881" t="s">
        <v>2798</v>
      </c>
      <c r="G625" s="731" t="s">
        <v>3355</v>
      </c>
      <c r="H625" s="1083">
        <v>42370</v>
      </c>
      <c r="I625" s="1084">
        <v>42480</v>
      </c>
      <c r="J625" s="957">
        <v>2989</v>
      </c>
    </row>
    <row r="626" spans="1:10" s="852" customFormat="1" outlineLevel="2">
      <c r="A626" s="878" t="s">
        <v>564</v>
      </c>
      <c r="B626" s="879" t="s">
        <v>7865</v>
      </c>
      <c r="C626" s="729" t="s">
        <v>563</v>
      </c>
      <c r="D626" s="924"/>
      <c r="E626" s="878" t="s">
        <v>2336</v>
      </c>
      <c r="F626" s="881" t="s">
        <v>2783</v>
      </c>
      <c r="G626" s="731" t="s">
        <v>3350</v>
      </c>
      <c r="H626" s="1083">
        <v>42401</v>
      </c>
      <c r="I626" s="1084">
        <v>42480</v>
      </c>
      <c r="J626" s="957">
        <v>459.84</v>
      </c>
    </row>
    <row r="627" spans="1:10" s="852" customFormat="1" outlineLevel="2">
      <c r="A627" s="878" t="s">
        <v>564</v>
      </c>
      <c r="B627" s="879" t="s">
        <v>7865</v>
      </c>
      <c r="C627" s="729" t="s">
        <v>563</v>
      </c>
      <c r="D627" s="924"/>
      <c r="E627" s="878" t="s">
        <v>2336</v>
      </c>
      <c r="F627" s="881" t="s">
        <v>2783</v>
      </c>
      <c r="G627" s="731" t="s">
        <v>3350</v>
      </c>
      <c r="H627" s="1083">
        <v>42401</v>
      </c>
      <c r="I627" s="1084">
        <v>42480</v>
      </c>
      <c r="J627" s="957">
        <v>136.99</v>
      </c>
    </row>
    <row r="628" spans="1:10" s="852" customFormat="1" outlineLevel="2">
      <c r="A628" s="878" t="s">
        <v>564</v>
      </c>
      <c r="B628" s="879" t="s">
        <v>7865</v>
      </c>
      <c r="C628" s="729" t="s">
        <v>563</v>
      </c>
      <c r="D628" s="924"/>
      <c r="E628" s="878" t="s">
        <v>2336</v>
      </c>
      <c r="F628" s="881" t="s">
        <v>2791</v>
      </c>
      <c r="G628" s="731" t="s">
        <v>3353</v>
      </c>
      <c r="H628" s="1083">
        <v>42401</v>
      </c>
      <c r="I628" s="1084">
        <v>42480</v>
      </c>
      <c r="J628" s="957">
        <v>1492.1</v>
      </c>
    </row>
    <row r="629" spans="1:10" s="852" customFormat="1" outlineLevel="2">
      <c r="A629" s="878" t="s">
        <v>564</v>
      </c>
      <c r="B629" s="879" t="s">
        <v>7865</v>
      </c>
      <c r="C629" s="729" t="s">
        <v>563</v>
      </c>
      <c r="D629" s="924"/>
      <c r="E629" s="878" t="s">
        <v>484</v>
      </c>
      <c r="F629" s="881" t="s">
        <v>1094</v>
      </c>
      <c r="G629" s="731" t="s">
        <v>5801</v>
      </c>
      <c r="H629" s="1083">
        <v>42430</v>
      </c>
      <c r="I629" s="1084">
        <v>42489</v>
      </c>
      <c r="J629" s="957">
        <v>80926.39</v>
      </c>
    </row>
    <row r="630" spans="1:10" s="852" customFormat="1" outlineLevel="2">
      <c r="A630" s="878" t="s">
        <v>1007</v>
      </c>
      <c r="B630" s="879" t="s">
        <v>7866</v>
      </c>
      <c r="C630" s="729" t="s">
        <v>563</v>
      </c>
      <c r="D630" s="924"/>
      <c r="E630" s="878" t="s">
        <v>2282</v>
      </c>
      <c r="F630" s="881" t="s">
        <v>3974</v>
      </c>
      <c r="G630" s="731" t="s">
        <v>2779</v>
      </c>
      <c r="H630" s="1083">
        <v>42401</v>
      </c>
      <c r="I630" s="1084">
        <v>42471</v>
      </c>
      <c r="J630" s="957">
        <v>409.88</v>
      </c>
    </row>
    <row r="631" spans="1:10" s="852" customFormat="1" outlineLevel="2">
      <c r="A631" s="878" t="s">
        <v>1007</v>
      </c>
      <c r="B631" s="879" t="s">
        <v>7866</v>
      </c>
      <c r="C631" s="729" t="s">
        <v>563</v>
      </c>
      <c r="D631" s="924"/>
      <c r="E631" s="878" t="s">
        <v>2282</v>
      </c>
      <c r="F631" s="881" t="s">
        <v>4081</v>
      </c>
      <c r="G631" s="731" t="s">
        <v>2781</v>
      </c>
      <c r="H631" s="1083">
        <v>42401</v>
      </c>
      <c r="I631" s="1084">
        <v>42471</v>
      </c>
      <c r="J631" s="957">
        <v>13.1</v>
      </c>
    </row>
    <row r="632" spans="1:10" s="852" customFormat="1" outlineLevel="2">
      <c r="A632" s="878" t="s">
        <v>1007</v>
      </c>
      <c r="B632" s="879" t="s">
        <v>7866</v>
      </c>
      <c r="C632" s="729" t="s">
        <v>563</v>
      </c>
      <c r="D632" s="924"/>
      <c r="E632" s="878" t="s">
        <v>2282</v>
      </c>
      <c r="F632" s="881" t="s">
        <v>4165</v>
      </c>
      <c r="G632" s="731" t="s">
        <v>2782</v>
      </c>
      <c r="H632" s="1083">
        <v>42401</v>
      </c>
      <c r="I632" s="1084">
        <v>42471</v>
      </c>
      <c r="J632" s="957">
        <v>154.63999999999999</v>
      </c>
    </row>
    <row r="633" spans="1:10" s="852" customFormat="1" outlineLevel="2">
      <c r="A633" s="878" t="s">
        <v>564</v>
      </c>
      <c r="B633" s="879" t="s">
        <v>7865</v>
      </c>
      <c r="C633" s="729" t="s">
        <v>563</v>
      </c>
      <c r="D633" s="924"/>
      <c r="E633" s="878" t="s">
        <v>2688</v>
      </c>
      <c r="F633" s="881" t="s">
        <v>2786</v>
      </c>
      <c r="G633" s="731" t="s">
        <v>3361</v>
      </c>
      <c r="H633" s="1083">
        <v>42401</v>
      </c>
      <c r="I633" s="1084">
        <v>42471</v>
      </c>
      <c r="J633" s="957">
        <v>331.93</v>
      </c>
    </row>
    <row r="634" spans="1:10" s="852" customFormat="1" outlineLevel="2">
      <c r="A634" s="878" t="s">
        <v>564</v>
      </c>
      <c r="B634" s="879" t="s">
        <v>7865</v>
      </c>
      <c r="C634" s="729" t="s">
        <v>563</v>
      </c>
      <c r="D634" s="924"/>
      <c r="E634" s="878" t="s">
        <v>2688</v>
      </c>
      <c r="F634" s="881" t="s">
        <v>2786</v>
      </c>
      <c r="G634" s="731" t="s">
        <v>3361</v>
      </c>
      <c r="H634" s="1083">
        <v>42401</v>
      </c>
      <c r="I634" s="1084">
        <v>42471</v>
      </c>
      <c r="J634" s="957">
        <v>98.89</v>
      </c>
    </row>
    <row r="635" spans="1:10" s="852" customFormat="1" outlineLevel="2">
      <c r="A635" s="878" t="s">
        <v>564</v>
      </c>
      <c r="B635" s="879" t="s">
        <v>7865</v>
      </c>
      <c r="C635" s="729" t="s">
        <v>563</v>
      </c>
      <c r="D635" s="924"/>
      <c r="E635" s="878" t="s">
        <v>2688</v>
      </c>
      <c r="F635" s="881" t="s">
        <v>2793</v>
      </c>
      <c r="G635" s="731" t="s">
        <v>3363</v>
      </c>
      <c r="H635" s="1083">
        <v>42401</v>
      </c>
      <c r="I635" s="1084">
        <v>42471</v>
      </c>
      <c r="J635" s="957">
        <v>1077.08</v>
      </c>
    </row>
    <row r="636" spans="1:10" s="852" customFormat="1" outlineLevel="2">
      <c r="A636" s="878" t="s">
        <v>564</v>
      </c>
      <c r="B636" s="879" t="s">
        <v>7865</v>
      </c>
      <c r="C636" s="729" t="s">
        <v>563</v>
      </c>
      <c r="D636" s="924"/>
      <c r="E636" s="878" t="s">
        <v>2688</v>
      </c>
      <c r="F636" s="881" t="s">
        <v>2801</v>
      </c>
      <c r="G636" s="731" t="s">
        <v>3364</v>
      </c>
      <c r="H636" s="1083">
        <v>42370</v>
      </c>
      <c r="I636" s="1084">
        <v>42471</v>
      </c>
      <c r="J636" s="957">
        <v>642.78</v>
      </c>
    </row>
    <row r="637" spans="1:10" s="852" customFormat="1" outlineLevel="2">
      <c r="A637" s="878" t="s">
        <v>564</v>
      </c>
      <c r="B637" s="879" t="s">
        <v>7865</v>
      </c>
      <c r="C637" s="729" t="s">
        <v>563</v>
      </c>
      <c r="D637" s="924"/>
      <c r="E637" s="878" t="s">
        <v>2688</v>
      </c>
      <c r="F637" s="881" t="s">
        <v>2801</v>
      </c>
      <c r="G637" s="731" t="s">
        <v>3364</v>
      </c>
      <c r="H637" s="1083">
        <v>42370</v>
      </c>
      <c r="I637" s="1084">
        <v>42471</v>
      </c>
      <c r="J637" s="957">
        <v>2157.62</v>
      </c>
    </row>
    <row r="638" spans="1:10" s="852" customFormat="1" outlineLevel="2">
      <c r="A638" s="878" t="s">
        <v>1007</v>
      </c>
      <c r="B638" s="879" t="s">
        <v>7866</v>
      </c>
      <c r="C638" s="729" t="s">
        <v>563</v>
      </c>
      <c r="D638" s="924"/>
      <c r="E638" s="878" t="s">
        <v>1909</v>
      </c>
      <c r="F638" s="881" t="s">
        <v>3935</v>
      </c>
      <c r="G638" s="731" t="s">
        <v>2817</v>
      </c>
      <c r="H638" s="1083">
        <v>42401</v>
      </c>
      <c r="I638" s="1084">
        <v>42480</v>
      </c>
      <c r="J638" s="957">
        <v>122.96</v>
      </c>
    </row>
    <row r="639" spans="1:10" s="852" customFormat="1" outlineLevel="2">
      <c r="A639" s="878" t="s">
        <v>1007</v>
      </c>
      <c r="B639" s="879" t="s">
        <v>7866</v>
      </c>
      <c r="C639" s="729" t="s">
        <v>563</v>
      </c>
      <c r="D639" s="924"/>
      <c r="E639" s="878" t="s">
        <v>1909</v>
      </c>
      <c r="F639" s="881" t="s">
        <v>4027</v>
      </c>
      <c r="G639" s="731" t="s">
        <v>2819</v>
      </c>
      <c r="H639" s="1083">
        <v>42401</v>
      </c>
      <c r="I639" s="1084">
        <v>42480</v>
      </c>
      <c r="J639" s="957">
        <v>3.93</v>
      </c>
    </row>
    <row r="640" spans="1:10" s="852" customFormat="1" outlineLevel="2">
      <c r="A640" s="878" t="s">
        <v>1007</v>
      </c>
      <c r="B640" s="879" t="s">
        <v>7866</v>
      </c>
      <c r="C640" s="729" t="s">
        <v>563</v>
      </c>
      <c r="D640" s="924"/>
      <c r="E640" s="878" t="s">
        <v>1909</v>
      </c>
      <c r="F640" s="881" t="s">
        <v>4129</v>
      </c>
      <c r="G640" s="731" t="s">
        <v>2821</v>
      </c>
      <c r="H640" s="1083">
        <v>42401</v>
      </c>
      <c r="I640" s="1084">
        <v>42480</v>
      </c>
      <c r="J640" s="957">
        <v>46.39</v>
      </c>
    </row>
    <row r="641" spans="1:10" s="852" customFormat="1" outlineLevel="2">
      <c r="A641" s="878" t="s">
        <v>564</v>
      </c>
      <c r="B641" s="879" t="s">
        <v>7865</v>
      </c>
      <c r="C641" s="729" t="s">
        <v>563</v>
      </c>
      <c r="D641" s="924"/>
      <c r="E641" s="878" t="s">
        <v>1909</v>
      </c>
      <c r="F641" s="881" t="s">
        <v>2795</v>
      </c>
      <c r="G641" s="731" t="s">
        <v>3371</v>
      </c>
      <c r="H641" s="1083">
        <v>42370</v>
      </c>
      <c r="I641" s="1084">
        <v>42480</v>
      </c>
      <c r="J641" s="957">
        <v>321.39</v>
      </c>
    </row>
    <row r="642" spans="1:10" s="852" customFormat="1" outlineLevel="2">
      <c r="A642" s="878" t="s">
        <v>564</v>
      </c>
      <c r="B642" s="879" t="s">
        <v>7865</v>
      </c>
      <c r="C642" s="729" t="s">
        <v>563</v>
      </c>
      <c r="D642" s="924"/>
      <c r="E642" s="878" t="s">
        <v>1909</v>
      </c>
      <c r="F642" s="881" t="s">
        <v>2795</v>
      </c>
      <c r="G642" s="731" t="s">
        <v>3371</v>
      </c>
      <c r="H642" s="1083">
        <v>42370</v>
      </c>
      <c r="I642" s="1084">
        <v>42480</v>
      </c>
      <c r="J642" s="957">
        <v>1078.81</v>
      </c>
    </row>
    <row r="643" spans="1:10" s="852" customFormat="1" outlineLevel="2">
      <c r="A643" s="878" t="s">
        <v>564</v>
      </c>
      <c r="B643" s="879" t="s">
        <v>7865</v>
      </c>
      <c r="C643" s="729" t="s">
        <v>563</v>
      </c>
      <c r="D643" s="924"/>
      <c r="E643" s="878" t="s">
        <v>1909</v>
      </c>
      <c r="F643" s="881" t="s">
        <v>2780</v>
      </c>
      <c r="G643" s="731" t="s">
        <v>3366</v>
      </c>
      <c r="H643" s="1083">
        <v>42401</v>
      </c>
      <c r="I643" s="1084">
        <v>42480</v>
      </c>
      <c r="J643" s="957">
        <v>165.97</v>
      </c>
    </row>
    <row r="644" spans="1:10" s="852" customFormat="1" outlineLevel="2">
      <c r="A644" s="878" t="s">
        <v>564</v>
      </c>
      <c r="B644" s="879" t="s">
        <v>7865</v>
      </c>
      <c r="C644" s="729" t="s">
        <v>563</v>
      </c>
      <c r="D644" s="924"/>
      <c r="E644" s="878" t="s">
        <v>1909</v>
      </c>
      <c r="F644" s="881" t="s">
        <v>2780</v>
      </c>
      <c r="G644" s="731" t="s">
        <v>3366</v>
      </c>
      <c r="H644" s="1083">
        <v>42401</v>
      </c>
      <c r="I644" s="1084">
        <v>42480</v>
      </c>
      <c r="J644" s="957">
        <v>49.44</v>
      </c>
    </row>
    <row r="645" spans="1:10" s="852" customFormat="1" outlineLevel="2">
      <c r="A645" s="878" t="s">
        <v>564</v>
      </c>
      <c r="B645" s="879" t="s">
        <v>7865</v>
      </c>
      <c r="C645" s="729" t="s">
        <v>563</v>
      </c>
      <c r="D645" s="924"/>
      <c r="E645" s="878" t="s">
        <v>1909</v>
      </c>
      <c r="F645" s="881" t="s">
        <v>2789</v>
      </c>
      <c r="G645" s="731" t="s">
        <v>3369</v>
      </c>
      <c r="H645" s="1083">
        <v>42401</v>
      </c>
      <c r="I645" s="1084">
        <v>42480</v>
      </c>
      <c r="J645" s="957">
        <v>538.54</v>
      </c>
    </row>
    <row r="646" spans="1:10" s="852" customFormat="1" ht="28.5" outlineLevel="2">
      <c r="A646" s="878" t="s">
        <v>1007</v>
      </c>
      <c r="B646" s="879" t="s">
        <v>7866</v>
      </c>
      <c r="C646" s="729" t="s">
        <v>563</v>
      </c>
      <c r="D646" s="924"/>
      <c r="E646" s="878" t="s">
        <v>1909</v>
      </c>
      <c r="F646" s="881" t="s">
        <v>4956</v>
      </c>
      <c r="G646" s="731" t="s">
        <v>2833</v>
      </c>
      <c r="H646" s="1083">
        <v>42401</v>
      </c>
      <c r="I646" s="1084">
        <v>42480</v>
      </c>
      <c r="J646" s="957">
        <v>381.19</v>
      </c>
    </row>
    <row r="647" spans="1:10" s="852" customFormat="1" ht="28.5" outlineLevel="2">
      <c r="A647" s="878" t="s">
        <v>1007</v>
      </c>
      <c r="B647" s="879" t="s">
        <v>7866</v>
      </c>
      <c r="C647" s="729" t="s">
        <v>563</v>
      </c>
      <c r="D647" s="924"/>
      <c r="E647" s="878" t="s">
        <v>1909</v>
      </c>
      <c r="F647" s="881" t="s">
        <v>4903</v>
      </c>
      <c r="G647" s="731" t="s">
        <v>2832</v>
      </c>
      <c r="H647" s="1083">
        <v>42401</v>
      </c>
      <c r="I647" s="1084">
        <v>42480</v>
      </c>
      <c r="J647" s="957">
        <v>12.19</v>
      </c>
    </row>
    <row r="648" spans="1:10" s="852" customFormat="1" ht="28.5" outlineLevel="2">
      <c r="A648" s="878" t="s">
        <v>1007</v>
      </c>
      <c r="B648" s="879" t="s">
        <v>7866</v>
      </c>
      <c r="C648" s="729" t="s">
        <v>563</v>
      </c>
      <c r="D648" s="924"/>
      <c r="E648" s="878" t="s">
        <v>1909</v>
      </c>
      <c r="F648" s="881" t="s">
        <v>4853</v>
      </c>
      <c r="G648" s="731" t="s">
        <v>2831</v>
      </c>
      <c r="H648" s="1083">
        <v>42401</v>
      </c>
      <c r="I648" s="1084">
        <v>42480</v>
      </c>
      <c r="J648" s="957">
        <v>143.82</v>
      </c>
    </row>
    <row r="649" spans="1:10" s="852" customFormat="1" ht="28.5" outlineLevel="2">
      <c r="A649" s="878" t="s">
        <v>564</v>
      </c>
      <c r="B649" s="879" t="s">
        <v>7865</v>
      </c>
      <c r="C649" s="729" t="s">
        <v>563</v>
      </c>
      <c r="D649" s="924"/>
      <c r="E649" s="878" t="s">
        <v>1909</v>
      </c>
      <c r="F649" s="881" t="s">
        <v>4659</v>
      </c>
      <c r="G649" s="731" t="s">
        <v>3377</v>
      </c>
      <c r="H649" s="1083">
        <v>42370</v>
      </c>
      <c r="I649" s="1084">
        <v>42480</v>
      </c>
      <c r="J649" s="957">
        <v>996.31</v>
      </c>
    </row>
    <row r="650" spans="1:10" s="852" customFormat="1" ht="28.5" outlineLevel="2">
      <c r="A650" s="878" t="s">
        <v>564</v>
      </c>
      <c r="B650" s="879" t="s">
        <v>7865</v>
      </c>
      <c r="C650" s="729" t="s">
        <v>563</v>
      </c>
      <c r="D650" s="924"/>
      <c r="E650" s="878" t="s">
        <v>1909</v>
      </c>
      <c r="F650" s="881" t="s">
        <v>4659</v>
      </c>
      <c r="G650" s="731" t="s">
        <v>3377</v>
      </c>
      <c r="H650" s="1083">
        <v>42370</v>
      </c>
      <c r="I650" s="1084">
        <v>42480</v>
      </c>
      <c r="J650" s="957">
        <v>3344.32</v>
      </c>
    </row>
    <row r="651" spans="1:10" s="852" customFormat="1" ht="28.5" outlineLevel="2">
      <c r="A651" s="878" t="s">
        <v>564</v>
      </c>
      <c r="B651" s="879" t="s">
        <v>7865</v>
      </c>
      <c r="C651" s="729" t="s">
        <v>563</v>
      </c>
      <c r="D651" s="924"/>
      <c r="E651" s="878" t="s">
        <v>1909</v>
      </c>
      <c r="F651" s="881" t="s">
        <v>4660</v>
      </c>
      <c r="G651" s="731" t="s">
        <v>3380</v>
      </c>
      <c r="H651" s="1083">
        <v>42401</v>
      </c>
      <c r="I651" s="1084">
        <v>42480</v>
      </c>
      <c r="J651" s="957">
        <f>1669.48+0.32</f>
        <v>1669.8</v>
      </c>
    </row>
    <row r="652" spans="1:10" s="852" customFormat="1" outlineLevel="2">
      <c r="A652" s="878" t="s">
        <v>564</v>
      </c>
      <c r="B652" s="879" t="s">
        <v>7865</v>
      </c>
      <c r="C652" s="729" t="s">
        <v>563</v>
      </c>
      <c r="D652" s="924"/>
      <c r="E652" s="878" t="s">
        <v>548</v>
      </c>
      <c r="F652" s="881" t="s">
        <v>1094</v>
      </c>
      <c r="G652" s="731" t="s">
        <v>5874</v>
      </c>
      <c r="H652" s="1083">
        <v>42430</v>
      </c>
      <c r="I652" s="1084">
        <v>42489</v>
      </c>
      <c r="J652" s="957">
        <v>31125.55</v>
      </c>
    </row>
    <row r="653" spans="1:10" s="852" customFormat="1" outlineLevel="1">
      <c r="A653" s="878"/>
      <c r="B653" s="879" t="s">
        <v>258</v>
      </c>
      <c r="C653" s="908" t="s">
        <v>563</v>
      </c>
      <c r="D653" s="928" t="str">
        <f>VLOOKUP(C653,$C$3691:$D$3771,2,FALSE)</f>
        <v>TOTAL POUPATEMPO  BARRETOS</v>
      </c>
      <c r="E653" s="1085"/>
      <c r="F653" s="929"/>
      <c r="G653" s="910"/>
      <c r="H653" s="1086"/>
      <c r="I653" s="1087"/>
      <c r="J653" s="930">
        <f>SUBTOTAL(9,J622:J652)</f>
        <v>145891.12</v>
      </c>
    </row>
    <row r="654" spans="1:10" s="852" customFormat="1" outlineLevel="2">
      <c r="A654" s="878" t="s">
        <v>2236</v>
      </c>
      <c r="B654" s="879" t="s">
        <v>7869</v>
      </c>
      <c r="C654" s="729" t="s">
        <v>566</v>
      </c>
      <c r="D654" s="924"/>
      <c r="E654" s="878" t="s">
        <v>2221</v>
      </c>
      <c r="F654" s="881" t="s">
        <v>863</v>
      </c>
      <c r="G654" s="731" t="s">
        <v>5571</v>
      </c>
      <c r="H654" s="1083">
        <v>42401</v>
      </c>
      <c r="I654" s="1084">
        <v>42465</v>
      </c>
      <c r="J654" s="957">
        <v>4051.04</v>
      </c>
    </row>
    <row r="655" spans="1:10" s="852" customFormat="1" outlineLevel="2">
      <c r="A655" s="878" t="s">
        <v>1730</v>
      </c>
      <c r="B655" s="879" t="s">
        <v>7872</v>
      </c>
      <c r="C655" s="729" t="s">
        <v>566</v>
      </c>
      <c r="D655" s="924"/>
      <c r="E655" s="878" t="s">
        <v>1699</v>
      </c>
      <c r="F655" s="881" t="s">
        <v>1696</v>
      </c>
      <c r="G655" s="731" t="s">
        <v>5622</v>
      </c>
      <c r="H655" s="1083">
        <v>42430</v>
      </c>
      <c r="I655" s="1084">
        <v>42473</v>
      </c>
      <c r="J655" s="957">
        <v>4496.93</v>
      </c>
    </row>
    <row r="656" spans="1:10" s="852" customFormat="1" outlineLevel="2">
      <c r="A656" s="878" t="s">
        <v>567</v>
      </c>
      <c r="B656" s="879" t="s">
        <v>7865</v>
      </c>
      <c r="C656" s="729" t="s">
        <v>566</v>
      </c>
      <c r="D656" s="924"/>
      <c r="E656" s="878" t="s">
        <v>2336</v>
      </c>
      <c r="F656" s="881" t="s">
        <v>2774</v>
      </c>
      <c r="G656" s="731" t="s">
        <v>3387</v>
      </c>
      <c r="H656" s="1083">
        <v>42401</v>
      </c>
      <c r="I656" s="1084">
        <v>42480</v>
      </c>
      <c r="J656" s="957">
        <v>2286.6</v>
      </c>
    </row>
    <row r="657" spans="1:10" s="852" customFormat="1" outlineLevel="2">
      <c r="A657" s="878" t="s">
        <v>567</v>
      </c>
      <c r="B657" s="879" t="s">
        <v>7865</v>
      </c>
      <c r="C657" s="729" t="s">
        <v>566</v>
      </c>
      <c r="D657" s="924"/>
      <c r="E657" s="878" t="s">
        <v>2336</v>
      </c>
      <c r="F657" s="881" t="s">
        <v>2774</v>
      </c>
      <c r="G657" s="731" t="s">
        <v>3387</v>
      </c>
      <c r="H657" s="1083">
        <v>42401</v>
      </c>
      <c r="I657" s="1084">
        <v>42480</v>
      </c>
      <c r="J657" s="957">
        <v>954.57</v>
      </c>
    </row>
    <row r="658" spans="1:10" s="852" customFormat="1" outlineLevel="2">
      <c r="A658" s="878" t="s">
        <v>567</v>
      </c>
      <c r="B658" s="879" t="s">
        <v>7865</v>
      </c>
      <c r="C658" s="729" t="s">
        <v>566</v>
      </c>
      <c r="D658" s="924"/>
      <c r="E658" s="878" t="s">
        <v>2336</v>
      </c>
      <c r="F658" s="881" t="s">
        <v>4268</v>
      </c>
      <c r="G658" s="731" t="s">
        <v>3390</v>
      </c>
      <c r="H658" s="1083">
        <v>42430</v>
      </c>
      <c r="I658" s="1084">
        <v>42480</v>
      </c>
      <c r="J658" s="957">
        <v>498.64</v>
      </c>
    </row>
    <row r="659" spans="1:10" s="852" customFormat="1" outlineLevel="2">
      <c r="A659" s="878" t="s">
        <v>567</v>
      </c>
      <c r="B659" s="879" t="s">
        <v>7865</v>
      </c>
      <c r="C659" s="729" t="s">
        <v>566</v>
      </c>
      <c r="D659" s="924"/>
      <c r="E659" s="878" t="s">
        <v>2336</v>
      </c>
      <c r="F659" s="881" t="s">
        <v>5992</v>
      </c>
      <c r="G659" s="731" t="s">
        <v>3385</v>
      </c>
      <c r="H659" s="1083">
        <v>42401</v>
      </c>
      <c r="I659" s="1084">
        <v>42480</v>
      </c>
      <c r="J659" s="957">
        <v>1246.6099999999999</v>
      </c>
    </row>
    <row r="660" spans="1:10" s="852" customFormat="1" outlineLevel="2">
      <c r="A660" s="878" t="s">
        <v>567</v>
      </c>
      <c r="B660" s="879" t="s">
        <v>7865</v>
      </c>
      <c r="C660" s="729" t="s">
        <v>566</v>
      </c>
      <c r="D660" s="924"/>
      <c r="E660" s="878" t="s">
        <v>484</v>
      </c>
      <c r="F660" s="881" t="s">
        <v>1094</v>
      </c>
      <c r="G660" s="731" t="s">
        <v>5802</v>
      </c>
      <c r="H660" s="1083">
        <v>42430</v>
      </c>
      <c r="I660" s="1084">
        <v>42489</v>
      </c>
      <c r="J660" s="957">
        <v>69617.03</v>
      </c>
    </row>
    <row r="661" spans="1:10" s="852" customFormat="1" outlineLevel="2">
      <c r="A661" s="878" t="s">
        <v>1008</v>
      </c>
      <c r="B661" s="879" t="s">
        <v>7866</v>
      </c>
      <c r="C661" s="729" t="s">
        <v>566</v>
      </c>
      <c r="D661" s="924"/>
      <c r="E661" s="878" t="s">
        <v>2282</v>
      </c>
      <c r="F661" s="881" t="s">
        <v>3974</v>
      </c>
      <c r="G661" s="731" t="s">
        <v>2779</v>
      </c>
      <c r="H661" s="1083">
        <v>42401</v>
      </c>
      <c r="I661" s="1084">
        <v>42471</v>
      </c>
      <c r="J661" s="957">
        <v>242.89</v>
      </c>
    </row>
    <row r="662" spans="1:10" s="852" customFormat="1" outlineLevel="2">
      <c r="A662" s="878" t="s">
        <v>1008</v>
      </c>
      <c r="B662" s="879" t="s">
        <v>7866</v>
      </c>
      <c r="C662" s="729" t="s">
        <v>566</v>
      </c>
      <c r="D662" s="924"/>
      <c r="E662" s="878" t="s">
        <v>2282</v>
      </c>
      <c r="F662" s="881" t="s">
        <v>4081</v>
      </c>
      <c r="G662" s="731" t="s">
        <v>2781</v>
      </c>
      <c r="H662" s="1083">
        <v>42401</v>
      </c>
      <c r="I662" s="1084">
        <v>42471</v>
      </c>
      <c r="J662" s="957">
        <v>7.76</v>
      </c>
    </row>
    <row r="663" spans="1:10" s="852" customFormat="1" outlineLevel="2">
      <c r="A663" s="878" t="s">
        <v>1008</v>
      </c>
      <c r="B663" s="879" t="s">
        <v>7866</v>
      </c>
      <c r="C663" s="729" t="s">
        <v>566</v>
      </c>
      <c r="D663" s="924"/>
      <c r="E663" s="878" t="s">
        <v>2282</v>
      </c>
      <c r="F663" s="881" t="s">
        <v>4165</v>
      </c>
      <c r="G663" s="731" t="s">
        <v>2782</v>
      </c>
      <c r="H663" s="1083">
        <v>42401</v>
      </c>
      <c r="I663" s="1084">
        <v>42471</v>
      </c>
      <c r="J663" s="957">
        <v>91.64</v>
      </c>
    </row>
    <row r="664" spans="1:10" s="852" customFormat="1" outlineLevel="2">
      <c r="A664" s="878" t="s">
        <v>567</v>
      </c>
      <c r="B664" s="879" t="s">
        <v>7865</v>
      </c>
      <c r="C664" s="729" t="s">
        <v>566</v>
      </c>
      <c r="D664" s="924"/>
      <c r="E664" s="878" t="s">
        <v>2689</v>
      </c>
      <c r="F664" s="881" t="s">
        <v>2777</v>
      </c>
      <c r="G664" s="731" t="s">
        <v>3395</v>
      </c>
      <c r="H664" s="1083">
        <v>42401</v>
      </c>
      <c r="I664" s="1084">
        <v>42480</v>
      </c>
      <c r="J664" s="957">
        <v>1697.32</v>
      </c>
    </row>
    <row r="665" spans="1:10" s="852" customFormat="1" outlineLevel="2">
      <c r="A665" s="878" t="s">
        <v>567</v>
      </c>
      <c r="B665" s="879" t="s">
        <v>7865</v>
      </c>
      <c r="C665" s="729" t="s">
        <v>566</v>
      </c>
      <c r="D665" s="924"/>
      <c r="E665" s="878" t="s">
        <v>2689</v>
      </c>
      <c r="F665" s="881" t="s">
        <v>2777</v>
      </c>
      <c r="G665" s="731" t="s">
        <v>3395</v>
      </c>
      <c r="H665" s="1083">
        <v>42401</v>
      </c>
      <c r="I665" s="1084">
        <v>42480</v>
      </c>
      <c r="J665" s="957">
        <v>708.56</v>
      </c>
    </row>
    <row r="666" spans="1:10" s="852" customFormat="1" outlineLevel="2">
      <c r="A666" s="878" t="s">
        <v>567</v>
      </c>
      <c r="B666" s="879" t="s">
        <v>7865</v>
      </c>
      <c r="C666" s="729" t="s">
        <v>566</v>
      </c>
      <c r="D666" s="924"/>
      <c r="E666" s="878" t="s">
        <v>2689</v>
      </c>
      <c r="F666" s="881" t="s">
        <v>4269</v>
      </c>
      <c r="G666" s="731" t="s">
        <v>3398</v>
      </c>
      <c r="H666" s="1083">
        <v>42430</v>
      </c>
      <c r="I666" s="1084">
        <v>42480</v>
      </c>
      <c r="J666" s="957">
        <v>370.13</v>
      </c>
    </row>
    <row r="667" spans="1:10" s="852" customFormat="1" outlineLevel="2">
      <c r="A667" s="878" t="s">
        <v>567</v>
      </c>
      <c r="B667" s="879" t="s">
        <v>7865</v>
      </c>
      <c r="C667" s="729" t="s">
        <v>566</v>
      </c>
      <c r="D667" s="924"/>
      <c r="E667" s="878" t="s">
        <v>2689</v>
      </c>
      <c r="F667" s="881" t="s">
        <v>5507</v>
      </c>
      <c r="G667" s="731" t="s">
        <v>3400</v>
      </c>
      <c r="H667" s="1083">
        <v>42401</v>
      </c>
      <c r="I667" s="1084">
        <v>42480</v>
      </c>
      <c r="J667" s="957">
        <v>925.35</v>
      </c>
    </row>
    <row r="668" spans="1:10" s="852" customFormat="1" outlineLevel="2">
      <c r="A668" s="878" t="s">
        <v>1008</v>
      </c>
      <c r="B668" s="879" t="s">
        <v>7866</v>
      </c>
      <c r="C668" s="729" t="s">
        <v>566</v>
      </c>
      <c r="D668" s="924"/>
      <c r="E668" s="878" t="s">
        <v>1909</v>
      </c>
      <c r="F668" s="881" t="s">
        <v>3935</v>
      </c>
      <c r="G668" s="731" t="s">
        <v>2817</v>
      </c>
      <c r="H668" s="1083">
        <v>42401</v>
      </c>
      <c r="I668" s="1084">
        <v>42480</v>
      </c>
      <c r="J668" s="957">
        <v>72.86</v>
      </c>
    </row>
    <row r="669" spans="1:10" s="852" customFormat="1" outlineLevel="2">
      <c r="A669" s="878" t="s">
        <v>1008</v>
      </c>
      <c r="B669" s="879" t="s">
        <v>7866</v>
      </c>
      <c r="C669" s="729" t="s">
        <v>566</v>
      </c>
      <c r="D669" s="924"/>
      <c r="E669" s="878" t="s">
        <v>1909</v>
      </c>
      <c r="F669" s="881" t="s">
        <v>4027</v>
      </c>
      <c r="G669" s="731" t="s">
        <v>2819</v>
      </c>
      <c r="H669" s="1083">
        <v>42401</v>
      </c>
      <c r="I669" s="1084">
        <v>42480</v>
      </c>
      <c r="J669" s="957">
        <v>2.33</v>
      </c>
    </row>
    <row r="670" spans="1:10" s="852" customFormat="1" outlineLevel="2">
      <c r="A670" s="878" t="s">
        <v>1008</v>
      </c>
      <c r="B670" s="879" t="s">
        <v>7866</v>
      </c>
      <c r="C670" s="729" t="s">
        <v>566</v>
      </c>
      <c r="D670" s="924"/>
      <c r="E670" s="878" t="s">
        <v>1909</v>
      </c>
      <c r="F670" s="881" t="s">
        <v>4129</v>
      </c>
      <c r="G670" s="731" t="s">
        <v>2821</v>
      </c>
      <c r="H670" s="1083">
        <v>42401</v>
      </c>
      <c r="I670" s="1084">
        <v>42480</v>
      </c>
      <c r="J670" s="957">
        <v>27.49</v>
      </c>
    </row>
    <row r="671" spans="1:10" s="852" customFormat="1" outlineLevel="2">
      <c r="A671" s="878" t="s">
        <v>567</v>
      </c>
      <c r="B671" s="879" t="s">
        <v>7865</v>
      </c>
      <c r="C671" s="729" t="s">
        <v>566</v>
      </c>
      <c r="D671" s="924"/>
      <c r="E671" s="878" t="s">
        <v>1909</v>
      </c>
      <c r="F671" s="881" t="s">
        <v>2771</v>
      </c>
      <c r="G671" s="731" t="s">
        <v>3404</v>
      </c>
      <c r="H671" s="1083">
        <v>42401</v>
      </c>
      <c r="I671" s="1084">
        <v>42480</v>
      </c>
      <c r="J671" s="957">
        <v>848.65</v>
      </c>
    </row>
    <row r="672" spans="1:10" s="852" customFormat="1" outlineLevel="2">
      <c r="A672" s="878" t="s">
        <v>567</v>
      </c>
      <c r="B672" s="879" t="s">
        <v>7865</v>
      </c>
      <c r="C672" s="729" t="s">
        <v>566</v>
      </c>
      <c r="D672" s="924"/>
      <c r="E672" s="878" t="s">
        <v>1909</v>
      </c>
      <c r="F672" s="881" t="s">
        <v>2771</v>
      </c>
      <c r="G672" s="731" t="s">
        <v>3404</v>
      </c>
      <c r="H672" s="1083">
        <v>42401</v>
      </c>
      <c r="I672" s="1084">
        <v>42480</v>
      </c>
      <c r="J672" s="957">
        <v>354.28</v>
      </c>
    </row>
    <row r="673" spans="1:10" s="852" customFormat="1" outlineLevel="2">
      <c r="A673" s="878" t="s">
        <v>567</v>
      </c>
      <c r="B673" s="879" t="s">
        <v>7865</v>
      </c>
      <c r="C673" s="729" t="s">
        <v>566</v>
      </c>
      <c r="D673" s="924"/>
      <c r="E673" s="878" t="s">
        <v>1909</v>
      </c>
      <c r="F673" s="881" t="s">
        <v>4266</v>
      </c>
      <c r="G673" s="731" t="s">
        <v>3408</v>
      </c>
      <c r="H673" s="1083">
        <v>42430</v>
      </c>
      <c r="I673" s="1084">
        <v>42480</v>
      </c>
      <c r="J673" s="957">
        <v>185.07</v>
      </c>
    </row>
    <row r="674" spans="1:10" s="852" customFormat="1" outlineLevel="2">
      <c r="A674" s="878" t="s">
        <v>567</v>
      </c>
      <c r="B674" s="879" t="s">
        <v>7865</v>
      </c>
      <c r="C674" s="729" t="s">
        <v>566</v>
      </c>
      <c r="D674" s="924"/>
      <c r="E674" s="878" t="s">
        <v>1909</v>
      </c>
      <c r="F674" s="881" t="s">
        <v>6232</v>
      </c>
      <c r="G674" s="731" t="s">
        <v>3402</v>
      </c>
      <c r="H674" s="1083">
        <v>42401</v>
      </c>
      <c r="I674" s="1084">
        <v>42480</v>
      </c>
      <c r="J674" s="957">
        <v>462.67</v>
      </c>
    </row>
    <row r="675" spans="1:10" s="852" customFormat="1" ht="28.5" outlineLevel="2">
      <c r="A675" s="878" t="s">
        <v>1008</v>
      </c>
      <c r="B675" s="879" t="s">
        <v>7866</v>
      </c>
      <c r="C675" s="729" t="s">
        <v>566</v>
      </c>
      <c r="D675" s="924"/>
      <c r="E675" s="878" t="s">
        <v>1909</v>
      </c>
      <c r="F675" s="881" t="s">
        <v>4956</v>
      </c>
      <c r="G675" s="731" t="s">
        <v>2833</v>
      </c>
      <c r="H675" s="1083">
        <v>42401</v>
      </c>
      <c r="I675" s="1084">
        <v>42480</v>
      </c>
      <c r="J675" s="957">
        <v>225.89</v>
      </c>
    </row>
    <row r="676" spans="1:10" s="852" customFormat="1" ht="28.5" outlineLevel="2">
      <c r="A676" s="878" t="s">
        <v>1008</v>
      </c>
      <c r="B676" s="879" t="s">
        <v>7866</v>
      </c>
      <c r="C676" s="729" t="s">
        <v>566</v>
      </c>
      <c r="D676" s="924"/>
      <c r="E676" s="878" t="s">
        <v>1909</v>
      </c>
      <c r="F676" s="881" t="s">
        <v>4903</v>
      </c>
      <c r="G676" s="731" t="s">
        <v>2832</v>
      </c>
      <c r="H676" s="1083">
        <v>42401</v>
      </c>
      <c r="I676" s="1084">
        <v>42480</v>
      </c>
      <c r="J676" s="957">
        <v>7.22</v>
      </c>
    </row>
    <row r="677" spans="1:10" s="852" customFormat="1" ht="28.5" outlineLevel="2">
      <c r="A677" s="878" t="s">
        <v>1008</v>
      </c>
      <c r="B677" s="879" t="s">
        <v>7866</v>
      </c>
      <c r="C677" s="729" t="s">
        <v>566</v>
      </c>
      <c r="D677" s="924"/>
      <c r="E677" s="878" t="s">
        <v>1909</v>
      </c>
      <c r="F677" s="881" t="s">
        <v>4853</v>
      </c>
      <c r="G677" s="731" t="s">
        <v>2831</v>
      </c>
      <c r="H677" s="1083">
        <v>42401</v>
      </c>
      <c r="I677" s="1084">
        <v>42480</v>
      </c>
      <c r="J677" s="957">
        <v>85.22</v>
      </c>
    </row>
    <row r="678" spans="1:10" s="852" customFormat="1" ht="28.5" outlineLevel="2">
      <c r="A678" s="878" t="s">
        <v>567</v>
      </c>
      <c r="B678" s="879" t="s">
        <v>7865</v>
      </c>
      <c r="C678" s="729" t="s">
        <v>566</v>
      </c>
      <c r="D678" s="924"/>
      <c r="E678" s="878" t="s">
        <v>1909</v>
      </c>
      <c r="F678" s="881" t="s">
        <v>4661</v>
      </c>
      <c r="G678" s="731" t="s">
        <v>3410</v>
      </c>
      <c r="H678" s="1083">
        <v>42401</v>
      </c>
      <c r="I678" s="1084">
        <v>42480</v>
      </c>
      <c r="J678" s="957">
        <v>2630.84</v>
      </c>
    </row>
    <row r="679" spans="1:10" s="852" customFormat="1" ht="28.5" outlineLevel="2">
      <c r="A679" s="878" t="s">
        <v>567</v>
      </c>
      <c r="B679" s="879" t="s">
        <v>7865</v>
      </c>
      <c r="C679" s="729" t="s">
        <v>566</v>
      </c>
      <c r="D679" s="924"/>
      <c r="E679" s="878" t="s">
        <v>1909</v>
      </c>
      <c r="F679" s="881" t="s">
        <v>4661</v>
      </c>
      <c r="G679" s="731" t="s">
        <v>3410</v>
      </c>
      <c r="H679" s="1083">
        <v>42401</v>
      </c>
      <c r="I679" s="1084">
        <v>42480</v>
      </c>
      <c r="J679" s="957">
        <v>1098.27</v>
      </c>
    </row>
    <row r="680" spans="1:10" s="852" customFormat="1" ht="28.5" outlineLevel="2">
      <c r="A680" s="878" t="s">
        <v>567</v>
      </c>
      <c r="B680" s="879" t="s">
        <v>7865</v>
      </c>
      <c r="C680" s="729" t="s">
        <v>566</v>
      </c>
      <c r="D680" s="924"/>
      <c r="E680" s="878" t="s">
        <v>1909</v>
      </c>
      <c r="F680" s="881" t="s">
        <v>4687</v>
      </c>
      <c r="G680" s="731" t="s">
        <v>3412</v>
      </c>
      <c r="H680" s="1083">
        <v>42401</v>
      </c>
      <c r="I680" s="1084">
        <v>42480</v>
      </c>
      <c r="J680" s="957">
        <v>1434.27</v>
      </c>
    </row>
    <row r="681" spans="1:10" s="852" customFormat="1" outlineLevel="2">
      <c r="A681" s="878" t="s">
        <v>567</v>
      </c>
      <c r="B681" s="879" t="s">
        <v>7865</v>
      </c>
      <c r="C681" s="729" t="s">
        <v>566</v>
      </c>
      <c r="D681" s="924"/>
      <c r="E681" s="878" t="s">
        <v>548</v>
      </c>
      <c r="F681" s="881" t="s">
        <v>1094</v>
      </c>
      <c r="G681" s="731" t="s">
        <v>5878</v>
      </c>
      <c r="H681" s="1083">
        <v>42430</v>
      </c>
      <c r="I681" s="1084">
        <v>42489</v>
      </c>
      <c r="J681" s="957">
        <v>26775.77</v>
      </c>
    </row>
    <row r="682" spans="1:10" s="852" customFormat="1" outlineLevel="1">
      <c r="A682" s="878"/>
      <c r="B682" s="879" t="s">
        <v>258</v>
      </c>
      <c r="C682" s="908" t="s">
        <v>566</v>
      </c>
      <c r="D682" s="928" t="str">
        <f>VLOOKUP(C682,$C$3691:$D$3771,2,FALSE)</f>
        <v>TOTAL POUPATEMPO  BEBEDOURO</v>
      </c>
      <c r="E682" s="1085"/>
      <c r="F682" s="929"/>
      <c r="G682" s="910"/>
      <c r="H682" s="1086"/>
      <c r="I682" s="1087"/>
      <c r="J682" s="930">
        <f>SUBTOTAL(9,J654:J681)</f>
        <v>121405.90000000002</v>
      </c>
    </row>
    <row r="683" spans="1:10" s="852" customFormat="1" outlineLevel="2">
      <c r="A683" s="878" t="s">
        <v>2237</v>
      </c>
      <c r="B683" s="879" t="s">
        <v>7869</v>
      </c>
      <c r="C683" s="729" t="s">
        <v>569</v>
      </c>
      <c r="D683" s="924"/>
      <c r="E683" s="878" t="s">
        <v>2221</v>
      </c>
      <c r="F683" s="881" t="s">
        <v>863</v>
      </c>
      <c r="G683" s="731" t="s">
        <v>5571</v>
      </c>
      <c r="H683" s="1083">
        <v>42401</v>
      </c>
      <c r="I683" s="1084">
        <v>42465</v>
      </c>
      <c r="J683" s="957">
        <v>4051.04</v>
      </c>
    </row>
    <row r="684" spans="1:10" s="852" customFormat="1" outlineLevel="2">
      <c r="A684" s="878" t="s">
        <v>6455</v>
      </c>
      <c r="B684" s="879" t="s">
        <v>7863</v>
      </c>
      <c r="C684" s="729" t="s">
        <v>569</v>
      </c>
      <c r="D684" s="924"/>
      <c r="E684" s="878" t="s">
        <v>483</v>
      </c>
      <c r="F684" s="881" t="s">
        <v>2208</v>
      </c>
      <c r="G684" s="731" t="str">
        <f>"17003"</f>
        <v>17003</v>
      </c>
      <c r="H684" s="1083">
        <v>42401</v>
      </c>
      <c r="I684" s="1084">
        <v>42475</v>
      </c>
      <c r="J684" s="957">
        <v>12583.62</v>
      </c>
    </row>
    <row r="685" spans="1:10" s="852" customFormat="1" outlineLevel="2">
      <c r="A685" s="878" t="s">
        <v>571</v>
      </c>
      <c r="B685" s="879" t="s">
        <v>7863</v>
      </c>
      <c r="C685" s="729" t="s">
        <v>569</v>
      </c>
      <c r="D685" s="924"/>
      <c r="E685" s="878" t="s">
        <v>2336</v>
      </c>
      <c r="F685" s="881" t="s">
        <v>4491</v>
      </c>
      <c r="G685" s="731" t="s">
        <v>3423</v>
      </c>
      <c r="H685" s="1083">
        <v>42401</v>
      </c>
      <c r="I685" s="1084">
        <v>42480</v>
      </c>
      <c r="J685" s="957">
        <v>1744.42</v>
      </c>
    </row>
    <row r="686" spans="1:10" s="852" customFormat="1" outlineLevel="2">
      <c r="A686" s="878" t="s">
        <v>3424</v>
      </c>
      <c r="B686" s="879" t="s">
        <v>7864</v>
      </c>
      <c r="C686" s="729" t="s">
        <v>569</v>
      </c>
      <c r="D686" s="924"/>
      <c r="E686" s="878" t="s">
        <v>2336</v>
      </c>
      <c r="F686" s="881" t="s">
        <v>5191</v>
      </c>
      <c r="G686" s="731" t="s">
        <v>3425</v>
      </c>
      <c r="H686" s="1083">
        <v>42401</v>
      </c>
      <c r="I686" s="1084">
        <v>42480</v>
      </c>
      <c r="J686" s="957">
        <v>758.99</v>
      </c>
    </row>
    <row r="687" spans="1:10" s="852" customFormat="1" outlineLevel="2">
      <c r="A687" s="878" t="s">
        <v>570</v>
      </c>
      <c r="B687" s="879" t="s">
        <v>7865</v>
      </c>
      <c r="C687" s="729" t="s">
        <v>569</v>
      </c>
      <c r="D687" s="924"/>
      <c r="E687" s="878" t="s">
        <v>2336</v>
      </c>
      <c r="F687" s="881" t="s">
        <v>3340</v>
      </c>
      <c r="G687" s="731" t="s">
        <v>3420</v>
      </c>
      <c r="H687" s="1083">
        <v>42401</v>
      </c>
      <c r="I687" s="1084">
        <v>42480</v>
      </c>
      <c r="J687" s="957">
        <v>588.29</v>
      </c>
    </row>
    <row r="688" spans="1:10" s="852" customFormat="1" outlineLevel="2">
      <c r="A688" s="878" t="s">
        <v>570</v>
      </c>
      <c r="B688" s="879" t="s">
        <v>7865</v>
      </c>
      <c r="C688" s="729" t="s">
        <v>569</v>
      </c>
      <c r="D688" s="924"/>
      <c r="E688" s="878" t="s">
        <v>2336</v>
      </c>
      <c r="F688" s="881" t="s">
        <v>3340</v>
      </c>
      <c r="G688" s="731" t="s">
        <v>3420</v>
      </c>
      <c r="H688" s="1083">
        <v>42401</v>
      </c>
      <c r="I688" s="1084">
        <v>42480</v>
      </c>
      <c r="J688" s="957">
        <v>2766.13</v>
      </c>
    </row>
    <row r="689" spans="1:10" s="852" customFormat="1" outlineLevel="2">
      <c r="A689" s="878" t="s">
        <v>570</v>
      </c>
      <c r="B689" s="879" t="s">
        <v>7865</v>
      </c>
      <c r="C689" s="729" t="s">
        <v>569</v>
      </c>
      <c r="D689" s="924"/>
      <c r="E689" s="878" t="s">
        <v>2336</v>
      </c>
      <c r="F689" s="881" t="s">
        <v>3334</v>
      </c>
      <c r="G689" s="731" t="s">
        <v>3418</v>
      </c>
      <c r="H689" s="1083">
        <v>42401</v>
      </c>
      <c r="I689" s="1084">
        <v>42480</v>
      </c>
      <c r="J689" s="957">
        <v>84.59</v>
      </c>
    </row>
    <row r="690" spans="1:10" s="852" customFormat="1" outlineLevel="2">
      <c r="A690" s="878" t="s">
        <v>570</v>
      </c>
      <c r="B690" s="879" t="s">
        <v>7865</v>
      </c>
      <c r="C690" s="729" t="s">
        <v>569</v>
      </c>
      <c r="D690" s="924"/>
      <c r="E690" s="878" t="s">
        <v>2336</v>
      </c>
      <c r="F690" s="881" t="s">
        <v>3334</v>
      </c>
      <c r="G690" s="731" t="s">
        <v>3418</v>
      </c>
      <c r="H690" s="1083">
        <v>42401</v>
      </c>
      <c r="I690" s="1084">
        <v>42480</v>
      </c>
      <c r="J690" s="957">
        <v>397.78</v>
      </c>
    </row>
    <row r="691" spans="1:10" s="852" customFormat="1" outlineLevel="2">
      <c r="A691" s="878" t="s">
        <v>570</v>
      </c>
      <c r="B691" s="879" t="s">
        <v>7865</v>
      </c>
      <c r="C691" s="729" t="s">
        <v>569</v>
      </c>
      <c r="D691" s="924"/>
      <c r="E691" s="878" t="s">
        <v>2336</v>
      </c>
      <c r="F691" s="881" t="s">
        <v>3319</v>
      </c>
      <c r="G691" s="731" t="s">
        <v>3416</v>
      </c>
      <c r="H691" s="1083">
        <v>42401</v>
      </c>
      <c r="I691" s="1084">
        <v>42480</v>
      </c>
      <c r="J691" s="957">
        <v>169.7</v>
      </c>
    </row>
    <row r="692" spans="1:10" s="852" customFormat="1" outlineLevel="2">
      <c r="A692" s="878" t="s">
        <v>570</v>
      </c>
      <c r="B692" s="879" t="s">
        <v>7865</v>
      </c>
      <c r="C692" s="729" t="s">
        <v>569</v>
      </c>
      <c r="D692" s="924"/>
      <c r="E692" s="878" t="s">
        <v>2336</v>
      </c>
      <c r="F692" s="881" t="s">
        <v>3319</v>
      </c>
      <c r="G692" s="731" t="s">
        <v>3416</v>
      </c>
      <c r="H692" s="1083">
        <v>42401</v>
      </c>
      <c r="I692" s="1084">
        <v>42480</v>
      </c>
      <c r="J692" s="957">
        <v>1036.24</v>
      </c>
    </row>
    <row r="693" spans="1:10" s="852" customFormat="1" outlineLevel="2">
      <c r="A693" s="878" t="s">
        <v>570</v>
      </c>
      <c r="B693" s="879" t="s">
        <v>7865</v>
      </c>
      <c r="C693" s="729" t="s">
        <v>569</v>
      </c>
      <c r="D693" s="924"/>
      <c r="E693" s="878" t="s">
        <v>484</v>
      </c>
      <c r="F693" s="881" t="s">
        <v>1094</v>
      </c>
      <c r="G693" s="731" t="s">
        <v>5810</v>
      </c>
      <c r="H693" s="1083">
        <v>42430</v>
      </c>
      <c r="I693" s="1084">
        <v>42489</v>
      </c>
      <c r="J693" s="957">
        <v>70861.759999999995</v>
      </c>
    </row>
    <row r="694" spans="1:10" s="852" customFormat="1" outlineLevel="2">
      <c r="A694" s="878" t="s">
        <v>1009</v>
      </c>
      <c r="B694" s="879" t="s">
        <v>7866</v>
      </c>
      <c r="C694" s="729" t="s">
        <v>569</v>
      </c>
      <c r="D694" s="924"/>
      <c r="E694" s="878" t="s">
        <v>2282</v>
      </c>
      <c r="F694" s="881" t="s">
        <v>3974</v>
      </c>
      <c r="G694" s="731" t="s">
        <v>2779</v>
      </c>
      <c r="H694" s="1083">
        <v>42401</v>
      </c>
      <c r="I694" s="1084">
        <v>42471</v>
      </c>
      <c r="J694" s="957">
        <v>247.86</v>
      </c>
    </row>
    <row r="695" spans="1:10" s="852" customFormat="1" outlineLevel="2">
      <c r="A695" s="878" t="s">
        <v>1009</v>
      </c>
      <c r="B695" s="879" t="s">
        <v>7866</v>
      </c>
      <c r="C695" s="729" t="s">
        <v>569</v>
      </c>
      <c r="D695" s="924"/>
      <c r="E695" s="878" t="s">
        <v>2282</v>
      </c>
      <c r="F695" s="881" t="s">
        <v>4081</v>
      </c>
      <c r="G695" s="731" t="s">
        <v>2781</v>
      </c>
      <c r="H695" s="1083">
        <v>42401</v>
      </c>
      <c r="I695" s="1084">
        <v>42471</v>
      </c>
      <c r="J695" s="957">
        <v>7.92</v>
      </c>
    </row>
    <row r="696" spans="1:10" s="852" customFormat="1" outlineLevel="2">
      <c r="A696" s="878" t="s">
        <v>1009</v>
      </c>
      <c r="B696" s="879" t="s">
        <v>7866</v>
      </c>
      <c r="C696" s="729" t="s">
        <v>569</v>
      </c>
      <c r="D696" s="924"/>
      <c r="E696" s="878" t="s">
        <v>2282</v>
      </c>
      <c r="F696" s="881" t="s">
        <v>4165</v>
      </c>
      <c r="G696" s="731" t="s">
        <v>2782</v>
      </c>
      <c r="H696" s="1083">
        <v>42401</v>
      </c>
      <c r="I696" s="1084">
        <v>42471</v>
      </c>
      <c r="J696" s="957">
        <v>93.51</v>
      </c>
    </row>
    <row r="697" spans="1:10" s="852" customFormat="1" outlineLevel="2">
      <c r="A697" s="878" t="s">
        <v>570</v>
      </c>
      <c r="B697" s="879" t="s">
        <v>7865</v>
      </c>
      <c r="C697" s="729" t="s">
        <v>569</v>
      </c>
      <c r="D697" s="924"/>
      <c r="E697" s="878" t="s">
        <v>2690</v>
      </c>
      <c r="F697" s="881" t="s">
        <v>3335</v>
      </c>
      <c r="G697" s="731" t="s">
        <v>3426</v>
      </c>
      <c r="H697" s="1083">
        <v>42401</v>
      </c>
      <c r="I697" s="1084">
        <v>42480</v>
      </c>
      <c r="J697" s="957">
        <v>89.17</v>
      </c>
    </row>
    <row r="698" spans="1:10" s="852" customFormat="1" outlineLevel="2">
      <c r="A698" s="878" t="s">
        <v>570</v>
      </c>
      <c r="B698" s="879" t="s">
        <v>7865</v>
      </c>
      <c r="C698" s="729" t="s">
        <v>569</v>
      </c>
      <c r="D698" s="924"/>
      <c r="E698" s="878" t="s">
        <v>2690</v>
      </c>
      <c r="F698" s="881" t="s">
        <v>3335</v>
      </c>
      <c r="G698" s="731" t="s">
        <v>3426</v>
      </c>
      <c r="H698" s="1083">
        <v>42401</v>
      </c>
      <c r="I698" s="1084">
        <v>42480</v>
      </c>
      <c r="J698" s="957">
        <v>419.15</v>
      </c>
    </row>
    <row r="699" spans="1:10" s="852" customFormat="1" outlineLevel="2">
      <c r="A699" s="878" t="s">
        <v>570</v>
      </c>
      <c r="B699" s="879" t="s">
        <v>7865</v>
      </c>
      <c r="C699" s="729" t="s">
        <v>569</v>
      </c>
      <c r="D699" s="924"/>
      <c r="E699" s="878" t="s">
        <v>2690</v>
      </c>
      <c r="F699" s="881" t="s">
        <v>3341</v>
      </c>
      <c r="G699" s="731" t="s">
        <v>3427</v>
      </c>
      <c r="H699" s="1083">
        <v>42401</v>
      </c>
      <c r="I699" s="1084">
        <v>42480</v>
      </c>
      <c r="J699" s="957">
        <v>579.44000000000005</v>
      </c>
    </row>
    <row r="700" spans="1:10" s="852" customFormat="1" outlineLevel="2">
      <c r="A700" s="878" t="s">
        <v>570</v>
      </c>
      <c r="B700" s="879" t="s">
        <v>7865</v>
      </c>
      <c r="C700" s="729" t="s">
        <v>569</v>
      </c>
      <c r="D700" s="924"/>
      <c r="E700" s="878" t="s">
        <v>2690</v>
      </c>
      <c r="F700" s="881" t="s">
        <v>3341</v>
      </c>
      <c r="G700" s="731" t="s">
        <v>3427</v>
      </c>
      <c r="H700" s="1083">
        <v>42401</v>
      </c>
      <c r="I700" s="1084">
        <v>42480</v>
      </c>
      <c r="J700" s="957">
        <v>2724.55</v>
      </c>
    </row>
    <row r="701" spans="1:10" s="852" customFormat="1" outlineLevel="2">
      <c r="A701" s="878" t="s">
        <v>571</v>
      </c>
      <c r="B701" s="879" t="s">
        <v>7863</v>
      </c>
      <c r="C701" s="729" t="s">
        <v>569</v>
      </c>
      <c r="D701" s="924"/>
      <c r="E701" s="878" t="s">
        <v>2690</v>
      </c>
      <c r="F701" s="881" t="s">
        <v>4492</v>
      </c>
      <c r="G701" s="731" t="s">
        <v>3428</v>
      </c>
      <c r="H701" s="1083">
        <v>42401</v>
      </c>
      <c r="I701" s="1084">
        <v>42480</v>
      </c>
      <c r="J701" s="957">
        <v>634.33000000000004</v>
      </c>
    </row>
    <row r="702" spans="1:10" s="852" customFormat="1" outlineLevel="2">
      <c r="A702" s="878" t="s">
        <v>3424</v>
      </c>
      <c r="B702" s="879" t="s">
        <v>7864</v>
      </c>
      <c r="C702" s="729" t="s">
        <v>569</v>
      </c>
      <c r="D702" s="924"/>
      <c r="E702" s="878" t="s">
        <v>2690</v>
      </c>
      <c r="F702" s="881" t="s">
        <v>5193</v>
      </c>
      <c r="G702" s="731" t="s">
        <v>3430</v>
      </c>
      <c r="H702" s="1083">
        <v>42401</v>
      </c>
      <c r="I702" s="1084">
        <v>42480</v>
      </c>
      <c r="J702" s="957">
        <v>276</v>
      </c>
    </row>
    <row r="703" spans="1:10" s="852" customFormat="1" outlineLevel="2">
      <c r="A703" s="878" t="s">
        <v>570</v>
      </c>
      <c r="B703" s="879" t="s">
        <v>7865</v>
      </c>
      <c r="C703" s="729" t="s">
        <v>569</v>
      </c>
      <c r="D703" s="924"/>
      <c r="E703" s="878" t="s">
        <v>2690</v>
      </c>
      <c r="F703" s="881" t="s">
        <v>5509</v>
      </c>
      <c r="G703" s="731" t="s">
        <v>3432</v>
      </c>
      <c r="H703" s="1083">
        <v>42401</v>
      </c>
      <c r="I703" s="1084">
        <v>42480</v>
      </c>
      <c r="J703" s="957">
        <v>178.82</v>
      </c>
    </row>
    <row r="704" spans="1:10" s="852" customFormat="1" outlineLevel="2">
      <c r="A704" s="878" t="s">
        <v>570</v>
      </c>
      <c r="B704" s="879" t="s">
        <v>7865</v>
      </c>
      <c r="C704" s="729" t="s">
        <v>569</v>
      </c>
      <c r="D704" s="924"/>
      <c r="E704" s="878" t="s">
        <v>2690</v>
      </c>
      <c r="F704" s="881" t="s">
        <v>5509</v>
      </c>
      <c r="G704" s="731" t="s">
        <v>3432</v>
      </c>
      <c r="H704" s="1083">
        <v>42401</v>
      </c>
      <c r="I704" s="1084">
        <v>42480</v>
      </c>
      <c r="J704" s="957">
        <v>1091.95</v>
      </c>
    </row>
    <row r="705" spans="1:10" s="852" customFormat="1" outlineLevel="2">
      <c r="A705" s="878" t="s">
        <v>1009</v>
      </c>
      <c r="B705" s="879" t="s">
        <v>7866</v>
      </c>
      <c r="C705" s="729" t="s">
        <v>569</v>
      </c>
      <c r="D705" s="924"/>
      <c r="E705" s="878" t="s">
        <v>1909</v>
      </c>
      <c r="F705" s="881" t="s">
        <v>3935</v>
      </c>
      <c r="G705" s="731" t="s">
        <v>2817</v>
      </c>
      <c r="H705" s="1083">
        <v>42401</v>
      </c>
      <c r="I705" s="1084">
        <v>42480</v>
      </c>
      <c r="J705" s="957">
        <v>74.349999999999994</v>
      </c>
    </row>
    <row r="706" spans="1:10" s="852" customFormat="1" outlineLevel="2">
      <c r="A706" s="878" t="s">
        <v>1009</v>
      </c>
      <c r="B706" s="879" t="s">
        <v>7866</v>
      </c>
      <c r="C706" s="729" t="s">
        <v>569</v>
      </c>
      <c r="D706" s="924"/>
      <c r="E706" s="878" t="s">
        <v>1909</v>
      </c>
      <c r="F706" s="881" t="s">
        <v>4027</v>
      </c>
      <c r="G706" s="731" t="s">
        <v>2819</v>
      </c>
      <c r="H706" s="1083">
        <v>42401</v>
      </c>
      <c r="I706" s="1084">
        <v>42480</v>
      </c>
      <c r="J706" s="957">
        <v>2.37</v>
      </c>
    </row>
    <row r="707" spans="1:10" s="852" customFormat="1" outlineLevel="2">
      <c r="A707" s="878" t="s">
        <v>1009</v>
      </c>
      <c r="B707" s="879" t="s">
        <v>7866</v>
      </c>
      <c r="C707" s="729" t="s">
        <v>569</v>
      </c>
      <c r="D707" s="924"/>
      <c r="E707" s="878" t="s">
        <v>1909</v>
      </c>
      <c r="F707" s="881" t="s">
        <v>4129</v>
      </c>
      <c r="G707" s="731" t="s">
        <v>2821</v>
      </c>
      <c r="H707" s="1083">
        <v>42401</v>
      </c>
      <c r="I707" s="1084">
        <v>42480</v>
      </c>
      <c r="J707" s="957">
        <v>28.05</v>
      </c>
    </row>
    <row r="708" spans="1:10" s="852" customFormat="1" outlineLevel="2">
      <c r="A708" s="878" t="s">
        <v>571</v>
      </c>
      <c r="B708" s="879" t="s">
        <v>7863</v>
      </c>
      <c r="C708" s="729" t="s">
        <v>569</v>
      </c>
      <c r="D708" s="924"/>
      <c r="E708" s="878" t="s">
        <v>1909</v>
      </c>
      <c r="F708" s="881" t="s">
        <v>4490</v>
      </c>
      <c r="G708" s="731" t="s">
        <v>3449</v>
      </c>
      <c r="H708" s="1083">
        <v>42401</v>
      </c>
      <c r="I708" s="1084">
        <v>42480</v>
      </c>
      <c r="J708" s="957">
        <v>158.58000000000001</v>
      </c>
    </row>
    <row r="709" spans="1:10" s="852" customFormat="1" outlineLevel="2">
      <c r="A709" s="878" t="s">
        <v>3424</v>
      </c>
      <c r="B709" s="879" t="s">
        <v>7864</v>
      </c>
      <c r="C709" s="729" t="s">
        <v>569</v>
      </c>
      <c r="D709" s="924"/>
      <c r="E709" s="878" t="s">
        <v>1909</v>
      </c>
      <c r="F709" s="881" t="s">
        <v>5189</v>
      </c>
      <c r="G709" s="731" t="s">
        <v>3458</v>
      </c>
      <c r="H709" s="1083">
        <v>42401</v>
      </c>
      <c r="I709" s="1084">
        <v>42480</v>
      </c>
      <c r="J709" s="957">
        <v>69</v>
      </c>
    </row>
    <row r="710" spans="1:10" s="852" customFormat="1" outlineLevel="2">
      <c r="A710" s="878" t="s">
        <v>570</v>
      </c>
      <c r="B710" s="879" t="s">
        <v>7865</v>
      </c>
      <c r="C710" s="729" t="s">
        <v>569</v>
      </c>
      <c r="D710" s="924"/>
      <c r="E710" s="878" t="s">
        <v>1909</v>
      </c>
      <c r="F710" s="881" t="s">
        <v>3338</v>
      </c>
      <c r="G710" s="731" t="s">
        <v>3446</v>
      </c>
      <c r="H710" s="1083">
        <v>42401</v>
      </c>
      <c r="I710" s="1084">
        <v>42480</v>
      </c>
      <c r="J710" s="957">
        <v>217.29</v>
      </c>
    </row>
    <row r="711" spans="1:10" s="852" customFormat="1" outlineLevel="2">
      <c r="A711" s="878" t="s">
        <v>570</v>
      </c>
      <c r="B711" s="879" t="s">
        <v>7865</v>
      </c>
      <c r="C711" s="729" t="s">
        <v>569</v>
      </c>
      <c r="D711" s="924"/>
      <c r="E711" s="878" t="s">
        <v>1909</v>
      </c>
      <c r="F711" s="881" t="s">
        <v>3338</v>
      </c>
      <c r="G711" s="731" t="s">
        <v>3446</v>
      </c>
      <c r="H711" s="1083">
        <v>42401</v>
      </c>
      <c r="I711" s="1084">
        <v>42480</v>
      </c>
      <c r="J711" s="957">
        <v>1021.7</v>
      </c>
    </row>
    <row r="712" spans="1:10" s="852" customFormat="1" outlineLevel="2">
      <c r="A712" s="878" t="s">
        <v>570</v>
      </c>
      <c r="B712" s="879" t="s">
        <v>7865</v>
      </c>
      <c r="C712" s="729" t="s">
        <v>569</v>
      </c>
      <c r="D712" s="924"/>
      <c r="E712" s="878" t="s">
        <v>1909</v>
      </c>
      <c r="F712" s="881" t="s">
        <v>3332</v>
      </c>
      <c r="G712" s="731" t="s">
        <v>3443</v>
      </c>
      <c r="H712" s="1083">
        <v>42401</v>
      </c>
      <c r="I712" s="1084">
        <v>42480</v>
      </c>
      <c r="J712" s="957">
        <v>33.43</v>
      </c>
    </row>
    <row r="713" spans="1:10" s="852" customFormat="1" outlineLevel="2">
      <c r="A713" s="878" t="s">
        <v>570</v>
      </c>
      <c r="B713" s="879" t="s">
        <v>7865</v>
      </c>
      <c r="C713" s="729" t="s">
        <v>569</v>
      </c>
      <c r="D713" s="924"/>
      <c r="E713" s="878" t="s">
        <v>1909</v>
      </c>
      <c r="F713" s="881" t="s">
        <v>3332</v>
      </c>
      <c r="G713" s="731" t="s">
        <v>3443</v>
      </c>
      <c r="H713" s="1083">
        <v>42401</v>
      </c>
      <c r="I713" s="1084">
        <v>42480</v>
      </c>
      <c r="J713" s="957">
        <v>157.18</v>
      </c>
    </row>
    <row r="714" spans="1:10" s="852" customFormat="1" outlineLevel="2">
      <c r="A714" s="878" t="s">
        <v>570</v>
      </c>
      <c r="B714" s="879" t="s">
        <v>7865</v>
      </c>
      <c r="C714" s="729" t="s">
        <v>569</v>
      </c>
      <c r="D714" s="924"/>
      <c r="E714" s="878" t="s">
        <v>1909</v>
      </c>
      <c r="F714" s="881" t="s">
        <v>3318</v>
      </c>
      <c r="G714" s="731" t="s">
        <v>3440</v>
      </c>
      <c r="H714" s="1083">
        <v>42401</v>
      </c>
      <c r="I714" s="1084">
        <v>42480</v>
      </c>
      <c r="J714" s="957">
        <v>67.05</v>
      </c>
    </row>
    <row r="715" spans="1:10" s="852" customFormat="1" outlineLevel="2">
      <c r="A715" s="878" t="s">
        <v>570</v>
      </c>
      <c r="B715" s="879" t="s">
        <v>7865</v>
      </c>
      <c r="C715" s="729" t="s">
        <v>569</v>
      </c>
      <c r="D715" s="924"/>
      <c r="E715" s="878" t="s">
        <v>1909</v>
      </c>
      <c r="F715" s="881" t="s">
        <v>3318</v>
      </c>
      <c r="G715" s="731" t="s">
        <v>3440</v>
      </c>
      <c r="H715" s="1083">
        <v>42401</v>
      </c>
      <c r="I715" s="1084">
        <v>42480</v>
      </c>
      <c r="J715" s="957">
        <v>409.48</v>
      </c>
    </row>
    <row r="716" spans="1:10" s="852" customFormat="1" ht="28.5" outlineLevel="2">
      <c r="A716" s="878" t="s">
        <v>1009</v>
      </c>
      <c r="B716" s="879" t="s">
        <v>7866</v>
      </c>
      <c r="C716" s="729" t="s">
        <v>569</v>
      </c>
      <c r="D716" s="924"/>
      <c r="E716" s="878" t="s">
        <v>1909</v>
      </c>
      <c r="F716" s="881" t="s">
        <v>4956</v>
      </c>
      <c r="G716" s="731" t="s">
        <v>2833</v>
      </c>
      <c r="H716" s="1083">
        <v>42401</v>
      </c>
      <c r="I716" s="1084">
        <v>42480</v>
      </c>
      <c r="J716" s="957">
        <v>230.51</v>
      </c>
    </row>
    <row r="717" spans="1:10" s="852" customFormat="1" ht="28.5" outlineLevel="2">
      <c r="A717" s="878" t="s">
        <v>1009</v>
      </c>
      <c r="B717" s="879" t="s">
        <v>7866</v>
      </c>
      <c r="C717" s="729" t="s">
        <v>569</v>
      </c>
      <c r="D717" s="924"/>
      <c r="E717" s="878" t="s">
        <v>1909</v>
      </c>
      <c r="F717" s="881" t="s">
        <v>4903</v>
      </c>
      <c r="G717" s="731" t="s">
        <v>2832</v>
      </c>
      <c r="H717" s="1083">
        <v>42401</v>
      </c>
      <c r="I717" s="1084">
        <v>42480</v>
      </c>
      <c r="J717" s="957">
        <v>7.37</v>
      </c>
    </row>
    <row r="718" spans="1:10" s="852" customFormat="1" ht="28.5" outlineLevel="2">
      <c r="A718" s="878" t="s">
        <v>1009</v>
      </c>
      <c r="B718" s="879" t="s">
        <v>7866</v>
      </c>
      <c r="C718" s="729" t="s">
        <v>569</v>
      </c>
      <c r="D718" s="924"/>
      <c r="E718" s="878" t="s">
        <v>1909</v>
      </c>
      <c r="F718" s="881" t="s">
        <v>4853</v>
      </c>
      <c r="G718" s="731" t="s">
        <v>2831</v>
      </c>
      <c r="H718" s="1083">
        <v>42401</v>
      </c>
      <c r="I718" s="1084">
        <v>42480</v>
      </c>
      <c r="J718" s="957">
        <v>86.97</v>
      </c>
    </row>
    <row r="719" spans="1:10" s="852" customFormat="1" ht="28.5" outlineLevel="2">
      <c r="A719" s="878" t="s">
        <v>571</v>
      </c>
      <c r="B719" s="879" t="s">
        <v>7863</v>
      </c>
      <c r="C719" s="729" t="s">
        <v>569</v>
      </c>
      <c r="D719" s="924"/>
      <c r="E719" s="878" t="s">
        <v>1909</v>
      </c>
      <c r="F719" s="881" t="s">
        <v>6233</v>
      </c>
      <c r="G719" s="731" t="s">
        <v>3435</v>
      </c>
      <c r="H719" s="1083">
        <v>42370</v>
      </c>
      <c r="I719" s="1084">
        <v>42480</v>
      </c>
      <c r="J719" s="957">
        <v>788.27</v>
      </c>
    </row>
    <row r="720" spans="1:10" s="852" customFormat="1" ht="28.5" outlineLevel="2">
      <c r="A720" s="878" t="s">
        <v>571</v>
      </c>
      <c r="B720" s="879" t="s">
        <v>7863</v>
      </c>
      <c r="C720" s="729" t="s">
        <v>569</v>
      </c>
      <c r="D720" s="924"/>
      <c r="E720" s="878" t="s">
        <v>1909</v>
      </c>
      <c r="F720" s="881" t="s">
        <v>6233</v>
      </c>
      <c r="G720" s="731" t="s">
        <v>3437</v>
      </c>
      <c r="H720" s="1083">
        <v>42370</v>
      </c>
      <c r="I720" s="1084">
        <v>42480</v>
      </c>
      <c r="J720" s="957">
        <v>788.27</v>
      </c>
    </row>
    <row r="721" spans="1:10" s="852" customFormat="1" ht="28.5" outlineLevel="2">
      <c r="A721" s="878" t="s">
        <v>571</v>
      </c>
      <c r="B721" s="879" t="s">
        <v>7863</v>
      </c>
      <c r="C721" s="729" t="s">
        <v>569</v>
      </c>
      <c r="D721" s="924"/>
      <c r="E721" s="878" t="s">
        <v>1909</v>
      </c>
      <c r="F721" s="881" t="s">
        <v>6233</v>
      </c>
      <c r="G721" s="731" t="s">
        <v>3439</v>
      </c>
      <c r="H721" s="1083">
        <v>42370</v>
      </c>
      <c r="I721" s="1084">
        <v>42480</v>
      </c>
      <c r="J721" s="957">
        <v>-788.27</v>
      </c>
    </row>
    <row r="722" spans="1:10" s="852" customFormat="1" ht="28.5" outlineLevel="2">
      <c r="A722" s="878" t="s">
        <v>570</v>
      </c>
      <c r="B722" s="879" t="s">
        <v>7865</v>
      </c>
      <c r="C722" s="729" t="s">
        <v>569</v>
      </c>
      <c r="D722" s="924"/>
      <c r="E722" s="878" t="s">
        <v>1909</v>
      </c>
      <c r="F722" s="881" t="s">
        <v>4711</v>
      </c>
      <c r="G722" s="731" t="s">
        <v>3450</v>
      </c>
      <c r="H722" s="1083">
        <v>42401</v>
      </c>
      <c r="I722" s="1084">
        <v>42480</v>
      </c>
      <c r="J722" s="957">
        <v>673.6</v>
      </c>
    </row>
    <row r="723" spans="1:10" s="852" customFormat="1" ht="28.5" outlineLevel="2">
      <c r="A723" s="878" t="s">
        <v>570</v>
      </c>
      <c r="B723" s="879" t="s">
        <v>7865</v>
      </c>
      <c r="C723" s="729" t="s">
        <v>569</v>
      </c>
      <c r="D723" s="924"/>
      <c r="E723" s="878" t="s">
        <v>1909</v>
      </c>
      <c r="F723" s="881" t="s">
        <v>4711</v>
      </c>
      <c r="G723" s="731" t="s">
        <v>3450</v>
      </c>
      <c r="H723" s="1083">
        <v>42401</v>
      </c>
      <c r="I723" s="1084">
        <v>42480</v>
      </c>
      <c r="J723" s="957">
        <v>3167.29</v>
      </c>
    </row>
    <row r="724" spans="1:10" s="852" customFormat="1" ht="28.5" outlineLevel="2">
      <c r="A724" s="878" t="s">
        <v>570</v>
      </c>
      <c r="B724" s="879" t="s">
        <v>7865</v>
      </c>
      <c r="C724" s="729" t="s">
        <v>569</v>
      </c>
      <c r="D724" s="924"/>
      <c r="E724" s="878" t="s">
        <v>1909</v>
      </c>
      <c r="F724" s="881" t="s">
        <v>4714</v>
      </c>
      <c r="G724" s="731" t="s">
        <v>3452</v>
      </c>
      <c r="H724" s="1083">
        <v>42401</v>
      </c>
      <c r="I724" s="1084">
        <v>42480</v>
      </c>
      <c r="J724" s="957">
        <v>207.88</v>
      </c>
    </row>
    <row r="725" spans="1:10" s="852" customFormat="1" ht="28.5" outlineLevel="2">
      <c r="A725" s="878" t="s">
        <v>570</v>
      </c>
      <c r="B725" s="879" t="s">
        <v>7865</v>
      </c>
      <c r="C725" s="729" t="s">
        <v>569</v>
      </c>
      <c r="D725" s="924"/>
      <c r="E725" s="878" t="s">
        <v>1909</v>
      </c>
      <c r="F725" s="881" t="s">
        <v>4714</v>
      </c>
      <c r="G725" s="731" t="s">
        <v>3452</v>
      </c>
      <c r="H725" s="1083">
        <v>42401</v>
      </c>
      <c r="I725" s="1084">
        <v>42480</v>
      </c>
      <c r="J725" s="957">
        <v>1269.3800000000001</v>
      </c>
    </row>
    <row r="726" spans="1:10" s="852" customFormat="1" outlineLevel="2">
      <c r="A726" s="878" t="s">
        <v>570</v>
      </c>
      <c r="B726" s="879" t="s">
        <v>7865</v>
      </c>
      <c r="C726" s="729" t="s">
        <v>569</v>
      </c>
      <c r="D726" s="924"/>
      <c r="E726" s="878" t="s">
        <v>548</v>
      </c>
      <c r="F726" s="881" t="s">
        <v>1094</v>
      </c>
      <c r="G726" s="731" t="s">
        <v>5881</v>
      </c>
      <c r="H726" s="1083">
        <v>42430</v>
      </c>
      <c r="I726" s="1084">
        <v>42489</v>
      </c>
      <c r="J726" s="957">
        <v>27338.73</v>
      </c>
    </row>
    <row r="727" spans="1:10" s="852" customFormat="1" outlineLevel="1">
      <c r="A727" s="878"/>
      <c r="B727" s="879" t="s">
        <v>258</v>
      </c>
      <c r="C727" s="908" t="s">
        <v>569</v>
      </c>
      <c r="D727" s="928" t="str">
        <f>VLOOKUP(C727,$C$3691:$D$3771,2,FALSE)</f>
        <v>TOTAL POUPATEMPO  BIRIGUÍ</v>
      </c>
      <c r="E727" s="1085"/>
      <c r="F727" s="929"/>
      <c r="G727" s="910"/>
      <c r="H727" s="1086"/>
      <c r="I727" s="1087"/>
      <c r="J727" s="930">
        <f>SUBTOTAL(9,J683:J726)</f>
        <v>137393.74</v>
      </c>
    </row>
    <row r="728" spans="1:10" s="852" customFormat="1" outlineLevel="2">
      <c r="A728" s="878" t="s">
        <v>2238</v>
      </c>
      <c r="B728" s="879" t="s">
        <v>7869</v>
      </c>
      <c r="C728" s="729" t="s">
        <v>573</v>
      </c>
      <c r="D728" s="924"/>
      <c r="E728" s="878" t="s">
        <v>2221</v>
      </c>
      <c r="F728" s="881" t="s">
        <v>863</v>
      </c>
      <c r="G728" s="731" t="s">
        <v>5571</v>
      </c>
      <c r="H728" s="1083">
        <v>42401</v>
      </c>
      <c r="I728" s="1084">
        <v>42465</v>
      </c>
      <c r="J728" s="957">
        <v>8102.08</v>
      </c>
    </row>
    <row r="729" spans="1:10" s="852" customFormat="1" outlineLevel="2">
      <c r="A729" s="878" t="s">
        <v>6428</v>
      </c>
      <c r="B729" s="879" t="s">
        <v>7863</v>
      </c>
      <c r="C729" s="729" t="s">
        <v>573</v>
      </c>
      <c r="D729" s="924"/>
      <c r="E729" s="878" t="s">
        <v>483</v>
      </c>
      <c r="F729" s="881" t="s">
        <v>2208</v>
      </c>
      <c r="G729" s="731" t="str">
        <f>"16972"</f>
        <v>16972</v>
      </c>
      <c r="H729" s="1083">
        <v>42401</v>
      </c>
      <c r="I729" s="1084">
        <v>42473</v>
      </c>
      <c r="J729" s="957">
        <v>12469.11</v>
      </c>
    </row>
    <row r="730" spans="1:10" s="852" customFormat="1" outlineLevel="2">
      <c r="A730" s="878" t="s">
        <v>1732</v>
      </c>
      <c r="B730" s="879" t="s">
        <v>7872</v>
      </c>
      <c r="C730" s="729" t="s">
        <v>573</v>
      </c>
      <c r="D730" s="924"/>
      <c r="E730" s="878" t="s">
        <v>1733</v>
      </c>
      <c r="F730" s="881" t="s">
        <v>1696</v>
      </c>
      <c r="G730" s="731" t="s">
        <v>5625</v>
      </c>
      <c r="H730" s="1083">
        <v>42430</v>
      </c>
      <c r="I730" s="1084">
        <v>42473</v>
      </c>
      <c r="J730" s="957">
        <v>5632.17</v>
      </c>
    </row>
    <row r="731" spans="1:10" s="852" customFormat="1" ht="28.5" outlineLevel="2">
      <c r="A731" s="878" t="s">
        <v>6478</v>
      </c>
      <c r="B731" s="879" t="s">
        <v>7870</v>
      </c>
      <c r="C731" s="729" t="s">
        <v>573</v>
      </c>
      <c r="D731" s="924"/>
      <c r="E731" s="878" t="s">
        <v>1599</v>
      </c>
      <c r="F731" s="881" t="s">
        <v>426</v>
      </c>
      <c r="G731" s="731" t="s">
        <v>5708</v>
      </c>
      <c r="H731" s="1083">
        <v>42401</v>
      </c>
      <c r="I731" s="1084">
        <v>42482</v>
      </c>
      <c r="J731" s="957">
        <v>-2.35</v>
      </c>
    </row>
    <row r="732" spans="1:10" s="852" customFormat="1" outlineLevel="2">
      <c r="A732" s="878" t="s">
        <v>6478</v>
      </c>
      <c r="B732" s="879" t="s">
        <v>7870</v>
      </c>
      <c r="C732" s="729" t="s">
        <v>573</v>
      </c>
      <c r="D732" s="924"/>
      <c r="E732" s="878" t="s">
        <v>1599</v>
      </c>
      <c r="F732" s="881" t="s">
        <v>2274</v>
      </c>
      <c r="G732" s="731" t="s">
        <v>5709</v>
      </c>
      <c r="H732" s="1083">
        <v>42401</v>
      </c>
      <c r="I732" s="1084">
        <v>42482</v>
      </c>
      <c r="J732" s="957">
        <v>41.52</v>
      </c>
    </row>
    <row r="733" spans="1:10" s="852" customFormat="1" outlineLevel="2">
      <c r="A733" s="878" t="s">
        <v>5931</v>
      </c>
      <c r="B733" s="879" t="s">
        <v>7864</v>
      </c>
      <c r="C733" s="729" t="s">
        <v>573</v>
      </c>
      <c r="D733" s="924"/>
      <c r="E733" s="878" t="s">
        <v>6470</v>
      </c>
      <c r="F733" s="881" t="s">
        <v>434</v>
      </c>
      <c r="G733" s="731" t="str">
        <f>"2656"</f>
        <v>2656</v>
      </c>
      <c r="H733" s="1083">
        <v>42370</v>
      </c>
      <c r="I733" s="1084">
        <v>42478</v>
      </c>
      <c r="J733" s="957">
        <v>3270.26</v>
      </c>
    </row>
    <row r="734" spans="1:10" s="852" customFormat="1" outlineLevel="2">
      <c r="A734" s="878" t="s">
        <v>5931</v>
      </c>
      <c r="B734" s="879" t="s">
        <v>7864</v>
      </c>
      <c r="C734" s="729" t="s">
        <v>573</v>
      </c>
      <c r="D734" s="924"/>
      <c r="E734" s="878" t="s">
        <v>6470</v>
      </c>
      <c r="F734" s="881" t="s">
        <v>434</v>
      </c>
      <c r="G734" s="731" t="str">
        <f>"2656"</f>
        <v>2656</v>
      </c>
      <c r="H734" s="1083">
        <v>42370</v>
      </c>
      <c r="I734" s="1084">
        <v>42478</v>
      </c>
      <c r="J734" s="957">
        <v>-3270.26</v>
      </c>
    </row>
    <row r="735" spans="1:10" s="852" customFormat="1" outlineLevel="2">
      <c r="A735" s="878" t="s">
        <v>5931</v>
      </c>
      <c r="B735" s="879" t="s">
        <v>7864</v>
      </c>
      <c r="C735" s="729" t="s">
        <v>573</v>
      </c>
      <c r="D735" s="924"/>
      <c r="E735" s="878" t="s">
        <v>6470</v>
      </c>
      <c r="F735" s="881" t="s">
        <v>434</v>
      </c>
      <c r="G735" s="731" t="str">
        <f>"2656"</f>
        <v>2656</v>
      </c>
      <c r="H735" s="1083">
        <v>42370</v>
      </c>
      <c r="I735" s="1084">
        <v>42478</v>
      </c>
      <c r="J735" s="957">
        <v>3270.25</v>
      </c>
    </row>
    <row r="736" spans="1:10" s="852" customFormat="1" outlineLevel="2">
      <c r="A736" s="878" t="s">
        <v>5931</v>
      </c>
      <c r="B736" s="879" t="s">
        <v>7864</v>
      </c>
      <c r="C736" s="729" t="s">
        <v>573</v>
      </c>
      <c r="D736" s="924"/>
      <c r="E736" s="878" t="s">
        <v>6470</v>
      </c>
      <c r="F736" s="881" t="s">
        <v>434</v>
      </c>
      <c r="G736" s="731" t="str">
        <f>"2656"</f>
        <v>2656</v>
      </c>
      <c r="H736" s="1083">
        <v>42370</v>
      </c>
      <c r="I736" s="1084">
        <v>42478</v>
      </c>
      <c r="J736" s="957">
        <v>3270.25</v>
      </c>
    </row>
    <row r="737" spans="1:10" s="852" customFormat="1" outlineLevel="2">
      <c r="A737" s="878" t="s">
        <v>5931</v>
      </c>
      <c r="B737" s="879" t="s">
        <v>7864</v>
      </c>
      <c r="C737" s="729" t="s">
        <v>573</v>
      </c>
      <c r="D737" s="924"/>
      <c r="E737" s="878" t="s">
        <v>6470</v>
      </c>
      <c r="F737" s="881" t="s">
        <v>434</v>
      </c>
      <c r="G737" s="731" t="str">
        <f>"2656"</f>
        <v>2656</v>
      </c>
      <c r="H737" s="1083">
        <v>42370</v>
      </c>
      <c r="I737" s="1084">
        <v>42478</v>
      </c>
      <c r="J737" s="957">
        <v>-3270.25</v>
      </c>
    </row>
    <row r="738" spans="1:10" s="852" customFormat="1" outlineLevel="2">
      <c r="A738" s="878" t="s">
        <v>576</v>
      </c>
      <c r="B738" s="879" t="s">
        <v>7863</v>
      </c>
      <c r="C738" s="729" t="s">
        <v>573</v>
      </c>
      <c r="D738" s="924"/>
      <c r="E738" s="878" t="s">
        <v>2336</v>
      </c>
      <c r="F738" s="881" t="s">
        <v>2998</v>
      </c>
      <c r="G738" s="731" t="s">
        <v>3466</v>
      </c>
      <c r="H738" s="1083">
        <v>42401</v>
      </c>
      <c r="I738" s="1084">
        <v>42480</v>
      </c>
      <c r="J738" s="957">
        <v>1707.03</v>
      </c>
    </row>
    <row r="739" spans="1:10" s="852" customFormat="1" outlineLevel="2">
      <c r="A739" s="878" t="s">
        <v>575</v>
      </c>
      <c r="B739" s="879" t="s">
        <v>7864</v>
      </c>
      <c r="C739" s="729" t="s">
        <v>573</v>
      </c>
      <c r="D739" s="924"/>
      <c r="E739" s="878" t="s">
        <v>2336</v>
      </c>
      <c r="F739" s="881" t="s">
        <v>5994</v>
      </c>
      <c r="G739" s="731" t="s">
        <v>3462</v>
      </c>
      <c r="H739" s="1083">
        <v>42401</v>
      </c>
      <c r="I739" s="1084">
        <v>42480</v>
      </c>
      <c r="J739" s="957">
        <v>447.7</v>
      </c>
    </row>
    <row r="740" spans="1:10" s="852" customFormat="1" outlineLevel="2">
      <c r="A740" s="878" t="s">
        <v>575</v>
      </c>
      <c r="B740" s="879" t="s">
        <v>7864</v>
      </c>
      <c r="C740" s="729" t="s">
        <v>573</v>
      </c>
      <c r="D740" s="924"/>
      <c r="E740" s="878" t="s">
        <v>2336</v>
      </c>
      <c r="F740" s="881" t="s">
        <v>3808</v>
      </c>
      <c r="G740" s="731" t="s">
        <v>3470</v>
      </c>
      <c r="H740" s="1083">
        <v>42401</v>
      </c>
      <c r="I740" s="1084">
        <v>42480</v>
      </c>
      <c r="J740" s="957">
        <v>294.54000000000002</v>
      </c>
    </row>
    <row r="741" spans="1:10" s="852" customFormat="1" outlineLevel="2">
      <c r="A741" s="878" t="s">
        <v>575</v>
      </c>
      <c r="B741" s="879" t="s">
        <v>7864</v>
      </c>
      <c r="C741" s="729" t="s">
        <v>573</v>
      </c>
      <c r="D741" s="924"/>
      <c r="E741" s="878" t="s">
        <v>2336</v>
      </c>
      <c r="F741" s="881" t="s">
        <v>3167</v>
      </c>
      <c r="G741" s="731" t="s">
        <v>3468</v>
      </c>
      <c r="H741" s="1083">
        <v>42401</v>
      </c>
      <c r="I741" s="1084">
        <v>42480</v>
      </c>
      <c r="J741" s="957">
        <v>435.92</v>
      </c>
    </row>
    <row r="742" spans="1:10" s="852" customFormat="1" outlineLevel="2">
      <c r="A742" s="878" t="s">
        <v>572</v>
      </c>
      <c r="B742" s="879" t="s">
        <v>7865</v>
      </c>
      <c r="C742" s="729" t="s">
        <v>573</v>
      </c>
      <c r="D742" s="924"/>
      <c r="E742" s="878" t="s">
        <v>2336</v>
      </c>
      <c r="F742" s="881" t="s">
        <v>5995</v>
      </c>
      <c r="G742" s="731" t="s">
        <v>3464</v>
      </c>
      <c r="H742" s="1083">
        <v>42401</v>
      </c>
      <c r="I742" s="1084">
        <v>42480</v>
      </c>
      <c r="J742" s="957">
        <v>6765.39</v>
      </c>
    </row>
    <row r="743" spans="1:10" s="852" customFormat="1" outlineLevel="2">
      <c r="A743" s="878" t="s">
        <v>572</v>
      </c>
      <c r="B743" s="879" t="s">
        <v>7865</v>
      </c>
      <c r="C743" s="729" t="s">
        <v>573</v>
      </c>
      <c r="D743" s="924"/>
      <c r="E743" s="878" t="s">
        <v>2336</v>
      </c>
      <c r="F743" s="881" t="s">
        <v>5993</v>
      </c>
      <c r="G743" s="731" t="s">
        <v>3460</v>
      </c>
      <c r="H743" s="1083">
        <v>42401</v>
      </c>
      <c r="I743" s="1084">
        <v>42480</v>
      </c>
      <c r="J743" s="957">
        <v>751.71</v>
      </c>
    </row>
    <row r="744" spans="1:10" s="852" customFormat="1" outlineLevel="2">
      <c r="A744" s="878" t="s">
        <v>5931</v>
      </c>
      <c r="B744" s="879" t="s">
        <v>7864</v>
      </c>
      <c r="C744" s="729" t="s">
        <v>573</v>
      </c>
      <c r="D744" s="924"/>
      <c r="E744" s="878" t="s">
        <v>2717</v>
      </c>
      <c r="F744" s="881" t="s">
        <v>434</v>
      </c>
      <c r="G744" s="731" t="str">
        <f>"3523"</f>
        <v>3523</v>
      </c>
      <c r="H744" s="1083">
        <v>42401</v>
      </c>
      <c r="I744" s="1084">
        <v>42467</v>
      </c>
      <c r="J744" s="957">
        <v>2151.48</v>
      </c>
    </row>
    <row r="745" spans="1:10" s="852" customFormat="1" outlineLevel="2">
      <c r="A745" s="878" t="s">
        <v>5931</v>
      </c>
      <c r="B745" s="879" t="s">
        <v>7864</v>
      </c>
      <c r="C745" s="729" t="s">
        <v>573</v>
      </c>
      <c r="D745" s="924"/>
      <c r="E745" s="878" t="s">
        <v>409</v>
      </c>
      <c r="F745" s="881" t="s">
        <v>434</v>
      </c>
      <c r="G745" s="731" t="str">
        <f>"6679"</f>
        <v>6679</v>
      </c>
      <c r="H745" s="1083">
        <v>42401</v>
      </c>
      <c r="I745" s="1084">
        <v>42475</v>
      </c>
      <c r="J745" s="957">
        <v>3184.2</v>
      </c>
    </row>
    <row r="746" spans="1:10" s="852" customFormat="1" outlineLevel="2">
      <c r="A746" s="878" t="s">
        <v>1010</v>
      </c>
      <c r="B746" s="879" t="s">
        <v>7866</v>
      </c>
      <c r="C746" s="729" t="s">
        <v>573</v>
      </c>
      <c r="D746" s="924"/>
      <c r="E746" s="878" t="s">
        <v>2282</v>
      </c>
      <c r="F746" s="881" t="s">
        <v>3974</v>
      </c>
      <c r="G746" s="731" t="s">
        <v>2779</v>
      </c>
      <c r="H746" s="1083">
        <v>42401</v>
      </c>
      <c r="I746" s="1084">
        <v>42471</v>
      </c>
      <c r="J746" s="957">
        <v>305.43</v>
      </c>
    </row>
    <row r="747" spans="1:10" s="852" customFormat="1" outlineLevel="2">
      <c r="A747" s="878" t="s">
        <v>1010</v>
      </c>
      <c r="B747" s="879" t="s">
        <v>7866</v>
      </c>
      <c r="C747" s="729" t="s">
        <v>573</v>
      </c>
      <c r="D747" s="924"/>
      <c r="E747" s="878" t="s">
        <v>2282</v>
      </c>
      <c r="F747" s="881" t="s">
        <v>4081</v>
      </c>
      <c r="G747" s="731" t="s">
        <v>2781</v>
      </c>
      <c r="H747" s="1083">
        <v>42401</v>
      </c>
      <c r="I747" s="1084">
        <v>42471</v>
      </c>
      <c r="J747" s="957">
        <v>9.76</v>
      </c>
    </row>
    <row r="748" spans="1:10" s="852" customFormat="1" outlineLevel="2">
      <c r="A748" s="878" t="s">
        <v>1010</v>
      </c>
      <c r="B748" s="879" t="s">
        <v>7866</v>
      </c>
      <c r="C748" s="729" t="s">
        <v>573</v>
      </c>
      <c r="D748" s="924"/>
      <c r="E748" s="878" t="s">
        <v>2282</v>
      </c>
      <c r="F748" s="881" t="s">
        <v>4165</v>
      </c>
      <c r="G748" s="731" t="s">
        <v>2782</v>
      </c>
      <c r="H748" s="1083">
        <v>42401</v>
      </c>
      <c r="I748" s="1084">
        <v>42471</v>
      </c>
      <c r="J748" s="957">
        <v>115.23</v>
      </c>
    </row>
    <row r="749" spans="1:10" s="852" customFormat="1" outlineLevel="2">
      <c r="A749" s="878" t="s">
        <v>572</v>
      </c>
      <c r="B749" s="879" t="s">
        <v>7865</v>
      </c>
      <c r="C749" s="729" t="s">
        <v>573</v>
      </c>
      <c r="D749" s="924"/>
      <c r="E749" s="878" t="s">
        <v>2691</v>
      </c>
      <c r="F749" s="881" t="s">
        <v>6110</v>
      </c>
      <c r="G749" s="731" t="s">
        <v>3475</v>
      </c>
      <c r="H749" s="1083">
        <v>42401</v>
      </c>
      <c r="I749" s="1084">
        <v>42474</v>
      </c>
      <c r="J749" s="957">
        <v>357.43</v>
      </c>
    </row>
    <row r="750" spans="1:10" s="852" customFormat="1" outlineLevel="2">
      <c r="A750" s="878" t="s">
        <v>575</v>
      </c>
      <c r="B750" s="879" t="s">
        <v>7864</v>
      </c>
      <c r="C750" s="729" t="s">
        <v>573</v>
      </c>
      <c r="D750" s="924"/>
      <c r="E750" s="878" t="s">
        <v>2691</v>
      </c>
      <c r="F750" s="881" t="s">
        <v>6111</v>
      </c>
      <c r="G750" s="731" t="s">
        <v>3477</v>
      </c>
      <c r="H750" s="1083">
        <v>42401</v>
      </c>
      <c r="I750" s="1084">
        <v>42474</v>
      </c>
      <c r="J750" s="957">
        <v>122.1</v>
      </c>
    </row>
    <row r="751" spans="1:10" s="852" customFormat="1" outlineLevel="2">
      <c r="A751" s="878" t="s">
        <v>576</v>
      </c>
      <c r="B751" s="879" t="s">
        <v>7863</v>
      </c>
      <c r="C751" s="729" t="s">
        <v>573</v>
      </c>
      <c r="D751" s="924"/>
      <c r="E751" s="878" t="s">
        <v>2691</v>
      </c>
      <c r="F751" s="881" t="s">
        <v>2999</v>
      </c>
      <c r="G751" s="731" t="s">
        <v>3479</v>
      </c>
      <c r="H751" s="1083">
        <v>42401</v>
      </c>
      <c r="I751" s="1084">
        <v>42474</v>
      </c>
      <c r="J751" s="957">
        <v>465.55</v>
      </c>
    </row>
    <row r="752" spans="1:10" s="852" customFormat="1" outlineLevel="2">
      <c r="A752" s="878" t="s">
        <v>575</v>
      </c>
      <c r="B752" s="879" t="s">
        <v>7864</v>
      </c>
      <c r="C752" s="729" t="s">
        <v>573</v>
      </c>
      <c r="D752" s="924"/>
      <c r="E752" s="878" t="s">
        <v>2691</v>
      </c>
      <c r="F752" s="881" t="s">
        <v>3169</v>
      </c>
      <c r="G752" s="731" t="s">
        <v>3481</v>
      </c>
      <c r="H752" s="1083">
        <v>42401</v>
      </c>
      <c r="I752" s="1084">
        <v>42474</v>
      </c>
      <c r="J752" s="957">
        <v>118.89</v>
      </c>
    </row>
    <row r="753" spans="1:10" s="852" customFormat="1" outlineLevel="2">
      <c r="A753" s="878" t="s">
        <v>575</v>
      </c>
      <c r="B753" s="879" t="s">
        <v>7864</v>
      </c>
      <c r="C753" s="729" t="s">
        <v>573</v>
      </c>
      <c r="D753" s="924"/>
      <c r="E753" s="878" t="s">
        <v>2691</v>
      </c>
      <c r="F753" s="881" t="s">
        <v>3809</v>
      </c>
      <c r="G753" s="731" t="s">
        <v>3483</v>
      </c>
      <c r="H753" s="1083">
        <v>42401</v>
      </c>
      <c r="I753" s="1084">
        <v>42474</v>
      </c>
      <c r="J753" s="957">
        <v>80.33</v>
      </c>
    </row>
    <row r="754" spans="1:10" s="852" customFormat="1" outlineLevel="2">
      <c r="A754" s="878" t="s">
        <v>572</v>
      </c>
      <c r="B754" s="879" t="s">
        <v>7865</v>
      </c>
      <c r="C754" s="729" t="s">
        <v>573</v>
      </c>
      <c r="D754" s="924"/>
      <c r="E754" s="878" t="s">
        <v>2691</v>
      </c>
      <c r="F754" s="881" t="s">
        <v>5461</v>
      </c>
      <c r="G754" s="731" t="s">
        <v>3485</v>
      </c>
      <c r="H754" s="1083">
        <v>42401</v>
      </c>
      <c r="I754" s="1084">
        <v>42474</v>
      </c>
      <c r="J754" s="957">
        <v>3216.97</v>
      </c>
    </row>
    <row r="755" spans="1:10" s="852" customFormat="1" outlineLevel="2">
      <c r="A755" s="878" t="s">
        <v>572</v>
      </c>
      <c r="B755" s="879" t="s">
        <v>7865</v>
      </c>
      <c r="C755" s="729" t="s">
        <v>573</v>
      </c>
      <c r="D755" s="924"/>
      <c r="E755" s="878" t="s">
        <v>508</v>
      </c>
      <c r="F755" s="881" t="s">
        <v>1094</v>
      </c>
      <c r="G755" s="731" t="s">
        <v>5819</v>
      </c>
      <c r="H755" s="1083">
        <v>42430</v>
      </c>
      <c r="I755" s="1084">
        <v>42489</v>
      </c>
      <c r="J755" s="957">
        <v>90654.85</v>
      </c>
    </row>
    <row r="756" spans="1:10" s="852" customFormat="1" outlineLevel="2">
      <c r="A756" s="878" t="s">
        <v>1010</v>
      </c>
      <c r="B756" s="879" t="s">
        <v>7866</v>
      </c>
      <c r="C756" s="729" t="s">
        <v>573</v>
      </c>
      <c r="D756" s="924"/>
      <c r="E756" s="878" t="s">
        <v>1909</v>
      </c>
      <c r="F756" s="881" t="s">
        <v>3935</v>
      </c>
      <c r="G756" s="731" t="s">
        <v>2817</v>
      </c>
      <c r="H756" s="1083">
        <v>42401</v>
      </c>
      <c r="I756" s="1084">
        <v>42480</v>
      </c>
      <c r="J756" s="957">
        <v>91.63</v>
      </c>
    </row>
    <row r="757" spans="1:10" s="852" customFormat="1" outlineLevel="2">
      <c r="A757" s="878" t="s">
        <v>1010</v>
      </c>
      <c r="B757" s="879" t="s">
        <v>7866</v>
      </c>
      <c r="C757" s="729" t="s">
        <v>573</v>
      </c>
      <c r="D757" s="924"/>
      <c r="E757" s="878" t="s">
        <v>1909</v>
      </c>
      <c r="F757" s="881" t="s">
        <v>4027</v>
      </c>
      <c r="G757" s="731" t="s">
        <v>2819</v>
      </c>
      <c r="H757" s="1083">
        <v>42401</v>
      </c>
      <c r="I757" s="1084">
        <v>42480</v>
      </c>
      <c r="J757" s="957">
        <v>2.93</v>
      </c>
    </row>
    <row r="758" spans="1:10" s="852" customFormat="1" outlineLevel="2">
      <c r="A758" s="878" t="s">
        <v>1010</v>
      </c>
      <c r="B758" s="879" t="s">
        <v>7866</v>
      </c>
      <c r="C758" s="729" t="s">
        <v>573</v>
      </c>
      <c r="D758" s="924"/>
      <c r="E758" s="878" t="s">
        <v>1909</v>
      </c>
      <c r="F758" s="881" t="s">
        <v>4129</v>
      </c>
      <c r="G758" s="731" t="s">
        <v>2821</v>
      </c>
      <c r="H758" s="1083">
        <v>42401</v>
      </c>
      <c r="I758" s="1084">
        <v>42480</v>
      </c>
      <c r="J758" s="957">
        <v>34.57</v>
      </c>
    </row>
    <row r="759" spans="1:10" s="852" customFormat="1" outlineLevel="2">
      <c r="A759" s="878" t="s">
        <v>576</v>
      </c>
      <c r="B759" s="879" t="s">
        <v>7863</v>
      </c>
      <c r="C759" s="729" t="s">
        <v>573</v>
      </c>
      <c r="D759" s="924"/>
      <c r="E759" s="878" t="s">
        <v>1909</v>
      </c>
      <c r="F759" s="881" t="s">
        <v>2996</v>
      </c>
      <c r="G759" s="731" t="s">
        <v>3499</v>
      </c>
      <c r="H759" s="1083">
        <v>42401</v>
      </c>
      <c r="I759" s="1084">
        <v>42480</v>
      </c>
      <c r="J759" s="957">
        <v>155.18</v>
      </c>
    </row>
    <row r="760" spans="1:10" s="852" customFormat="1" outlineLevel="2">
      <c r="A760" s="878" t="s">
        <v>575</v>
      </c>
      <c r="B760" s="879" t="s">
        <v>7864</v>
      </c>
      <c r="C760" s="729" t="s">
        <v>573</v>
      </c>
      <c r="D760" s="924"/>
      <c r="E760" s="878" t="s">
        <v>1909</v>
      </c>
      <c r="F760" s="881" t="s">
        <v>6236</v>
      </c>
      <c r="G760" s="731" t="s">
        <v>3491</v>
      </c>
      <c r="H760" s="1083">
        <v>42401</v>
      </c>
      <c r="I760" s="1084">
        <v>42480</v>
      </c>
      <c r="J760" s="957">
        <v>40.700000000000003</v>
      </c>
    </row>
    <row r="761" spans="1:10" s="852" customFormat="1" outlineLevel="2">
      <c r="A761" s="878" t="s">
        <v>575</v>
      </c>
      <c r="B761" s="879" t="s">
        <v>7864</v>
      </c>
      <c r="C761" s="729" t="s">
        <v>573</v>
      </c>
      <c r="D761" s="924"/>
      <c r="E761" s="878" t="s">
        <v>1909</v>
      </c>
      <c r="F761" s="881" t="s">
        <v>3806</v>
      </c>
      <c r="G761" s="731" t="s">
        <v>3509</v>
      </c>
      <c r="H761" s="1083">
        <v>42401</v>
      </c>
      <c r="I761" s="1084">
        <v>42480</v>
      </c>
      <c r="J761" s="957">
        <v>26.78</v>
      </c>
    </row>
    <row r="762" spans="1:10" s="852" customFormat="1" outlineLevel="2">
      <c r="A762" s="878" t="s">
        <v>575</v>
      </c>
      <c r="B762" s="879" t="s">
        <v>7864</v>
      </c>
      <c r="C762" s="729" t="s">
        <v>573</v>
      </c>
      <c r="D762" s="924"/>
      <c r="E762" s="878" t="s">
        <v>1909</v>
      </c>
      <c r="F762" s="881" t="s">
        <v>3166</v>
      </c>
      <c r="G762" s="731" t="s">
        <v>3503</v>
      </c>
      <c r="H762" s="1083">
        <v>42401</v>
      </c>
      <c r="I762" s="1084">
        <v>42480</v>
      </c>
      <c r="J762" s="957">
        <v>39.630000000000003</v>
      </c>
    </row>
    <row r="763" spans="1:10" s="852" customFormat="1" outlineLevel="2">
      <c r="A763" s="878" t="s">
        <v>572</v>
      </c>
      <c r="B763" s="879" t="s">
        <v>7865</v>
      </c>
      <c r="C763" s="729" t="s">
        <v>573</v>
      </c>
      <c r="D763" s="924"/>
      <c r="E763" s="878" t="s">
        <v>1909</v>
      </c>
      <c r="F763" s="881" t="s">
        <v>6237</v>
      </c>
      <c r="G763" s="731" t="s">
        <v>3492</v>
      </c>
      <c r="H763" s="1083">
        <v>42401</v>
      </c>
      <c r="I763" s="1084">
        <v>42480</v>
      </c>
      <c r="J763" s="957">
        <v>1608.48</v>
      </c>
    </row>
    <row r="764" spans="1:10" s="852" customFormat="1" outlineLevel="2">
      <c r="A764" s="878" t="s">
        <v>572</v>
      </c>
      <c r="B764" s="879" t="s">
        <v>7865</v>
      </c>
      <c r="C764" s="729" t="s">
        <v>573</v>
      </c>
      <c r="D764" s="924"/>
      <c r="E764" s="878" t="s">
        <v>1909</v>
      </c>
      <c r="F764" s="881" t="s">
        <v>6235</v>
      </c>
      <c r="G764" s="731" t="s">
        <v>3490</v>
      </c>
      <c r="H764" s="1083">
        <v>42401</v>
      </c>
      <c r="I764" s="1084">
        <v>42480</v>
      </c>
      <c r="J764" s="957">
        <v>178.72</v>
      </c>
    </row>
    <row r="765" spans="1:10" s="852" customFormat="1" ht="28.5" outlineLevel="2">
      <c r="A765" s="878" t="s">
        <v>1010</v>
      </c>
      <c r="B765" s="879" t="s">
        <v>7866</v>
      </c>
      <c r="C765" s="729" t="s">
        <v>573</v>
      </c>
      <c r="D765" s="924"/>
      <c r="E765" s="878" t="s">
        <v>1909</v>
      </c>
      <c r="F765" s="881" t="s">
        <v>4956</v>
      </c>
      <c r="G765" s="731" t="s">
        <v>2833</v>
      </c>
      <c r="H765" s="1083">
        <v>42401</v>
      </c>
      <c r="I765" s="1084">
        <v>42480</v>
      </c>
      <c r="J765" s="957">
        <v>284.05</v>
      </c>
    </row>
    <row r="766" spans="1:10" s="852" customFormat="1" ht="28.5" outlineLevel="2">
      <c r="A766" s="878" t="s">
        <v>1010</v>
      </c>
      <c r="B766" s="879" t="s">
        <v>7866</v>
      </c>
      <c r="C766" s="729" t="s">
        <v>573</v>
      </c>
      <c r="D766" s="924"/>
      <c r="E766" s="878" t="s">
        <v>1909</v>
      </c>
      <c r="F766" s="881" t="s">
        <v>4903</v>
      </c>
      <c r="G766" s="731" t="s">
        <v>2832</v>
      </c>
      <c r="H766" s="1083">
        <v>42401</v>
      </c>
      <c r="I766" s="1084">
        <v>42480</v>
      </c>
      <c r="J766" s="957">
        <v>9.08</v>
      </c>
    </row>
    <row r="767" spans="1:10" s="852" customFormat="1" ht="28.5" outlineLevel="2">
      <c r="A767" s="878" t="s">
        <v>1010</v>
      </c>
      <c r="B767" s="879" t="s">
        <v>7866</v>
      </c>
      <c r="C767" s="729" t="s">
        <v>573</v>
      </c>
      <c r="D767" s="924"/>
      <c r="E767" s="878" t="s">
        <v>1909</v>
      </c>
      <c r="F767" s="881" t="s">
        <v>4853</v>
      </c>
      <c r="G767" s="731" t="s">
        <v>2831</v>
      </c>
      <c r="H767" s="1083">
        <v>42401</v>
      </c>
      <c r="I767" s="1084">
        <v>42480</v>
      </c>
      <c r="J767" s="957">
        <v>107.17</v>
      </c>
    </row>
    <row r="768" spans="1:10" s="852" customFormat="1" ht="28.5" outlineLevel="2">
      <c r="A768" s="878" t="s">
        <v>576</v>
      </c>
      <c r="B768" s="879" t="s">
        <v>7863</v>
      </c>
      <c r="C768" s="729" t="s">
        <v>573</v>
      </c>
      <c r="D768" s="924"/>
      <c r="E768" s="878" t="s">
        <v>1909</v>
      </c>
      <c r="F768" s="881" t="s">
        <v>6234</v>
      </c>
      <c r="G768" s="731" t="s">
        <v>3487</v>
      </c>
      <c r="H768" s="1083">
        <v>42370</v>
      </c>
      <c r="I768" s="1084">
        <v>42480</v>
      </c>
      <c r="J768" s="957">
        <v>771.37</v>
      </c>
    </row>
    <row r="769" spans="1:10" s="852" customFormat="1" ht="28.5" outlineLevel="2">
      <c r="A769" s="878" t="s">
        <v>576</v>
      </c>
      <c r="B769" s="879" t="s">
        <v>7863</v>
      </c>
      <c r="C769" s="729" t="s">
        <v>573</v>
      </c>
      <c r="D769" s="924"/>
      <c r="E769" s="878" t="s">
        <v>1909</v>
      </c>
      <c r="F769" s="881" t="s">
        <v>6234</v>
      </c>
      <c r="G769" s="731" t="s">
        <v>3488</v>
      </c>
      <c r="H769" s="1083">
        <v>42370</v>
      </c>
      <c r="I769" s="1084">
        <v>42480</v>
      </c>
      <c r="J769" s="957">
        <v>771.37</v>
      </c>
    </row>
    <row r="770" spans="1:10" s="852" customFormat="1" ht="28.5" outlineLevel="2">
      <c r="A770" s="878" t="s">
        <v>576</v>
      </c>
      <c r="B770" s="879" t="s">
        <v>7863</v>
      </c>
      <c r="C770" s="729" t="s">
        <v>573</v>
      </c>
      <c r="D770" s="924"/>
      <c r="E770" s="878" t="s">
        <v>1909</v>
      </c>
      <c r="F770" s="881" t="s">
        <v>6234</v>
      </c>
      <c r="G770" s="731" t="s">
        <v>3489</v>
      </c>
      <c r="H770" s="1083">
        <v>42370</v>
      </c>
      <c r="I770" s="1084">
        <v>42480</v>
      </c>
      <c r="J770" s="957">
        <v>-771.37</v>
      </c>
    </row>
    <row r="771" spans="1:10" s="852" customFormat="1" ht="28.5" outlineLevel="2">
      <c r="A771" s="878" t="s">
        <v>575</v>
      </c>
      <c r="B771" s="879" t="s">
        <v>7864</v>
      </c>
      <c r="C771" s="729" t="s">
        <v>573</v>
      </c>
      <c r="D771" s="924"/>
      <c r="E771" s="878" t="s">
        <v>1909</v>
      </c>
      <c r="F771" s="881" t="s">
        <v>2935</v>
      </c>
      <c r="G771" s="731" t="s">
        <v>3493</v>
      </c>
      <c r="H771" s="1083">
        <v>42370</v>
      </c>
      <c r="I771" s="1084">
        <v>42480</v>
      </c>
      <c r="J771" s="957">
        <v>-124.51</v>
      </c>
    </row>
    <row r="772" spans="1:10" s="852" customFormat="1" ht="28.5" outlineLevel="2">
      <c r="A772" s="878" t="s">
        <v>575</v>
      </c>
      <c r="B772" s="879" t="s">
        <v>7864</v>
      </c>
      <c r="C772" s="729" t="s">
        <v>573</v>
      </c>
      <c r="D772" s="924"/>
      <c r="E772" s="878" t="s">
        <v>1909</v>
      </c>
      <c r="F772" s="881" t="s">
        <v>2935</v>
      </c>
      <c r="G772" s="731" t="s">
        <v>3495</v>
      </c>
      <c r="H772" s="1083">
        <v>42370</v>
      </c>
      <c r="I772" s="1084">
        <v>42480</v>
      </c>
      <c r="J772" s="957">
        <v>-124.51</v>
      </c>
    </row>
    <row r="773" spans="1:10" s="852" customFormat="1" ht="28.5" outlineLevel="2">
      <c r="A773" s="878" t="s">
        <v>575</v>
      </c>
      <c r="B773" s="879" t="s">
        <v>7864</v>
      </c>
      <c r="C773" s="729" t="s">
        <v>573</v>
      </c>
      <c r="D773" s="924"/>
      <c r="E773" s="878" t="s">
        <v>1909</v>
      </c>
      <c r="F773" s="881" t="s">
        <v>2935</v>
      </c>
      <c r="G773" s="731" t="s">
        <v>3497</v>
      </c>
      <c r="H773" s="1083">
        <v>42370</v>
      </c>
      <c r="I773" s="1084">
        <v>42480</v>
      </c>
      <c r="J773" s="957">
        <v>124.51</v>
      </c>
    </row>
    <row r="774" spans="1:10" s="852" customFormat="1" ht="28.5" outlineLevel="2">
      <c r="A774" s="878" t="s">
        <v>575</v>
      </c>
      <c r="B774" s="879" t="s">
        <v>7864</v>
      </c>
      <c r="C774" s="729" t="s">
        <v>573</v>
      </c>
      <c r="D774" s="924"/>
      <c r="E774" s="878" t="s">
        <v>1909</v>
      </c>
      <c r="F774" s="881" t="s">
        <v>2935</v>
      </c>
      <c r="G774" s="731" t="s">
        <v>3501</v>
      </c>
      <c r="H774" s="1083">
        <v>42370</v>
      </c>
      <c r="I774" s="1084">
        <v>42480</v>
      </c>
      <c r="J774" s="957">
        <v>124.51</v>
      </c>
    </row>
    <row r="775" spans="1:10" s="852" customFormat="1" ht="28.5" outlineLevel="2">
      <c r="A775" s="878" t="s">
        <v>575</v>
      </c>
      <c r="B775" s="879" t="s">
        <v>7864</v>
      </c>
      <c r="C775" s="729" t="s">
        <v>573</v>
      </c>
      <c r="D775" s="924"/>
      <c r="E775" s="878" t="s">
        <v>1909</v>
      </c>
      <c r="F775" s="881" t="s">
        <v>2935</v>
      </c>
      <c r="G775" s="731" t="s">
        <v>3505</v>
      </c>
      <c r="H775" s="1083">
        <v>42370</v>
      </c>
      <c r="I775" s="1084">
        <v>42480</v>
      </c>
      <c r="J775" s="957">
        <v>124.51</v>
      </c>
    </row>
    <row r="776" spans="1:10" s="852" customFormat="1" ht="28.5" outlineLevel="2">
      <c r="A776" s="878" t="s">
        <v>575</v>
      </c>
      <c r="B776" s="879" t="s">
        <v>7864</v>
      </c>
      <c r="C776" s="729" t="s">
        <v>573</v>
      </c>
      <c r="D776" s="924"/>
      <c r="E776" s="878" t="s">
        <v>1909</v>
      </c>
      <c r="F776" s="881" t="s">
        <v>3675</v>
      </c>
      <c r="G776" s="731" t="s">
        <v>3506</v>
      </c>
      <c r="H776" s="1083">
        <v>42370</v>
      </c>
      <c r="I776" s="1084">
        <v>42480</v>
      </c>
      <c r="J776" s="957">
        <v>-184.27</v>
      </c>
    </row>
    <row r="777" spans="1:10" s="852" customFormat="1" ht="28.5" outlineLevel="2">
      <c r="A777" s="878" t="s">
        <v>575</v>
      </c>
      <c r="B777" s="879" t="s">
        <v>7864</v>
      </c>
      <c r="C777" s="729" t="s">
        <v>573</v>
      </c>
      <c r="D777" s="924"/>
      <c r="E777" s="878" t="s">
        <v>1909</v>
      </c>
      <c r="F777" s="881" t="s">
        <v>3675</v>
      </c>
      <c r="G777" s="731" t="s">
        <v>3507</v>
      </c>
      <c r="H777" s="1083">
        <v>42370</v>
      </c>
      <c r="I777" s="1084">
        <v>42480</v>
      </c>
      <c r="J777" s="957">
        <v>184.27</v>
      </c>
    </row>
    <row r="778" spans="1:10" s="852" customFormat="1" ht="28.5" outlineLevel="2">
      <c r="A778" s="878" t="s">
        <v>575</v>
      </c>
      <c r="B778" s="879" t="s">
        <v>7864</v>
      </c>
      <c r="C778" s="729" t="s">
        <v>573</v>
      </c>
      <c r="D778" s="924"/>
      <c r="E778" s="878" t="s">
        <v>1909</v>
      </c>
      <c r="F778" s="881" t="s">
        <v>3675</v>
      </c>
      <c r="G778" s="731" t="s">
        <v>3508</v>
      </c>
      <c r="H778" s="1083">
        <v>42370</v>
      </c>
      <c r="I778" s="1084">
        <v>42480</v>
      </c>
      <c r="J778" s="957">
        <v>184.27</v>
      </c>
    </row>
    <row r="779" spans="1:10" s="852" customFormat="1" ht="28.5" outlineLevel="2">
      <c r="A779" s="878" t="s">
        <v>572</v>
      </c>
      <c r="B779" s="879" t="s">
        <v>7865</v>
      </c>
      <c r="C779" s="729" t="s">
        <v>573</v>
      </c>
      <c r="D779" s="924"/>
      <c r="E779" s="878" t="s">
        <v>1909</v>
      </c>
      <c r="F779" s="881" t="s">
        <v>4749</v>
      </c>
      <c r="G779" s="731" t="s">
        <v>3510</v>
      </c>
      <c r="H779" s="1083">
        <v>42401</v>
      </c>
      <c r="I779" s="1084">
        <v>42480</v>
      </c>
      <c r="J779" s="957">
        <v>4986.28</v>
      </c>
    </row>
    <row r="780" spans="1:10" s="852" customFormat="1" ht="28.5" outlineLevel="2">
      <c r="A780" s="878" t="s">
        <v>572</v>
      </c>
      <c r="B780" s="879" t="s">
        <v>7865</v>
      </c>
      <c r="C780" s="729" t="s">
        <v>573</v>
      </c>
      <c r="D780" s="924"/>
      <c r="E780" s="878" t="s">
        <v>1909</v>
      </c>
      <c r="F780" s="881" t="s">
        <v>4841</v>
      </c>
      <c r="G780" s="731" t="s">
        <v>3511</v>
      </c>
      <c r="H780" s="1083">
        <v>42401</v>
      </c>
      <c r="I780" s="1084">
        <v>42480</v>
      </c>
      <c r="J780" s="957">
        <v>554.03</v>
      </c>
    </row>
    <row r="781" spans="1:10" s="852" customFormat="1" outlineLevel="2">
      <c r="A781" s="878" t="s">
        <v>1788</v>
      </c>
      <c r="B781" s="879" t="s">
        <v>7871</v>
      </c>
      <c r="C781" s="729" t="s">
        <v>573</v>
      </c>
      <c r="D781" s="924"/>
      <c r="E781" s="878" t="s">
        <v>1752</v>
      </c>
      <c r="F781" s="881" t="s">
        <v>1753</v>
      </c>
      <c r="G781" s="731" t="s">
        <v>5566</v>
      </c>
      <c r="H781" s="1083">
        <v>42430</v>
      </c>
      <c r="I781" s="1084">
        <v>42464</v>
      </c>
      <c r="J781" s="957">
        <v>582.32000000000005</v>
      </c>
    </row>
    <row r="782" spans="1:10" s="852" customFormat="1" outlineLevel="2">
      <c r="A782" s="878" t="s">
        <v>572</v>
      </c>
      <c r="B782" s="879" t="s">
        <v>7865</v>
      </c>
      <c r="C782" s="729" t="s">
        <v>573</v>
      </c>
      <c r="D782" s="924"/>
      <c r="E782" s="878" t="s">
        <v>5842</v>
      </c>
      <c r="F782" s="881" t="s">
        <v>1094</v>
      </c>
      <c r="G782" s="731" t="s">
        <v>5843</v>
      </c>
      <c r="H782" s="1083">
        <v>42430</v>
      </c>
      <c r="I782" s="1084">
        <v>42489</v>
      </c>
      <c r="J782" s="957">
        <v>10072.77</v>
      </c>
    </row>
    <row r="783" spans="1:10" s="852" customFormat="1" outlineLevel="1">
      <c r="A783" s="878"/>
      <c r="B783" s="879" t="s">
        <v>258</v>
      </c>
      <c r="C783" s="908" t="s">
        <v>573</v>
      </c>
      <c r="D783" s="928" t="str">
        <f>VLOOKUP(C783,$C$3691:$D$3771,2,FALSE)</f>
        <v>TOTAL POUPATEMPO  BRAGANÇA PAULISTA</v>
      </c>
      <c r="E783" s="1085"/>
      <c r="F783" s="929"/>
      <c r="G783" s="910"/>
      <c r="H783" s="1086"/>
      <c r="I783" s="1087"/>
      <c r="J783" s="930">
        <f>SUBTOTAL(9,J728:J782)</f>
        <v>160551.76</v>
      </c>
    </row>
    <row r="784" spans="1:10" s="852" customFormat="1" outlineLevel="2">
      <c r="A784" s="878" t="s">
        <v>2223</v>
      </c>
      <c r="B784" s="879" t="s">
        <v>7869</v>
      </c>
      <c r="C784" s="729" t="s">
        <v>578</v>
      </c>
      <c r="D784" s="924"/>
      <c r="E784" s="878" t="s">
        <v>2221</v>
      </c>
      <c r="F784" s="881" t="s">
        <v>863</v>
      </c>
      <c r="G784" s="731" t="s">
        <v>5571</v>
      </c>
      <c r="H784" s="1083">
        <v>42401</v>
      </c>
      <c r="I784" s="1084">
        <v>42465</v>
      </c>
      <c r="J784" s="957">
        <v>4051.04</v>
      </c>
    </row>
    <row r="785" spans="1:10" s="852" customFormat="1" outlineLevel="2">
      <c r="A785" s="878" t="s">
        <v>579</v>
      </c>
      <c r="B785" s="879" t="s">
        <v>7865</v>
      </c>
      <c r="C785" s="729" t="s">
        <v>578</v>
      </c>
      <c r="D785" s="924"/>
      <c r="E785" s="878" t="s">
        <v>533</v>
      </c>
      <c r="F785" s="881" t="s">
        <v>1094</v>
      </c>
      <c r="G785" s="731" t="s">
        <v>5771</v>
      </c>
      <c r="H785" s="1083">
        <v>42430</v>
      </c>
      <c r="I785" s="1084">
        <v>42489</v>
      </c>
      <c r="J785" s="957">
        <v>51010.94</v>
      </c>
    </row>
    <row r="786" spans="1:10" s="852" customFormat="1" outlineLevel="2">
      <c r="A786" s="878" t="s">
        <v>579</v>
      </c>
      <c r="B786" s="879" t="s">
        <v>7865</v>
      </c>
      <c r="C786" s="729" t="s">
        <v>578</v>
      </c>
      <c r="D786" s="924"/>
      <c r="E786" s="878" t="s">
        <v>530</v>
      </c>
      <c r="F786" s="881" t="s">
        <v>1094</v>
      </c>
      <c r="G786" s="731" t="s">
        <v>5777</v>
      </c>
      <c r="H786" s="1083">
        <v>42430</v>
      </c>
      <c r="I786" s="1084">
        <v>42489</v>
      </c>
      <c r="J786" s="957">
        <v>30606.560000000001</v>
      </c>
    </row>
    <row r="787" spans="1:10" s="852" customFormat="1" outlineLevel="2">
      <c r="A787" s="878" t="s">
        <v>579</v>
      </c>
      <c r="B787" s="879" t="s">
        <v>7865</v>
      </c>
      <c r="C787" s="729" t="s">
        <v>578</v>
      </c>
      <c r="D787" s="924"/>
      <c r="E787" s="878" t="s">
        <v>542</v>
      </c>
      <c r="F787" s="881" t="s">
        <v>1094</v>
      </c>
      <c r="G787" s="731" t="s">
        <v>5792</v>
      </c>
      <c r="H787" s="1083">
        <v>42430</v>
      </c>
      <c r="I787" s="1084">
        <v>42489</v>
      </c>
      <c r="J787" s="957">
        <v>20404.38</v>
      </c>
    </row>
    <row r="788" spans="1:10" s="852" customFormat="1" outlineLevel="2">
      <c r="A788" s="878" t="s">
        <v>579</v>
      </c>
      <c r="B788" s="879" t="s">
        <v>7865</v>
      </c>
      <c r="C788" s="729" t="s">
        <v>578</v>
      </c>
      <c r="D788" s="924"/>
      <c r="E788" s="878" t="s">
        <v>2336</v>
      </c>
      <c r="F788" s="881" t="s">
        <v>5996</v>
      </c>
      <c r="G788" s="731" t="s">
        <v>3515</v>
      </c>
      <c r="H788" s="1083">
        <v>42401</v>
      </c>
      <c r="I788" s="1084">
        <v>42480</v>
      </c>
      <c r="J788" s="957">
        <v>6940.26</v>
      </c>
    </row>
    <row r="789" spans="1:10" s="852" customFormat="1" outlineLevel="2">
      <c r="A789" s="878" t="s">
        <v>579</v>
      </c>
      <c r="B789" s="879" t="s">
        <v>7865</v>
      </c>
      <c r="C789" s="729" t="s">
        <v>578</v>
      </c>
      <c r="D789" s="924"/>
      <c r="E789" s="878" t="s">
        <v>2336</v>
      </c>
      <c r="F789" s="881" t="s">
        <v>5998</v>
      </c>
      <c r="G789" s="731" t="s">
        <v>3517</v>
      </c>
      <c r="H789" s="1083">
        <v>42401</v>
      </c>
      <c r="I789" s="1084">
        <v>42480</v>
      </c>
      <c r="J789" s="957">
        <v>1261.1199999999999</v>
      </c>
    </row>
    <row r="790" spans="1:10" s="852" customFormat="1" outlineLevel="2">
      <c r="A790" s="878" t="s">
        <v>579</v>
      </c>
      <c r="B790" s="879" t="s">
        <v>7865</v>
      </c>
      <c r="C790" s="729" t="s">
        <v>578</v>
      </c>
      <c r="D790" s="924"/>
      <c r="E790" s="878" t="s">
        <v>2336</v>
      </c>
      <c r="F790" s="881" t="s">
        <v>5998</v>
      </c>
      <c r="G790" s="731" t="s">
        <v>3517</v>
      </c>
      <c r="H790" s="1083">
        <v>42401</v>
      </c>
      <c r="I790" s="1084">
        <v>42480</v>
      </c>
      <c r="J790" s="957">
        <v>2903.03</v>
      </c>
    </row>
    <row r="791" spans="1:10" s="852" customFormat="1" outlineLevel="2">
      <c r="A791" s="878" t="s">
        <v>579</v>
      </c>
      <c r="B791" s="879" t="s">
        <v>7865</v>
      </c>
      <c r="C791" s="729" t="s">
        <v>578</v>
      </c>
      <c r="D791" s="924"/>
      <c r="E791" s="878" t="s">
        <v>2336</v>
      </c>
      <c r="F791" s="881" t="s">
        <v>5997</v>
      </c>
      <c r="G791" s="731" t="s">
        <v>3516</v>
      </c>
      <c r="H791" s="1083">
        <v>42401</v>
      </c>
      <c r="I791" s="1084">
        <v>42480</v>
      </c>
      <c r="J791" s="957">
        <v>1062.93</v>
      </c>
    </row>
    <row r="792" spans="1:10" s="852" customFormat="1" outlineLevel="2">
      <c r="A792" s="878" t="s">
        <v>579</v>
      </c>
      <c r="B792" s="879" t="s">
        <v>7865</v>
      </c>
      <c r="C792" s="729" t="s">
        <v>578</v>
      </c>
      <c r="D792" s="924"/>
      <c r="E792" s="878" t="s">
        <v>2336</v>
      </c>
      <c r="F792" s="881" t="s">
        <v>5997</v>
      </c>
      <c r="G792" s="731" t="s">
        <v>3516</v>
      </c>
      <c r="H792" s="1083">
        <v>42401</v>
      </c>
      <c r="I792" s="1084">
        <v>42480</v>
      </c>
      <c r="J792" s="957">
        <v>1713.17</v>
      </c>
    </row>
    <row r="793" spans="1:10" s="852" customFormat="1" outlineLevel="2">
      <c r="A793" s="878" t="s">
        <v>995</v>
      </c>
      <c r="B793" s="879" t="s">
        <v>7866</v>
      </c>
      <c r="C793" s="729" t="s">
        <v>578</v>
      </c>
      <c r="D793" s="924"/>
      <c r="E793" s="878" t="s">
        <v>2282</v>
      </c>
      <c r="F793" s="881" t="s">
        <v>3974</v>
      </c>
      <c r="G793" s="731" t="s">
        <v>2779</v>
      </c>
      <c r="H793" s="1083">
        <v>42401</v>
      </c>
      <c r="I793" s="1084">
        <v>42471</v>
      </c>
      <c r="J793" s="957">
        <v>346.73</v>
      </c>
    </row>
    <row r="794" spans="1:10" s="852" customFormat="1" outlineLevel="2">
      <c r="A794" s="878" t="s">
        <v>995</v>
      </c>
      <c r="B794" s="879" t="s">
        <v>7866</v>
      </c>
      <c r="C794" s="729" t="s">
        <v>578</v>
      </c>
      <c r="D794" s="924"/>
      <c r="E794" s="878" t="s">
        <v>2282</v>
      </c>
      <c r="F794" s="881" t="s">
        <v>4081</v>
      </c>
      <c r="G794" s="731" t="s">
        <v>2781</v>
      </c>
      <c r="H794" s="1083">
        <v>42401</v>
      </c>
      <c r="I794" s="1084">
        <v>42471</v>
      </c>
      <c r="J794" s="957">
        <v>11.08</v>
      </c>
    </row>
    <row r="795" spans="1:10" s="852" customFormat="1" outlineLevel="2">
      <c r="A795" s="878" t="s">
        <v>995</v>
      </c>
      <c r="B795" s="879" t="s">
        <v>7866</v>
      </c>
      <c r="C795" s="729" t="s">
        <v>578</v>
      </c>
      <c r="D795" s="924"/>
      <c r="E795" s="878" t="s">
        <v>2282</v>
      </c>
      <c r="F795" s="881" t="s">
        <v>4165</v>
      </c>
      <c r="G795" s="731" t="s">
        <v>2782</v>
      </c>
      <c r="H795" s="1083">
        <v>42401</v>
      </c>
      <c r="I795" s="1084">
        <v>42471</v>
      </c>
      <c r="J795" s="957">
        <v>130.82</v>
      </c>
    </row>
    <row r="796" spans="1:10" s="852" customFormat="1" outlineLevel="2">
      <c r="A796" s="878" t="s">
        <v>579</v>
      </c>
      <c r="B796" s="879" t="s">
        <v>7865</v>
      </c>
      <c r="C796" s="729" t="s">
        <v>578</v>
      </c>
      <c r="D796" s="924"/>
      <c r="E796" s="878" t="s">
        <v>2692</v>
      </c>
      <c r="F796" s="881" t="s">
        <v>6112</v>
      </c>
      <c r="G796" s="731" t="s">
        <v>3523</v>
      </c>
      <c r="H796" s="1083">
        <v>42401</v>
      </c>
      <c r="I796" s="1084">
        <v>42475</v>
      </c>
      <c r="J796" s="957">
        <v>193.25</v>
      </c>
    </row>
    <row r="797" spans="1:10" s="852" customFormat="1" outlineLevel="2">
      <c r="A797" s="878" t="s">
        <v>579</v>
      </c>
      <c r="B797" s="879" t="s">
        <v>7865</v>
      </c>
      <c r="C797" s="729" t="s">
        <v>578</v>
      </c>
      <c r="D797" s="924"/>
      <c r="E797" s="878" t="s">
        <v>2692</v>
      </c>
      <c r="F797" s="881" t="s">
        <v>6112</v>
      </c>
      <c r="G797" s="731" t="s">
        <v>3523</v>
      </c>
      <c r="H797" s="1083">
        <v>42401</v>
      </c>
      <c r="I797" s="1084">
        <v>42475</v>
      </c>
      <c r="J797" s="957">
        <v>311.48</v>
      </c>
    </row>
    <row r="798" spans="1:10" s="852" customFormat="1" outlineLevel="2">
      <c r="A798" s="878" t="s">
        <v>579</v>
      </c>
      <c r="B798" s="879" t="s">
        <v>7865</v>
      </c>
      <c r="C798" s="729" t="s">
        <v>578</v>
      </c>
      <c r="D798" s="924"/>
      <c r="E798" s="878" t="s">
        <v>2692</v>
      </c>
      <c r="F798" s="881" t="s">
        <v>6113</v>
      </c>
      <c r="G798" s="731" t="s">
        <v>3526</v>
      </c>
      <c r="H798" s="1083">
        <v>42401</v>
      </c>
      <c r="I798" s="1084">
        <v>42475</v>
      </c>
      <c r="J798" s="957">
        <v>229.29</v>
      </c>
    </row>
    <row r="799" spans="1:10" s="852" customFormat="1" outlineLevel="2">
      <c r="A799" s="878" t="s">
        <v>579</v>
      </c>
      <c r="B799" s="879" t="s">
        <v>7865</v>
      </c>
      <c r="C799" s="729" t="s">
        <v>578</v>
      </c>
      <c r="D799" s="924"/>
      <c r="E799" s="878" t="s">
        <v>2692</v>
      </c>
      <c r="F799" s="881" t="s">
        <v>6113</v>
      </c>
      <c r="G799" s="731" t="s">
        <v>3526</v>
      </c>
      <c r="H799" s="1083">
        <v>42401</v>
      </c>
      <c r="I799" s="1084">
        <v>42475</v>
      </c>
      <c r="J799" s="957">
        <v>527.82000000000005</v>
      </c>
    </row>
    <row r="800" spans="1:10" s="852" customFormat="1" outlineLevel="2">
      <c r="A800" s="878" t="s">
        <v>579</v>
      </c>
      <c r="B800" s="879" t="s">
        <v>7865</v>
      </c>
      <c r="C800" s="729" t="s">
        <v>578</v>
      </c>
      <c r="D800" s="924"/>
      <c r="E800" s="878" t="s">
        <v>2692</v>
      </c>
      <c r="F800" s="881" t="s">
        <v>5482</v>
      </c>
      <c r="G800" s="731" t="s">
        <v>3529</v>
      </c>
      <c r="H800" s="1083">
        <v>42401</v>
      </c>
      <c r="I800" s="1084">
        <v>42475</v>
      </c>
      <c r="J800" s="957">
        <v>1261.8800000000001</v>
      </c>
    </row>
    <row r="801" spans="1:10" s="852" customFormat="1" outlineLevel="2">
      <c r="A801" s="878" t="s">
        <v>579</v>
      </c>
      <c r="B801" s="879" t="s">
        <v>7865</v>
      </c>
      <c r="C801" s="729" t="s">
        <v>578</v>
      </c>
      <c r="D801" s="924"/>
      <c r="E801" s="878" t="s">
        <v>1909</v>
      </c>
      <c r="F801" s="881" t="s">
        <v>6238</v>
      </c>
      <c r="G801" s="731" t="s">
        <v>3531</v>
      </c>
      <c r="H801" s="1083">
        <v>42401</v>
      </c>
      <c r="I801" s="1084">
        <v>42480</v>
      </c>
      <c r="J801" s="957">
        <v>946.4</v>
      </c>
    </row>
    <row r="802" spans="1:10" s="852" customFormat="1" outlineLevel="2">
      <c r="A802" s="878" t="s">
        <v>995</v>
      </c>
      <c r="B802" s="879" t="s">
        <v>7866</v>
      </c>
      <c r="C802" s="729" t="s">
        <v>578</v>
      </c>
      <c r="D802" s="924"/>
      <c r="E802" s="878" t="s">
        <v>1909</v>
      </c>
      <c r="F802" s="881" t="s">
        <v>3935</v>
      </c>
      <c r="G802" s="731" t="s">
        <v>2817</v>
      </c>
      <c r="H802" s="1083">
        <v>42401</v>
      </c>
      <c r="I802" s="1084">
        <v>42480</v>
      </c>
      <c r="J802" s="957">
        <v>104.01</v>
      </c>
    </row>
    <row r="803" spans="1:10" s="852" customFormat="1" outlineLevel="2">
      <c r="A803" s="878" t="s">
        <v>995</v>
      </c>
      <c r="B803" s="879" t="s">
        <v>7866</v>
      </c>
      <c r="C803" s="729" t="s">
        <v>578</v>
      </c>
      <c r="D803" s="924"/>
      <c r="E803" s="878" t="s">
        <v>1909</v>
      </c>
      <c r="F803" s="881" t="s">
        <v>4027</v>
      </c>
      <c r="G803" s="731" t="s">
        <v>2819</v>
      </c>
      <c r="H803" s="1083">
        <v>42401</v>
      </c>
      <c r="I803" s="1084">
        <v>42480</v>
      </c>
      <c r="J803" s="957">
        <v>3.32</v>
      </c>
    </row>
    <row r="804" spans="1:10" s="852" customFormat="1" outlineLevel="2">
      <c r="A804" s="878" t="s">
        <v>995</v>
      </c>
      <c r="B804" s="879" t="s">
        <v>7866</v>
      </c>
      <c r="C804" s="729" t="s">
        <v>578</v>
      </c>
      <c r="D804" s="924"/>
      <c r="E804" s="878" t="s">
        <v>1909</v>
      </c>
      <c r="F804" s="881" t="s">
        <v>4129</v>
      </c>
      <c r="G804" s="731" t="s">
        <v>2821</v>
      </c>
      <c r="H804" s="1083">
        <v>42401</v>
      </c>
      <c r="I804" s="1084">
        <v>42480</v>
      </c>
      <c r="J804" s="957">
        <v>39.24</v>
      </c>
    </row>
    <row r="805" spans="1:10" s="852" customFormat="1" outlineLevel="2">
      <c r="A805" s="878" t="s">
        <v>579</v>
      </c>
      <c r="B805" s="879" t="s">
        <v>7865</v>
      </c>
      <c r="C805" s="729" t="s">
        <v>578</v>
      </c>
      <c r="D805" s="924"/>
      <c r="E805" s="878" t="s">
        <v>1909</v>
      </c>
      <c r="F805" s="881" t="s">
        <v>6240</v>
      </c>
      <c r="G805" s="731" t="s">
        <v>3535</v>
      </c>
      <c r="H805" s="1083">
        <v>42401</v>
      </c>
      <c r="I805" s="1084">
        <v>42480</v>
      </c>
      <c r="J805" s="957">
        <v>171.97</v>
      </c>
    </row>
    <row r="806" spans="1:10" s="852" customFormat="1" outlineLevel="2">
      <c r="A806" s="878" t="s">
        <v>579</v>
      </c>
      <c r="B806" s="879" t="s">
        <v>7865</v>
      </c>
      <c r="C806" s="729" t="s">
        <v>578</v>
      </c>
      <c r="D806" s="924"/>
      <c r="E806" s="878" t="s">
        <v>1909</v>
      </c>
      <c r="F806" s="881" t="s">
        <v>6240</v>
      </c>
      <c r="G806" s="731" t="s">
        <v>3535</v>
      </c>
      <c r="H806" s="1083">
        <v>42401</v>
      </c>
      <c r="I806" s="1084">
        <v>42480</v>
      </c>
      <c r="J806" s="957">
        <v>395.86</v>
      </c>
    </row>
    <row r="807" spans="1:10" s="852" customFormat="1" outlineLevel="2">
      <c r="A807" s="878" t="s">
        <v>579</v>
      </c>
      <c r="B807" s="879" t="s">
        <v>7865</v>
      </c>
      <c r="C807" s="729" t="s">
        <v>578</v>
      </c>
      <c r="D807" s="924"/>
      <c r="E807" s="878" t="s">
        <v>1909</v>
      </c>
      <c r="F807" s="881" t="s">
        <v>6239</v>
      </c>
      <c r="G807" s="731" t="s">
        <v>3533</v>
      </c>
      <c r="H807" s="1083">
        <v>42401</v>
      </c>
      <c r="I807" s="1084">
        <v>42480</v>
      </c>
      <c r="J807" s="957">
        <v>144.94</v>
      </c>
    </row>
    <row r="808" spans="1:10" s="852" customFormat="1" outlineLevel="2">
      <c r="A808" s="878" t="s">
        <v>579</v>
      </c>
      <c r="B808" s="879" t="s">
        <v>7865</v>
      </c>
      <c r="C808" s="729" t="s">
        <v>578</v>
      </c>
      <c r="D808" s="924"/>
      <c r="E808" s="878" t="s">
        <v>1909</v>
      </c>
      <c r="F808" s="881" t="s">
        <v>6239</v>
      </c>
      <c r="G808" s="731" t="s">
        <v>3533</v>
      </c>
      <c r="H808" s="1083">
        <v>42401</v>
      </c>
      <c r="I808" s="1084">
        <v>42480</v>
      </c>
      <c r="J808" s="957">
        <v>233.61</v>
      </c>
    </row>
    <row r="809" spans="1:10" s="852" customFormat="1" ht="28.5" outlineLevel="2">
      <c r="A809" s="878" t="s">
        <v>579</v>
      </c>
      <c r="B809" s="879" t="s">
        <v>7865</v>
      </c>
      <c r="C809" s="729" t="s">
        <v>578</v>
      </c>
      <c r="D809" s="924"/>
      <c r="E809" s="878" t="s">
        <v>1909</v>
      </c>
      <c r="F809" s="881" t="s">
        <v>5012</v>
      </c>
      <c r="G809" s="731" t="s">
        <v>3545</v>
      </c>
      <c r="H809" s="1083">
        <v>42401</v>
      </c>
      <c r="I809" s="1084">
        <v>42480</v>
      </c>
      <c r="J809" s="957">
        <v>2933.84</v>
      </c>
    </row>
    <row r="810" spans="1:10" s="852" customFormat="1" ht="28.5" outlineLevel="2">
      <c r="A810" s="878" t="s">
        <v>995</v>
      </c>
      <c r="B810" s="879" t="s">
        <v>7866</v>
      </c>
      <c r="C810" s="729" t="s">
        <v>578</v>
      </c>
      <c r="D810" s="924"/>
      <c r="E810" s="878" t="s">
        <v>1909</v>
      </c>
      <c r="F810" s="881" t="s">
        <v>4956</v>
      </c>
      <c r="G810" s="731" t="s">
        <v>2833</v>
      </c>
      <c r="H810" s="1083">
        <v>42401</v>
      </c>
      <c r="I810" s="1084">
        <v>42480</v>
      </c>
      <c r="J810" s="957">
        <v>322.45999999999998</v>
      </c>
    </row>
    <row r="811" spans="1:10" s="852" customFormat="1" ht="28.5" outlineLevel="2">
      <c r="A811" s="878" t="s">
        <v>995</v>
      </c>
      <c r="B811" s="879" t="s">
        <v>7866</v>
      </c>
      <c r="C811" s="729" t="s">
        <v>578</v>
      </c>
      <c r="D811" s="924"/>
      <c r="E811" s="878" t="s">
        <v>1909</v>
      </c>
      <c r="F811" s="881" t="s">
        <v>4903</v>
      </c>
      <c r="G811" s="731" t="s">
        <v>2832</v>
      </c>
      <c r="H811" s="1083">
        <v>42401</v>
      </c>
      <c r="I811" s="1084">
        <v>42480</v>
      </c>
      <c r="J811" s="957">
        <v>10.31</v>
      </c>
    </row>
    <row r="812" spans="1:10" s="852" customFormat="1" ht="28.5" outlineLevel="2">
      <c r="A812" s="878" t="s">
        <v>995</v>
      </c>
      <c r="B812" s="879" t="s">
        <v>7866</v>
      </c>
      <c r="C812" s="729" t="s">
        <v>578</v>
      </c>
      <c r="D812" s="924"/>
      <c r="E812" s="878" t="s">
        <v>1909</v>
      </c>
      <c r="F812" s="881" t="s">
        <v>4853</v>
      </c>
      <c r="G812" s="731" t="s">
        <v>2831</v>
      </c>
      <c r="H812" s="1083">
        <v>42401</v>
      </c>
      <c r="I812" s="1084">
        <v>42480</v>
      </c>
      <c r="J812" s="957">
        <v>121.66</v>
      </c>
    </row>
    <row r="813" spans="1:10" s="852" customFormat="1" ht="28.5" outlineLevel="2">
      <c r="A813" s="878" t="s">
        <v>579</v>
      </c>
      <c r="B813" s="879" t="s">
        <v>7865</v>
      </c>
      <c r="C813" s="729" t="s">
        <v>578</v>
      </c>
      <c r="D813" s="924"/>
      <c r="E813" s="878" t="s">
        <v>1909</v>
      </c>
      <c r="F813" s="881" t="s">
        <v>4672</v>
      </c>
      <c r="G813" s="731" t="s">
        <v>3537</v>
      </c>
      <c r="H813" s="1083">
        <v>42401</v>
      </c>
      <c r="I813" s="1084">
        <v>42480</v>
      </c>
      <c r="J813" s="957">
        <v>533.1</v>
      </c>
    </row>
    <row r="814" spans="1:10" s="852" customFormat="1" ht="28.5" outlineLevel="2">
      <c r="A814" s="878" t="s">
        <v>579</v>
      </c>
      <c r="B814" s="879" t="s">
        <v>7865</v>
      </c>
      <c r="C814" s="729" t="s">
        <v>578</v>
      </c>
      <c r="D814" s="924"/>
      <c r="E814" s="878" t="s">
        <v>1909</v>
      </c>
      <c r="F814" s="881" t="s">
        <v>4672</v>
      </c>
      <c r="G814" s="731" t="s">
        <v>3537</v>
      </c>
      <c r="H814" s="1083">
        <v>42401</v>
      </c>
      <c r="I814" s="1084">
        <v>42480</v>
      </c>
      <c r="J814" s="957">
        <v>1227.19</v>
      </c>
    </row>
    <row r="815" spans="1:10" s="852" customFormat="1" ht="28.5" outlineLevel="2">
      <c r="A815" s="878" t="s">
        <v>579</v>
      </c>
      <c r="B815" s="879" t="s">
        <v>7865</v>
      </c>
      <c r="C815" s="729" t="s">
        <v>578</v>
      </c>
      <c r="D815" s="924"/>
      <c r="E815" s="878" t="s">
        <v>1909</v>
      </c>
      <c r="F815" s="881" t="s">
        <v>4676</v>
      </c>
      <c r="G815" s="731" t="s">
        <v>3539</v>
      </c>
      <c r="H815" s="1083">
        <v>42401</v>
      </c>
      <c r="I815" s="1084">
        <v>42480</v>
      </c>
      <c r="J815" s="957">
        <v>449.33</v>
      </c>
    </row>
    <row r="816" spans="1:10" s="852" customFormat="1" ht="28.5" outlineLevel="2">
      <c r="A816" s="878" t="s">
        <v>579</v>
      </c>
      <c r="B816" s="879" t="s">
        <v>7865</v>
      </c>
      <c r="C816" s="729" t="s">
        <v>578</v>
      </c>
      <c r="D816" s="924"/>
      <c r="E816" s="878" t="s">
        <v>1909</v>
      </c>
      <c r="F816" s="881" t="s">
        <v>4676</v>
      </c>
      <c r="G816" s="731" t="s">
        <v>3539</v>
      </c>
      <c r="H816" s="1083">
        <v>42401</v>
      </c>
      <c r="I816" s="1084">
        <v>42480</v>
      </c>
      <c r="J816" s="957">
        <v>724.2</v>
      </c>
    </row>
    <row r="817" spans="1:10" s="852" customFormat="1" outlineLevel="1">
      <c r="A817" s="878"/>
      <c r="B817" s="879" t="s">
        <v>258</v>
      </c>
      <c r="C817" s="908" t="s">
        <v>578</v>
      </c>
      <c r="D817" s="928" t="str">
        <f>VLOOKUP(C817,$C$3691:$D$3771,2,FALSE)</f>
        <v>TOTAL POUPATEMPO  CAIEIRAS</v>
      </c>
      <c r="E817" s="1085"/>
      <c r="F817" s="929"/>
      <c r="G817" s="910"/>
      <c r="H817" s="1086"/>
      <c r="I817" s="1087"/>
      <c r="J817" s="930">
        <f>SUBTOTAL(9,J784:J816)</f>
        <v>131327.22000000003</v>
      </c>
    </row>
    <row r="818" spans="1:10" s="852" customFormat="1" ht="42.75" outlineLevel="2">
      <c r="A818" s="878" t="s">
        <v>1250</v>
      </c>
      <c r="B818" s="879" t="s">
        <v>7868</v>
      </c>
      <c r="C818" s="729" t="s">
        <v>581</v>
      </c>
      <c r="D818" s="924"/>
      <c r="E818" s="878" t="s">
        <v>1251</v>
      </c>
      <c r="F818" s="881" t="s">
        <v>1233</v>
      </c>
      <c r="G818" s="731" t="s">
        <v>5598</v>
      </c>
      <c r="H818" s="1083">
        <v>42430</v>
      </c>
      <c r="I818" s="1084">
        <v>42471</v>
      </c>
      <c r="J818" s="957">
        <v>22550</v>
      </c>
    </row>
    <row r="819" spans="1:10" s="852" customFormat="1" outlineLevel="2">
      <c r="A819" s="878" t="s">
        <v>5572</v>
      </c>
      <c r="B819" s="879" t="s">
        <v>7869</v>
      </c>
      <c r="C819" s="729" t="s">
        <v>581</v>
      </c>
      <c r="D819" s="924"/>
      <c r="E819" s="878" t="s">
        <v>2221</v>
      </c>
      <c r="F819" s="881" t="s">
        <v>863</v>
      </c>
      <c r="G819" s="731" t="s">
        <v>5571</v>
      </c>
      <c r="H819" s="1083">
        <v>42401</v>
      </c>
      <c r="I819" s="1084">
        <v>42465</v>
      </c>
      <c r="J819" s="957">
        <v>4051.04</v>
      </c>
    </row>
    <row r="820" spans="1:10" s="852" customFormat="1" outlineLevel="2">
      <c r="A820" s="878" t="s">
        <v>6429</v>
      </c>
      <c r="B820" s="879" t="s">
        <v>7863</v>
      </c>
      <c r="C820" s="729" t="s">
        <v>581</v>
      </c>
      <c r="D820" s="924"/>
      <c r="E820" s="878" t="s">
        <v>483</v>
      </c>
      <c r="F820" s="881" t="s">
        <v>2208</v>
      </c>
      <c r="G820" s="731" t="str">
        <f>"16974"</f>
        <v>16974</v>
      </c>
      <c r="H820" s="1083">
        <v>42401</v>
      </c>
      <c r="I820" s="1084">
        <v>42473</v>
      </c>
      <c r="J820" s="957">
        <v>24850.04</v>
      </c>
    </row>
    <row r="821" spans="1:10" s="852" customFormat="1" outlineLevel="2">
      <c r="A821" s="878" t="s">
        <v>5938</v>
      </c>
      <c r="B821" s="879" t="s">
        <v>7864</v>
      </c>
      <c r="C821" s="729" t="s">
        <v>581</v>
      </c>
      <c r="D821" s="924"/>
      <c r="E821" s="878" t="s">
        <v>6470</v>
      </c>
      <c r="F821" s="881" t="s">
        <v>434</v>
      </c>
      <c r="G821" s="731" t="str">
        <f>"2619"</f>
        <v>2619</v>
      </c>
      <c r="H821" s="1083">
        <v>42370</v>
      </c>
      <c r="I821" s="1084">
        <v>42478</v>
      </c>
      <c r="J821" s="957">
        <v>-3409.68</v>
      </c>
    </row>
    <row r="822" spans="1:10" s="852" customFormat="1" outlineLevel="2">
      <c r="A822" s="878" t="s">
        <v>5938</v>
      </c>
      <c r="B822" s="879" t="s">
        <v>7864</v>
      </c>
      <c r="C822" s="729" t="s">
        <v>581</v>
      </c>
      <c r="D822" s="924"/>
      <c r="E822" s="878" t="s">
        <v>6470</v>
      </c>
      <c r="F822" s="881" t="s">
        <v>434</v>
      </c>
      <c r="G822" s="731" t="str">
        <f>"2619"</f>
        <v>2619</v>
      </c>
      <c r="H822" s="1083">
        <v>42370</v>
      </c>
      <c r="I822" s="1084">
        <v>42478</v>
      </c>
      <c r="J822" s="957">
        <v>3409.68</v>
      </c>
    </row>
    <row r="823" spans="1:10" s="852" customFormat="1" outlineLevel="2">
      <c r="A823" s="878" t="s">
        <v>5938</v>
      </c>
      <c r="B823" s="879" t="s">
        <v>7864</v>
      </c>
      <c r="C823" s="729" t="s">
        <v>581</v>
      </c>
      <c r="D823" s="924"/>
      <c r="E823" s="878" t="s">
        <v>6470</v>
      </c>
      <c r="F823" s="881" t="s">
        <v>434</v>
      </c>
      <c r="G823" s="731" t="str">
        <f>"2619"</f>
        <v>2619</v>
      </c>
      <c r="H823" s="1083">
        <v>42370</v>
      </c>
      <c r="I823" s="1084">
        <v>42478</v>
      </c>
      <c r="J823" s="957">
        <v>3409.68</v>
      </c>
    </row>
    <row r="824" spans="1:10" s="852" customFormat="1" outlineLevel="2">
      <c r="A824" s="878" t="s">
        <v>5938</v>
      </c>
      <c r="B824" s="879" t="s">
        <v>7864</v>
      </c>
      <c r="C824" s="729" t="s">
        <v>581</v>
      </c>
      <c r="D824" s="924"/>
      <c r="E824" s="878" t="s">
        <v>6470</v>
      </c>
      <c r="F824" s="881" t="s">
        <v>434</v>
      </c>
      <c r="G824" s="731" t="str">
        <f>"2619"</f>
        <v>2619</v>
      </c>
      <c r="H824" s="1083">
        <v>42370</v>
      </c>
      <c r="I824" s="1084">
        <v>42478</v>
      </c>
      <c r="J824" s="957">
        <v>3409.68</v>
      </c>
    </row>
    <row r="825" spans="1:10" s="852" customFormat="1" outlineLevel="2">
      <c r="A825" s="878" t="s">
        <v>5938</v>
      </c>
      <c r="B825" s="879" t="s">
        <v>7864</v>
      </c>
      <c r="C825" s="729" t="s">
        <v>581</v>
      </c>
      <c r="D825" s="924"/>
      <c r="E825" s="878" t="s">
        <v>6470</v>
      </c>
      <c r="F825" s="881" t="s">
        <v>434</v>
      </c>
      <c r="G825" s="731" t="str">
        <f>"2619"</f>
        <v>2619</v>
      </c>
      <c r="H825" s="1083">
        <v>42370</v>
      </c>
      <c r="I825" s="1084">
        <v>42478</v>
      </c>
      <c r="J825" s="957">
        <v>-3409.68</v>
      </c>
    </row>
    <row r="826" spans="1:10" s="852" customFormat="1" outlineLevel="2">
      <c r="A826" s="878" t="s">
        <v>585</v>
      </c>
      <c r="B826" s="879" t="s">
        <v>7863</v>
      </c>
      <c r="C826" s="729" t="s">
        <v>581</v>
      </c>
      <c r="D826" s="924"/>
      <c r="E826" s="878" t="s">
        <v>2336</v>
      </c>
      <c r="F826" s="881" t="s">
        <v>3001</v>
      </c>
      <c r="G826" s="731" t="s">
        <v>3551</v>
      </c>
      <c r="H826" s="1083">
        <v>42401</v>
      </c>
      <c r="I826" s="1084">
        <v>42480</v>
      </c>
      <c r="J826" s="957">
        <v>3488.84</v>
      </c>
    </row>
    <row r="827" spans="1:10" s="852" customFormat="1" outlineLevel="2">
      <c r="A827" s="878" t="s">
        <v>584</v>
      </c>
      <c r="B827" s="879" t="s">
        <v>7864</v>
      </c>
      <c r="C827" s="729" t="s">
        <v>581</v>
      </c>
      <c r="D827" s="924"/>
      <c r="E827" s="878" t="s">
        <v>2336</v>
      </c>
      <c r="F827" s="881" t="s">
        <v>3823</v>
      </c>
      <c r="G827" s="731" t="s">
        <v>3557</v>
      </c>
      <c r="H827" s="1083">
        <v>42401</v>
      </c>
      <c r="I827" s="1084">
        <v>42480</v>
      </c>
      <c r="J827" s="957">
        <v>478.7</v>
      </c>
    </row>
    <row r="828" spans="1:10" s="852" customFormat="1" outlineLevel="2">
      <c r="A828" s="878" t="s">
        <v>584</v>
      </c>
      <c r="B828" s="879" t="s">
        <v>7864</v>
      </c>
      <c r="C828" s="729" t="s">
        <v>581</v>
      </c>
      <c r="D828" s="924"/>
      <c r="E828" s="878" t="s">
        <v>2336</v>
      </c>
      <c r="F828" s="881" t="s">
        <v>3389</v>
      </c>
      <c r="G828" s="731" t="s">
        <v>3555</v>
      </c>
      <c r="H828" s="1083">
        <v>42401</v>
      </c>
      <c r="I828" s="1084">
        <v>42480</v>
      </c>
      <c r="J828" s="957">
        <v>314.94</v>
      </c>
    </row>
    <row r="829" spans="1:10" s="852" customFormat="1" outlineLevel="2">
      <c r="A829" s="878" t="s">
        <v>584</v>
      </c>
      <c r="B829" s="879" t="s">
        <v>7864</v>
      </c>
      <c r="C829" s="729" t="s">
        <v>581</v>
      </c>
      <c r="D829" s="924"/>
      <c r="E829" s="878" t="s">
        <v>2336</v>
      </c>
      <c r="F829" s="881" t="s">
        <v>3114</v>
      </c>
      <c r="G829" s="731" t="s">
        <v>3553</v>
      </c>
      <c r="H829" s="1083">
        <v>42401</v>
      </c>
      <c r="I829" s="1084">
        <v>42480</v>
      </c>
      <c r="J829" s="957">
        <v>466.11</v>
      </c>
    </row>
    <row r="830" spans="1:10" s="852" customFormat="1" outlineLevel="2">
      <c r="A830" s="878" t="s">
        <v>580</v>
      </c>
      <c r="B830" s="879" t="s">
        <v>7865</v>
      </c>
      <c r="C830" s="729" t="s">
        <v>581</v>
      </c>
      <c r="D830" s="924"/>
      <c r="E830" s="878" t="s">
        <v>2336</v>
      </c>
      <c r="F830" s="881" t="s">
        <v>6000</v>
      </c>
      <c r="G830" s="731" t="s">
        <v>3549</v>
      </c>
      <c r="H830" s="1083">
        <v>42401</v>
      </c>
      <c r="I830" s="1084">
        <v>42480</v>
      </c>
      <c r="J830" s="957">
        <v>4674.5600000000004</v>
      </c>
    </row>
    <row r="831" spans="1:10" s="852" customFormat="1" outlineLevel="2">
      <c r="A831" s="878" t="s">
        <v>580</v>
      </c>
      <c r="B831" s="879" t="s">
        <v>7865</v>
      </c>
      <c r="C831" s="729" t="s">
        <v>581</v>
      </c>
      <c r="D831" s="924"/>
      <c r="E831" s="878" t="s">
        <v>2336</v>
      </c>
      <c r="F831" s="881" t="s">
        <v>5999</v>
      </c>
      <c r="G831" s="731" t="s">
        <v>3547</v>
      </c>
      <c r="H831" s="1083">
        <v>42401</v>
      </c>
      <c r="I831" s="1084">
        <v>42480</v>
      </c>
      <c r="J831" s="957">
        <v>18698.25</v>
      </c>
    </row>
    <row r="832" spans="1:10" s="852" customFormat="1" outlineLevel="2">
      <c r="A832" s="878" t="s">
        <v>5938</v>
      </c>
      <c r="B832" s="879" t="s">
        <v>7864</v>
      </c>
      <c r="C832" s="729" t="s">
        <v>581</v>
      </c>
      <c r="D832" s="924"/>
      <c r="E832" s="878" t="s">
        <v>2717</v>
      </c>
      <c r="F832" s="881" t="s">
        <v>434</v>
      </c>
      <c r="G832" s="731" t="str">
        <f>"3541"</f>
        <v>3541</v>
      </c>
      <c r="H832" s="1083">
        <v>42401</v>
      </c>
      <c r="I832" s="1084">
        <v>42467</v>
      </c>
      <c r="J832" s="957">
        <v>2243.21</v>
      </c>
    </row>
    <row r="833" spans="1:10" s="852" customFormat="1" outlineLevel="2">
      <c r="A833" s="878" t="s">
        <v>5938</v>
      </c>
      <c r="B833" s="879" t="s">
        <v>7864</v>
      </c>
      <c r="C833" s="729" t="s">
        <v>581</v>
      </c>
      <c r="D833" s="924"/>
      <c r="E833" s="878" t="s">
        <v>409</v>
      </c>
      <c r="F833" s="881" t="s">
        <v>434</v>
      </c>
      <c r="G833" s="731" t="str">
        <f>"6698"</f>
        <v>6698</v>
      </c>
      <c r="H833" s="1083">
        <v>42401</v>
      </c>
      <c r="I833" s="1084">
        <v>42475</v>
      </c>
      <c r="J833" s="957">
        <v>3319.94</v>
      </c>
    </row>
    <row r="834" spans="1:10" s="852" customFormat="1" outlineLevel="2">
      <c r="A834" s="878" t="s">
        <v>580</v>
      </c>
      <c r="B834" s="879" t="s">
        <v>7865</v>
      </c>
      <c r="C834" s="729" t="s">
        <v>581</v>
      </c>
      <c r="D834" s="924"/>
      <c r="E834" s="878" t="s">
        <v>582</v>
      </c>
      <c r="F834" s="881" t="s">
        <v>1094</v>
      </c>
      <c r="G834" s="731" t="s">
        <v>5815</v>
      </c>
      <c r="H834" s="1083">
        <v>42430</v>
      </c>
      <c r="I834" s="1084">
        <v>42489</v>
      </c>
      <c r="J834" s="957">
        <v>92177.58</v>
      </c>
    </row>
    <row r="835" spans="1:10" s="852" customFormat="1" outlineLevel="2">
      <c r="A835" s="878" t="s">
        <v>1011</v>
      </c>
      <c r="B835" s="879" t="s">
        <v>7866</v>
      </c>
      <c r="C835" s="729" t="s">
        <v>581</v>
      </c>
      <c r="D835" s="924"/>
      <c r="E835" s="878" t="s">
        <v>2282</v>
      </c>
      <c r="F835" s="881" t="s">
        <v>3974</v>
      </c>
      <c r="G835" s="731" t="s">
        <v>2779</v>
      </c>
      <c r="H835" s="1083">
        <v>42401</v>
      </c>
      <c r="I835" s="1084">
        <v>42471</v>
      </c>
      <c r="J835" s="957">
        <v>887.36</v>
      </c>
    </row>
    <row r="836" spans="1:10" s="852" customFormat="1" outlineLevel="2">
      <c r="A836" s="878" t="s">
        <v>1011</v>
      </c>
      <c r="B836" s="879" t="s">
        <v>7866</v>
      </c>
      <c r="C836" s="729" t="s">
        <v>581</v>
      </c>
      <c r="D836" s="924"/>
      <c r="E836" s="878" t="s">
        <v>2282</v>
      </c>
      <c r="F836" s="881" t="s">
        <v>4081</v>
      </c>
      <c r="G836" s="731" t="s">
        <v>2781</v>
      </c>
      <c r="H836" s="1083">
        <v>42401</v>
      </c>
      <c r="I836" s="1084">
        <v>42471</v>
      </c>
      <c r="J836" s="957">
        <v>28.37</v>
      </c>
    </row>
    <row r="837" spans="1:10" s="852" customFormat="1" outlineLevel="2">
      <c r="A837" s="878" t="s">
        <v>1011</v>
      </c>
      <c r="B837" s="879" t="s">
        <v>7866</v>
      </c>
      <c r="C837" s="729" t="s">
        <v>581</v>
      </c>
      <c r="D837" s="924"/>
      <c r="E837" s="878" t="s">
        <v>2282</v>
      </c>
      <c r="F837" s="881" t="s">
        <v>4165</v>
      </c>
      <c r="G837" s="731" t="s">
        <v>2782</v>
      </c>
      <c r="H837" s="1083">
        <v>42401</v>
      </c>
      <c r="I837" s="1084">
        <v>42471</v>
      </c>
      <c r="J837" s="957">
        <v>334.79</v>
      </c>
    </row>
    <row r="838" spans="1:10" s="852" customFormat="1" outlineLevel="2">
      <c r="A838" s="878" t="s">
        <v>580</v>
      </c>
      <c r="B838" s="879" t="s">
        <v>7865</v>
      </c>
      <c r="C838" s="729" t="s">
        <v>581</v>
      </c>
      <c r="D838" s="924"/>
      <c r="E838" s="878" t="s">
        <v>2693</v>
      </c>
      <c r="F838" s="881" t="s">
        <v>6120</v>
      </c>
      <c r="G838" s="731" t="s">
        <v>3562</v>
      </c>
      <c r="H838" s="1083">
        <v>42401</v>
      </c>
      <c r="I838" s="1084">
        <v>42475</v>
      </c>
      <c r="J838" s="957">
        <v>5450.31</v>
      </c>
    </row>
    <row r="839" spans="1:10" s="852" customFormat="1" outlineLevel="2">
      <c r="A839" s="878" t="s">
        <v>585</v>
      </c>
      <c r="B839" s="879" t="s">
        <v>7863</v>
      </c>
      <c r="C839" s="729" t="s">
        <v>581</v>
      </c>
      <c r="D839" s="924"/>
      <c r="E839" s="878" t="s">
        <v>2693</v>
      </c>
      <c r="F839" s="881" t="s">
        <v>3003</v>
      </c>
      <c r="G839" s="731" t="s">
        <v>3564</v>
      </c>
      <c r="H839" s="1083">
        <v>42401</v>
      </c>
      <c r="I839" s="1084">
        <v>42475</v>
      </c>
      <c r="J839" s="957">
        <v>1585.84</v>
      </c>
    </row>
    <row r="840" spans="1:10" s="852" customFormat="1" outlineLevel="2">
      <c r="A840" s="878" t="s">
        <v>584</v>
      </c>
      <c r="B840" s="879" t="s">
        <v>7864</v>
      </c>
      <c r="C840" s="729" t="s">
        <v>581</v>
      </c>
      <c r="D840" s="924"/>
      <c r="E840" s="878" t="s">
        <v>2693</v>
      </c>
      <c r="F840" s="881" t="s">
        <v>3116</v>
      </c>
      <c r="G840" s="731" t="s">
        <v>3566</v>
      </c>
      <c r="H840" s="1083">
        <v>42401</v>
      </c>
      <c r="I840" s="1084">
        <v>42475</v>
      </c>
      <c r="J840" s="957">
        <v>211.87</v>
      </c>
    </row>
    <row r="841" spans="1:10" s="852" customFormat="1" outlineLevel="2">
      <c r="A841" s="878" t="s">
        <v>584</v>
      </c>
      <c r="B841" s="879" t="s">
        <v>7864</v>
      </c>
      <c r="C841" s="729" t="s">
        <v>581</v>
      </c>
      <c r="D841" s="924"/>
      <c r="E841" s="878" t="s">
        <v>2693</v>
      </c>
      <c r="F841" s="881" t="s">
        <v>3391</v>
      </c>
      <c r="G841" s="731" t="s">
        <v>3568</v>
      </c>
      <c r="H841" s="1083">
        <v>42401</v>
      </c>
      <c r="I841" s="1084">
        <v>42475</v>
      </c>
      <c r="J841" s="957">
        <v>143.15</v>
      </c>
    </row>
    <row r="842" spans="1:10" s="852" customFormat="1" outlineLevel="2">
      <c r="A842" s="878" t="s">
        <v>584</v>
      </c>
      <c r="B842" s="879" t="s">
        <v>7864</v>
      </c>
      <c r="C842" s="729" t="s">
        <v>581</v>
      </c>
      <c r="D842" s="924"/>
      <c r="E842" s="878" t="s">
        <v>2693</v>
      </c>
      <c r="F842" s="881" t="s">
        <v>3824</v>
      </c>
      <c r="G842" s="731" t="s">
        <v>3570</v>
      </c>
      <c r="H842" s="1083">
        <v>42401</v>
      </c>
      <c r="I842" s="1084">
        <v>42475</v>
      </c>
      <c r="J842" s="957">
        <v>217.59</v>
      </c>
    </row>
    <row r="843" spans="1:10" s="852" customFormat="1" outlineLevel="2">
      <c r="A843" s="878" t="s">
        <v>580</v>
      </c>
      <c r="B843" s="879" t="s">
        <v>7865</v>
      </c>
      <c r="C843" s="729" t="s">
        <v>581</v>
      </c>
      <c r="D843" s="924"/>
      <c r="E843" s="878" t="s">
        <v>2693</v>
      </c>
      <c r="F843" s="881" t="s">
        <v>5486</v>
      </c>
      <c r="G843" s="731" t="s">
        <v>3572</v>
      </c>
      <c r="H843" s="1083">
        <v>42401</v>
      </c>
      <c r="I843" s="1084">
        <v>42475</v>
      </c>
      <c r="J843" s="957">
        <v>21801.279999999999</v>
      </c>
    </row>
    <row r="844" spans="1:10" s="852" customFormat="1" outlineLevel="2">
      <c r="A844" s="878" t="s">
        <v>580</v>
      </c>
      <c r="B844" s="879" t="s">
        <v>7865</v>
      </c>
      <c r="C844" s="729" t="s">
        <v>581</v>
      </c>
      <c r="D844" s="924"/>
      <c r="E844" s="878" t="s">
        <v>508</v>
      </c>
      <c r="F844" s="881" t="s">
        <v>1094</v>
      </c>
      <c r="G844" s="731" t="s">
        <v>5816</v>
      </c>
      <c r="H844" s="1083">
        <v>42430</v>
      </c>
      <c r="I844" s="1084">
        <v>42489</v>
      </c>
      <c r="J844" s="957">
        <v>368710.25</v>
      </c>
    </row>
    <row r="845" spans="1:10" s="852" customFormat="1" outlineLevel="2">
      <c r="A845" s="878" t="s">
        <v>1011</v>
      </c>
      <c r="B845" s="879" t="s">
        <v>7866</v>
      </c>
      <c r="C845" s="729" t="s">
        <v>581</v>
      </c>
      <c r="D845" s="924"/>
      <c r="E845" s="878" t="s">
        <v>1909</v>
      </c>
      <c r="F845" s="881" t="s">
        <v>3935</v>
      </c>
      <c r="G845" s="731" t="s">
        <v>2817</v>
      </c>
      <c r="H845" s="1083">
        <v>42401</v>
      </c>
      <c r="I845" s="1084">
        <v>42480</v>
      </c>
      <c r="J845" s="957">
        <v>266.2</v>
      </c>
    </row>
    <row r="846" spans="1:10" s="852" customFormat="1" outlineLevel="2">
      <c r="A846" s="878" t="s">
        <v>1011</v>
      </c>
      <c r="B846" s="879" t="s">
        <v>7866</v>
      </c>
      <c r="C846" s="729" t="s">
        <v>581</v>
      </c>
      <c r="D846" s="924"/>
      <c r="E846" s="878" t="s">
        <v>1909</v>
      </c>
      <c r="F846" s="881" t="s">
        <v>4027</v>
      </c>
      <c r="G846" s="731" t="s">
        <v>2819</v>
      </c>
      <c r="H846" s="1083">
        <v>42401</v>
      </c>
      <c r="I846" s="1084">
        <v>42480</v>
      </c>
      <c r="J846" s="957">
        <v>8.51</v>
      </c>
    </row>
    <row r="847" spans="1:10" s="852" customFormat="1" outlineLevel="2">
      <c r="A847" s="878" t="s">
        <v>1011</v>
      </c>
      <c r="B847" s="879" t="s">
        <v>7866</v>
      </c>
      <c r="C847" s="729" t="s">
        <v>581</v>
      </c>
      <c r="D847" s="924"/>
      <c r="E847" s="878" t="s">
        <v>1909</v>
      </c>
      <c r="F847" s="881" t="s">
        <v>4129</v>
      </c>
      <c r="G847" s="731" t="s">
        <v>2821</v>
      </c>
      <c r="H847" s="1083">
        <v>42401</v>
      </c>
      <c r="I847" s="1084">
        <v>42480</v>
      </c>
      <c r="J847" s="957">
        <v>100.43</v>
      </c>
    </row>
    <row r="848" spans="1:10" s="852" customFormat="1" outlineLevel="2">
      <c r="A848" s="878" t="s">
        <v>585</v>
      </c>
      <c r="B848" s="879" t="s">
        <v>7863</v>
      </c>
      <c r="C848" s="729" t="s">
        <v>581</v>
      </c>
      <c r="D848" s="924"/>
      <c r="E848" s="878" t="s">
        <v>1909</v>
      </c>
      <c r="F848" s="881" t="s">
        <v>3000</v>
      </c>
      <c r="G848" s="731" t="s">
        <v>3590</v>
      </c>
      <c r="H848" s="1083">
        <v>42401</v>
      </c>
      <c r="I848" s="1084">
        <v>42480</v>
      </c>
      <c r="J848" s="957">
        <v>317.17</v>
      </c>
    </row>
    <row r="849" spans="1:10" s="852" customFormat="1" outlineLevel="2">
      <c r="A849" s="878" t="s">
        <v>584</v>
      </c>
      <c r="B849" s="879" t="s">
        <v>7864</v>
      </c>
      <c r="C849" s="729" t="s">
        <v>581</v>
      </c>
      <c r="D849" s="924"/>
      <c r="E849" s="878" t="s">
        <v>1909</v>
      </c>
      <c r="F849" s="881" t="s">
        <v>3821</v>
      </c>
      <c r="G849" s="731" t="s">
        <v>3603</v>
      </c>
      <c r="H849" s="1083">
        <v>42401</v>
      </c>
      <c r="I849" s="1084">
        <v>42480</v>
      </c>
      <c r="J849" s="957">
        <v>43.52</v>
      </c>
    </row>
    <row r="850" spans="1:10" s="852" customFormat="1" outlineLevel="2">
      <c r="A850" s="878" t="s">
        <v>584</v>
      </c>
      <c r="B850" s="879" t="s">
        <v>7864</v>
      </c>
      <c r="C850" s="729" t="s">
        <v>581</v>
      </c>
      <c r="D850" s="924"/>
      <c r="E850" s="878" t="s">
        <v>1909</v>
      </c>
      <c r="F850" s="881" t="s">
        <v>3388</v>
      </c>
      <c r="G850" s="731" t="s">
        <v>3598</v>
      </c>
      <c r="H850" s="1083">
        <v>42401</v>
      </c>
      <c r="I850" s="1084">
        <v>42480</v>
      </c>
      <c r="J850" s="957">
        <v>28.63</v>
      </c>
    </row>
    <row r="851" spans="1:10" s="852" customFormat="1" outlineLevel="2">
      <c r="A851" s="878" t="s">
        <v>584</v>
      </c>
      <c r="B851" s="879" t="s">
        <v>7864</v>
      </c>
      <c r="C851" s="729" t="s">
        <v>581</v>
      </c>
      <c r="D851" s="924"/>
      <c r="E851" s="878" t="s">
        <v>1909</v>
      </c>
      <c r="F851" s="881" t="s">
        <v>3112</v>
      </c>
      <c r="G851" s="731" t="s">
        <v>3594</v>
      </c>
      <c r="H851" s="1083">
        <v>42401</v>
      </c>
      <c r="I851" s="1084">
        <v>42480</v>
      </c>
      <c r="J851" s="957">
        <v>42.37</v>
      </c>
    </row>
    <row r="852" spans="1:10" s="852" customFormat="1" outlineLevel="2">
      <c r="A852" s="878" t="s">
        <v>580</v>
      </c>
      <c r="B852" s="879" t="s">
        <v>7865</v>
      </c>
      <c r="C852" s="729" t="s">
        <v>581</v>
      </c>
      <c r="D852" s="924"/>
      <c r="E852" s="878" t="s">
        <v>1909</v>
      </c>
      <c r="F852" s="881" t="s">
        <v>6243</v>
      </c>
      <c r="G852" s="731" t="s">
        <v>3582</v>
      </c>
      <c r="H852" s="1083">
        <v>42401</v>
      </c>
      <c r="I852" s="1084">
        <v>42480</v>
      </c>
      <c r="J852" s="957">
        <v>1635.09</v>
      </c>
    </row>
    <row r="853" spans="1:10" s="852" customFormat="1" outlineLevel="2">
      <c r="A853" s="878" t="s">
        <v>580</v>
      </c>
      <c r="B853" s="879" t="s">
        <v>7865</v>
      </c>
      <c r="C853" s="729" t="s">
        <v>581</v>
      </c>
      <c r="D853" s="924"/>
      <c r="E853" s="878" t="s">
        <v>1909</v>
      </c>
      <c r="F853" s="881" t="s">
        <v>6242</v>
      </c>
      <c r="G853" s="731" t="s">
        <v>3580</v>
      </c>
      <c r="H853" s="1083">
        <v>42401</v>
      </c>
      <c r="I853" s="1084">
        <v>42480</v>
      </c>
      <c r="J853" s="957">
        <v>6540.38</v>
      </c>
    </row>
    <row r="854" spans="1:10" s="852" customFormat="1" ht="28.5" outlineLevel="2">
      <c r="A854" s="878" t="s">
        <v>1011</v>
      </c>
      <c r="B854" s="879" t="s">
        <v>7866</v>
      </c>
      <c r="C854" s="729" t="s">
        <v>581</v>
      </c>
      <c r="D854" s="924"/>
      <c r="E854" s="878" t="s">
        <v>1909</v>
      </c>
      <c r="F854" s="881" t="s">
        <v>4956</v>
      </c>
      <c r="G854" s="731" t="s">
        <v>2833</v>
      </c>
      <c r="H854" s="1083">
        <v>42401</v>
      </c>
      <c r="I854" s="1084">
        <v>42480</v>
      </c>
      <c r="J854" s="957">
        <v>825.24</v>
      </c>
    </row>
    <row r="855" spans="1:10" s="852" customFormat="1" ht="28.5" outlineLevel="2">
      <c r="A855" s="878" t="s">
        <v>1011</v>
      </c>
      <c r="B855" s="879" t="s">
        <v>7866</v>
      </c>
      <c r="C855" s="729" t="s">
        <v>581</v>
      </c>
      <c r="D855" s="924"/>
      <c r="E855" s="878" t="s">
        <v>1909</v>
      </c>
      <c r="F855" s="881" t="s">
        <v>4903</v>
      </c>
      <c r="G855" s="731" t="s">
        <v>2832</v>
      </c>
      <c r="H855" s="1083">
        <v>42401</v>
      </c>
      <c r="I855" s="1084">
        <v>42480</v>
      </c>
      <c r="J855" s="957">
        <v>26.39</v>
      </c>
    </row>
    <row r="856" spans="1:10" s="852" customFormat="1" ht="28.5" outlineLevel="2">
      <c r="A856" s="878" t="s">
        <v>1011</v>
      </c>
      <c r="B856" s="879" t="s">
        <v>7866</v>
      </c>
      <c r="C856" s="729" t="s">
        <v>581</v>
      </c>
      <c r="D856" s="924"/>
      <c r="E856" s="878" t="s">
        <v>1909</v>
      </c>
      <c r="F856" s="881" t="s">
        <v>4853</v>
      </c>
      <c r="G856" s="731" t="s">
        <v>2831</v>
      </c>
      <c r="H856" s="1083">
        <v>42401</v>
      </c>
      <c r="I856" s="1084">
        <v>42480</v>
      </c>
      <c r="J856" s="957">
        <v>311.36</v>
      </c>
    </row>
    <row r="857" spans="1:10" s="852" customFormat="1" ht="28.5" outlineLevel="2">
      <c r="A857" s="878" t="s">
        <v>585</v>
      </c>
      <c r="B857" s="879" t="s">
        <v>7863</v>
      </c>
      <c r="C857" s="729" t="s">
        <v>581</v>
      </c>
      <c r="D857" s="924"/>
      <c r="E857" s="878" t="s">
        <v>1909</v>
      </c>
      <c r="F857" s="881" t="s">
        <v>6241</v>
      </c>
      <c r="G857" s="731" t="s">
        <v>3574</v>
      </c>
      <c r="H857" s="1083">
        <v>42370</v>
      </c>
      <c r="I857" s="1084">
        <v>42480</v>
      </c>
      <c r="J857" s="957">
        <v>1576.54</v>
      </c>
    </row>
    <row r="858" spans="1:10" s="852" customFormat="1" ht="28.5" outlineLevel="2">
      <c r="A858" s="878" t="s">
        <v>585</v>
      </c>
      <c r="B858" s="879" t="s">
        <v>7863</v>
      </c>
      <c r="C858" s="729" t="s">
        <v>581</v>
      </c>
      <c r="D858" s="924"/>
      <c r="E858" s="878" t="s">
        <v>1909</v>
      </c>
      <c r="F858" s="881" t="s">
        <v>6241</v>
      </c>
      <c r="G858" s="731" t="s">
        <v>3576</v>
      </c>
      <c r="H858" s="1083">
        <v>42370</v>
      </c>
      <c r="I858" s="1084">
        <v>42480</v>
      </c>
      <c r="J858" s="957">
        <v>1576.54</v>
      </c>
    </row>
    <row r="859" spans="1:10" s="852" customFormat="1" ht="28.5" outlineLevel="2">
      <c r="A859" s="878" t="s">
        <v>585</v>
      </c>
      <c r="B859" s="879" t="s">
        <v>7863</v>
      </c>
      <c r="C859" s="729" t="s">
        <v>581</v>
      </c>
      <c r="D859" s="924"/>
      <c r="E859" s="878" t="s">
        <v>1909</v>
      </c>
      <c r="F859" s="881" t="s">
        <v>6241</v>
      </c>
      <c r="G859" s="731" t="s">
        <v>3578</v>
      </c>
      <c r="H859" s="1083">
        <v>42370</v>
      </c>
      <c r="I859" s="1084">
        <v>42480</v>
      </c>
      <c r="J859" s="957">
        <v>-1576.54</v>
      </c>
    </row>
    <row r="860" spans="1:10" s="852" customFormat="1" ht="28.5" outlineLevel="2">
      <c r="A860" s="878" t="s">
        <v>584</v>
      </c>
      <c r="B860" s="879" t="s">
        <v>7864</v>
      </c>
      <c r="C860" s="729" t="s">
        <v>581</v>
      </c>
      <c r="D860" s="924"/>
      <c r="E860" s="878" t="s">
        <v>1909</v>
      </c>
      <c r="F860" s="881" t="s">
        <v>2880</v>
      </c>
      <c r="G860" s="731" t="s">
        <v>3584</v>
      </c>
      <c r="H860" s="1083">
        <v>42370</v>
      </c>
      <c r="I860" s="1084">
        <v>42480</v>
      </c>
      <c r="J860" s="957">
        <v>-133.13</v>
      </c>
    </row>
    <row r="861" spans="1:10" s="852" customFormat="1" ht="28.5" outlineLevel="2">
      <c r="A861" s="878" t="s">
        <v>584</v>
      </c>
      <c r="B861" s="879" t="s">
        <v>7864</v>
      </c>
      <c r="C861" s="729" t="s">
        <v>581</v>
      </c>
      <c r="D861" s="924"/>
      <c r="E861" s="878" t="s">
        <v>1909</v>
      </c>
      <c r="F861" s="881" t="s">
        <v>2880</v>
      </c>
      <c r="G861" s="731" t="s">
        <v>3586</v>
      </c>
      <c r="H861" s="1083">
        <v>42370</v>
      </c>
      <c r="I861" s="1084">
        <v>42480</v>
      </c>
      <c r="J861" s="957">
        <v>-133.13</v>
      </c>
    </row>
    <row r="862" spans="1:10" s="852" customFormat="1" ht="28.5" outlineLevel="2">
      <c r="A862" s="878" t="s">
        <v>584</v>
      </c>
      <c r="B862" s="879" t="s">
        <v>7864</v>
      </c>
      <c r="C862" s="729" t="s">
        <v>581</v>
      </c>
      <c r="D862" s="924"/>
      <c r="E862" s="878" t="s">
        <v>1909</v>
      </c>
      <c r="F862" s="881" t="s">
        <v>2880</v>
      </c>
      <c r="G862" s="731" t="s">
        <v>3588</v>
      </c>
      <c r="H862" s="1083">
        <v>42370</v>
      </c>
      <c r="I862" s="1084">
        <v>42480</v>
      </c>
      <c r="J862" s="957">
        <v>133.13</v>
      </c>
    </row>
    <row r="863" spans="1:10" s="852" customFormat="1" ht="28.5" outlineLevel="2">
      <c r="A863" s="878" t="s">
        <v>584</v>
      </c>
      <c r="B863" s="879" t="s">
        <v>7864</v>
      </c>
      <c r="C863" s="729" t="s">
        <v>581</v>
      </c>
      <c r="D863" s="924"/>
      <c r="E863" s="878" t="s">
        <v>1909</v>
      </c>
      <c r="F863" s="881" t="s">
        <v>2880</v>
      </c>
      <c r="G863" s="731" t="s">
        <v>3592</v>
      </c>
      <c r="H863" s="1083">
        <v>42370</v>
      </c>
      <c r="I863" s="1084">
        <v>42480</v>
      </c>
      <c r="J863" s="957">
        <v>133.13</v>
      </c>
    </row>
    <row r="864" spans="1:10" s="852" customFormat="1" ht="28.5" outlineLevel="2">
      <c r="A864" s="878" t="s">
        <v>584</v>
      </c>
      <c r="B864" s="879" t="s">
        <v>7864</v>
      </c>
      <c r="C864" s="729" t="s">
        <v>581</v>
      </c>
      <c r="D864" s="924"/>
      <c r="E864" s="878" t="s">
        <v>1909</v>
      </c>
      <c r="F864" s="881" t="s">
        <v>2880</v>
      </c>
      <c r="G864" s="731" t="s">
        <v>3596</v>
      </c>
      <c r="H864" s="1083">
        <v>42370</v>
      </c>
      <c r="I864" s="1084">
        <v>42480</v>
      </c>
      <c r="J864" s="957">
        <v>133.13999999999999</v>
      </c>
    </row>
    <row r="865" spans="1:10" s="852" customFormat="1" ht="28.5" outlineLevel="2">
      <c r="A865" s="878" t="s">
        <v>584</v>
      </c>
      <c r="B865" s="879" t="s">
        <v>7864</v>
      </c>
      <c r="C865" s="729" t="s">
        <v>581</v>
      </c>
      <c r="D865" s="924"/>
      <c r="E865" s="878" t="s">
        <v>1909</v>
      </c>
      <c r="F865" s="881" t="s">
        <v>3579</v>
      </c>
      <c r="G865" s="731" t="s">
        <v>3600</v>
      </c>
      <c r="H865" s="1083">
        <v>42370</v>
      </c>
      <c r="I865" s="1084">
        <v>42480</v>
      </c>
      <c r="J865" s="957">
        <v>-197.04</v>
      </c>
    </row>
    <row r="866" spans="1:10" s="852" customFormat="1" ht="28.5" outlineLevel="2">
      <c r="A866" s="878" t="s">
        <v>584</v>
      </c>
      <c r="B866" s="879" t="s">
        <v>7864</v>
      </c>
      <c r="C866" s="729" t="s">
        <v>581</v>
      </c>
      <c r="D866" s="924"/>
      <c r="E866" s="878" t="s">
        <v>1909</v>
      </c>
      <c r="F866" s="881" t="s">
        <v>3579</v>
      </c>
      <c r="G866" s="731" t="s">
        <v>3601</v>
      </c>
      <c r="H866" s="1083">
        <v>42370</v>
      </c>
      <c r="I866" s="1084">
        <v>42480</v>
      </c>
      <c r="J866" s="957">
        <v>197.04</v>
      </c>
    </row>
    <row r="867" spans="1:10" s="852" customFormat="1" ht="28.5" outlineLevel="2">
      <c r="A867" s="878" t="s">
        <v>584</v>
      </c>
      <c r="B867" s="879" t="s">
        <v>7864</v>
      </c>
      <c r="C867" s="729" t="s">
        <v>581</v>
      </c>
      <c r="D867" s="924"/>
      <c r="E867" s="878" t="s">
        <v>1909</v>
      </c>
      <c r="F867" s="881" t="s">
        <v>3579</v>
      </c>
      <c r="G867" s="731" t="s">
        <v>3602</v>
      </c>
      <c r="H867" s="1083">
        <v>42370</v>
      </c>
      <c r="I867" s="1084">
        <v>42480</v>
      </c>
      <c r="J867" s="957">
        <v>197.04</v>
      </c>
    </row>
    <row r="868" spans="1:10" s="852" customFormat="1" ht="28.5" outlineLevel="2">
      <c r="A868" s="878" t="s">
        <v>580</v>
      </c>
      <c r="B868" s="879" t="s">
        <v>7865</v>
      </c>
      <c r="C868" s="729" t="s">
        <v>581</v>
      </c>
      <c r="D868" s="924"/>
      <c r="E868" s="878" t="s">
        <v>1909</v>
      </c>
      <c r="F868" s="881" t="s">
        <v>4603</v>
      </c>
      <c r="G868" s="731" t="s">
        <v>3604</v>
      </c>
      <c r="H868" s="1083">
        <v>42401</v>
      </c>
      <c r="I868" s="1084">
        <v>42480</v>
      </c>
      <c r="J868" s="957">
        <v>5068.79</v>
      </c>
    </row>
    <row r="869" spans="1:10" s="852" customFormat="1" ht="28.5" outlineLevel="2">
      <c r="A869" s="878" t="s">
        <v>580</v>
      </c>
      <c r="B869" s="879" t="s">
        <v>7865</v>
      </c>
      <c r="C869" s="729" t="s">
        <v>581</v>
      </c>
      <c r="D869" s="924"/>
      <c r="E869" s="878" t="s">
        <v>1909</v>
      </c>
      <c r="F869" s="881" t="s">
        <v>4605</v>
      </c>
      <c r="G869" s="731" t="s">
        <v>3606</v>
      </c>
      <c r="H869" s="1083">
        <v>42401</v>
      </c>
      <c r="I869" s="1084">
        <v>42480</v>
      </c>
      <c r="J869" s="957">
        <v>20275.18</v>
      </c>
    </row>
    <row r="870" spans="1:10" s="852" customFormat="1" outlineLevel="1">
      <c r="A870" s="878"/>
      <c r="B870" s="879" t="s">
        <v>258</v>
      </c>
      <c r="C870" s="908" t="s">
        <v>581</v>
      </c>
      <c r="D870" s="928" t="str">
        <f>VLOOKUP(C870,$C$3691:$D$3771,2,FALSE)</f>
        <v>TOTAL POUPATEMPO  CARAPICUÍBA</v>
      </c>
      <c r="E870" s="1085"/>
      <c r="F870" s="929"/>
      <c r="G870" s="910"/>
      <c r="H870" s="1086"/>
      <c r="I870" s="1087"/>
      <c r="J870" s="930">
        <f>SUBTOTAL(9,J818:J869)</f>
        <v>617489.68000000017</v>
      </c>
    </row>
    <row r="871" spans="1:10" s="852" customFormat="1" outlineLevel="2">
      <c r="A871" s="878" t="s">
        <v>2224</v>
      </c>
      <c r="B871" s="879" t="s">
        <v>7869</v>
      </c>
      <c r="C871" s="729" t="s">
        <v>587</v>
      </c>
      <c r="D871" s="924"/>
      <c r="E871" s="878" t="s">
        <v>2221</v>
      </c>
      <c r="F871" s="881" t="s">
        <v>863</v>
      </c>
      <c r="G871" s="731" t="s">
        <v>5571</v>
      </c>
      <c r="H871" s="1083">
        <v>42401</v>
      </c>
      <c r="I871" s="1084">
        <v>42465</v>
      </c>
      <c r="J871" s="957">
        <v>4051.04</v>
      </c>
    </row>
    <row r="872" spans="1:10" s="852" customFormat="1" ht="28.5" outlineLevel="2">
      <c r="A872" s="878" t="s">
        <v>588</v>
      </c>
      <c r="B872" s="879" t="s">
        <v>7865</v>
      </c>
      <c r="C872" s="729" t="s">
        <v>587</v>
      </c>
      <c r="D872" s="924"/>
      <c r="E872" s="878" t="s">
        <v>2336</v>
      </c>
      <c r="F872" s="881" t="s">
        <v>6001</v>
      </c>
      <c r="G872" s="731" t="s">
        <v>3611</v>
      </c>
      <c r="H872" s="1083">
        <v>42401</v>
      </c>
      <c r="I872" s="1084">
        <v>42480</v>
      </c>
      <c r="J872" s="957">
        <v>2464.91</v>
      </c>
    </row>
    <row r="873" spans="1:10" s="852" customFormat="1" ht="28.5" outlineLevel="2">
      <c r="A873" s="878" t="s">
        <v>588</v>
      </c>
      <c r="B873" s="879" t="s">
        <v>7865</v>
      </c>
      <c r="C873" s="729" t="s">
        <v>587</v>
      </c>
      <c r="D873" s="924"/>
      <c r="E873" s="878" t="s">
        <v>2336</v>
      </c>
      <c r="F873" s="881" t="s">
        <v>3007</v>
      </c>
      <c r="G873" s="731" t="s">
        <v>3615</v>
      </c>
      <c r="H873" s="1083">
        <v>42401</v>
      </c>
      <c r="I873" s="1084">
        <v>42480</v>
      </c>
      <c r="J873" s="957">
        <v>4237.42</v>
      </c>
    </row>
    <row r="874" spans="1:10" s="852" customFormat="1" outlineLevel="2">
      <c r="A874" s="878" t="s">
        <v>588</v>
      </c>
      <c r="B874" s="879" t="s">
        <v>7865</v>
      </c>
      <c r="C874" s="729" t="s">
        <v>587</v>
      </c>
      <c r="D874" s="924"/>
      <c r="E874" s="878" t="s">
        <v>2336</v>
      </c>
      <c r="F874" s="881" t="s">
        <v>6002</v>
      </c>
      <c r="G874" s="731" t="s">
        <v>3613</v>
      </c>
      <c r="H874" s="1083">
        <v>42401</v>
      </c>
      <c r="I874" s="1084">
        <v>42480</v>
      </c>
      <c r="J874" s="957">
        <v>1347.87</v>
      </c>
    </row>
    <row r="875" spans="1:10" s="852" customFormat="1" outlineLevel="2">
      <c r="A875" s="878" t="s">
        <v>996</v>
      </c>
      <c r="B875" s="879" t="s">
        <v>7866</v>
      </c>
      <c r="C875" s="729" t="s">
        <v>587</v>
      </c>
      <c r="D875" s="924"/>
      <c r="E875" s="878" t="s">
        <v>2282</v>
      </c>
      <c r="F875" s="881" t="s">
        <v>3974</v>
      </c>
      <c r="G875" s="731" t="s">
        <v>2779</v>
      </c>
      <c r="H875" s="1083">
        <v>42401</v>
      </c>
      <c r="I875" s="1084">
        <v>42471</v>
      </c>
      <c r="J875" s="957">
        <v>359.74</v>
      </c>
    </row>
    <row r="876" spans="1:10" s="852" customFormat="1" outlineLevel="2">
      <c r="A876" s="878" t="s">
        <v>996</v>
      </c>
      <c r="B876" s="879" t="s">
        <v>7866</v>
      </c>
      <c r="C876" s="729" t="s">
        <v>587</v>
      </c>
      <c r="D876" s="924"/>
      <c r="E876" s="878" t="s">
        <v>2282</v>
      </c>
      <c r="F876" s="881" t="s">
        <v>4081</v>
      </c>
      <c r="G876" s="731" t="s">
        <v>2781</v>
      </c>
      <c r="H876" s="1083">
        <v>42401</v>
      </c>
      <c r="I876" s="1084">
        <v>42471</v>
      </c>
      <c r="J876" s="957">
        <v>11.5</v>
      </c>
    </row>
    <row r="877" spans="1:10" s="852" customFormat="1" outlineLevel="2">
      <c r="A877" s="878" t="s">
        <v>996</v>
      </c>
      <c r="B877" s="879" t="s">
        <v>7866</v>
      </c>
      <c r="C877" s="729" t="s">
        <v>587</v>
      </c>
      <c r="D877" s="924"/>
      <c r="E877" s="878" t="s">
        <v>2282</v>
      </c>
      <c r="F877" s="881" t="s">
        <v>4165</v>
      </c>
      <c r="G877" s="731" t="s">
        <v>2782</v>
      </c>
      <c r="H877" s="1083">
        <v>42401</v>
      </c>
      <c r="I877" s="1084">
        <v>42471</v>
      </c>
      <c r="J877" s="957">
        <v>135.72999999999999</v>
      </c>
    </row>
    <row r="878" spans="1:10" s="852" customFormat="1" ht="28.5" outlineLevel="2">
      <c r="A878" s="878" t="s">
        <v>588</v>
      </c>
      <c r="B878" s="879" t="s">
        <v>7865</v>
      </c>
      <c r="C878" s="729" t="s">
        <v>587</v>
      </c>
      <c r="D878" s="924"/>
      <c r="E878" s="878" t="s">
        <v>2694</v>
      </c>
      <c r="F878" s="881" t="s">
        <v>6121</v>
      </c>
      <c r="G878" s="731" t="s">
        <v>3620</v>
      </c>
      <c r="H878" s="1083">
        <v>42401</v>
      </c>
      <c r="I878" s="1084">
        <v>42475</v>
      </c>
      <c r="J878" s="957">
        <v>800.31</v>
      </c>
    </row>
    <row r="879" spans="1:10" s="852" customFormat="1" ht="28.5" outlineLevel="2">
      <c r="A879" s="878" t="s">
        <v>588</v>
      </c>
      <c r="B879" s="879" t="s">
        <v>7865</v>
      </c>
      <c r="C879" s="729" t="s">
        <v>587</v>
      </c>
      <c r="D879" s="924"/>
      <c r="E879" s="878" t="s">
        <v>2694</v>
      </c>
      <c r="F879" s="881" t="s">
        <v>3008</v>
      </c>
      <c r="G879" s="731" t="s">
        <v>3622</v>
      </c>
      <c r="H879" s="1083">
        <v>42401</v>
      </c>
      <c r="I879" s="1084">
        <v>42475</v>
      </c>
      <c r="J879" s="957">
        <v>1375.83</v>
      </c>
    </row>
    <row r="880" spans="1:10" s="852" customFormat="1" outlineLevel="2">
      <c r="A880" s="878" t="s">
        <v>588</v>
      </c>
      <c r="B880" s="879" t="s">
        <v>7865</v>
      </c>
      <c r="C880" s="729" t="s">
        <v>587</v>
      </c>
      <c r="D880" s="924"/>
      <c r="E880" s="878" t="s">
        <v>2694</v>
      </c>
      <c r="F880" s="881" t="s">
        <v>5484</v>
      </c>
      <c r="G880" s="731" t="s">
        <v>3624</v>
      </c>
      <c r="H880" s="1083">
        <v>42401</v>
      </c>
      <c r="I880" s="1084">
        <v>42475</v>
      </c>
      <c r="J880" s="957">
        <v>1375.43</v>
      </c>
    </row>
    <row r="881" spans="1:10" s="852" customFormat="1" outlineLevel="2">
      <c r="A881" s="878" t="s">
        <v>996</v>
      </c>
      <c r="B881" s="879" t="s">
        <v>7866</v>
      </c>
      <c r="C881" s="729" t="s">
        <v>587</v>
      </c>
      <c r="D881" s="924"/>
      <c r="E881" s="878" t="s">
        <v>1909</v>
      </c>
      <c r="F881" s="881" t="s">
        <v>3935</v>
      </c>
      <c r="G881" s="731" t="s">
        <v>2817</v>
      </c>
      <c r="H881" s="1083">
        <v>42401</v>
      </c>
      <c r="I881" s="1084">
        <v>42480</v>
      </c>
      <c r="J881" s="957">
        <v>107.92</v>
      </c>
    </row>
    <row r="882" spans="1:10" s="852" customFormat="1" outlineLevel="2">
      <c r="A882" s="878" t="s">
        <v>996</v>
      </c>
      <c r="B882" s="879" t="s">
        <v>7866</v>
      </c>
      <c r="C882" s="729" t="s">
        <v>587</v>
      </c>
      <c r="D882" s="924"/>
      <c r="E882" s="878" t="s">
        <v>1909</v>
      </c>
      <c r="F882" s="881" t="s">
        <v>4027</v>
      </c>
      <c r="G882" s="731" t="s">
        <v>2819</v>
      </c>
      <c r="H882" s="1083">
        <v>42401</v>
      </c>
      <c r="I882" s="1084">
        <v>42480</v>
      </c>
      <c r="J882" s="957">
        <v>3.45</v>
      </c>
    </row>
    <row r="883" spans="1:10" s="852" customFormat="1" outlineLevel="2">
      <c r="A883" s="878" t="s">
        <v>996</v>
      </c>
      <c r="B883" s="879" t="s">
        <v>7866</v>
      </c>
      <c r="C883" s="729" t="s">
        <v>587</v>
      </c>
      <c r="D883" s="924"/>
      <c r="E883" s="878" t="s">
        <v>1909</v>
      </c>
      <c r="F883" s="881" t="s">
        <v>4129</v>
      </c>
      <c r="G883" s="731" t="s">
        <v>2821</v>
      </c>
      <c r="H883" s="1083">
        <v>42401</v>
      </c>
      <c r="I883" s="1084">
        <v>42480</v>
      </c>
      <c r="J883" s="957">
        <v>40.71</v>
      </c>
    </row>
    <row r="884" spans="1:10" s="852" customFormat="1" ht="28.5" outlineLevel="2">
      <c r="A884" s="878" t="s">
        <v>588</v>
      </c>
      <c r="B884" s="879" t="s">
        <v>7865</v>
      </c>
      <c r="C884" s="729" t="s">
        <v>587</v>
      </c>
      <c r="D884" s="924"/>
      <c r="E884" s="878" t="s">
        <v>1909</v>
      </c>
      <c r="F884" s="881" t="s">
        <v>6244</v>
      </c>
      <c r="G884" s="731" t="s">
        <v>3626</v>
      </c>
      <c r="H884" s="1083">
        <v>42401</v>
      </c>
      <c r="I884" s="1084">
        <v>42480</v>
      </c>
      <c r="J884" s="957">
        <v>400.16</v>
      </c>
    </row>
    <row r="885" spans="1:10" s="852" customFormat="1" ht="28.5" outlineLevel="2">
      <c r="A885" s="878" t="s">
        <v>588</v>
      </c>
      <c r="B885" s="879" t="s">
        <v>7865</v>
      </c>
      <c r="C885" s="729" t="s">
        <v>587</v>
      </c>
      <c r="D885" s="924"/>
      <c r="E885" s="878" t="s">
        <v>1909</v>
      </c>
      <c r="F885" s="881" t="s">
        <v>3005</v>
      </c>
      <c r="G885" s="731" t="s">
        <v>3630</v>
      </c>
      <c r="H885" s="1083">
        <v>42401</v>
      </c>
      <c r="I885" s="1084">
        <v>42480</v>
      </c>
      <c r="J885" s="957">
        <v>687.91</v>
      </c>
    </row>
    <row r="886" spans="1:10" s="852" customFormat="1" outlineLevel="2">
      <c r="A886" s="878" t="s">
        <v>588</v>
      </c>
      <c r="B886" s="879" t="s">
        <v>7865</v>
      </c>
      <c r="C886" s="729" t="s">
        <v>587</v>
      </c>
      <c r="D886" s="924"/>
      <c r="E886" s="878" t="s">
        <v>1909</v>
      </c>
      <c r="F886" s="881" t="s">
        <v>6245</v>
      </c>
      <c r="G886" s="731" t="s">
        <v>3628</v>
      </c>
      <c r="H886" s="1083">
        <v>42401</v>
      </c>
      <c r="I886" s="1084">
        <v>42480</v>
      </c>
      <c r="J886" s="957">
        <v>687.71</v>
      </c>
    </row>
    <row r="887" spans="1:10" s="852" customFormat="1" ht="28.5" outlineLevel="2">
      <c r="A887" s="878" t="s">
        <v>996</v>
      </c>
      <c r="B887" s="879" t="s">
        <v>7866</v>
      </c>
      <c r="C887" s="729" t="s">
        <v>587</v>
      </c>
      <c r="D887" s="924"/>
      <c r="E887" s="878" t="s">
        <v>1909</v>
      </c>
      <c r="F887" s="881" t="s">
        <v>4956</v>
      </c>
      <c r="G887" s="731" t="s">
        <v>2833</v>
      </c>
      <c r="H887" s="1083">
        <v>42401</v>
      </c>
      <c r="I887" s="1084">
        <v>42480</v>
      </c>
      <c r="J887" s="957">
        <v>334.56</v>
      </c>
    </row>
    <row r="888" spans="1:10" s="852" customFormat="1" ht="28.5" outlineLevel="2">
      <c r="A888" s="878" t="s">
        <v>996</v>
      </c>
      <c r="B888" s="879" t="s">
        <v>7866</v>
      </c>
      <c r="C888" s="729" t="s">
        <v>587</v>
      </c>
      <c r="D888" s="924"/>
      <c r="E888" s="878" t="s">
        <v>1909</v>
      </c>
      <c r="F888" s="881" t="s">
        <v>4903</v>
      </c>
      <c r="G888" s="731" t="s">
        <v>2832</v>
      </c>
      <c r="H888" s="1083">
        <v>42401</v>
      </c>
      <c r="I888" s="1084">
        <v>42480</v>
      </c>
      <c r="J888" s="957">
        <v>10.69</v>
      </c>
    </row>
    <row r="889" spans="1:10" s="852" customFormat="1" ht="28.5" outlineLevel="2">
      <c r="A889" s="878" t="s">
        <v>996</v>
      </c>
      <c r="B889" s="879" t="s">
        <v>7866</v>
      </c>
      <c r="C889" s="729" t="s">
        <v>587</v>
      </c>
      <c r="D889" s="924"/>
      <c r="E889" s="878" t="s">
        <v>1909</v>
      </c>
      <c r="F889" s="881" t="s">
        <v>4853</v>
      </c>
      <c r="G889" s="731" t="s">
        <v>2831</v>
      </c>
      <c r="H889" s="1083">
        <v>42401</v>
      </c>
      <c r="I889" s="1084">
        <v>42480</v>
      </c>
      <c r="J889" s="957">
        <v>126.22</v>
      </c>
    </row>
    <row r="890" spans="1:10" s="852" customFormat="1" ht="28.5" outlineLevel="2">
      <c r="A890" s="878" t="s">
        <v>588</v>
      </c>
      <c r="B890" s="879" t="s">
        <v>7865</v>
      </c>
      <c r="C890" s="729" t="s">
        <v>587</v>
      </c>
      <c r="D890" s="924"/>
      <c r="E890" s="878" t="s">
        <v>1909</v>
      </c>
      <c r="F890" s="881" t="s">
        <v>4762</v>
      </c>
      <c r="G890" s="731" t="s">
        <v>3639</v>
      </c>
      <c r="H890" s="1083">
        <v>42401</v>
      </c>
      <c r="I890" s="1084">
        <v>42480</v>
      </c>
      <c r="J890" s="957">
        <v>1240.5</v>
      </c>
    </row>
    <row r="891" spans="1:10" s="852" customFormat="1" ht="28.5" outlineLevel="2">
      <c r="A891" s="878" t="s">
        <v>588</v>
      </c>
      <c r="B891" s="879" t="s">
        <v>7865</v>
      </c>
      <c r="C891" s="729" t="s">
        <v>587</v>
      </c>
      <c r="D891" s="924"/>
      <c r="E891" s="878" t="s">
        <v>1909</v>
      </c>
      <c r="F891" s="881" t="s">
        <v>4713</v>
      </c>
      <c r="G891" s="731" t="s">
        <v>3635</v>
      </c>
      <c r="H891" s="1083">
        <v>42401</v>
      </c>
      <c r="I891" s="1084">
        <v>42480</v>
      </c>
      <c r="J891" s="957">
        <v>2132.5300000000002</v>
      </c>
    </row>
    <row r="892" spans="1:10" s="852" customFormat="1" ht="28.5" outlineLevel="2">
      <c r="A892" s="878" t="s">
        <v>588</v>
      </c>
      <c r="B892" s="879" t="s">
        <v>7865</v>
      </c>
      <c r="C892" s="729" t="s">
        <v>587</v>
      </c>
      <c r="D892" s="924"/>
      <c r="E892" s="878" t="s">
        <v>1909</v>
      </c>
      <c r="F892" s="881" t="s">
        <v>4741</v>
      </c>
      <c r="G892" s="731" t="s">
        <v>3637</v>
      </c>
      <c r="H892" s="1083">
        <v>42401</v>
      </c>
      <c r="I892" s="1084">
        <v>42480</v>
      </c>
      <c r="J892" s="957">
        <v>2131.89</v>
      </c>
    </row>
    <row r="893" spans="1:10" s="852" customFormat="1" outlineLevel="2">
      <c r="A893" s="878" t="s">
        <v>588</v>
      </c>
      <c r="B893" s="879" t="s">
        <v>7865</v>
      </c>
      <c r="C893" s="729" t="s">
        <v>587</v>
      </c>
      <c r="D893" s="924"/>
      <c r="E893" s="878" t="s">
        <v>493</v>
      </c>
      <c r="F893" s="881" t="s">
        <v>1094</v>
      </c>
      <c r="G893" s="731" t="s">
        <v>5836</v>
      </c>
      <c r="H893" s="1083">
        <v>42430</v>
      </c>
      <c r="I893" s="1084">
        <v>42489</v>
      </c>
      <c r="J893" s="957">
        <v>37416</v>
      </c>
    </row>
    <row r="894" spans="1:10" s="852" customFormat="1" outlineLevel="2">
      <c r="A894" s="878" t="s">
        <v>588</v>
      </c>
      <c r="B894" s="879" t="s">
        <v>7865</v>
      </c>
      <c r="C894" s="729" t="s">
        <v>587</v>
      </c>
      <c r="D894" s="924"/>
      <c r="E894" s="878" t="s">
        <v>488</v>
      </c>
      <c r="F894" s="881" t="s">
        <v>1094</v>
      </c>
      <c r="G894" s="731" t="s">
        <v>5849</v>
      </c>
      <c r="H894" s="1083">
        <v>42430</v>
      </c>
      <c r="I894" s="1084">
        <v>42489</v>
      </c>
      <c r="J894" s="957">
        <v>37427.230000000003</v>
      </c>
    </row>
    <row r="895" spans="1:10" s="852" customFormat="1" outlineLevel="2">
      <c r="A895" s="878" t="s">
        <v>588</v>
      </c>
      <c r="B895" s="879" t="s">
        <v>7865</v>
      </c>
      <c r="C895" s="729" t="s">
        <v>587</v>
      </c>
      <c r="D895" s="924"/>
      <c r="E895" s="878" t="s">
        <v>589</v>
      </c>
      <c r="F895" s="881" t="s">
        <v>1094</v>
      </c>
      <c r="G895" s="731" t="s">
        <v>5870</v>
      </c>
      <c r="H895" s="1083">
        <v>42430</v>
      </c>
      <c r="I895" s="1084">
        <v>42489</v>
      </c>
      <c r="J895" s="957">
        <v>40304.28</v>
      </c>
    </row>
    <row r="896" spans="1:10" s="852" customFormat="1" outlineLevel="1">
      <c r="A896" s="878"/>
      <c r="B896" s="879" t="s">
        <v>258</v>
      </c>
      <c r="C896" s="908" t="s">
        <v>587</v>
      </c>
      <c r="D896" s="928" t="str">
        <f>VLOOKUP(C896,$C$3691:$D$3771,2,FALSE)</f>
        <v>TOTAL POUPATEMPO  CATANDUVA</v>
      </c>
      <c r="E896" s="1085"/>
      <c r="F896" s="929"/>
      <c r="G896" s="910"/>
      <c r="H896" s="1086"/>
      <c r="I896" s="1087"/>
      <c r="J896" s="930">
        <f>SUBTOTAL(9,J871:J895)</f>
        <v>139211.54</v>
      </c>
    </row>
    <row r="897" spans="1:10" s="852" customFormat="1" outlineLevel="2">
      <c r="A897" s="878" t="s">
        <v>2225</v>
      </c>
      <c r="B897" s="879" t="s">
        <v>7869</v>
      </c>
      <c r="C897" s="729" t="s">
        <v>591</v>
      </c>
      <c r="D897" s="924"/>
      <c r="E897" s="878" t="s">
        <v>2221</v>
      </c>
      <c r="F897" s="881" t="s">
        <v>863</v>
      </c>
      <c r="G897" s="731" t="s">
        <v>5571</v>
      </c>
      <c r="H897" s="1083">
        <v>42401</v>
      </c>
      <c r="I897" s="1084">
        <v>42465</v>
      </c>
      <c r="J897" s="957">
        <v>4051.04</v>
      </c>
    </row>
    <row r="898" spans="1:10" s="852" customFormat="1" outlineLevel="2">
      <c r="A898" s="878" t="s">
        <v>593</v>
      </c>
      <c r="B898" s="879" t="s">
        <v>7865</v>
      </c>
      <c r="C898" s="729" t="s">
        <v>591</v>
      </c>
      <c r="D898" s="924"/>
      <c r="E898" s="878" t="s">
        <v>533</v>
      </c>
      <c r="F898" s="881" t="s">
        <v>426</v>
      </c>
      <c r="G898" s="731" t="s">
        <v>5776</v>
      </c>
      <c r="H898" s="1083">
        <v>42430</v>
      </c>
      <c r="I898" s="1084">
        <v>42489</v>
      </c>
      <c r="J898" s="957">
        <v>-438</v>
      </c>
    </row>
    <row r="899" spans="1:10" s="852" customFormat="1" outlineLevel="2">
      <c r="A899" s="878" t="s">
        <v>593</v>
      </c>
      <c r="B899" s="879" t="s">
        <v>7865</v>
      </c>
      <c r="C899" s="729" t="s">
        <v>591</v>
      </c>
      <c r="D899" s="924"/>
      <c r="E899" s="878" t="s">
        <v>533</v>
      </c>
      <c r="F899" s="881" t="s">
        <v>1094</v>
      </c>
      <c r="G899" s="731" t="s">
        <v>5772</v>
      </c>
      <c r="H899" s="1083">
        <v>42430</v>
      </c>
      <c r="I899" s="1084">
        <v>42489</v>
      </c>
      <c r="J899" s="957">
        <v>70825.34</v>
      </c>
    </row>
    <row r="900" spans="1:10" s="852" customFormat="1" outlineLevel="2">
      <c r="A900" s="878" t="s">
        <v>6433</v>
      </c>
      <c r="B900" s="879" t="s">
        <v>7863</v>
      </c>
      <c r="C900" s="729" t="s">
        <v>591</v>
      </c>
      <c r="D900" s="924"/>
      <c r="E900" s="878" t="s">
        <v>483</v>
      </c>
      <c r="F900" s="881" t="s">
        <v>2208</v>
      </c>
      <c r="G900" s="731" t="str">
        <f>"16976"</f>
        <v>16976</v>
      </c>
      <c r="H900" s="1083">
        <v>42401</v>
      </c>
      <c r="I900" s="1084">
        <v>42473</v>
      </c>
      <c r="J900" s="957">
        <v>12490.28</v>
      </c>
    </row>
    <row r="901" spans="1:10" s="852" customFormat="1" outlineLevel="2">
      <c r="A901" s="878" t="s">
        <v>593</v>
      </c>
      <c r="B901" s="879" t="s">
        <v>7865</v>
      </c>
      <c r="C901" s="729" t="s">
        <v>591</v>
      </c>
      <c r="D901" s="924"/>
      <c r="E901" s="878" t="s">
        <v>530</v>
      </c>
      <c r="F901" s="881" t="s">
        <v>426</v>
      </c>
      <c r="G901" s="731" t="s">
        <v>5784</v>
      </c>
      <c r="H901" s="1083">
        <v>42430</v>
      </c>
      <c r="I901" s="1084">
        <v>42489</v>
      </c>
      <c r="J901" s="957">
        <v>-262.8</v>
      </c>
    </row>
    <row r="902" spans="1:10" s="852" customFormat="1" outlineLevel="2">
      <c r="A902" s="878" t="s">
        <v>593</v>
      </c>
      <c r="B902" s="879" t="s">
        <v>7865</v>
      </c>
      <c r="C902" s="729" t="s">
        <v>591</v>
      </c>
      <c r="D902" s="924"/>
      <c r="E902" s="878" t="s">
        <v>530</v>
      </c>
      <c r="F902" s="881" t="s">
        <v>1094</v>
      </c>
      <c r="G902" s="731" t="s">
        <v>5778</v>
      </c>
      <c r="H902" s="1083">
        <v>42430</v>
      </c>
      <c r="I902" s="1084">
        <v>42489</v>
      </c>
      <c r="J902" s="957">
        <v>42495.199999999997</v>
      </c>
    </row>
    <row r="903" spans="1:10" s="852" customFormat="1" outlineLevel="2">
      <c r="A903" s="878" t="s">
        <v>593</v>
      </c>
      <c r="B903" s="879" t="s">
        <v>7865</v>
      </c>
      <c r="C903" s="729" t="s">
        <v>591</v>
      </c>
      <c r="D903" s="924"/>
      <c r="E903" s="878" t="s">
        <v>542</v>
      </c>
      <c r="F903" s="881" t="s">
        <v>1094</v>
      </c>
      <c r="G903" s="731" t="s">
        <v>5793</v>
      </c>
      <c r="H903" s="1083">
        <v>42430</v>
      </c>
      <c r="I903" s="1084">
        <v>42489</v>
      </c>
      <c r="J903" s="957">
        <v>28330.13</v>
      </c>
    </row>
    <row r="904" spans="1:10" s="852" customFormat="1" outlineLevel="2">
      <c r="A904" s="878" t="s">
        <v>593</v>
      </c>
      <c r="B904" s="879" t="s">
        <v>7865</v>
      </c>
      <c r="C904" s="729" t="s">
        <v>591</v>
      </c>
      <c r="D904" s="924"/>
      <c r="E904" s="878" t="s">
        <v>542</v>
      </c>
      <c r="F904" s="881" t="s">
        <v>426</v>
      </c>
      <c r="G904" s="731" t="s">
        <v>5797</v>
      </c>
      <c r="H904" s="1083">
        <v>42430</v>
      </c>
      <c r="I904" s="1084">
        <v>42489</v>
      </c>
      <c r="J904" s="957">
        <v>-175.2</v>
      </c>
    </row>
    <row r="905" spans="1:10" s="852" customFormat="1" outlineLevel="2">
      <c r="A905" s="878" t="s">
        <v>5944</v>
      </c>
      <c r="B905" s="879" t="s">
        <v>7864</v>
      </c>
      <c r="C905" s="729" t="s">
        <v>591</v>
      </c>
      <c r="D905" s="924"/>
      <c r="E905" s="878" t="s">
        <v>6470</v>
      </c>
      <c r="F905" s="881" t="s">
        <v>434</v>
      </c>
      <c r="G905" s="731" t="str">
        <f>"2667"</f>
        <v>2667</v>
      </c>
      <c r="H905" s="1083">
        <v>42370</v>
      </c>
      <c r="I905" s="1084">
        <v>42478</v>
      </c>
      <c r="J905" s="957">
        <v>2099.4</v>
      </c>
    </row>
    <row r="906" spans="1:10" s="852" customFormat="1" outlineLevel="2">
      <c r="A906" s="878" t="s">
        <v>5944</v>
      </c>
      <c r="B906" s="879" t="s">
        <v>7864</v>
      </c>
      <c r="C906" s="729" t="s">
        <v>591</v>
      </c>
      <c r="D906" s="924"/>
      <c r="E906" s="878" t="s">
        <v>6470</v>
      </c>
      <c r="F906" s="881" t="s">
        <v>434</v>
      </c>
      <c r="G906" s="731" t="str">
        <f>"2667"</f>
        <v>2667</v>
      </c>
      <c r="H906" s="1083">
        <v>42370</v>
      </c>
      <c r="I906" s="1084">
        <v>42478</v>
      </c>
      <c r="J906" s="957">
        <v>2099.4</v>
      </c>
    </row>
    <row r="907" spans="1:10" s="852" customFormat="1" outlineLevel="2">
      <c r="A907" s="878" t="s">
        <v>5944</v>
      </c>
      <c r="B907" s="879" t="s">
        <v>7864</v>
      </c>
      <c r="C907" s="729" t="s">
        <v>591</v>
      </c>
      <c r="D907" s="924"/>
      <c r="E907" s="878" t="s">
        <v>6470</v>
      </c>
      <c r="F907" s="881" t="s">
        <v>434</v>
      </c>
      <c r="G907" s="731" t="str">
        <f>"2667"</f>
        <v>2667</v>
      </c>
      <c r="H907" s="1083">
        <v>42370</v>
      </c>
      <c r="I907" s="1084">
        <v>42478</v>
      </c>
      <c r="J907" s="957">
        <v>-2099.4</v>
      </c>
    </row>
    <row r="908" spans="1:10" s="852" customFormat="1" outlineLevel="2">
      <c r="A908" s="878" t="s">
        <v>5944</v>
      </c>
      <c r="B908" s="879" t="s">
        <v>7864</v>
      </c>
      <c r="C908" s="729" t="s">
        <v>591</v>
      </c>
      <c r="D908" s="924"/>
      <c r="E908" s="878" t="s">
        <v>6470</v>
      </c>
      <c r="F908" s="881" t="s">
        <v>434</v>
      </c>
      <c r="G908" s="731" t="str">
        <f>"2667"</f>
        <v>2667</v>
      </c>
      <c r="H908" s="1083">
        <v>42370</v>
      </c>
      <c r="I908" s="1084">
        <v>42478</v>
      </c>
      <c r="J908" s="957">
        <v>2099.4</v>
      </c>
    </row>
    <row r="909" spans="1:10" s="852" customFormat="1" outlineLevel="2">
      <c r="A909" s="878" t="s">
        <v>5944</v>
      </c>
      <c r="B909" s="879" t="s">
        <v>7864</v>
      </c>
      <c r="C909" s="729" t="s">
        <v>591</v>
      </c>
      <c r="D909" s="924"/>
      <c r="E909" s="878" t="s">
        <v>6470</v>
      </c>
      <c r="F909" s="881" t="s">
        <v>434</v>
      </c>
      <c r="G909" s="731" t="str">
        <f>"2667"</f>
        <v>2667</v>
      </c>
      <c r="H909" s="1083">
        <v>42370</v>
      </c>
      <c r="I909" s="1084">
        <v>42478</v>
      </c>
      <c r="J909" s="957">
        <v>-2099.4</v>
      </c>
    </row>
    <row r="910" spans="1:10" s="852" customFormat="1" outlineLevel="2">
      <c r="A910" s="878" t="s">
        <v>593</v>
      </c>
      <c r="B910" s="879" t="s">
        <v>7865</v>
      </c>
      <c r="C910" s="729" t="s">
        <v>591</v>
      </c>
      <c r="D910" s="924"/>
      <c r="E910" s="878" t="s">
        <v>2336</v>
      </c>
      <c r="F910" s="881" t="s">
        <v>6004</v>
      </c>
      <c r="G910" s="731" t="s">
        <v>3643</v>
      </c>
      <c r="H910" s="1083">
        <v>42401</v>
      </c>
      <c r="I910" s="1084">
        <v>42480</v>
      </c>
      <c r="J910" s="957">
        <v>9636.1</v>
      </c>
    </row>
    <row r="911" spans="1:10" s="852" customFormat="1" outlineLevel="2">
      <c r="A911" s="878" t="s">
        <v>594</v>
      </c>
      <c r="B911" s="879" t="s">
        <v>7863</v>
      </c>
      <c r="C911" s="729" t="s">
        <v>591</v>
      </c>
      <c r="D911" s="924"/>
      <c r="E911" s="878" t="s">
        <v>2336</v>
      </c>
      <c r="F911" s="881" t="s">
        <v>3797</v>
      </c>
      <c r="G911" s="731" t="s">
        <v>3649</v>
      </c>
      <c r="H911" s="1083">
        <v>42401</v>
      </c>
      <c r="I911" s="1084">
        <v>42480</v>
      </c>
      <c r="J911" s="957">
        <v>1688.91</v>
      </c>
    </row>
    <row r="912" spans="1:10" s="852" customFormat="1" outlineLevel="2">
      <c r="A912" s="878" t="s">
        <v>593</v>
      </c>
      <c r="B912" s="879" t="s">
        <v>7865</v>
      </c>
      <c r="C912" s="729" t="s">
        <v>591</v>
      </c>
      <c r="D912" s="924"/>
      <c r="E912" s="878" t="s">
        <v>2336</v>
      </c>
      <c r="F912" s="881" t="s">
        <v>6005</v>
      </c>
      <c r="G912" s="731" t="s">
        <v>3644</v>
      </c>
      <c r="H912" s="1083">
        <v>42401</v>
      </c>
      <c r="I912" s="1084">
        <v>42480</v>
      </c>
      <c r="J912" s="957">
        <v>5781.66</v>
      </c>
    </row>
    <row r="913" spans="1:10" s="852" customFormat="1" outlineLevel="2">
      <c r="A913" s="878" t="s">
        <v>593</v>
      </c>
      <c r="B913" s="879" t="s">
        <v>7865</v>
      </c>
      <c r="C913" s="729" t="s">
        <v>591</v>
      </c>
      <c r="D913" s="924"/>
      <c r="E913" s="878" t="s">
        <v>2336</v>
      </c>
      <c r="F913" s="881" t="s">
        <v>6003</v>
      </c>
      <c r="G913" s="731" t="s">
        <v>3642</v>
      </c>
      <c r="H913" s="1083">
        <v>42401</v>
      </c>
      <c r="I913" s="1084">
        <v>42480</v>
      </c>
      <c r="J913" s="957">
        <v>1948.84</v>
      </c>
    </row>
    <row r="914" spans="1:10" s="852" customFormat="1" outlineLevel="2">
      <c r="A914" s="878" t="s">
        <v>593</v>
      </c>
      <c r="B914" s="879" t="s">
        <v>7865</v>
      </c>
      <c r="C914" s="729" t="s">
        <v>591</v>
      </c>
      <c r="D914" s="924"/>
      <c r="E914" s="878" t="s">
        <v>2336</v>
      </c>
      <c r="F914" s="881" t="s">
        <v>6003</v>
      </c>
      <c r="G914" s="731" t="s">
        <v>3642</v>
      </c>
      <c r="H914" s="1083">
        <v>42401</v>
      </c>
      <c r="I914" s="1084">
        <v>42480</v>
      </c>
      <c r="J914" s="957">
        <v>1905.59</v>
      </c>
    </row>
    <row r="915" spans="1:10" s="852" customFormat="1" outlineLevel="2">
      <c r="A915" s="878" t="s">
        <v>592</v>
      </c>
      <c r="B915" s="879" t="s">
        <v>7864</v>
      </c>
      <c r="C915" s="729" t="s">
        <v>591</v>
      </c>
      <c r="D915" s="924"/>
      <c r="E915" s="878" t="s">
        <v>2336</v>
      </c>
      <c r="F915" s="881" t="s">
        <v>3461</v>
      </c>
      <c r="G915" s="731" t="s">
        <v>3648</v>
      </c>
      <c r="H915" s="1083">
        <v>42401</v>
      </c>
      <c r="I915" s="1084">
        <v>42480</v>
      </c>
      <c r="J915" s="957">
        <v>294.74</v>
      </c>
    </row>
    <row r="916" spans="1:10" s="852" customFormat="1" outlineLevel="2">
      <c r="A916" s="815" t="s">
        <v>592</v>
      </c>
      <c r="B916" s="816" t="s">
        <v>7864</v>
      </c>
      <c r="C916" s="729" t="s">
        <v>591</v>
      </c>
      <c r="D916" s="924"/>
      <c r="E916" s="878" t="s">
        <v>2336</v>
      </c>
      <c r="F916" s="881" t="s">
        <v>2820</v>
      </c>
      <c r="G916" s="731" t="s">
        <v>3645</v>
      </c>
      <c r="H916" s="1083">
        <v>42401</v>
      </c>
      <c r="I916" s="1084">
        <v>42480</v>
      </c>
      <c r="J916" s="957">
        <v>193.91</v>
      </c>
    </row>
    <row r="917" spans="1:10" s="852" customFormat="1" outlineLevel="2">
      <c r="A917" s="815" t="s">
        <v>592</v>
      </c>
      <c r="B917" s="816" t="s">
        <v>7864</v>
      </c>
      <c r="C917" s="729" t="s">
        <v>591</v>
      </c>
      <c r="D917" s="924"/>
      <c r="E917" s="878" t="s">
        <v>2336</v>
      </c>
      <c r="F917" s="881" t="s">
        <v>3453</v>
      </c>
      <c r="G917" s="731" t="s">
        <v>3646</v>
      </c>
      <c r="H917" s="1083">
        <v>42401</v>
      </c>
      <c r="I917" s="1084">
        <v>42480</v>
      </c>
      <c r="J917" s="957">
        <v>286.99</v>
      </c>
    </row>
    <row r="918" spans="1:10" s="852" customFormat="1" outlineLevel="2">
      <c r="A918" s="815" t="s">
        <v>5944</v>
      </c>
      <c r="B918" s="816" t="s">
        <v>7864</v>
      </c>
      <c r="C918" s="729" t="s">
        <v>591</v>
      </c>
      <c r="D918" s="924"/>
      <c r="E918" s="878" t="s">
        <v>2717</v>
      </c>
      <c r="F918" s="881" t="s">
        <v>434</v>
      </c>
      <c r="G918" s="731" t="str">
        <f>"3563"</f>
        <v>3563</v>
      </c>
      <c r="H918" s="1083">
        <v>42401</v>
      </c>
      <c r="I918" s="1084">
        <v>42467</v>
      </c>
      <c r="J918" s="957">
        <v>1381.17</v>
      </c>
    </row>
    <row r="919" spans="1:10" s="852" customFormat="1" outlineLevel="2">
      <c r="A919" s="815" t="s">
        <v>5944</v>
      </c>
      <c r="B919" s="816" t="s">
        <v>7864</v>
      </c>
      <c r="C919" s="729" t="s">
        <v>591</v>
      </c>
      <c r="D919" s="924"/>
      <c r="E919" s="878" t="s">
        <v>409</v>
      </c>
      <c r="F919" s="881" t="s">
        <v>434</v>
      </c>
      <c r="G919" s="731" t="str">
        <f>"6706"</f>
        <v>6706</v>
      </c>
      <c r="H919" s="1083">
        <v>42401</v>
      </c>
      <c r="I919" s="1084">
        <v>42475</v>
      </c>
      <c r="J919" s="957">
        <v>2044.13</v>
      </c>
    </row>
    <row r="920" spans="1:10" s="852" customFormat="1" outlineLevel="2">
      <c r="A920" s="815" t="s">
        <v>997</v>
      </c>
      <c r="B920" s="816" t="s">
        <v>7866</v>
      </c>
      <c r="C920" s="729" t="s">
        <v>591</v>
      </c>
      <c r="D920" s="924"/>
      <c r="E920" s="878" t="s">
        <v>2282</v>
      </c>
      <c r="F920" s="881" t="s">
        <v>3974</v>
      </c>
      <c r="G920" s="731" t="s">
        <v>2779</v>
      </c>
      <c r="H920" s="1083">
        <v>42401</v>
      </c>
      <c r="I920" s="1084">
        <v>42471</v>
      </c>
      <c r="J920" s="957">
        <v>512.48</v>
      </c>
    </row>
    <row r="921" spans="1:10" s="852" customFormat="1" outlineLevel="2">
      <c r="A921" s="815" t="s">
        <v>997</v>
      </c>
      <c r="B921" s="816" t="s">
        <v>7866</v>
      </c>
      <c r="C921" s="729" t="s">
        <v>591</v>
      </c>
      <c r="D921" s="924"/>
      <c r="E921" s="878" t="s">
        <v>2282</v>
      </c>
      <c r="F921" s="881" t="s">
        <v>4081</v>
      </c>
      <c r="G921" s="731" t="s">
        <v>2781</v>
      </c>
      <c r="H921" s="1083">
        <v>42401</v>
      </c>
      <c r="I921" s="1084">
        <v>42471</v>
      </c>
      <c r="J921" s="957">
        <v>16.38</v>
      </c>
    </row>
    <row r="922" spans="1:10" s="852" customFormat="1" outlineLevel="2">
      <c r="A922" s="815" t="s">
        <v>997</v>
      </c>
      <c r="B922" s="816" t="s">
        <v>7866</v>
      </c>
      <c r="C922" s="729" t="s">
        <v>591</v>
      </c>
      <c r="D922" s="924"/>
      <c r="E922" s="878" t="s">
        <v>2282</v>
      </c>
      <c r="F922" s="881" t="s">
        <v>4165</v>
      </c>
      <c r="G922" s="731" t="s">
        <v>2782</v>
      </c>
      <c r="H922" s="1083">
        <v>42401</v>
      </c>
      <c r="I922" s="1084">
        <v>42471</v>
      </c>
      <c r="J922" s="957">
        <v>193.35</v>
      </c>
    </row>
    <row r="923" spans="1:10" s="852" customFormat="1" outlineLevel="2">
      <c r="A923" s="815" t="s">
        <v>593</v>
      </c>
      <c r="B923" s="816" t="s">
        <v>7865</v>
      </c>
      <c r="C923" s="729" t="s">
        <v>591</v>
      </c>
      <c r="D923" s="924"/>
      <c r="E923" s="878" t="s">
        <v>2695</v>
      </c>
      <c r="F923" s="881" t="s">
        <v>6122</v>
      </c>
      <c r="G923" s="731" t="s">
        <v>3650</v>
      </c>
      <c r="H923" s="1083">
        <v>42401</v>
      </c>
      <c r="I923" s="1084">
        <v>42471</v>
      </c>
      <c r="J923" s="957">
        <v>354.33</v>
      </c>
    </row>
    <row r="924" spans="1:10" s="852" customFormat="1" outlineLevel="2">
      <c r="A924" s="815" t="s">
        <v>593</v>
      </c>
      <c r="B924" s="816" t="s">
        <v>7865</v>
      </c>
      <c r="C924" s="729" t="s">
        <v>591</v>
      </c>
      <c r="D924" s="924"/>
      <c r="E924" s="878" t="s">
        <v>2695</v>
      </c>
      <c r="F924" s="881" t="s">
        <v>6122</v>
      </c>
      <c r="G924" s="731" t="s">
        <v>3650</v>
      </c>
      <c r="H924" s="1083">
        <v>42401</v>
      </c>
      <c r="I924" s="1084">
        <v>42471</v>
      </c>
      <c r="J924" s="957">
        <v>346.46</v>
      </c>
    </row>
    <row r="925" spans="1:10" s="852" customFormat="1" outlineLevel="2">
      <c r="A925" s="815" t="s">
        <v>593</v>
      </c>
      <c r="B925" s="816" t="s">
        <v>7865</v>
      </c>
      <c r="C925" s="729" t="s">
        <v>591</v>
      </c>
      <c r="D925" s="924"/>
      <c r="E925" s="878" t="s">
        <v>2695</v>
      </c>
      <c r="F925" s="881" t="s">
        <v>6123</v>
      </c>
      <c r="G925" s="731" t="s">
        <v>3651</v>
      </c>
      <c r="H925" s="1083">
        <v>42401</v>
      </c>
      <c r="I925" s="1084">
        <v>42471</v>
      </c>
      <c r="J925" s="957">
        <v>1752.01</v>
      </c>
    </row>
    <row r="926" spans="1:10" s="852" customFormat="1" outlineLevel="2">
      <c r="A926" s="815" t="s">
        <v>593</v>
      </c>
      <c r="B926" s="816" t="s">
        <v>7865</v>
      </c>
      <c r="C926" s="729" t="s">
        <v>591</v>
      </c>
      <c r="D926" s="924"/>
      <c r="E926" s="878" t="s">
        <v>2695</v>
      </c>
      <c r="F926" s="881" t="s">
        <v>6124</v>
      </c>
      <c r="G926" s="731" t="s">
        <v>3652</v>
      </c>
      <c r="H926" s="1083">
        <v>42401</v>
      </c>
      <c r="I926" s="1084">
        <v>42471</v>
      </c>
      <c r="J926" s="957">
        <v>1051.21</v>
      </c>
    </row>
    <row r="927" spans="1:10" s="852" customFormat="1" outlineLevel="2">
      <c r="A927" s="815" t="s">
        <v>592</v>
      </c>
      <c r="B927" s="816" t="s">
        <v>7864</v>
      </c>
      <c r="C927" s="729" t="s">
        <v>591</v>
      </c>
      <c r="D927" s="924"/>
      <c r="E927" s="878" t="s">
        <v>2695</v>
      </c>
      <c r="F927" s="881" t="s">
        <v>2822</v>
      </c>
      <c r="G927" s="731" t="s">
        <v>3653</v>
      </c>
      <c r="H927" s="1083">
        <v>42401</v>
      </c>
      <c r="I927" s="1084">
        <v>42471</v>
      </c>
      <c r="J927" s="957">
        <v>88.14</v>
      </c>
    </row>
    <row r="928" spans="1:10" s="852" customFormat="1" outlineLevel="2">
      <c r="A928" s="815" t="s">
        <v>592</v>
      </c>
      <c r="B928" s="816" t="s">
        <v>7864</v>
      </c>
      <c r="C928" s="729" t="s">
        <v>591</v>
      </c>
      <c r="D928" s="924"/>
      <c r="E928" s="878" t="s">
        <v>2695</v>
      </c>
      <c r="F928" s="881" t="s">
        <v>3454</v>
      </c>
      <c r="G928" s="731" t="s">
        <v>3654</v>
      </c>
      <c r="H928" s="1083">
        <v>42401</v>
      </c>
      <c r="I928" s="1084">
        <v>42471</v>
      </c>
      <c r="J928" s="957">
        <v>130.44999999999999</v>
      </c>
    </row>
    <row r="929" spans="1:10" s="852" customFormat="1" outlineLevel="2">
      <c r="A929" s="815" t="s">
        <v>592</v>
      </c>
      <c r="B929" s="816" t="s">
        <v>7864</v>
      </c>
      <c r="C929" s="729" t="s">
        <v>591</v>
      </c>
      <c r="D929" s="924"/>
      <c r="E929" s="878" t="s">
        <v>2695</v>
      </c>
      <c r="F929" s="881" t="s">
        <v>3463</v>
      </c>
      <c r="G929" s="731" t="s">
        <v>3655</v>
      </c>
      <c r="H929" s="1083">
        <v>42401</v>
      </c>
      <c r="I929" s="1084">
        <v>42471</v>
      </c>
      <c r="J929" s="957">
        <v>133.97</v>
      </c>
    </row>
    <row r="930" spans="1:10" s="852" customFormat="1" outlineLevel="2">
      <c r="A930" s="815" t="s">
        <v>594</v>
      </c>
      <c r="B930" s="816" t="s">
        <v>7863</v>
      </c>
      <c r="C930" s="729" t="s">
        <v>591</v>
      </c>
      <c r="D930" s="924"/>
      <c r="E930" s="878" t="s">
        <v>2695</v>
      </c>
      <c r="F930" s="881" t="s">
        <v>5116</v>
      </c>
      <c r="G930" s="731" t="s">
        <v>3656</v>
      </c>
      <c r="H930" s="1083">
        <v>42401</v>
      </c>
      <c r="I930" s="1084">
        <v>42471</v>
      </c>
      <c r="J930" s="957">
        <v>307.10000000000002</v>
      </c>
    </row>
    <row r="931" spans="1:10" s="852" customFormat="1" outlineLevel="2">
      <c r="A931" s="815" t="s">
        <v>593</v>
      </c>
      <c r="B931" s="816" t="s">
        <v>7865</v>
      </c>
      <c r="C931" s="729" t="s">
        <v>591</v>
      </c>
      <c r="D931" s="924"/>
      <c r="E931" s="878" t="s">
        <v>1909</v>
      </c>
      <c r="F931" s="881" t="s">
        <v>6248</v>
      </c>
      <c r="G931" s="731" t="s">
        <v>3663</v>
      </c>
      <c r="H931" s="1083">
        <v>42401</v>
      </c>
      <c r="I931" s="1084">
        <v>42480</v>
      </c>
      <c r="J931" s="957">
        <v>1314.01</v>
      </c>
    </row>
    <row r="932" spans="1:10" s="852" customFormat="1" outlineLevel="2">
      <c r="A932" s="815" t="s">
        <v>997</v>
      </c>
      <c r="B932" s="816" t="s">
        <v>7866</v>
      </c>
      <c r="C932" s="729" t="s">
        <v>591</v>
      </c>
      <c r="D932" s="924"/>
      <c r="E932" s="878" t="s">
        <v>1909</v>
      </c>
      <c r="F932" s="881" t="s">
        <v>3935</v>
      </c>
      <c r="G932" s="731" t="s">
        <v>2817</v>
      </c>
      <c r="H932" s="1083">
        <v>42401</v>
      </c>
      <c r="I932" s="1084">
        <v>42480</v>
      </c>
      <c r="J932" s="957">
        <v>153.74</v>
      </c>
    </row>
    <row r="933" spans="1:10" s="852" customFormat="1" outlineLevel="2">
      <c r="A933" s="815" t="s">
        <v>997</v>
      </c>
      <c r="B933" s="816" t="s">
        <v>7866</v>
      </c>
      <c r="C933" s="729" t="s">
        <v>591</v>
      </c>
      <c r="D933" s="924"/>
      <c r="E933" s="878" t="s">
        <v>1909</v>
      </c>
      <c r="F933" s="881" t="s">
        <v>4027</v>
      </c>
      <c r="G933" s="731" t="s">
        <v>2819</v>
      </c>
      <c r="H933" s="1083">
        <v>42401</v>
      </c>
      <c r="I933" s="1084">
        <v>42480</v>
      </c>
      <c r="J933" s="957">
        <v>4.91</v>
      </c>
    </row>
    <row r="934" spans="1:10" s="852" customFormat="1" outlineLevel="2">
      <c r="A934" s="815" t="s">
        <v>997</v>
      </c>
      <c r="B934" s="816" t="s">
        <v>7866</v>
      </c>
      <c r="C934" s="729" t="s">
        <v>591</v>
      </c>
      <c r="D934" s="924"/>
      <c r="E934" s="878" t="s">
        <v>1909</v>
      </c>
      <c r="F934" s="881" t="s">
        <v>4129</v>
      </c>
      <c r="G934" s="731" t="s">
        <v>2821</v>
      </c>
      <c r="H934" s="1083">
        <v>42401</v>
      </c>
      <c r="I934" s="1084">
        <v>42480</v>
      </c>
      <c r="J934" s="957">
        <v>58</v>
      </c>
    </row>
    <row r="935" spans="1:10" s="852" customFormat="1" outlineLevel="2">
      <c r="A935" s="815" t="s">
        <v>594</v>
      </c>
      <c r="B935" s="816" t="s">
        <v>7863</v>
      </c>
      <c r="C935" s="729" t="s">
        <v>591</v>
      </c>
      <c r="D935" s="924"/>
      <c r="E935" s="878" t="s">
        <v>1909</v>
      </c>
      <c r="F935" s="881" t="s">
        <v>3795</v>
      </c>
      <c r="G935" s="731" t="s">
        <v>3674</v>
      </c>
      <c r="H935" s="1083">
        <v>42401</v>
      </c>
      <c r="I935" s="1084">
        <v>42480</v>
      </c>
      <c r="J935" s="957">
        <v>153.54</v>
      </c>
    </row>
    <row r="936" spans="1:10" s="852" customFormat="1" outlineLevel="2">
      <c r="A936" s="815" t="s">
        <v>593</v>
      </c>
      <c r="B936" s="816" t="s">
        <v>7865</v>
      </c>
      <c r="C936" s="729" t="s">
        <v>591</v>
      </c>
      <c r="D936" s="924"/>
      <c r="E936" s="878" t="s">
        <v>1909</v>
      </c>
      <c r="F936" s="881" t="s">
        <v>6249</v>
      </c>
      <c r="G936" s="731" t="s">
        <v>3664</v>
      </c>
      <c r="H936" s="1083">
        <v>42401</v>
      </c>
      <c r="I936" s="1084">
        <v>42480</v>
      </c>
      <c r="J936" s="957">
        <v>788.41</v>
      </c>
    </row>
    <row r="937" spans="1:10" s="852" customFormat="1" outlineLevel="2">
      <c r="A937" s="815" t="s">
        <v>593</v>
      </c>
      <c r="B937" s="816" t="s">
        <v>7865</v>
      </c>
      <c r="C937" s="729" t="s">
        <v>591</v>
      </c>
      <c r="D937" s="924"/>
      <c r="E937" s="878" t="s">
        <v>1909</v>
      </c>
      <c r="F937" s="881" t="s">
        <v>6247</v>
      </c>
      <c r="G937" s="731" t="s">
        <v>3660</v>
      </c>
      <c r="H937" s="1083">
        <v>42401</v>
      </c>
      <c r="I937" s="1084">
        <v>42480</v>
      </c>
      <c r="J937" s="957">
        <v>265.75</v>
      </c>
    </row>
    <row r="938" spans="1:10" s="852" customFormat="1" outlineLevel="2">
      <c r="A938" s="815" t="s">
        <v>593</v>
      </c>
      <c r="B938" s="816" t="s">
        <v>7865</v>
      </c>
      <c r="C938" s="729" t="s">
        <v>591</v>
      </c>
      <c r="D938" s="924"/>
      <c r="E938" s="878" t="s">
        <v>1909</v>
      </c>
      <c r="F938" s="881" t="s">
        <v>6247</v>
      </c>
      <c r="G938" s="731" t="s">
        <v>3660</v>
      </c>
      <c r="H938" s="1083">
        <v>42401</v>
      </c>
      <c r="I938" s="1084">
        <v>42480</v>
      </c>
      <c r="J938" s="957">
        <v>259.85000000000002</v>
      </c>
    </row>
    <row r="939" spans="1:10" s="852" customFormat="1" outlineLevel="2">
      <c r="A939" s="815" t="s">
        <v>592</v>
      </c>
      <c r="B939" s="816" t="s">
        <v>7864</v>
      </c>
      <c r="C939" s="729" t="s">
        <v>591</v>
      </c>
      <c r="D939" s="924"/>
      <c r="E939" s="878" t="s">
        <v>1909</v>
      </c>
      <c r="F939" s="881" t="s">
        <v>3459</v>
      </c>
      <c r="G939" s="731" t="s">
        <v>3670</v>
      </c>
      <c r="H939" s="1083">
        <v>42401</v>
      </c>
      <c r="I939" s="1084">
        <v>42480</v>
      </c>
      <c r="J939" s="957">
        <v>26.79</v>
      </c>
    </row>
    <row r="940" spans="1:10" s="852" customFormat="1" outlineLevel="2">
      <c r="A940" s="815" t="s">
        <v>592</v>
      </c>
      <c r="B940" s="816" t="s">
        <v>7864</v>
      </c>
      <c r="C940" s="729" t="s">
        <v>591</v>
      </c>
      <c r="D940" s="924"/>
      <c r="E940" s="878" t="s">
        <v>1909</v>
      </c>
      <c r="F940" s="881" t="s">
        <v>2818</v>
      </c>
      <c r="G940" s="731" t="s">
        <v>3665</v>
      </c>
      <c r="H940" s="1083">
        <v>42401</v>
      </c>
      <c r="I940" s="1084">
        <v>42480</v>
      </c>
      <c r="J940" s="957">
        <v>17.63</v>
      </c>
    </row>
    <row r="941" spans="1:10" s="852" customFormat="1" outlineLevel="2">
      <c r="A941" s="815" t="s">
        <v>592</v>
      </c>
      <c r="B941" s="816" t="s">
        <v>7864</v>
      </c>
      <c r="C941" s="729" t="s">
        <v>591</v>
      </c>
      <c r="D941" s="924"/>
      <c r="E941" s="878" t="s">
        <v>1909</v>
      </c>
      <c r="F941" s="881" t="s">
        <v>3451</v>
      </c>
      <c r="G941" s="731" t="s">
        <v>3669</v>
      </c>
      <c r="H941" s="1083">
        <v>42401</v>
      </c>
      <c r="I941" s="1084">
        <v>42480</v>
      </c>
      <c r="J941" s="957">
        <v>26.09</v>
      </c>
    </row>
    <row r="942" spans="1:10" s="852" customFormat="1" ht="28.5" outlineLevel="2">
      <c r="A942" s="815" t="s">
        <v>593</v>
      </c>
      <c r="B942" s="816" t="s">
        <v>7865</v>
      </c>
      <c r="C942" s="729" t="s">
        <v>591</v>
      </c>
      <c r="D942" s="924"/>
      <c r="E942" s="878" t="s">
        <v>1909</v>
      </c>
      <c r="F942" s="881" t="s">
        <v>4671</v>
      </c>
      <c r="G942" s="731" t="s">
        <v>3681</v>
      </c>
      <c r="H942" s="1083">
        <v>42401</v>
      </c>
      <c r="I942" s="1084">
        <v>42480</v>
      </c>
      <c r="J942" s="957">
        <v>4073.44</v>
      </c>
    </row>
    <row r="943" spans="1:10" s="852" customFormat="1" ht="28.5" outlineLevel="2">
      <c r="A943" s="815" t="s">
        <v>997</v>
      </c>
      <c r="B943" s="816" t="s">
        <v>7866</v>
      </c>
      <c r="C943" s="729" t="s">
        <v>591</v>
      </c>
      <c r="D943" s="924"/>
      <c r="E943" s="878" t="s">
        <v>1909</v>
      </c>
      <c r="F943" s="881" t="s">
        <v>4956</v>
      </c>
      <c r="G943" s="731" t="s">
        <v>2833</v>
      </c>
      <c r="H943" s="1083">
        <v>42401</v>
      </c>
      <c r="I943" s="1084">
        <v>42480</v>
      </c>
      <c r="J943" s="957">
        <v>476.61</v>
      </c>
    </row>
    <row r="944" spans="1:10" s="852" customFormat="1" ht="28.5" outlineLevel="2">
      <c r="A944" s="815" t="s">
        <v>997</v>
      </c>
      <c r="B944" s="816" t="s">
        <v>7866</v>
      </c>
      <c r="C944" s="729" t="s">
        <v>591</v>
      </c>
      <c r="D944" s="924"/>
      <c r="E944" s="878" t="s">
        <v>1909</v>
      </c>
      <c r="F944" s="881" t="s">
        <v>4903</v>
      </c>
      <c r="G944" s="731" t="s">
        <v>2832</v>
      </c>
      <c r="H944" s="1083">
        <v>42401</v>
      </c>
      <c r="I944" s="1084">
        <v>42480</v>
      </c>
      <c r="J944" s="957">
        <v>15.24</v>
      </c>
    </row>
    <row r="945" spans="1:10" s="852" customFormat="1" ht="28.5" outlineLevel="2">
      <c r="A945" s="815" t="s">
        <v>997</v>
      </c>
      <c r="B945" s="816" t="s">
        <v>7866</v>
      </c>
      <c r="C945" s="729" t="s">
        <v>591</v>
      </c>
      <c r="D945" s="924"/>
      <c r="E945" s="878" t="s">
        <v>1909</v>
      </c>
      <c r="F945" s="881" t="s">
        <v>4853</v>
      </c>
      <c r="G945" s="731" t="s">
        <v>2831</v>
      </c>
      <c r="H945" s="1083">
        <v>42401</v>
      </c>
      <c r="I945" s="1084">
        <v>42480</v>
      </c>
      <c r="J945" s="957">
        <v>179.82</v>
      </c>
    </row>
    <row r="946" spans="1:10" s="852" customFormat="1" ht="28.5" outlineLevel="2">
      <c r="A946" s="815" t="s">
        <v>594</v>
      </c>
      <c r="B946" s="816" t="s">
        <v>7863</v>
      </c>
      <c r="C946" s="729" t="s">
        <v>591</v>
      </c>
      <c r="D946" s="924"/>
      <c r="E946" s="878" t="s">
        <v>1909</v>
      </c>
      <c r="F946" s="881" t="s">
        <v>6246</v>
      </c>
      <c r="G946" s="731" t="s">
        <v>3657</v>
      </c>
      <c r="H946" s="1083">
        <v>42370</v>
      </c>
      <c r="I946" s="1084">
        <v>42480</v>
      </c>
      <c r="J946" s="957">
        <v>763.19</v>
      </c>
    </row>
    <row r="947" spans="1:10" s="852" customFormat="1" ht="28.5" outlineLevel="2">
      <c r="A947" s="815" t="s">
        <v>594</v>
      </c>
      <c r="B947" s="816" t="s">
        <v>7863</v>
      </c>
      <c r="C947" s="729" t="s">
        <v>591</v>
      </c>
      <c r="D947" s="924"/>
      <c r="E947" s="878" t="s">
        <v>1909</v>
      </c>
      <c r="F947" s="881" t="s">
        <v>6246</v>
      </c>
      <c r="G947" s="731" t="s">
        <v>3658</v>
      </c>
      <c r="H947" s="1083">
        <v>42370</v>
      </c>
      <c r="I947" s="1084">
        <v>42480</v>
      </c>
      <c r="J947" s="957">
        <v>763.19</v>
      </c>
    </row>
    <row r="948" spans="1:10" s="852" customFormat="1" ht="28.5" outlineLevel="2">
      <c r="A948" s="815" t="s">
        <v>594</v>
      </c>
      <c r="B948" s="816" t="s">
        <v>7863</v>
      </c>
      <c r="C948" s="729" t="s">
        <v>591</v>
      </c>
      <c r="D948" s="924"/>
      <c r="E948" s="878" t="s">
        <v>1909</v>
      </c>
      <c r="F948" s="881" t="s">
        <v>6246</v>
      </c>
      <c r="G948" s="731" t="s">
        <v>3659</v>
      </c>
      <c r="H948" s="1083">
        <v>42370</v>
      </c>
      <c r="I948" s="1084">
        <v>42480</v>
      </c>
      <c r="J948" s="957">
        <v>-763.19</v>
      </c>
    </row>
    <row r="949" spans="1:10" s="852" customFormat="1" ht="28.5" outlineLevel="2">
      <c r="A949" s="815" t="s">
        <v>593</v>
      </c>
      <c r="B949" s="816" t="s">
        <v>7865</v>
      </c>
      <c r="C949" s="729" t="s">
        <v>591</v>
      </c>
      <c r="D949" s="924"/>
      <c r="E949" s="878" t="s">
        <v>1909</v>
      </c>
      <c r="F949" s="881" t="s">
        <v>4669</v>
      </c>
      <c r="G949" s="731" t="s">
        <v>3679</v>
      </c>
      <c r="H949" s="1083">
        <v>42401</v>
      </c>
      <c r="I949" s="1084">
        <v>42480</v>
      </c>
      <c r="J949" s="957">
        <v>2444.0700000000002</v>
      </c>
    </row>
    <row r="950" spans="1:10" s="852" customFormat="1" ht="28.5" outlineLevel="2">
      <c r="A950" s="815" t="s">
        <v>593</v>
      </c>
      <c r="B950" s="816" t="s">
        <v>7865</v>
      </c>
      <c r="C950" s="729" t="s">
        <v>591</v>
      </c>
      <c r="D950" s="924"/>
      <c r="E950" s="878" t="s">
        <v>1909</v>
      </c>
      <c r="F950" s="881" t="s">
        <v>4843</v>
      </c>
      <c r="G950" s="731" t="s">
        <v>3683</v>
      </c>
      <c r="H950" s="1083">
        <v>42401</v>
      </c>
      <c r="I950" s="1084">
        <v>42480</v>
      </c>
      <c r="J950" s="957">
        <v>823.83</v>
      </c>
    </row>
    <row r="951" spans="1:10" s="852" customFormat="1" ht="28.5" outlineLevel="2">
      <c r="A951" s="815" t="s">
        <v>593</v>
      </c>
      <c r="B951" s="816" t="s">
        <v>7865</v>
      </c>
      <c r="C951" s="729" t="s">
        <v>591</v>
      </c>
      <c r="D951" s="924"/>
      <c r="E951" s="878" t="s">
        <v>1909</v>
      </c>
      <c r="F951" s="881" t="s">
        <v>4843</v>
      </c>
      <c r="G951" s="731" t="s">
        <v>3683</v>
      </c>
      <c r="H951" s="1083">
        <v>42401</v>
      </c>
      <c r="I951" s="1084">
        <v>42480</v>
      </c>
      <c r="J951" s="957">
        <v>805.54</v>
      </c>
    </row>
    <row r="952" spans="1:10" s="852" customFormat="1" ht="28.5" outlineLevel="2">
      <c r="A952" s="815" t="s">
        <v>592</v>
      </c>
      <c r="B952" s="816" t="s">
        <v>7864</v>
      </c>
      <c r="C952" s="729" t="s">
        <v>591</v>
      </c>
      <c r="D952" s="924"/>
      <c r="E952" s="878" t="s">
        <v>1909</v>
      </c>
      <c r="F952" s="881" t="s">
        <v>2868</v>
      </c>
      <c r="G952" s="731" t="s">
        <v>3661</v>
      </c>
      <c r="H952" s="1083">
        <v>42370</v>
      </c>
      <c r="I952" s="1084">
        <v>42480</v>
      </c>
      <c r="J952" s="957">
        <v>-81.98</v>
      </c>
    </row>
    <row r="953" spans="1:10" s="852" customFormat="1" ht="28.5" outlineLevel="2">
      <c r="A953" s="815" t="s">
        <v>592</v>
      </c>
      <c r="B953" s="816" t="s">
        <v>7864</v>
      </c>
      <c r="C953" s="729" t="s">
        <v>591</v>
      </c>
      <c r="D953" s="924"/>
      <c r="E953" s="878" t="s">
        <v>1909</v>
      </c>
      <c r="F953" s="881" t="s">
        <v>2868</v>
      </c>
      <c r="G953" s="731" t="s">
        <v>3662</v>
      </c>
      <c r="H953" s="1083">
        <v>42370</v>
      </c>
      <c r="I953" s="1084">
        <v>42480</v>
      </c>
      <c r="J953" s="957">
        <v>-81.97</v>
      </c>
    </row>
    <row r="954" spans="1:10" s="852" customFormat="1" ht="28.5" outlineLevel="2">
      <c r="A954" s="815" t="s">
        <v>592</v>
      </c>
      <c r="B954" s="816" t="s">
        <v>7864</v>
      </c>
      <c r="C954" s="729" t="s">
        <v>591</v>
      </c>
      <c r="D954" s="924"/>
      <c r="E954" s="878" t="s">
        <v>1909</v>
      </c>
      <c r="F954" s="881" t="s">
        <v>2868</v>
      </c>
      <c r="G954" s="731" t="s">
        <v>3666</v>
      </c>
      <c r="H954" s="1083">
        <v>42370</v>
      </c>
      <c r="I954" s="1084">
        <v>42480</v>
      </c>
      <c r="J954" s="957">
        <v>81.97</v>
      </c>
    </row>
    <row r="955" spans="1:10" s="852" customFormat="1" ht="28.5" outlineLevel="2">
      <c r="A955" s="815" t="s">
        <v>592</v>
      </c>
      <c r="B955" s="816" t="s">
        <v>7864</v>
      </c>
      <c r="C955" s="729" t="s">
        <v>591</v>
      </c>
      <c r="D955" s="924"/>
      <c r="E955" s="878" t="s">
        <v>1909</v>
      </c>
      <c r="F955" s="881" t="s">
        <v>2868</v>
      </c>
      <c r="G955" s="731" t="s">
        <v>3667</v>
      </c>
      <c r="H955" s="1083">
        <v>42370</v>
      </c>
      <c r="I955" s="1084">
        <v>42480</v>
      </c>
      <c r="J955" s="957">
        <v>81.98</v>
      </c>
    </row>
    <row r="956" spans="1:10" s="852" customFormat="1" ht="28.5" outlineLevel="2">
      <c r="A956" s="815" t="s">
        <v>592</v>
      </c>
      <c r="B956" s="816" t="s">
        <v>7864</v>
      </c>
      <c r="C956" s="729" t="s">
        <v>591</v>
      </c>
      <c r="D956" s="924"/>
      <c r="E956" s="878" t="s">
        <v>1909</v>
      </c>
      <c r="F956" s="881" t="s">
        <v>2868</v>
      </c>
      <c r="G956" s="731" t="s">
        <v>3668</v>
      </c>
      <c r="H956" s="1083">
        <v>42370</v>
      </c>
      <c r="I956" s="1084">
        <v>42480</v>
      </c>
      <c r="J956" s="957">
        <v>81.97</v>
      </c>
    </row>
    <row r="957" spans="1:10" s="852" customFormat="1" ht="28.5" outlineLevel="2">
      <c r="A957" s="815" t="s">
        <v>592</v>
      </c>
      <c r="B957" s="816" t="s">
        <v>7864</v>
      </c>
      <c r="C957" s="729" t="s">
        <v>591</v>
      </c>
      <c r="D957" s="924"/>
      <c r="E957" s="878" t="s">
        <v>1909</v>
      </c>
      <c r="F957" s="881" t="s">
        <v>3682</v>
      </c>
      <c r="G957" s="731" t="s">
        <v>3671</v>
      </c>
      <c r="H957" s="1083">
        <v>42370</v>
      </c>
      <c r="I957" s="1084">
        <v>42480</v>
      </c>
      <c r="J957" s="957">
        <v>-121.32</v>
      </c>
    </row>
    <row r="958" spans="1:10" s="852" customFormat="1" ht="28.5" outlineLevel="2">
      <c r="A958" s="815" t="s">
        <v>592</v>
      </c>
      <c r="B958" s="816" t="s">
        <v>7864</v>
      </c>
      <c r="C958" s="729" t="s">
        <v>591</v>
      </c>
      <c r="D958" s="924"/>
      <c r="E958" s="878" t="s">
        <v>1909</v>
      </c>
      <c r="F958" s="881" t="s">
        <v>3682</v>
      </c>
      <c r="G958" s="731" t="s">
        <v>3672</v>
      </c>
      <c r="H958" s="1083">
        <v>42370</v>
      </c>
      <c r="I958" s="1084">
        <v>42480</v>
      </c>
      <c r="J958" s="957">
        <v>121.32</v>
      </c>
    </row>
    <row r="959" spans="1:10" s="852" customFormat="1" ht="28.5" outlineLevel="2">
      <c r="A959" s="815" t="s">
        <v>592</v>
      </c>
      <c r="B959" s="816" t="s">
        <v>7864</v>
      </c>
      <c r="C959" s="729" t="s">
        <v>591</v>
      </c>
      <c r="D959" s="924"/>
      <c r="E959" s="878" t="s">
        <v>1909</v>
      </c>
      <c r="F959" s="881" t="s">
        <v>3682</v>
      </c>
      <c r="G959" s="731" t="s">
        <v>3673</v>
      </c>
      <c r="H959" s="1083">
        <v>42370</v>
      </c>
      <c r="I959" s="1084">
        <v>42480</v>
      </c>
      <c r="J959" s="957">
        <v>121.32</v>
      </c>
    </row>
    <row r="960" spans="1:10" s="852" customFormat="1" outlineLevel="1">
      <c r="A960" s="815"/>
      <c r="B960" s="816" t="s">
        <v>258</v>
      </c>
      <c r="C960" s="908" t="s">
        <v>591</v>
      </c>
      <c r="D960" s="928" t="str">
        <f>VLOOKUP(C960,$C$3691:$D$3771,2,FALSE)</f>
        <v>TOTAL POUPATEMPO  COTIA</v>
      </c>
      <c r="E960" s="1085"/>
      <c r="F960" s="929"/>
      <c r="G960" s="910"/>
      <c r="H960" s="1086"/>
      <c r="I960" s="1087"/>
      <c r="J960" s="930">
        <f>SUBTOTAL(9,J897:J959)</f>
        <v>202317.06000000003</v>
      </c>
    </row>
    <row r="961" spans="1:10" s="852" customFormat="1" outlineLevel="2">
      <c r="A961" s="815" t="s">
        <v>595</v>
      </c>
      <c r="B961" s="816" t="s">
        <v>7865</v>
      </c>
      <c r="C961" s="729" t="s">
        <v>596</v>
      </c>
      <c r="D961" s="924"/>
      <c r="E961" s="878" t="s">
        <v>560</v>
      </c>
      <c r="F961" s="881" t="s">
        <v>1094</v>
      </c>
      <c r="G961" s="731" t="s">
        <v>5750</v>
      </c>
      <c r="H961" s="1083">
        <v>42430</v>
      </c>
      <c r="I961" s="1084">
        <v>42489</v>
      </c>
      <c r="J961" s="957">
        <v>193668.88</v>
      </c>
    </row>
    <row r="962" spans="1:10" s="852" customFormat="1" outlineLevel="2">
      <c r="A962" s="815" t="s">
        <v>2239</v>
      </c>
      <c r="B962" s="816" t="s">
        <v>7869</v>
      </c>
      <c r="C962" s="729" t="s">
        <v>596</v>
      </c>
      <c r="D962" s="924"/>
      <c r="E962" s="878" t="s">
        <v>2221</v>
      </c>
      <c r="F962" s="881" t="s">
        <v>863</v>
      </c>
      <c r="G962" s="731" t="s">
        <v>5571</v>
      </c>
      <c r="H962" s="1083">
        <v>42401</v>
      </c>
      <c r="I962" s="1084">
        <v>42465</v>
      </c>
      <c r="J962" s="957">
        <v>4051.04</v>
      </c>
    </row>
    <row r="963" spans="1:10" s="852" customFormat="1" outlineLevel="2">
      <c r="A963" s="815" t="s">
        <v>6435</v>
      </c>
      <c r="B963" s="816" t="s">
        <v>7863</v>
      </c>
      <c r="C963" s="729" t="s">
        <v>596</v>
      </c>
      <c r="D963" s="924"/>
      <c r="E963" s="878" t="s">
        <v>483</v>
      </c>
      <c r="F963" s="881" t="s">
        <v>2208</v>
      </c>
      <c r="G963" s="731" t="str">
        <f>"16977"</f>
        <v>16977</v>
      </c>
      <c r="H963" s="1083">
        <v>42401</v>
      </c>
      <c r="I963" s="1084">
        <v>42473</v>
      </c>
      <c r="J963" s="957">
        <v>24938.19</v>
      </c>
    </row>
    <row r="964" spans="1:10" s="852" customFormat="1" outlineLevel="2">
      <c r="A964" s="815" t="s">
        <v>5948</v>
      </c>
      <c r="B964" s="816" t="s">
        <v>7864</v>
      </c>
      <c r="C964" s="729" t="s">
        <v>596</v>
      </c>
      <c r="D964" s="924"/>
      <c r="E964" s="878" t="s">
        <v>6470</v>
      </c>
      <c r="F964" s="881" t="s">
        <v>434</v>
      </c>
      <c r="G964" s="731" t="str">
        <f>"2668"</f>
        <v>2668</v>
      </c>
      <c r="H964" s="1083">
        <v>42370</v>
      </c>
      <c r="I964" s="1084">
        <v>42478</v>
      </c>
      <c r="J964" s="957">
        <v>3768.65</v>
      </c>
    </row>
    <row r="965" spans="1:10" s="852" customFormat="1" outlineLevel="2">
      <c r="A965" s="815" t="s">
        <v>5948</v>
      </c>
      <c r="B965" s="816" t="s">
        <v>7864</v>
      </c>
      <c r="C965" s="729" t="s">
        <v>596</v>
      </c>
      <c r="D965" s="924"/>
      <c r="E965" s="878" t="s">
        <v>6470</v>
      </c>
      <c r="F965" s="881" t="s">
        <v>434</v>
      </c>
      <c r="G965" s="731" t="str">
        <f>"2668"</f>
        <v>2668</v>
      </c>
      <c r="H965" s="1083">
        <v>42370</v>
      </c>
      <c r="I965" s="1084">
        <v>42478</v>
      </c>
      <c r="J965" s="957">
        <v>3768.66</v>
      </c>
    </row>
    <row r="966" spans="1:10" s="852" customFormat="1" outlineLevel="2">
      <c r="A966" s="815" t="s">
        <v>5948</v>
      </c>
      <c r="B966" s="816" t="s">
        <v>7864</v>
      </c>
      <c r="C966" s="729" t="s">
        <v>596</v>
      </c>
      <c r="D966" s="924"/>
      <c r="E966" s="878" t="s">
        <v>6470</v>
      </c>
      <c r="F966" s="881" t="s">
        <v>434</v>
      </c>
      <c r="G966" s="731" t="str">
        <f>"2668"</f>
        <v>2668</v>
      </c>
      <c r="H966" s="1083">
        <v>42370</v>
      </c>
      <c r="I966" s="1084">
        <v>42478</v>
      </c>
      <c r="J966" s="957">
        <v>-3768.65</v>
      </c>
    </row>
    <row r="967" spans="1:10" s="852" customFormat="1" outlineLevel="2">
      <c r="A967" s="815" t="s">
        <v>5948</v>
      </c>
      <c r="B967" s="816" t="s">
        <v>7864</v>
      </c>
      <c r="C967" s="729" t="s">
        <v>596</v>
      </c>
      <c r="D967" s="924"/>
      <c r="E967" s="878" t="s">
        <v>6470</v>
      </c>
      <c r="F967" s="881" t="s">
        <v>434</v>
      </c>
      <c r="G967" s="731" t="str">
        <f>"2668"</f>
        <v>2668</v>
      </c>
      <c r="H967" s="1083">
        <v>42370</v>
      </c>
      <c r="I967" s="1084">
        <v>42478</v>
      </c>
      <c r="J967" s="957">
        <v>3768.65</v>
      </c>
    </row>
    <row r="968" spans="1:10" s="852" customFormat="1" outlineLevel="2">
      <c r="A968" s="815" t="s">
        <v>5948</v>
      </c>
      <c r="B968" s="816" t="s">
        <v>7864</v>
      </c>
      <c r="C968" s="729" t="s">
        <v>596</v>
      </c>
      <c r="D968" s="924"/>
      <c r="E968" s="878" t="s">
        <v>6470</v>
      </c>
      <c r="F968" s="881" t="s">
        <v>434</v>
      </c>
      <c r="G968" s="731" t="str">
        <f>"2668"</f>
        <v>2668</v>
      </c>
      <c r="H968" s="1083">
        <v>42370</v>
      </c>
      <c r="I968" s="1084">
        <v>42478</v>
      </c>
      <c r="J968" s="957">
        <v>-3768.65</v>
      </c>
    </row>
    <row r="969" spans="1:10" s="852" customFormat="1" ht="28.5" outlineLevel="2">
      <c r="A969" s="815" t="s">
        <v>595</v>
      </c>
      <c r="B969" s="816" t="s">
        <v>7865</v>
      </c>
      <c r="C969" s="729" t="s">
        <v>596</v>
      </c>
      <c r="D969" s="924"/>
      <c r="E969" s="878" t="s">
        <v>2336</v>
      </c>
      <c r="F969" s="881" t="s">
        <v>5057</v>
      </c>
      <c r="G969" s="731" t="s">
        <v>3698</v>
      </c>
      <c r="H969" s="1083">
        <v>42430</v>
      </c>
      <c r="I969" s="1084">
        <v>42480</v>
      </c>
      <c r="J969" s="957">
        <v>27364.9</v>
      </c>
    </row>
    <row r="970" spans="1:10" s="852" customFormat="1" outlineLevel="2">
      <c r="A970" s="815" t="s">
        <v>599</v>
      </c>
      <c r="B970" s="816" t="s">
        <v>7863</v>
      </c>
      <c r="C970" s="729" t="s">
        <v>596</v>
      </c>
      <c r="D970" s="924"/>
      <c r="E970" s="878" t="s">
        <v>2336</v>
      </c>
      <c r="F970" s="881" t="s">
        <v>3866</v>
      </c>
      <c r="G970" s="731" t="s">
        <v>3693</v>
      </c>
      <c r="H970" s="1083">
        <v>42401</v>
      </c>
      <c r="I970" s="1084">
        <v>42480</v>
      </c>
      <c r="J970" s="957">
        <v>3414.07</v>
      </c>
    </row>
    <row r="971" spans="1:10" s="852" customFormat="1" outlineLevel="2">
      <c r="A971" s="815" t="s">
        <v>598</v>
      </c>
      <c r="B971" s="816" t="s">
        <v>7864</v>
      </c>
      <c r="C971" s="729" t="s">
        <v>596</v>
      </c>
      <c r="D971" s="924"/>
      <c r="E971" s="878" t="s">
        <v>2336</v>
      </c>
      <c r="F971" s="881" t="s">
        <v>3913</v>
      </c>
      <c r="G971" s="731" t="s">
        <v>3695</v>
      </c>
      <c r="H971" s="1083">
        <v>42401</v>
      </c>
      <c r="I971" s="1084">
        <v>42480</v>
      </c>
      <c r="J971" s="957">
        <v>529.1</v>
      </c>
    </row>
    <row r="972" spans="1:10" s="852" customFormat="1" outlineLevel="2">
      <c r="A972" s="815" t="s">
        <v>598</v>
      </c>
      <c r="B972" s="816" t="s">
        <v>7864</v>
      </c>
      <c r="C972" s="729" t="s">
        <v>596</v>
      </c>
      <c r="D972" s="924"/>
      <c r="E972" s="878" t="s">
        <v>2336</v>
      </c>
      <c r="F972" s="881" t="s">
        <v>4328</v>
      </c>
      <c r="G972" s="731" t="s">
        <v>3697</v>
      </c>
      <c r="H972" s="1083">
        <v>42401</v>
      </c>
      <c r="I972" s="1084">
        <v>42480</v>
      </c>
      <c r="J972" s="957">
        <v>348.09</v>
      </c>
    </row>
    <row r="973" spans="1:10" s="852" customFormat="1" outlineLevel="2">
      <c r="A973" s="815" t="s">
        <v>598</v>
      </c>
      <c r="B973" s="816" t="s">
        <v>7864</v>
      </c>
      <c r="C973" s="729" t="s">
        <v>596</v>
      </c>
      <c r="D973" s="924"/>
      <c r="E973" s="878" t="s">
        <v>2336</v>
      </c>
      <c r="F973" s="881" t="s">
        <v>3433</v>
      </c>
      <c r="G973" s="731" t="s">
        <v>3691</v>
      </c>
      <c r="H973" s="1083">
        <v>42401</v>
      </c>
      <c r="I973" s="1084">
        <v>42480</v>
      </c>
      <c r="J973" s="957">
        <v>515.17999999999995</v>
      </c>
    </row>
    <row r="974" spans="1:10" s="852" customFormat="1" outlineLevel="2">
      <c r="A974" s="815" t="s">
        <v>595</v>
      </c>
      <c r="B974" s="816" t="s">
        <v>7865</v>
      </c>
      <c r="C974" s="729" t="s">
        <v>596</v>
      </c>
      <c r="D974" s="924"/>
      <c r="E974" s="878" t="s">
        <v>2336</v>
      </c>
      <c r="F974" s="881" t="s">
        <v>6006</v>
      </c>
      <c r="G974" s="731" t="s">
        <v>3689</v>
      </c>
      <c r="H974" s="1083">
        <v>42401</v>
      </c>
      <c r="I974" s="1084">
        <v>42480</v>
      </c>
      <c r="J974" s="957">
        <v>27364.9</v>
      </c>
    </row>
    <row r="975" spans="1:10" s="852" customFormat="1" outlineLevel="2">
      <c r="A975" s="815" t="s">
        <v>5948</v>
      </c>
      <c r="B975" s="816" t="s">
        <v>7864</v>
      </c>
      <c r="C975" s="729" t="s">
        <v>596</v>
      </c>
      <c r="D975" s="924"/>
      <c r="E975" s="878" t="s">
        <v>2717</v>
      </c>
      <c r="F975" s="881" t="s">
        <v>434</v>
      </c>
      <c r="G975" s="731" t="str">
        <f>"3564"</f>
        <v>3564</v>
      </c>
      <c r="H975" s="1083">
        <v>42401</v>
      </c>
      <c r="I975" s="1084">
        <v>42467</v>
      </c>
      <c r="J975" s="957">
        <v>2479.39</v>
      </c>
    </row>
    <row r="976" spans="1:10" s="852" customFormat="1" outlineLevel="2">
      <c r="A976" s="815" t="s">
        <v>5948</v>
      </c>
      <c r="B976" s="816" t="s">
        <v>7864</v>
      </c>
      <c r="C976" s="729" t="s">
        <v>596</v>
      </c>
      <c r="D976" s="924"/>
      <c r="E976" s="878" t="s">
        <v>409</v>
      </c>
      <c r="F976" s="881" t="s">
        <v>434</v>
      </c>
      <c r="G976" s="731" t="str">
        <f>"6707"</f>
        <v>6707</v>
      </c>
      <c r="H976" s="1083">
        <v>42401</v>
      </c>
      <c r="I976" s="1084">
        <v>42475</v>
      </c>
      <c r="J976" s="957">
        <v>3669.48</v>
      </c>
    </row>
    <row r="977" spans="1:10" s="852" customFormat="1" outlineLevel="2">
      <c r="A977" s="815" t="s">
        <v>1012</v>
      </c>
      <c r="B977" s="816" t="s">
        <v>7866</v>
      </c>
      <c r="C977" s="729" t="s">
        <v>596</v>
      </c>
      <c r="D977" s="924"/>
      <c r="E977" s="878" t="s">
        <v>2282</v>
      </c>
      <c r="F977" s="881" t="s">
        <v>3974</v>
      </c>
      <c r="G977" s="731" t="s">
        <v>2779</v>
      </c>
      <c r="H977" s="1083">
        <v>42401</v>
      </c>
      <c r="I977" s="1084">
        <v>42471</v>
      </c>
      <c r="J977" s="957">
        <v>779.8</v>
      </c>
    </row>
    <row r="978" spans="1:10" s="852" customFormat="1" outlineLevel="2">
      <c r="A978" s="815" t="s">
        <v>1012</v>
      </c>
      <c r="B978" s="816" t="s">
        <v>7866</v>
      </c>
      <c r="C978" s="729" t="s">
        <v>596</v>
      </c>
      <c r="D978" s="924"/>
      <c r="E978" s="878" t="s">
        <v>2282</v>
      </c>
      <c r="F978" s="881" t="s">
        <v>4081</v>
      </c>
      <c r="G978" s="731" t="s">
        <v>2781</v>
      </c>
      <c r="H978" s="1083">
        <v>42401</v>
      </c>
      <c r="I978" s="1084">
        <v>42471</v>
      </c>
      <c r="J978" s="957">
        <v>24.93</v>
      </c>
    </row>
    <row r="979" spans="1:10" s="852" customFormat="1" outlineLevel="2">
      <c r="A979" s="815" t="s">
        <v>1012</v>
      </c>
      <c r="B979" s="816" t="s">
        <v>7866</v>
      </c>
      <c r="C979" s="729" t="s">
        <v>596</v>
      </c>
      <c r="D979" s="924"/>
      <c r="E979" s="878" t="s">
        <v>2282</v>
      </c>
      <c r="F979" s="881" t="s">
        <v>4165</v>
      </c>
      <c r="G979" s="731" t="s">
        <v>2782</v>
      </c>
      <c r="H979" s="1083">
        <v>42401</v>
      </c>
      <c r="I979" s="1084">
        <v>42471</v>
      </c>
      <c r="J979" s="957">
        <v>294.20999999999998</v>
      </c>
    </row>
    <row r="980" spans="1:10" s="852" customFormat="1" outlineLevel="2">
      <c r="A980" s="815" t="s">
        <v>595</v>
      </c>
      <c r="B980" s="816" t="s">
        <v>7865</v>
      </c>
      <c r="C980" s="729" t="s">
        <v>596</v>
      </c>
      <c r="D980" s="924"/>
      <c r="E980" s="878" t="s">
        <v>2696</v>
      </c>
      <c r="F980" s="881" t="s">
        <v>6125</v>
      </c>
      <c r="G980" s="731" t="s">
        <v>3699</v>
      </c>
      <c r="H980" s="1083">
        <v>42401</v>
      </c>
      <c r="I980" s="1084">
        <v>42480</v>
      </c>
      <c r="J980" s="957">
        <v>12438.59</v>
      </c>
    </row>
    <row r="981" spans="1:10" s="852" customFormat="1" outlineLevel="2">
      <c r="A981" s="815" t="s">
        <v>598</v>
      </c>
      <c r="B981" s="816" t="s">
        <v>7864</v>
      </c>
      <c r="C981" s="729" t="s">
        <v>596</v>
      </c>
      <c r="D981" s="924"/>
      <c r="E981" s="878" t="s">
        <v>2696</v>
      </c>
      <c r="F981" s="881" t="s">
        <v>3434</v>
      </c>
      <c r="G981" s="731" t="s">
        <v>3700</v>
      </c>
      <c r="H981" s="1083">
        <v>42401</v>
      </c>
      <c r="I981" s="1084">
        <v>42480</v>
      </c>
      <c r="J981" s="957">
        <v>234.17</v>
      </c>
    </row>
    <row r="982" spans="1:10" s="852" customFormat="1" outlineLevel="2">
      <c r="A982" s="815" t="s">
        <v>599</v>
      </c>
      <c r="B982" s="816" t="s">
        <v>7863</v>
      </c>
      <c r="C982" s="729" t="s">
        <v>596</v>
      </c>
      <c r="D982" s="924"/>
      <c r="E982" s="878" t="s">
        <v>2696</v>
      </c>
      <c r="F982" s="881" t="s">
        <v>3868</v>
      </c>
      <c r="G982" s="731" t="s">
        <v>3701</v>
      </c>
      <c r="H982" s="1083">
        <v>42401</v>
      </c>
      <c r="I982" s="1084">
        <v>42480</v>
      </c>
      <c r="J982" s="957">
        <v>931.11</v>
      </c>
    </row>
    <row r="983" spans="1:10" s="852" customFormat="1" outlineLevel="2">
      <c r="A983" s="815" t="s">
        <v>598</v>
      </c>
      <c r="B983" s="816" t="s">
        <v>7864</v>
      </c>
      <c r="C983" s="729" t="s">
        <v>596</v>
      </c>
      <c r="D983" s="924"/>
      <c r="E983" s="878" t="s">
        <v>2696</v>
      </c>
      <c r="F983" s="881" t="s">
        <v>3914</v>
      </c>
      <c r="G983" s="731" t="s">
        <v>3702</v>
      </c>
      <c r="H983" s="1083">
        <v>42401</v>
      </c>
      <c r="I983" s="1084">
        <v>42480</v>
      </c>
      <c r="J983" s="957">
        <v>240.5</v>
      </c>
    </row>
    <row r="984" spans="1:10" s="852" customFormat="1" outlineLevel="2">
      <c r="A984" s="815" t="s">
        <v>598</v>
      </c>
      <c r="B984" s="816" t="s">
        <v>7864</v>
      </c>
      <c r="C984" s="729" t="s">
        <v>596</v>
      </c>
      <c r="D984" s="924"/>
      <c r="E984" s="878" t="s">
        <v>2696</v>
      </c>
      <c r="F984" s="881" t="s">
        <v>4329</v>
      </c>
      <c r="G984" s="731" t="s">
        <v>3703</v>
      </c>
      <c r="H984" s="1083">
        <v>42401</v>
      </c>
      <c r="I984" s="1084">
        <v>42480</v>
      </c>
      <c r="J984" s="957">
        <v>158.22</v>
      </c>
    </row>
    <row r="985" spans="1:10" s="852" customFormat="1" ht="28.5" outlineLevel="2">
      <c r="A985" s="815" t="s">
        <v>595</v>
      </c>
      <c r="B985" s="816" t="s">
        <v>7865</v>
      </c>
      <c r="C985" s="729" t="s">
        <v>596</v>
      </c>
      <c r="D985" s="924"/>
      <c r="E985" s="878" t="s">
        <v>2696</v>
      </c>
      <c r="F985" s="881" t="s">
        <v>5059</v>
      </c>
      <c r="G985" s="731" t="s">
        <v>3704</v>
      </c>
      <c r="H985" s="1083">
        <v>42430</v>
      </c>
      <c r="I985" s="1084">
        <v>42480</v>
      </c>
      <c r="J985" s="957">
        <v>12438.59</v>
      </c>
    </row>
    <row r="986" spans="1:10" s="852" customFormat="1" ht="28.5" outlineLevel="2">
      <c r="A986" s="815" t="s">
        <v>595</v>
      </c>
      <c r="B986" s="816" t="s">
        <v>7865</v>
      </c>
      <c r="C986" s="729" t="s">
        <v>596</v>
      </c>
      <c r="D986" s="924"/>
      <c r="E986" s="878" t="s">
        <v>1909</v>
      </c>
      <c r="F986" s="881" t="s">
        <v>5055</v>
      </c>
      <c r="G986" s="731" t="s">
        <v>3728</v>
      </c>
      <c r="H986" s="1083">
        <v>42430</v>
      </c>
      <c r="I986" s="1084">
        <v>42480</v>
      </c>
      <c r="J986" s="957">
        <v>3731.58</v>
      </c>
    </row>
    <row r="987" spans="1:10" s="852" customFormat="1" outlineLevel="2">
      <c r="A987" s="815" t="s">
        <v>1012</v>
      </c>
      <c r="B987" s="816" t="s">
        <v>7866</v>
      </c>
      <c r="C987" s="729" t="s">
        <v>596</v>
      </c>
      <c r="D987" s="924"/>
      <c r="E987" s="878" t="s">
        <v>1909</v>
      </c>
      <c r="F987" s="881" t="s">
        <v>3935</v>
      </c>
      <c r="G987" s="731" t="s">
        <v>2817</v>
      </c>
      <c r="H987" s="1083">
        <v>42401</v>
      </c>
      <c r="I987" s="1084">
        <v>42480</v>
      </c>
      <c r="J987" s="957">
        <v>233.94</v>
      </c>
    </row>
    <row r="988" spans="1:10" s="852" customFormat="1" outlineLevel="2">
      <c r="A988" s="815" t="s">
        <v>1012</v>
      </c>
      <c r="B988" s="816" t="s">
        <v>7866</v>
      </c>
      <c r="C988" s="729" t="s">
        <v>596</v>
      </c>
      <c r="D988" s="924"/>
      <c r="E988" s="878" t="s">
        <v>1909</v>
      </c>
      <c r="F988" s="881" t="s">
        <v>4027</v>
      </c>
      <c r="G988" s="731" t="s">
        <v>2819</v>
      </c>
      <c r="H988" s="1083">
        <v>42401</v>
      </c>
      <c r="I988" s="1084">
        <v>42480</v>
      </c>
      <c r="J988" s="957">
        <v>7.48</v>
      </c>
    </row>
    <row r="989" spans="1:10" s="852" customFormat="1" outlineLevel="2">
      <c r="A989" s="815" t="s">
        <v>1012</v>
      </c>
      <c r="B989" s="816" t="s">
        <v>7866</v>
      </c>
      <c r="C989" s="729" t="s">
        <v>596</v>
      </c>
      <c r="D989" s="924"/>
      <c r="E989" s="878" t="s">
        <v>1909</v>
      </c>
      <c r="F989" s="881" t="s">
        <v>4129</v>
      </c>
      <c r="G989" s="731" t="s">
        <v>2821</v>
      </c>
      <c r="H989" s="1083">
        <v>42401</v>
      </c>
      <c r="I989" s="1084">
        <v>42480</v>
      </c>
      <c r="J989" s="957">
        <v>88.26</v>
      </c>
    </row>
    <row r="990" spans="1:10" s="852" customFormat="1" outlineLevel="2">
      <c r="A990" s="815" t="s">
        <v>599</v>
      </c>
      <c r="B990" s="816" t="s">
        <v>7863</v>
      </c>
      <c r="C990" s="729" t="s">
        <v>596</v>
      </c>
      <c r="D990" s="924"/>
      <c r="E990" s="878" t="s">
        <v>1909</v>
      </c>
      <c r="F990" s="881" t="s">
        <v>3864</v>
      </c>
      <c r="G990" s="731" t="s">
        <v>3718</v>
      </c>
      <c r="H990" s="1083">
        <v>42401</v>
      </c>
      <c r="I990" s="1084">
        <v>42480</v>
      </c>
      <c r="J990" s="957">
        <v>310.37</v>
      </c>
    </row>
    <row r="991" spans="1:10" s="852" customFormat="1" outlineLevel="2">
      <c r="A991" s="815" t="s">
        <v>598</v>
      </c>
      <c r="B991" s="816" t="s">
        <v>7864</v>
      </c>
      <c r="C991" s="729" t="s">
        <v>596</v>
      </c>
      <c r="D991" s="924"/>
      <c r="E991" s="878" t="s">
        <v>1909</v>
      </c>
      <c r="F991" s="881" t="s">
        <v>3911</v>
      </c>
      <c r="G991" s="731" t="s">
        <v>3719</v>
      </c>
      <c r="H991" s="1083">
        <v>42401</v>
      </c>
      <c r="I991" s="1084">
        <v>42480</v>
      </c>
      <c r="J991" s="957">
        <v>48.1</v>
      </c>
    </row>
    <row r="992" spans="1:10" s="852" customFormat="1" outlineLevel="2">
      <c r="A992" s="815" t="s">
        <v>598</v>
      </c>
      <c r="B992" s="816" t="s">
        <v>7864</v>
      </c>
      <c r="C992" s="729" t="s">
        <v>596</v>
      </c>
      <c r="D992" s="924"/>
      <c r="E992" s="878" t="s">
        <v>1909</v>
      </c>
      <c r="F992" s="881" t="s">
        <v>4327</v>
      </c>
      <c r="G992" s="731" t="s">
        <v>3720</v>
      </c>
      <c r="H992" s="1083">
        <v>42401</v>
      </c>
      <c r="I992" s="1084">
        <v>42480</v>
      </c>
      <c r="J992" s="957">
        <v>31.64</v>
      </c>
    </row>
    <row r="993" spans="1:10" s="852" customFormat="1" outlineLevel="2">
      <c r="A993" s="815" t="s">
        <v>598</v>
      </c>
      <c r="B993" s="816" t="s">
        <v>7864</v>
      </c>
      <c r="C993" s="729" t="s">
        <v>596</v>
      </c>
      <c r="D993" s="924"/>
      <c r="E993" s="878" t="s">
        <v>1909</v>
      </c>
      <c r="F993" s="881" t="s">
        <v>3431</v>
      </c>
      <c r="G993" s="731" t="s">
        <v>3714</v>
      </c>
      <c r="H993" s="1083">
        <v>42401</v>
      </c>
      <c r="I993" s="1084">
        <v>42480</v>
      </c>
      <c r="J993" s="957">
        <v>46.83</v>
      </c>
    </row>
    <row r="994" spans="1:10" s="852" customFormat="1" outlineLevel="2">
      <c r="A994" s="815" t="s">
        <v>595</v>
      </c>
      <c r="B994" s="816" t="s">
        <v>7865</v>
      </c>
      <c r="C994" s="729" t="s">
        <v>596</v>
      </c>
      <c r="D994" s="924"/>
      <c r="E994" s="878" t="s">
        <v>1909</v>
      </c>
      <c r="F994" s="881" t="s">
        <v>6251</v>
      </c>
      <c r="G994" s="731" t="s">
        <v>3710</v>
      </c>
      <c r="H994" s="1083">
        <v>42401</v>
      </c>
      <c r="I994" s="1084">
        <v>42480</v>
      </c>
      <c r="J994" s="957">
        <v>3731.58</v>
      </c>
    </row>
    <row r="995" spans="1:10" s="852" customFormat="1" ht="42.75" outlineLevel="2">
      <c r="A995" s="815" t="s">
        <v>595</v>
      </c>
      <c r="B995" s="816" t="s">
        <v>7865</v>
      </c>
      <c r="C995" s="729" t="s">
        <v>596</v>
      </c>
      <c r="D995" s="924"/>
      <c r="E995" s="878" t="s">
        <v>1909</v>
      </c>
      <c r="F995" s="881" t="s">
        <v>5044</v>
      </c>
      <c r="G995" s="731" t="s">
        <v>3726</v>
      </c>
      <c r="H995" s="1083">
        <v>42401</v>
      </c>
      <c r="I995" s="1084">
        <v>42480</v>
      </c>
      <c r="J995" s="957">
        <v>11567.89</v>
      </c>
    </row>
    <row r="996" spans="1:10" s="852" customFormat="1" ht="28.5" outlineLevel="2">
      <c r="A996" s="815" t="s">
        <v>1012</v>
      </c>
      <c r="B996" s="816" t="s">
        <v>7866</v>
      </c>
      <c r="C996" s="729" t="s">
        <v>596</v>
      </c>
      <c r="D996" s="924"/>
      <c r="E996" s="878" t="s">
        <v>1909</v>
      </c>
      <c r="F996" s="881" t="s">
        <v>4956</v>
      </c>
      <c r="G996" s="731" t="s">
        <v>2833</v>
      </c>
      <c r="H996" s="1083">
        <v>42401</v>
      </c>
      <c r="I996" s="1084">
        <v>42480</v>
      </c>
      <c r="J996" s="957">
        <v>725.22</v>
      </c>
    </row>
    <row r="997" spans="1:10" s="852" customFormat="1" ht="28.5" outlineLevel="2">
      <c r="A997" s="815" t="s">
        <v>1012</v>
      </c>
      <c r="B997" s="816" t="s">
        <v>7866</v>
      </c>
      <c r="C997" s="729" t="s">
        <v>596</v>
      </c>
      <c r="D997" s="924"/>
      <c r="E997" s="878" t="s">
        <v>1909</v>
      </c>
      <c r="F997" s="881" t="s">
        <v>4903</v>
      </c>
      <c r="G997" s="731" t="s">
        <v>2832</v>
      </c>
      <c r="H997" s="1083">
        <v>42401</v>
      </c>
      <c r="I997" s="1084">
        <v>42480</v>
      </c>
      <c r="J997" s="957">
        <v>23.19</v>
      </c>
    </row>
    <row r="998" spans="1:10" s="852" customFormat="1" ht="28.5" outlineLevel="2">
      <c r="A998" s="815" t="s">
        <v>1012</v>
      </c>
      <c r="B998" s="816" t="s">
        <v>7866</v>
      </c>
      <c r="C998" s="729" t="s">
        <v>596</v>
      </c>
      <c r="D998" s="924"/>
      <c r="E998" s="878" t="s">
        <v>1909</v>
      </c>
      <c r="F998" s="881" t="s">
        <v>4853</v>
      </c>
      <c r="G998" s="731" t="s">
        <v>2831</v>
      </c>
      <c r="H998" s="1083">
        <v>42401</v>
      </c>
      <c r="I998" s="1084">
        <v>42480</v>
      </c>
      <c r="J998" s="957">
        <v>273.62</v>
      </c>
    </row>
    <row r="999" spans="1:10" s="852" customFormat="1" ht="28.5" outlineLevel="2">
      <c r="A999" s="815" t="s">
        <v>599</v>
      </c>
      <c r="B999" s="816" t="s">
        <v>7863</v>
      </c>
      <c r="C999" s="729" t="s">
        <v>596</v>
      </c>
      <c r="D999" s="924"/>
      <c r="E999" s="878" t="s">
        <v>1909</v>
      </c>
      <c r="F999" s="881" t="s">
        <v>6250</v>
      </c>
      <c r="G999" s="731" t="s">
        <v>3705</v>
      </c>
      <c r="H999" s="1083">
        <v>42370</v>
      </c>
      <c r="I999" s="1084">
        <v>42480</v>
      </c>
      <c r="J999" s="957">
        <v>1542.75</v>
      </c>
    </row>
    <row r="1000" spans="1:10" s="852" customFormat="1" ht="28.5" outlineLevel="2">
      <c r="A1000" s="815" t="s">
        <v>599</v>
      </c>
      <c r="B1000" s="816" t="s">
        <v>7863</v>
      </c>
      <c r="C1000" s="729" t="s">
        <v>596</v>
      </c>
      <c r="D1000" s="924"/>
      <c r="E1000" s="878" t="s">
        <v>1909</v>
      </c>
      <c r="F1000" s="881" t="s">
        <v>6250</v>
      </c>
      <c r="G1000" s="731" t="s">
        <v>3706</v>
      </c>
      <c r="H1000" s="1083">
        <v>42370</v>
      </c>
      <c r="I1000" s="1084">
        <v>42480</v>
      </c>
      <c r="J1000" s="957">
        <v>1542.75</v>
      </c>
    </row>
    <row r="1001" spans="1:10" s="852" customFormat="1" ht="28.5" outlineLevel="2">
      <c r="A1001" s="815" t="s">
        <v>599</v>
      </c>
      <c r="B1001" s="816" t="s">
        <v>7863</v>
      </c>
      <c r="C1001" s="729" t="s">
        <v>596</v>
      </c>
      <c r="D1001" s="924"/>
      <c r="E1001" s="878" t="s">
        <v>1909</v>
      </c>
      <c r="F1001" s="881" t="s">
        <v>6250</v>
      </c>
      <c r="G1001" s="731" t="s">
        <v>3707</v>
      </c>
      <c r="H1001" s="1083">
        <v>42370</v>
      </c>
      <c r="I1001" s="1084">
        <v>42480</v>
      </c>
      <c r="J1001" s="957">
        <v>-1542.75</v>
      </c>
    </row>
    <row r="1002" spans="1:10" s="852" customFormat="1" ht="28.5" outlineLevel="2">
      <c r="A1002" s="815" t="s">
        <v>598</v>
      </c>
      <c r="B1002" s="816" t="s">
        <v>7864</v>
      </c>
      <c r="C1002" s="729" t="s">
        <v>596</v>
      </c>
      <c r="D1002" s="924"/>
      <c r="E1002" s="878" t="s">
        <v>1909</v>
      </c>
      <c r="F1002" s="881" t="s">
        <v>2866</v>
      </c>
      <c r="G1002" s="731" t="s">
        <v>3708</v>
      </c>
      <c r="H1002" s="1083">
        <v>42370</v>
      </c>
      <c r="I1002" s="1084">
        <v>42480</v>
      </c>
      <c r="J1002" s="957">
        <v>-147.13999999999999</v>
      </c>
    </row>
    <row r="1003" spans="1:10" s="852" customFormat="1" ht="28.5" outlineLevel="2">
      <c r="A1003" s="815" t="s">
        <v>598</v>
      </c>
      <c r="B1003" s="816" t="s">
        <v>7864</v>
      </c>
      <c r="C1003" s="729" t="s">
        <v>596</v>
      </c>
      <c r="D1003" s="924"/>
      <c r="E1003" s="878" t="s">
        <v>1909</v>
      </c>
      <c r="F1003" s="881" t="s">
        <v>2866</v>
      </c>
      <c r="G1003" s="731" t="s">
        <v>3709</v>
      </c>
      <c r="H1003" s="1083">
        <v>42370</v>
      </c>
      <c r="I1003" s="1084">
        <v>42480</v>
      </c>
      <c r="J1003" s="957">
        <v>-147.15</v>
      </c>
    </row>
    <row r="1004" spans="1:10" s="852" customFormat="1" ht="28.5" outlineLevel="2">
      <c r="A1004" s="815" t="s">
        <v>598</v>
      </c>
      <c r="B1004" s="816" t="s">
        <v>7864</v>
      </c>
      <c r="C1004" s="729" t="s">
        <v>596</v>
      </c>
      <c r="D1004" s="924"/>
      <c r="E1004" s="878" t="s">
        <v>1909</v>
      </c>
      <c r="F1004" s="881" t="s">
        <v>2866</v>
      </c>
      <c r="G1004" s="731" t="s">
        <v>3711</v>
      </c>
      <c r="H1004" s="1083">
        <v>42370</v>
      </c>
      <c r="I1004" s="1084">
        <v>42480</v>
      </c>
      <c r="J1004" s="957">
        <v>147.15</v>
      </c>
    </row>
    <row r="1005" spans="1:10" s="852" customFormat="1" ht="28.5" outlineLevel="2">
      <c r="A1005" s="815" t="s">
        <v>598</v>
      </c>
      <c r="B1005" s="816" t="s">
        <v>7864</v>
      </c>
      <c r="C1005" s="729" t="s">
        <v>596</v>
      </c>
      <c r="D1005" s="924"/>
      <c r="E1005" s="878" t="s">
        <v>1909</v>
      </c>
      <c r="F1005" s="881" t="s">
        <v>2866</v>
      </c>
      <c r="G1005" s="731" t="s">
        <v>3712</v>
      </c>
      <c r="H1005" s="1083">
        <v>42370</v>
      </c>
      <c r="I1005" s="1084">
        <v>42480</v>
      </c>
      <c r="J1005" s="957">
        <v>147.13999999999999</v>
      </c>
    </row>
    <row r="1006" spans="1:10" s="852" customFormat="1" ht="28.5" outlineLevel="2">
      <c r="A1006" s="815" t="s">
        <v>598</v>
      </c>
      <c r="B1006" s="816" t="s">
        <v>7864</v>
      </c>
      <c r="C1006" s="729" t="s">
        <v>596</v>
      </c>
      <c r="D1006" s="924"/>
      <c r="E1006" s="878" t="s">
        <v>1909</v>
      </c>
      <c r="F1006" s="881" t="s">
        <v>2866</v>
      </c>
      <c r="G1006" s="731" t="s">
        <v>3713</v>
      </c>
      <c r="H1006" s="1083">
        <v>42370</v>
      </c>
      <c r="I1006" s="1084">
        <v>42480</v>
      </c>
      <c r="J1006" s="957">
        <v>147.15</v>
      </c>
    </row>
    <row r="1007" spans="1:10" s="852" customFormat="1" ht="28.5" outlineLevel="2">
      <c r="A1007" s="815" t="s">
        <v>598</v>
      </c>
      <c r="B1007" s="816" t="s">
        <v>7864</v>
      </c>
      <c r="C1007" s="729" t="s">
        <v>596</v>
      </c>
      <c r="D1007" s="924"/>
      <c r="E1007" s="878" t="s">
        <v>1909</v>
      </c>
      <c r="F1007" s="881" t="s">
        <v>3591</v>
      </c>
      <c r="G1007" s="731" t="s">
        <v>3715</v>
      </c>
      <c r="H1007" s="1083">
        <v>42370</v>
      </c>
      <c r="I1007" s="1084">
        <v>42480</v>
      </c>
      <c r="J1007" s="957">
        <v>-217.78</v>
      </c>
    </row>
    <row r="1008" spans="1:10" s="852" customFormat="1" ht="28.5" outlineLevel="2">
      <c r="A1008" s="815" t="s">
        <v>598</v>
      </c>
      <c r="B1008" s="816" t="s">
        <v>7864</v>
      </c>
      <c r="C1008" s="729" t="s">
        <v>596</v>
      </c>
      <c r="D1008" s="924"/>
      <c r="E1008" s="878" t="s">
        <v>1909</v>
      </c>
      <c r="F1008" s="881" t="s">
        <v>3591</v>
      </c>
      <c r="G1008" s="731" t="s">
        <v>3716</v>
      </c>
      <c r="H1008" s="1083">
        <v>42370</v>
      </c>
      <c r="I1008" s="1084">
        <v>42480</v>
      </c>
      <c r="J1008" s="957">
        <v>217.78</v>
      </c>
    </row>
    <row r="1009" spans="1:10" s="852" customFormat="1" ht="28.5" outlineLevel="2">
      <c r="A1009" s="815" t="s">
        <v>598</v>
      </c>
      <c r="B1009" s="816" t="s">
        <v>7864</v>
      </c>
      <c r="C1009" s="729" t="s">
        <v>596</v>
      </c>
      <c r="D1009" s="924"/>
      <c r="E1009" s="878" t="s">
        <v>1909</v>
      </c>
      <c r="F1009" s="881" t="s">
        <v>3591</v>
      </c>
      <c r="G1009" s="731" t="s">
        <v>3717</v>
      </c>
      <c r="H1009" s="1083">
        <v>42370</v>
      </c>
      <c r="I1009" s="1084">
        <v>42480</v>
      </c>
      <c r="J1009" s="957">
        <v>217.78</v>
      </c>
    </row>
    <row r="1010" spans="1:10" s="852" customFormat="1" ht="28.5" outlineLevel="2">
      <c r="A1010" s="815" t="s">
        <v>595</v>
      </c>
      <c r="B1010" s="816" t="s">
        <v>7865</v>
      </c>
      <c r="C1010" s="729" t="s">
        <v>596</v>
      </c>
      <c r="D1010" s="924"/>
      <c r="E1010" s="878" t="s">
        <v>1909</v>
      </c>
      <c r="F1010" s="881" t="s">
        <v>4681</v>
      </c>
      <c r="G1010" s="731" t="s">
        <v>3721</v>
      </c>
      <c r="H1010" s="1083">
        <v>42401</v>
      </c>
      <c r="I1010" s="1084">
        <v>42480</v>
      </c>
      <c r="J1010" s="957">
        <v>11567.89</v>
      </c>
    </row>
    <row r="1011" spans="1:10" s="852" customFormat="1" outlineLevel="2">
      <c r="A1011" s="815" t="s">
        <v>595</v>
      </c>
      <c r="B1011" s="816" t="s">
        <v>7865</v>
      </c>
      <c r="C1011" s="729" t="s">
        <v>596</v>
      </c>
      <c r="D1011" s="924"/>
      <c r="E1011" s="878" t="s">
        <v>447</v>
      </c>
      <c r="F1011" s="881" t="s">
        <v>1094</v>
      </c>
      <c r="G1011" s="731" t="s">
        <v>5857</v>
      </c>
      <c r="H1011" s="1083">
        <v>42430</v>
      </c>
      <c r="I1011" s="1084">
        <v>42489</v>
      </c>
      <c r="J1011" s="957">
        <v>193668.88</v>
      </c>
    </row>
    <row r="1012" spans="1:10" s="852" customFormat="1" outlineLevel="1">
      <c r="A1012" s="815"/>
      <c r="B1012" s="816" t="s">
        <v>258</v>
      </c>
      <c r="C1012" s="908" t="s">
        <v>596</v>
      </c>
      <c r="D1012" s="928" t="str">
        <f>VLOOKUP(C1012,$C$3691:$D$3771,2,FALSE)</f>
        <v>TOTAL POUPATEMPO  DIADEMA</v>
      </c>
      <c r="E1012" s="1085"/>
      <c r="F1012" s="929"/>
      <c r="G1012" s="910"/>
      <c r="H1012" s="1086"/>
      <c r="I1012" s="1087"/>
      <c r="J1012" s="930">
        <f>SUBTOTAL(9,J961:J1011)</f>
        <v>547616.15000000014</v>
      </c>
    </row>
    <row r="1013" spans="1:10" s="852" customFormat="1" outlineLevel="2">
      <c r="A1013" s="815" t="s">
        <v>2240</v>
      </c>
      <c r="B1013" s="816" t="s">
        <v>7869</v>
      </c>
      <c r="C1013" s="729" t="s">
        <v>601</v>
      </c>
      <c r="D1013" s="924"/>
      <c r="E1013" s="878" t="s">
        <v>2221</v>
      </c>
      <c r="F1013" s="881" t="s">
        <v>863</v>
      </c>
      <c r="G1013" s="731" t="s">
        <v>5571</v>
      </c>
      <c r="H1013" s="1083">
        <v>42401</v>
      </c>
      <c r="I1013" s="1084">
        <v>42465</v>
      </c>
      <c r="J1013" s="957">
        <v>4051.04</v>
      </c>
    </row>
    <row r="1014" spans="1:10" s="852" customFormat="1" outlineLevel="2">
      <c r="A1014" s="815" t="s">
        <v>602</v>
      </c>
      <c r="B1014" s="816" t="s">
        <v>7865</v>
      </c>
      <c r="C1014" s="729" t="s">
        <v>601</v>
      </c>
      <c r="D1014" s="924"/>
      <c r="E1014" s="878" t="s">
        <v>2336</v>
      </c>
      <c r="F1014" s="881" t="s">
        <v>3354</v>
      </c>
      <c r="G1014" s="731" t="s">
        <v>3730</v>
      </c>
      <c r="H1014" s="1083">
        <v>42401</v>
      </c>
      <c r="I1014" s="1084">
        <v>42480</v>
      </c>
      <c r="J1014" s="957">
        <v>2955.85</v>
      </c>
    </row>
    <row r="1015" spans="1:10" s="852" customFormat="1" outlineLevel="2">
      <c r="A1015" s="815" t="s">
        <v>602</v>
      </c>
      <c r="B1015" s="816" t="s">
        <v>7865</v>
      </c>
      <c r="C1015" s="729" t="s">
        <v>601</v>
      </c>
      <c r="D1015" s="924"/>
      <c r="E1015" s="878" t="s">
        <v>2336</v>
      </c>
      <c r="F1015" s="881" t="s">
        <v>3422</v>
      </c>
      <c r="G1015" s="731" t="s">
        <v>3732</v>
      </c>
      <c r="H1015" s="1083">
        <v>42401</v>
      </c>
      <c r="I1015" s="1084">
        <v>42480</v>
      </c>
      <c r="J1015" s="957">
        <v>4433.78</v>
      </c>
    </row>
    <row r="1016" spans="1:10" s="852" customFormat="1" outlineLevel="2">
      <c r="A1016" s="815" t="s">
        <v>602</v>
      </c>
      <c r="B1016" s="816" t="s">
        <v>7865</v>
      </c>
      <c r="C1016" s="729" t="s">
        <v>601</v>
      </c>
      <c r="D1016" s="924"/>
      <c r="E1016" s="878" t="s">
        <v>484</v>
      </c>
      <c r="F1016" s="881" t="s">
        <v>1094</v>
      </c>
      <c r="G1016" s="731" t="s">
        <v>5807</v>
      </c>
      <c r="H1016" s="1083">
        <v>42430</v>
      </c>
      <c r="I1016" s="1084">
        <v>42489</v>
      </c>
      <c r="J1016" s="957">
        <v>39364.769999999997</v>
      </c>
    </row>
    <row r="1017" spans="1:10" s="852" customFormat="1" outlineLevel="2">
      <c r="A1017" s="815" t="s">
        <v>1014</v>
      </c>
      <c r="B1017" s="816" t="s">
        <v>7866</v>
      </c>
      <c r="C1017" s="729" t="s">
        <v>601</v>
      </c>
      <c r="D1017" s="924"/>
      <c r="E1017" s="878" t="s">
        <v>2282</v>
      </c>
      <c r="F1017" s="881" t="s">
        <v>3974</v>
      </c>
      <c r="G1017" s="731" t="s">
        <v>2779</v>
      </c>
      <c r="H1017" s="1083">
        <v>42401</v>
      </c>
      <c r="I1017" s="1084">
        <v>42471</v>
      </c>
      <c r="J1017" s="957">
        <v>143.24</v>
      </c>
    </row>
    <row r="1018" spans="1:10" s="852" customFormat="1" outlineLevel="2">
      <c r="A1018" s="815" t="s">
        <v>1014</v>
      </c>
      <c r="B1018" s="816" t="s">
        <v>7866</v>
      </c>
      <c r="C1018" s="729" t="s">
        <v>601</v>
      </c>
      <c r="D1018" s="924"/>
      <c r="E1018" s="878" t="s">
        <v>2282</v>
      </c>
      <c r="F1018" s="881" t="s">
        <v>4081</v>
      </c>
      <c r="G1018" s="731" t="s">
        <v>2781</v>
      </c>
      <c r="H1018" s="1083">
        <v>42401</v>
      </c>
      <c r="I1018" s="1084">
        <v>42471</v>
      </c>
      <c r="J1018" s="957">
        <v>4.58</v>
      </c>
    </row>
    <row r="1019" spans="1:10" s="852" customFormat="1" outlineLevel="2">
      <c r="A1019" s="815" t="s">
        <v>1014</v>
      </c>
      <c r="B1019" s="816" t="s">
        <v>7866</v>
      </c>
      <c r="C1019" s="729" t="s">
        <v>601</v>
      </c>
      <c r="D1019" s="924"/>
      <c r="E1019" s="878" t="s">
        <v>2282</v>
      </c>
      <c r="F1019" s="881" t="s">
        <v>4165</v>
      </c>
      <c r="G1019" s="731" t="s">
        <v>2782</v>
      </c>
      <c r="H1019" s="1083">
        <v>42401</v>
      </c>
      <c r="I1019" s="1084">
        <v>42471</v>
      </c>
      <c r="J1019" s="957">
        <v>54.54</v>
      </c>
    </row>
    <row r="1020" spans="1:10" s="852" customFormat="1" outlineLevel="2">
      <c r="A1020" s="815" t="s">
        <v>602</v>
      </c>
      <c r="B1020" s="816" t="s">
        <v>7865</v>
      </c>
      <c r="C1020" s="729" t="s">
        <v>601</v>
      </c>
      <c r="D1020" s="924"/>
      <c r="E1020" s="878" t="s">
        <v>2697</v>
      </c>
      <c r="F1020" s="881" t="s">
        <v>3356</v>
      </c>
      <c r="G1020" s="731" t="s">
        <v>3737</v>
      </c>
      <c r="H1020" s="1083">
        <v>42401</v>
      </c>
      <c r="I1020" s="1084">
        <v>42471</v>
      </c>
      <c r="J1020" s="957">
        <v>2381.5700000000002</v>
      </c>
    </row>
    <row r="1021" spans="1:10" s="852" customFormat="1" outlineLevel="2">
      <c r="A1021" s="815" t="s">
        <v>602</v>
      </c>
      <c r="B1021" s="816" t="s">
        <v>7865</v>
      </c>
      <c r="C1021" s="729" t="s">
        <v>601</v>
      </c>
      <c r="D1021" s="924"/>
      <c r="E1021" s="878" t="s">
        <v>2697</v>
      </c>
      <c r="F1021" s="881" t="s">
        <v>5118</v>
      </c>
      <c r="G1021" s="731" t="s">
        <v>3739</v>
      </c>
      <c r="H1021" s="1083">
        <v>42401</v>
      </c>
      <c r="I1021" s="1084">
        <v>42471</v>
      </c>
      <c r="J1021" s="957">
        <f>3572.38+0.13</f>
        <v>3572.51</v>
      </c>
    </row>
    <row r="1022" spans="1:10" s="852" customFormat="1" outlineLevel="2">
      <c r="A1022" s="815" t="s">
        <v>602</v>
      </c>
      <c r="B1022" s="816" t="s">
        <v>7865</v>
      </c>
      <c r="C1022" s="729" t="s">
        <v>601</v>
      </c>
      <c r="D1022" s="924"/>
      <c r="E1022" s="878" t="s">
        <v>508</v>
      </c>
      <c r="F1022" s="881" t="s">
        <v>1094</v>
      </c>
      <c r="G1022" s="731" t="s">
        <v>5818</v>
      </c>
      <c r="H1022" s="1083">
        <v>42430</v>
      </c>
      <c r="I1022" s="1084">
        <v>42489</v>
      </c>
      <c r="J1022" s="957">
        <v>59047.14</v>
      </c>
    </row>
    <row r="1023" spans="1:10" s="852" customFormat="1" outlineLevel="2">
      <c r="A1023" s="815" t="s">
        <v>1014</v>
      </c>
      <c r="B1023" s="816" t="s">
        <v>7866</v>
      </c>
      <c r="C1023" s="729" t="s">
        <v>601</v>
      </c>
      <c r="D1023" s="924"/>
      <c r="E1023" s="878" t="s">
        <v>1909</v>
      </c>
      <c r="F1023" s="881" t="s">
        <v>3935</v>
      </c>
      <c r="G1023" s="731" t="s">
        <v>2817</v>
      </c>
      <c r="H1023" s="1083">
        <v>42401</v>
      </c>
      <c r="I1023" s="1084">
        <v>42480</v>
      </c>
      <c r="J1023" s="957">
        <v>42.97</v>
      </c>
    </row>
    <row r="1024" spans="1:10" s="852" customFormat="1" outlineLevel="2">
      <c r="A1024" s="815" t="s">
        <v>1014</v>
      </c>
      <c r="B1024" s="816" t="s">
        <v>7866</v>
      </c>
      <c r="C1024" s="729" t="s">
        <v>601</v>
      </c>
      <c r="D1024" s="924"/>
      <c r="E1024" s="878" t="s">
        <v>1909</v>
      </c>
      <c r="F1024" s="881" t="s">
        <v>4027</v>
      </c>
      <c r="G1024" s="731" t="s">
        <v>2819</v>
      </c>
      <c r="H1024" s="1083">
        <v>42401</v>
      </c>
      <c r="I1024" s="1084">
        <v>42480</v>
      </c>
      <c r="J1024" s="957">
        <v>1.37</v>
      </c>
    </row>
    <row r="1025" spans="1:10" s="852" customFormat="1" outlineLevel="2">
      <c r="A1025" s="815" t="s">
        <v>1014</v>
      </c>
      <c r="B1025" s="816" t="s">
        <v>7866</v>
      </c>
      <c r="C1025" s="729" t="s">
        <v>601</v>
      </c>
      <c r="D1025" s="924"/>
      <c r="E1025" s="878" t="s">
        <v>1909</v>
      </c>
      <c r="F1025" s="881" t="s">
        <v>4129</v>
      </c>
      <c r="G1025" s="731" t="s">
        <v>2821</v>
      </c>
      <c r="H1025" s="1083">
        <v>42401</v>
      </c>
      <c r="I1025" s="1084">
        <v>42480</v>
      </c>
      <c r="J1025" s="957">
        <v>16.36</v>
      </c>
    </row>
    <row r="1026" spans="1:10" s="852" customFormat="1" outlineLevel="2">
      <c r="A1026" s="815" t="s">
        <v>602</v>
      </c>
      <c r="B1026" s="816" t="s">
        <v>7865</v>
      </c>
      <c r="C1026" s="729" t="s">
        <v>601</v>
      </c>
      <c r="D1026" s="924"/>
      <c r="E1026" s="878" t="s">
        <v>1909</v>
      </c>
      <c r="F1026" s="881" t="s">
        <v>3352</v>
      </c>
      <c r="G1026" s="731" t="s">
        <v>3741</v>
      </c>
      <c r="H1026" s="1083">
        <v>42401</v>
      </c>
      <c r="I1026" s="1084">
        <v>42480</v>
      </c>
      <c r="J1026" s="957">
        <v>714.47</v>
      </c>
    </row>
    <row r="1027" spans="1:10" s="852" customFormat="1" outlineLevel="2">
      <c r="A1027" s="815" t="s">
        <v>602</v>
      </c>
      <c r="B1027" s="816" t="s">
        <v>7865</v>
      </c>
      <c r="C1027" s="729" t="s">
        <v>601</v>
      </c>
      <c r="D1027" s="924"/>
      <c r="E1027" s="878" t="s">
        <v>1909</v>
      </c>
      <c r="F1027" s="881" t="s">
        <v>3421</v>
      </c>
      <c r="G1027" s="731" t="s">
        <v>3743</v>
      </c>
      <c r="H1027" s="1083">
        <v>42401</v>
      </c>
      <c r="I1027" s="1084">
        <v>42480</v>
      </c>
      <c r="J1027" s="957">
        <v>1071.71</v>
      </c>
    </row>
    <row r="1028" spans="1:10" s="852" customFormat="1" ht="28.5" outlineLevel="2">
      <c r="A1028" s="815" t="s">
        <v>1014</v>
      </c>
      <c r="B1028" s="816" t="s">
        <v>7866</v>
      </c>
      <c r="C1028" s="729" t="s">
        <v>601</v>
      </c>
      <c r="D1028" s="924"/>
      <c r="E1028" s="878" t="s">
        <v>1909</v>
      </c>
      <c r="F1028" s="881" t="s">
        <v>4956</v>
      </c>
      <c r="G1028" s="731" t="s">
        <v>2833</v>
      </c>
      <c r="H1028" s="1083">
        <v>42401</v>
      </c>
      <c r="I1028" s="1084">
        <v>42480</v>
      </c>
      <c r="J1028" s="957">
        <v>133.21</v>
      </c>
    </row>
    <row r="1029" spans="1:10" s="852" customFormat="1" ht="28.5" outlineLevel="2">
      <c r="A1029" s="815" t="s">
        <v>1014</v>
      </c>
      <c r="B1029" s="816" t="s">
        <v>7866</v>
      </c>
      <c r="C1029" s="729" t="s">
        <v>601</v>
      </c>
      <c r="D1029" s="924"/>
      <c r="E1029" s="878" t="s">
        <v>1909</v>
      </c>
      <c r="F1029" s="881" t="s">
        <v>4903</v>
      </c>
      <c r="G1029" s="731" t="s">
        <v>2832</v>
      </c>
      <c r="H1029" s="1083">
        <v>42401</v>
      </c>
      <c r="I1029" s="1084">
        <v>42480</v>
      </c>
      <c r="J1029" s="957">
        <v>4.25</v>
      </c>
    </row>
    <row r="1030" spans="1:10" s="852" customFormat="1" ht="28.5" outlineLevel="2">
      <c r="A1030" s="815" t="s">
        <v>1014</v>
      </c>
      <c r="B1030" s="816" t="s">
        <v>7866</v>
      </c>
      <c r="C1030" s="729" t="s">
        <v>601</v>
      </c>
      <c r="D1030" s="924"/>
      <c r="E1030" s="878" t="s">
        <v>1909</v>
      </c>
      <c r="F1030" s="881" t="s">
        <v>4853</v>
      </c>
      <c r="G1030" s="731" t="s">
        <v>2831</v>
      </c>
      <c r="H1030" s="1083">
        <v>42401</v>
      </c>
      <c r="I1030" s="1084">
        <v>42480</v>
      </c>
      <c r="J1030" s="957">
        <v>50.72</v>
      </c>
    </row>
    <row r="1031" spans="1:10" s="852" customFormat="1" ht="28.5" outlineLevel="2">
      <c r="A1031" s="815" t="s">
        <v>602</v>
      </c>
      <c r="B1031" s="816" t="s">
        <v>7865</v>
      </c>
      <c r="C1031" s="729" t="s">
        <v>601</v>
      </c>
      <c r="D1031" s="924"/>
      <c r="E1031" s="878" t="s">
        <v>1909</v>
      </c>
      <c r="F1031" s="881" t="s">
        <v>4636</v>
      </c>
      <c r="G1031" s="731" t="s">
        <v>3750</v>
      </c>
      <c r="H1031" s="1083">
        <v>42401</v>
      </c>
      <c r="I1031" s="1084">
        <v>42480</v>
      </c>
      <c r="J1031" s="957">
        <v>2214.87</v>
      </c>
    </row>
    <row r="1032" spans="1:10" s="852" customFormat="1" ht="28.5" outlineLevel="2">
      <c r="A1032" s="815" t="s">
        <v>602</v>
      </c>
      <c r="B1032" s="816" t="s">
        <v>7865</v>
      </c>
      <c r="C1032" s="729" t="s">
        <v>601</v>
      </c>
      <c r="D1032" s="924"/>
      <c r="E1032" s="878" t="s">
        <v>1909</v>
      </c>
      <c r="F1032" s="881" t="s">
        <v>4625</v>
      </c>
      <c r="G1032" s="731" t="s">
        <v>3748</v>
      </c>
      <c r="H1032" s="1083">
        <v>42401</v>
      </c>
      <c r="I1032" s="1084">
        <v>42480</v>
      </c>
      <c r="J1032" s="957">
        <v>3322.3</v>
      </c>
    </row>
    <row r="1033" spans="1:10" s="852" customFormat="1" outlineLevel="1">
      <c r="A1033" s="815"/>
      <c r="B1033" s="816" t="s">
        <v>258</v>
      </c>
      <c r="C1033" s="908" t="s">
        <v>601</v>
      </c>
      <c r="D1033" s="928" t="str">
        <f>VLOOKUP(C1033,$C$3691:$D$3771,2,FALSE)</f>
        <v>TOTAL POUPATEMPO  DRACENA</v>
      </c>
      <c r="E1033" s="1085"/>
      <c r="F1033" s="929"/>
      <c r="G1033" s="910"/>
      <c r="H1033" s="1086"/>
      <c r="I1033" s="1087"/>
      <c r="J1033" s="930">
        <f>SUBTOTAL(9,J1013:J1032)</f>
        <v>123581.25</v>
      </c>
    </row>
    <row r="1034" spans="1:10" s="852" customFormat="1" outlineLevel="2">
      <c r="A1034" s="815" t="s">
        <v>2226</v>
      </c>
      <c r="B1034" s="816" t="s">
        <v>7869</v>
      </c>
      <c r="C1034" s="729" t="s">
        <v>604</v>
      </c>
      <c r="D1034" s="924"/>
      <c r="E1034" s="878" t="s">
        <v>2221</v>
      </c>
      <c r="F1034" s="881" t="s">
        <v>863</v>
      </c>
      <c r="G1034" s="731" t="s">
        <v>5571</v>
      </c>
      <c r="H1034" s="1083">
        <v>42401</v>
      </c>
      <c r="I1034" s="1084">
        <v>42465</v>
      </c>
      <c r="J1034" s="957">
        <v>4051.04</v>
      </c>
    </row>
    <row r="1035" spans="1:10" s="852" customFormat="1" outlineLevel="2">
      <c r="A1035" s="815" t="s">
        <v>1717</v>
      </c>
      <c r="B1035" s="816" t="s">
        <v>7872</v>
      </c>
      <c r="C1035" s="729" t="s">
        <v>604</v>
      </c>
      <c r="D1035" s="924"/>
      <c r="E1035" s="878" t="s">
        <v>1715</v>
      </c>
      <c r="F1035" s="881" t="s">
        <v>1696</v>
      </c>
      <c r="G1035" s="731" t="s">
        <v>5717</v>
      </c>
      <c r="H1035" s="1083">
        <v>42430</v>
      </c>
      <c r="I1035" s="1084">
        <v>42485</v>
      </c>
      <c r="J1035" s="957">
        <v>11339.08</v>
      </c>
    </row>
    <row r="1036" spans="1:10" s="852" customFormat="1" ht="28.5" outlineLevel="2">
      <c r="A1036" s="815" t="s">
        <v>605</v>
      </c>
      <c r="B1036" s="816" t="s">
        <v>7865</v>
      </c>
      <c r="C1036" s="729" t="s">
        <v>604</v>
      </c>
      <c r="D1036" s="924"/>
      <c r="E1036" s="878" t="s">
        <v>2336</v>
      </c>
      <c r="F1036" s="881" t="s">
        <v>6001</v>
      </c>
      <c r="G1036" s="731" t="s">
        <v>3611</v>
      </c>
      <c r="H1036" s="1083">
        <v>42401</v>
      </c>
      <c r="I1036" s="1084">
        <v>42480</v>
      </c>
      <c r="J1036" s="957">
        <v>1771.23</v>
      </c>
    </row>
    <row r="1037" spans="1:10" s="852" customFormat="1" ht="28.5" outlineLevel="2">
      <c r="A1037" s="815" t="s">
        <v>605</v>
      </c>
      <c r="B1037" s="816" t="s">
        <v>7865</v>
      </c>
      <c r="C1037" s="729" t="s">
        <v>604</v>
      </c>
      <c r="D1037" s="924"/>
      <c r="E1037" s="878" t="s">
        <v>2336</v>
      </c>
      <c r="F1037" s="881" t="s">
        <v>6007</v>
      </c>
      <c r="G1037" s="731" t="s">
        <v>3756</v>
      </c>
      <c r="H1037" s="1083">
        <v>42401</v>
      </c>
      <c r="I1037" s="1084">
        <v>42480</v>
      </c>
      <c r="J1037" s="957">
        <v>4334.84</v>
      </c>
    </row>
    <row r="1038" spans="1:10" s="852" customFormat="1" ht="28.5" outlineLevel="2">
      <c r="A1038" s="815" t="s">
        <v>605</v>
      </c>
      <c r="B1038" s="816" t="s">
        <v>7865</v>
      </c>
      <c r="C1038" s="729" t="s">
        <v>604</v>
      </c>
      <c r="D1038" s="924"/>
      <c r="E1038" s="878" t="s">
        <v>2336</v>
      </c>
      <c r="F1038" s="881" t="s">
        <v>3245</v>
      </c>
      <c r="G1038" s="731" t="s">
        <v>3760</v>
      </c>
      <c r="H1038" s="1083">
        <v>42401</v>
      </c>
      <c r="I1038" s="1084">
        <v>42480</v>
      </c>
      <c r="J1038" s="957">
        <v>4336.1400000000003</v>
      </c>
    </row>
    <row r="1039" spans="1:10" s="852" customFormat="1" outlineLevel="2">
      <c r="A1039" s="815" t="s">
        <v>605</v>
      </c>
      <c r="B1039" s="816" t="s">
        <v>7865</v>
      </c>
      <c r="C1039" s="729" t="s">
        <v>604</v>
      </c>
      <c r="D1039" s="924"/>
      <c r="E1039" s="878" t="s">
        <v>2336</v>
      </c>
      <c r="F1039" s="881" t="s">
        <v>6008</v>
      </c>
      <c r="G1039" s="731" t="s">
        <v>3758</v>
      </c>
      <c r="H1039" s="1083">
        <v>42401</v>
      </c>
      <c r="I1039" s="1084">
        <v>42480</v>
      </c>
      <c r="J1039" s="957">
        <v>1379.27</v>
      </c>
    </row>
    <row r="1040" spans="1:10" s="852" customFormat="1" outlineLevel="2">
      <c r="A1040" s="815" t="s">
        <v>998</v>
      </c>
      <c r="B1040" s="816" t="s">
        <v>7866</v>
      </c>
      <c r="C1040" s="729" t="s">
        <v>604</v>
      </c>
      <c r="D1040" s="924"/>
      <c r="E1040" s="878" t="s">
        <v>2282</v>
      </c>
      <c r="F1040" s="881" t="s">
        <v>3974</v>
      </c>
      <c r="G1040" s="731" t="s">
        <v>2779</v>
      </c>
      <c r="H1040" s="1083">
        <v>42401</v>
      </c>
      <c r="I1040" s="1084">
        <v>42471</v>
      </c>
      <c r="J1040" s="957">
        <v>266.39999999999998</v>
      </c>
    </row>
    <row r="1041" spans="1:10" s="852" customFormat="1" outlineLevel="2">
      <c r="A1041" s="815" t="s">
        <v>998</v>
      </c>
      <c r="B1041" s="816" t="s">
        <v>7866</v>
      </c>
      <c r="C1041" s="729" t="s">
        <v>604</v>
      </c>
      <c r="D1041" s="924"/>
      <c r="E1041" s="878" t="s">
        <v>2282</v>
      </c>
      <c r="F1041" s="881" t="s">
        <v>4081</v>
      </c>
      <c r="G1041" s="731" t="s">
        <v>2781</v>
      </c>
      <c r="H1041" s="1083">
        <v>42401</v>
      </c>
      <c r="I1041" s="1084">
        <v>42471</v>
      </c>
      <c r="J1041" s="957">
        <v>8.51</v>
      </c>
    </row>
    <row r="1042" spans="1:10" s="852" customFormat="1" outlineLevel="2">
      <c r="A1042" s="815" t="s">
        <v>998</v>
      </c>
      <c r="B1042" s="816" t="s">
        <v>7866</v>
      </c>
      <c r="C1042" s="729" t="s">
        <v>604</v>
      </c>
      <c r="D1042" s="924"/>
      <c r="E1042" s="878" t="s">
        <v>2282</v>
      </c>
      <c r="F1042" s="881" t="s">
        <v>4165</v>
      </c>
      <c r="G1042" s="731" t="s">
        <v>2782</v>
      </c>
      <c r="H1042" s="1083">
        <v>42401</v>
      </c>
      <c r="I1042" s="1084">
        <v>42471</v>
      </c>
      <c r="J1042" s="957">
        <v>100.51</v>
      </c>
    </row>
    <row r="1043" spans="1:10" s="852" customFormat="1" ht="28.5" outlineLevel="2">
      <c r="A1043" s="815" t="s">
        <v>605</v>
      </c>
      <c r="B1043" s="816" t="s">
        <v>7865</v>
      </c>
      <c r="C1043" s="729" t="s">
        <v>604</v>
      </c>
      <c r="D1043" s="924"/>
      <c r="E1043" s="878" t="s">
        <v>2694</v>
      </c>
      <c r="F1043" s="881" t="s">
        <v>6121</v>
      </c>
      <c r="G1043" s="731" t="s">
        <v>3620</v>
      </c>
      <c r="H1043" s="1083">
        <v>42401</v>
      </c>
      <c r="I1043" s="1084">
        <v>42475</v>
      </c>
      <c r="J1043" s="957">
        <v>575.09</v>
      </c>
    </row>
    <row r="1044" spans="1:10" s="852" customFormat="1" ht="28.5" outlineLevel="2">
      <c r="A1044" s="815" t="s">
        <v>605</v>
      </c>
      <c r="B1044" s="816" t="s">
        <v>7865</v>
      </c>
      <c r="C1044" s="729" t="s">
        <v>604</v>
      </c>
      <c r="D1044" s="924"/>
      <c r="E1044" s="878" t="s">
        <v>2698</v>
      </c>
      <c r="F1044" s="881" t="s">
        <v>6126</v>
      </c>
      <c r="G1044" s="731" t="s">
        <v>3764</v>
      </c>
      <c r="H1044" s="1083">
        <v>42401</v>
      </c>
      <c r="I1044" s="1084">
        <v>42480</v>
      </c>
      <c r="J1044" s="957">
        <v>917.42</v>
      </c>
    </row>
    <row r="1045" spans="1:10" s="852" customFormat="1" outlineLevel="2">
      <c r="A1045" s="815" t="s">
        <v>605</v>
      </c>
      <c r="B1045" s="816" t="s">
        <v>7865</v>
      </c>
      <c r="C1045" s="729" t="s">
        <v>604</v>
      </c>
      <c r="D1045" s="924"/>
      <c r="E1045" s="878" t="s">
        <v>2698</v>
      </c>
      <c r="F1045" s="881" t="s">
        <v>6127</v>
      </c>
      <c r="G1045" s="731" t="s">
        <v>3765</v>
      </c>
      <c r="H1045" s="1083">
        <v>42401</v>
      </c>
      <c r="I1045" s="1084">
        <v>42480</v>
      </c>
      <c r="J1045" s="957">
        <v>917.42</v>
      </c>
    </row>
    <row r="1046" spans="1:10" s="852" customFormat="1" ht="28.5" outlineLevel="2">
      <c r="A1046" s="815" t="s">
        <v>605</v>
      </c>
      <c r="B1046" s="816" t="s">
        <v>7865</v>
      </c>
      <c r="C1046" s="729" t="s">
        <v>604</v>
      </c>
      <c r="D1046" s="924"/>
      <c r="E1046" s="878" t="s">
        <v>2698</v>
      </c>
      <c r="F1046" s="881" t="s">
        <v>3247</v>
      </c>
      <c r="G1046" s="731" t="s">
        <v>3766</v>
      </c>
      <c r="H1046" s="1083">
        <v>42401</v>
      </c>
      <c r="I1046" s="1084">
        <v>42480</v>
      </c>
      <c r="J1046" s="957">
        <v>917.7</v>
      </c>
    </row>
    <row r="1047" spans="1:10" s="852" customFormat="1" outlineLevel="2">
      <c r="A1047" s="815" t="s">
        <v>998</v>
      </c>
      <c r="B1047" s="816" t="s">
        <v>7866</v>
      </c>
      <c r="C1047" s="729" t="s">
        <v>604</v>
      </c>
      <c r="D1047" s="924"/>
      <c r="E1047" s="878" t="s">
        <v>1909</v>
      </c>
      <c r="F1047" s="881" t="s">
        <v>3935</v>
      </c>
      <c r="G1047" s="731" t="s">
        <v>2817</v>
      </c>
      <c r="H1047" s="1083">
        <v>42401</v>
      </c>
      <c r="I1047" s="1084">
        <v>42480</v>
      </c>
      <c r="J1047" s="957">
        <v>79.92</v>
      </c>
    </row>
    <row r="1048" spans="1:10" s="852" customFormat="1" outlineLevel="2">
      <c r="A1048" s="815" t="s">
        <v>998</v>
      </c>
      <c r="B1048" s="816" t="s">
        <v>7866</v>
      </c>
      <c r="C1048" s="729" t="s">
        <v>604</v>
      </c>
      <c r="D1048" s="924"/>
      <c r="E1048" s="878" t="s">
        <v>1909</v>
      </c>
      <c r="F1048" s="881" t="s">
        <v>4027</v>
      </c>
      <c r="G1048" s="731" t="s">
        <v>2819</v>
      </c>
      <c r="H1048" s="1083">
        <v>42401</v>
      </c>
      <c r="I1048" s="1084">
        <v>42480</v>
      </c>
      <c r="J1048" s="957">
        <v>2.5499999999999998</v>
      </c>
    </row>
    <row r="1049" spans="1:10" s="852" customFormat="1" outlineLevel="2">
      <c r="A1049" s="815" t="s">
        <v>998</v>
      </c>
      <c r="B1049" s="816" t="s">
        <v>7866</v>
      </c>
      <c r="C1049" s="729" t="s">
        <v>604</v>
      </c>
      <c r="D1049" s="924"/>
      <c r="E1049" s="878" t="s">
        <v>1909</v>
      </c>
      <c r="F1049" s="881" t="s">
        <v>4129</v>
      </c>
      <c r="G1049" s="731" t="s">
        <v>2821</v>
      </c>
      <c r="H1049" s="1083">
        <v>42401</v>
      </c>
      <c r="I1049" s="1084">
        <v>42480</v>
      </c>
      <c r="J1049" s="957">
        <v>30.15</v>
      </c>
    </row>
    <row r="1050" spans="1:10" s="852" customFormat="1" ht="28.5" outlineLevel="2">
      <c r="A1050" s="815" t="s">
        <v>605</v>
      </c>
      <c r="B1050" s="816" t="s">
        <v>7865</v>
      </c>
      <c r="C1050" s="729" t="s">
        <v>604</v>
      </c>
      <c r="D1050" s="924"/>
      <c r="E1050" s="878" t="s">
        <v>1909</v>
      </c>
      <c r="F1050" s="881" t="s">
        <v>6244</v>
      </c>
      <c r="G1050" s="731" t="s">
        <v>3626</v>
      </c>
      <c r="H1050" s="1083">
        <v>42401</v>
      </c>
      <c r="I1050" s="1084">
        <v>42480</v>
      </c>
      <c r="J1050" s="957">
        <v>287.54000000000002</v>
      </c>
    </row>
    <row r="1051" spans="1:10" s="852" customFormat="1" ht="28.5" outlineLevel="2">
      <c r="A1051" s="815" t="s">
        <v>605</v>
      </c>
      <c r="B1051" s="816" t="s">
        <v>7865</v>
      </c>
      <c r="C1051" s="729" t="s">
        <v>604</v>
      </c>
      <c r="D1051" s="924"/>
      <c r="E1051" s="878" t="s">
        <v>1909</v>
      </c>
      <c r="F1051" s="881" t="s">
        <v>6252</v>
      </c>
      <c r="G1051" s="731" t="s">
        <v>3767</v>
      </c>
      <c r="H1051" s="1083">
        <v>42401</v>
      </c>
      <c r="I1051" s="1084">
        <v>42480</v>
      </c>
      <c r="J1051" s="957">
        <v>688.07</v>
      </c>
    </row>
    <row r="1052" spans="1:10" s="852" customFormat="1" ht="28.5" outlineLevel="2">
      <c r="A1052" s="815" t="s">
        <v>605</v>
      </c>
      <c r="B1052" s="816" t="s">
        <v>7865</v>
      </c>
      <c r="C1052" s="729" t="s">
        <v>604</v>
      </c>
      <c r="D1052" s="924"/>
      <c r="E1052" s="878" t="s">
        <v>1909</v>
      </c>
      <c r="F1052" s="881" t="s">
        <v>3009</v>
      </c>
      <c r="G1052" s="731" t="s">
        <v>3769</v>
      </c>
      <c r="H1052" s="1083">
        <v>42401</v>
      </c>
      <c r="I1052" s="1084">
        <v>42480</v>
      </c>
      <c r="J1052" s="957">
        <v>688.27</v>
      </c>
    </row>
    <row r="1053" spans="1:10" s="852" customFormat="1" outlineLevel="2">
      <c r="A1053" s="815" t="s">
        <v>605</v>
      </c>
      <c r="B1053" s="816" t="s">
        <v>7865</v>
      </c>
      <c r="C1053" s="729" t="s">
        <v>604</v>
      </c>
      <c r="D1053" s="924"/>
      <c r="E1053" s="878" t="s">
        <v>1909</v>
      </c>
      <c r="F1053" s="881" t="s">
        <v>6253</v>
      </c>
      <c r="G1053" s="731" t="s">
        <v>3768</v>
      </c>
      <c r="H1053" s="1083">
        <v>42401</v>
      </c>
      <c r="I1053" s="1084">
        <v>42480</v>
      </c>
      <c r="J1053" s="957">
        <v>688.07</v>
      </c>
    </row>
    <row r="1054" spans="1:10" s="852" customFormat="1" ht="28.5" outlineLevel="2">
      <c r="A1054" s="815" t="s">
        <v>998</v>
      </c>
      <c r="B1054" s="816" t="s">
        <v>7866</v>
      </c>
      <c r="C1054" s="729" t="s">
        <v>604</v>
      </c>
      <c r="D1054" s="924"/>
      <c r="E1054" s="878" t="s">
        <v>1909</v>
      </c>
      <c r="F1054" s="881" t="s">
        <v>4956</v>
      </c>
      <c r="G1054" s="731" t="s">
        <v>2833</v>
      </c>
      <c r="H1054" s="1083">
        <v>42401</v>
      </c>
      <c r="I1054" s="1084">
        <v>42480</v>
      </c>
      <c r="J1054" s="957">
        <v>247.75</v>
      </c>
    </row>
    <row r="1055" spans="1:10" s="852" customFormat="1" ht="28.5" outlineLevel="2">
      <c r="A1055" s="815" t="s">
        <v>998</v>
      </c>
      <c r="B1055" s="816" t="s">
        <v>7866</v>
      </c>
      <c r="C1055" s="729" t="s">
        <v>604</v>
      </c>
      <c r="D1055" s="924"/>
      <c r="E1055" s="878" t="s">
        <v>1909</v>
      </c>
      <c r="F1055" s="881" t="s">
        <v>4903</v>
      </c>
      <c r="G1055" s="731" t="s">
        <v>2832</v>
      </c>
      <c r="H1055" s="1083">
        <v>42401</v>
      </c>
      <c r="I1055" s="1084">
        <v>42480</v>
      </c>
      <c r="J1055" s="957">
        <v>7.92</v>
      </c>
    </row>
    <row r="1056" spans="1:10" s="852" customFormat="1" ht="28.5" outlineLevel="2">
      <c r="A1056" s="815" t="s">
        <v>998</v>
      </c>
      <c r="B1056" s="816" t="s">
        <v>7866</v>
      </c>
      <c r="C1056" s="729" t="s">
        <v>604</v>
      </c>
      <c r="D1056" s="924"/>
      <c r="E1056" s="878" t="s">
        <v>1909</v>
      </c>
      <c r="F1056" s="881" t="s">
        <v>4853</v>
      </c>
      <c r="G1056" s="731" t="s">
        <v>2831</v>
      </c>
      <c r="H1056" s="1083">
        <v>42401</v>
      </c>
      <c r="I1056" s="1084">
        <v>42480</v>
      </c>
      <c r="J1056" s="957">
        <v>93.47</v>
      </c>
    </row>
    <row r="1057" spans="1:10" s="852" customFormat="1" ht="28.5" outlineLevel="2">
      <c r="A1057" s="815" t="s">
        <v>605</v>
      </c>
      <c r="B1057" s="816" t="s">
        <v>7865</v>
      </c>
      <c r="C1057" s="729" t="s">
        <v>604</v>
      </c>
      <c r="D1057" s="924"/>
      <c r="E1057" s="878" t="s">
        <v>1909</v>
      </c>
      <c r="F1057" s="881" t="s">
        <v>4762</v>
      </c>
      <c r="G1057" s="731" t="s">
        <v>3639</v>
      </c>
      <c r="H1057" s="1083">
        <v>42401</v>
      </c>
      <c r="I1057" s="1084">
        <v>42480</v>
      </c>
      <c r="J1057" s="957">
        <v>891.39</v>
      </c>
    </row>
    <row r="1058" spans="1:10" s="852" customFormat="1" ht="28.5" outlineLevel="2">
      <c r="A1058" s="815" t="s">
        <v>605</v>
      </c>
      <c r="B1058" s="816" t="s">
        <v>7865</v>
      </c>
      <c r="C1058" s="729" t="s">
        <v>604</v>
      </c>
      <c r="D1058" s="924"/>
      <c r="E1058" s="878" t="s">
        <v>1909</v>
      </c>
      <c r="F1058" s="881" t="s">
        <v>4746</v>
      </c>
      <c r="G1058" s="731" t="s">
        <v>3772</v>
      </c>
      <c r="H1058" s="1083">
        <v>42401</v>
      </c>
      <c r="I1058" s="1084">
        <v>42480</v>
      </c>
      <c r="J1058" s="957">
        <v>2133.0100000000002</v>
      </c>
    </row>
    <row r="1059" spans="1:10" s="852" customFormat="1" ht="28.5" outlineLevel="2">
      <c r="A1059" s="815" t="s">
        <v>605</v>
      </c>
      <c r="B1059" s="816" t="s">
        <v>7865</v>
      </c>
      <c r="C1059" s="729" t="s">
        <v>604</v>
      </c>
      <c r="D1059" s="924"/>
      <c r="E1059" s="878" t="s">
        <v>1909</v>
      </c>
      <c r="F1059" s="881" t="s">
        <v>4732</v>
      </c>
      <c r="G1059" s="731" t="s">
        <v>3770</v>
      </c>
      <c r="H1059" s="1083">
        <v>42401</v>
      </c>
      <c r="I1059" s="1084">
        <v>42480</v>
      </c>
      <c r="J1059" s="957">
        <v>2133.65</v>
      </c>
    </row>
    <row r="1060" spans="1:10" s="852" customFormat="1" ht="28.5" outlineLevel="2">
      <c r="A1060" s="815" t="s">
        <v>605</v>
      </c>
      <c r="B1060" s="816" t="s">
        <v>7865</v>
      </c>
      <c r="C1060" s="729" t="s">
        <v>604</v>
      </c>
      <c r="D1060" s="924"/>
      <c r="E1060" s="878" t="s">
        <v>1909</v>
      </c>
      <c r="F1060" s="881" t="s">
        <v>4739</v>
      </c>
      <c r="G1060" s="731" t="s">
        <v>3771</v>
      </c>
      <c r="H1060" s="1083">
        <v>42401</v>
      </c>
      <c r="I1060" s="1084">
        <v>42480</v>
      </c>
      <c r="J1060" s="957">
        <v>2133.0100000000002</v>
      </c>
    </row>
    <row r="1061" spans="1:10" s="852" customFormat="1" outlineLevel="2">
      <c r="A1061" s="815" t="s">
        <v>1775</v>
      </c>
      <c r="B1061" s="816" t="s">
        <v>7871</v>
      </c>
      <c r="C1061" s="729" t="s">
        <v>604</v>
      </c>
      <c r="D1061" s="924"/>
      <c r="E1061" s="878" t="s">
        <v>1752</v>
      </c>
      <c r="F1061" s="881" t="s">
        <v>1753</v>
      </c>
      <c r="G1061" s="731" t="s">
        <v>5742</v>
      </c>
      <c r="H1061" s="1083">
        <v>42430</v>
      </c>
      <c r="I1061" s="1084">
        <v>42488</v>
      </c>
      <c r="J1061" s="957">
        <v>400.64</v>
      </c>
    </row>
    <row r="1062" spans="1:10" s="852" customFormat="1" outlineLevel="2">
      <c r="A1062" s="815" t="s">
        <v>605</v>
      </c>
      <c r="B1062" s="816" t="s">
        <v>7865</v>
      </c>
      <c r="C1062" s="729" t="s">
        <v>604</v>
      </c>
      <c r="D1062" s="924"/>
      <c r="E1062" s="878" t="s">
        <v>493</v>
      </c>
      <c r="F1062" s="881" t="s">
        <v>1094</v>
      </c>
      <c r="G1062" s="731" t="s">
        <v>5837</v>
      </c>
      <c r="H1062" s="1083">
        <v>42430</v>
      </c>
      <c r="I1062" s="1084">
        <v>42489</v>
      </c>
      <c r="J1062" s="957">
        <v>37797.82</v>
      </c>
    </row>
    <row r="1063" spans="1:10" s="852" customFormat="1" outlineLevel="2">
      <c r="A1063" s="815" t="s">
        <v>605</v>
      </c>
      <c r="B1063" s="816" t="s">
        <v>7865</v>
      </c>
      <c r="C1063" s="729" t="s">
        <v>604</v>
      </c>
      <c r="D1063" s="924"/>
      <c r="E1063" s="878" t="s">
        <v>488</v>
      </c>
      <c r="F1063" s="881" t="s">
        <v>1094</v>
      </c>
      <c r="G1063" s="731" t="s">
        <v>5850</v>
      </c>
      <c r="H1063" s="1083">
        <v>42430</v>
      </c>
      <c r="I1063" s="1084">
        <v>42489</v>
      </c>
      <c r="J1063" s="957">
        <v>37809.160000000003</v>
      </c>
    </row>
    <row r="1064" spans="1:10" s="852" customFormat="1" outlineLevel="2">
      <c r="A1064" s="815" t="s">
        <v>605</v>
      </c>
      <c r="B1064" s="816" t="s">
        <v>7865</v>
      </c>
      <c r="C1064" s="729" t="s">
        <v>604</v>
      </c>
      <c r="D1064" s="924"/>
      <c r="E1064" s="878" t="s">
        <v>589</v>
      </c>
      <c r="F1064" s="881" t="s">
        <v>1094</v>
      </c>
      <c r="G1064" s="731" t="s">
        <v>5874</v>
      </c>
      <c r="H1064" s="1083">
        <v>42430</v>
      </c>
      <c r="I1064" s="1084">
        <v>42489</v>
      </c>
      <c r="J1064" s="957">
        <v>40753.39</v>
      </c>
    </row>
    <row r="1065" spans="1:10" s="852" customFormat="1" outlineLevel="1">
      <c r="A1065" s="815"/>
      <c r="B1065" s="816" t="s">
        <v>258</v>
      </c>
      <c r="C1065" s="908" t="s">
        <v>604</v>
      </c>
      <c r="D1065" s="928" t="str">
        <f>VLOOKUP(C1065,$C$3691:$D$3771,2,FALSE)</f>
        <v>TOTAL POUPATEMPO  FERNANDÓPOLIS</v>
      </c>
      <c r="E1065" s="1085"/>
      <c r="F1065" s="929"/>
      <c r="G1065" s="910"/>
      <c r="H1065" s="1086"/>
      <c r="I1065" s="1087"/>
      <c r="J1065" s="930">
        <f>SUBTOTAL(9,J1034:J1064)</f>
        <v>157780.43</v>
      </c>
    </row>
    <row r="1066" spans="1:10" s="852" customFormat="1" outlineLevel="2">
      <c r="A1066" s="815" t="s">
        <v>2252</v>
      </c>
      <c r="B1066" s="816" t="s">
        <v>7872</v>
      </c>
      <c r="C1066" s="729" t="s">
        <v>2052</v>
      </c>
      <c r="D1066" s="924"/>
      <c r="E1066" s="878" t="s">
        <v>1708</v>
      </c>
      <c r="F1066" s="881" t="s">
        <v>1696</v>
      </c>
      <c r="G1066" s="731" t="s">
        <v>5723</v>
      </c>
      <c r="H1066" s="1083">
        <v>42430</v>
      </c>
      <c r="I1066" s="1084">
        <v>42486</v>
      </c>
      <c r="J1066" s="957">
        <v>7191.2</v>
      </c>
    </row>
    <row r="1067" spans="1:10" s="852" customFormat="1" outlineLevel="2">
      <c r="A1067" s="815" t="s">
        <v>2284</v>
      </c>
      <c r="B1067" s="816" t="s">
        <v>7865</v>
      </c>
      <c r="C1067" s="729" t="s">
        <v>2052</v>
      </c>
      <c r="D1067" s="924"/>
      <c r="E1067" s="878" t="s">
        <v>2336</v>
      </c>
      <c r="F1067" s="881" t="s">
        <v>6009</v>
      </c>
      <c r="G1067" s="731" t="s">
        <v>3773</v>
      </c>
      <c r="H1067" s="1083">
        <v>42401</v>
      </c>
      <c r="I1067" s="1084">
        <v>42480</v>
      </c>
      <c r="J1067" s="957">
        <v>1833.48</v>
      </c>
    </row>
    <row r="1068" spans="1:10" s="852" customFormat="1" outlineLevel="2">
      <c r="A1068" s="815" t="s">
        <v>2284</v>
      </c>
      <c r="B1068" s="816" t="s">
        <v>7865</v>
      </c>
      <c r="C1068" s="729" t="s">
        <v>2052</v>
      </c>
      <c r="D1068" s="924"/>
      <c r="E1068" s="878" t="s">
        <v>2336</v>
      </c>
      <c r="F1068" s="881" t="s">
        <v>6009</v>
      </c>
      <c r="G1068" s="731" t="s">
        <v>3773</v>
      </c>
      <c r="H1068" s="1083">
        <v>42401</v>
      </c>
      <c r="I1068" s="1084">
        <v>42480</v>
      </c>
      <c r="J1068" s="957">
        <v>4939.9399999999996</v>
      </c>
    </row>
    <row r="1069" spans="1:10" s="852" customFormat="1" outlineLevel="2">
      <c r="A1069" s="815" t="s">
        <v>2284</v>
      </c>
      <c r="B1069" s="816" t="s">
        <v>7865</v>
      </c>
      <c r="C1069" s="729" t="s">
        <v>2052</v>
      </c>
      <c r="D1069" s="924"/>
      <c r="E1069" s="878" t="s">
        <v>2336</v>
      </c>
      <c r="F1069" s="881" t="s">
        <v>6010</v>
      </c>
      <c r="G1069" s="731" t="s">
        <v>3774</v>
      </c>
      <c r="H1069" s="1083">
        <v>42401</v>
      </c>
      <c r="I1069" s="1084">
        <v>42480</v>
      </c>
      <c r="J1069" s="957">
        <v>523.79</v>
      </c>
    </row>
    <row r="1070" spans="1:10" s="852" customFormat="1" outlineLevel="2">
      <c r="A1070" s="815" t="s">
        <v>2284</v>
      </c>
      <c r="B1070" s="816" t="s">
        <v>7865</v>
      </c>
      <c r="C1070" s="729" t="s">
        <v>2052</v>
      </c>
      <c r="D1070" s="924"/>
      <c r="E1070" s="878" t="s">
        <v>2336</v>
      </c>
      <c r="F1070" s="881" t="s">
        <v>6010</v>
      </c>
      <c r="G1070" s="731" t="s">
        <v>3774</v>
      </c>
      <c r="H1070" s="1083">
        <v>42401</v>
      </c>
      <c r="I1070" s="1084">
        <v>42480</v>
      </c>
      <c r="J1070" s="957">
        <v>228.8</v>
      </c>
    </row>
    <row r="1071" spans="1:10" s="852" customFormat="1" outlineLevel="2">
      <c r="A1071" s="815" t="s">
        <v>2594</v>
      </c>
      <c r="B1071" s="816" t="s">
        <v>7866</v>
      </c>
      <c r="C1071" s="729" t="s">
        <v>2052</v>
      </c>
      <c r="D1071" s="924"/>
      <c r="E1071" s="878" t="s">
        <v>2282</v>
      </c>
      <c r="F1071" s="881" t="s">
        <v>3974</v>
      </c>
      <c r="G1071" s="731" t="s">
        <v>2779</v>
      </c>
      <c r="H1071" s="1083">
        <v>42401</v>
      </c>
      <c r="I1071" s="1084">
        <v>42471</v>
      </c>
      <c r="J1071" s="957">
        <v>222.65</v>
      </c>
    </row>
    <row r="1072" spans="1:10" s="852" customFormat="1" outlineLevel="2">
      <c r="A1072" s="815" t="s">
        <v>2594</v>
      </c>
      <c r="B1072" s="816" t="s">
        <v>7866</v>
      </c>
      <c r="C1072" s="729" t="s">
        <v>2052</v>
      </c>
      <c r="D1072" s="924"/>
      <c r="E1072" s="878" t="s">
        <v>2282</v>
      </c>
      <c r="F1072" s="881" t="s">
        <v>4081</v>
      </c>
      <c r="G1072" s="731" t="s">
        <v>2781</v>
      </c>
      <c r="H1072" s="1083">
        <v>42401</v>
      </c>
      <c r="I1072" s="1084">
        <v>42471</v>
      </c>
      <c r="J1072" s="957">
        <v>7.11</v>
      </c>
    </row>
    <row r="1073" spans="1:10" s="852" customFormat="1" outlineLevel="2">
      <c r="A1073" s="815" t="s">
        <v>2594</v>
      </c>
      <c r="B1073" s="816" t="s">
        <v>7866</v>
      </c>
      <c r="C1073" s="729" t="s">
        <v>2052</v>
      </c>
      <c r="D1073" s="924"/>
      <c r="E1073" s="878" t="s">
        <v>2282</v>
      </c>
      <c r="F1073" s="881" t="s">
        <v>4165</v>
      </c>
      <c r="G1073" s="731" t="s">
        <v>2782</v>
      </c>
      <c r="H1073" s="1083">
        <v>42401</v>
      </c>
      <c r="I1073" s="1084">
        <v>42471</v>
      </c>
      <c r="J1073" s="957">
        <v>84</v>
      </c>
    </row>
    <row r="1074" spans="1:10" s="852" customFormat="1" outlineLevel="2">
      <c r="A1074" s="815" t="s">
        <v>2284</v>
      </c>
      <c r="B1074" s="816" t="s">
        <v>7865</v>
      </c>
      <c r="C1074" s="729" t="s">
        <v>2052</v>
      </c>
      <c r="D1074" s="924"/>
      <c r="E1074" s="878" t="s">
        <v>2699</v>
      </c>
      <c r="F1074" s="881" t="s">
        <v>6132</v>
      </c>
      <c r="G1074" s="731" t="s">
        <v>3775</v>
      </c>
      <c r="H1074" s="1083">
        <v>42401</v>
      </c>
      <c r="I1074" s="1084">
        <v>42471</v>
      </c>
      <c r="J1074" s="957">
        <v>258.19</v>
      </c>
    </row>
    <row r="1075" spans="1:10" s="852" customFormat="1" outlineLevel="2">
      <c r="A1075" s="815" t="s">
        <v>2284</v>
      </c>
      <c r="B1075" s="816" t="s">
        <v>7865</v>
      </c>
      <c r="C1075" s="729" t="s">
        <v>2052</v>
      </c>
      <c r="D1075" s="924"/>
      <c r="E1075" s="878" t="s">
        <v>2699</v>
      </c>
      <c r="F1075" s="881" t="s">
        <v>6132</v>
      </c>
      <c r="G1075" s="731" t="s">
        <v>3775</v>
      </c>
      <c r="H1075" s="1083">
        <v>42401</v>
      </c>
      <c r="I1075" s="1084">
        <v>42471</v>
      </c>
      <c r="J1075" s="957">
        <v>112.78</v>
      </c>
    </row>
    <row r="1076" spans="1:10" s="852" customFormat="1" outlineLevel="2">
      <c r="A1076" s="815" t="s">
        <v>2284</v>
      </c>
      <c r="B1076" s="816" t="s">
        <v>7865</v>
      </c>
      <c r="C1076" s="729" t="s">
        <v>2052</v>
      </c>
      <c r="D1076" s="924"/>
      <c r="E1076" s="878" t="s">
        <v>2699</v>
      </c>
      <c r="F1076" s="881" t="s">
        <v>5120</v>
      </c>
      <c r="G1076" s="731" t="s">
        <v>3776</v>
      </c>
      <c r="H1076" s="1083">
        <v>42401</v>
      </c>
      <c r="I1076" s="1084">
        <v>42471</v>
      </c>
      <c r="J1076" s="957">
        <v>903.79</v>
      </c>
    </row>
    <row r="1077" spans="1:10" s="852" customFormat="1" outlineLevel="2">
      <c r="A1077" s="815" t="s">
        <v>2284</v>
      </c>
      <c r="B1077" s="816" t="s">
        <v>7865</v>
      </c>
      <c r="C1077" s="729" t="s">
        <v>2052</v>
      </c>
      <c r="D1077" s="924"/>
      <c r="E1077" s="878" t="s">
        <v>2699</v>
      </c>
      <c r="F1077" s="881" t="s">
        <v>5120</v>
      </c>
      <c r="G1077" s="731" t="s">
        <v>3776</v>
      </c>
      <c r="H1077" s="1083">
        <v>42401</v>
      </c>
      <c r="I1077" s="1084">
        <v>42471</v>
      </c>
      <c r="J1077" s="957">
        <v>2435.1</v>
      </c>
    </row>
    <row r="1078" spans="1:10" s="852" customFormat="1" outlineLevel="2">
      <c r="A1078" s="815" t="s">
        <v>2284</v>
      </c>
      <c r="B1078" s="816" t="s">
        <v>7865</v>
      </c>
      <c r="C1078" s="729" t="s">
        <v>2052</v>
      </c>
      <c r="D1078" s="924"/>
      <c r="E1078" s="878" t="s">
        <v>508</v>
      </c>
      <c r="F1078" s="881" t="s">
        <v>1094</v>
      </c>
      <c r="G1078" s="731" t="s">
        <v>5823</v>
      </c>
      <c r="H1078" s="1083">
        <v>42430</v>
      </c>
      <c r="I1078" s="1084">
        <v>42489</v>
      </c>
      <c r="J1078" s="957">
        <v>94339.39</v>
      </c>
    </row>
    <row r="1079" spans="1:10" s="852" customFormat="1" outlineLevel="2">
      <c r="A1079" s="815" t="s">
        <v>2594</v>
      </c>
      <c r="B1079" s="816" t="s">
        <v>7866</v>
      </c>
      <c r="C1079" s="729" t="s">
        <v>2052</v>
      </c>
      <c r="D1079" s="924"/>
      <c r="E1079" s="878" t="s">
        <v>1909</v>
      </c>
      <c r="F1079" s="881" t="s">
        <v>3935</v>
      </c>
      <c r="G1079" s="731" t="s">
        <v>2817</v>
      </c>
      <c r="H1079" s="1083">
        <v>42401</v>
      </c>
      <c r="I1079" s="1084">
        <v>42480</v>
      </c>
      <c r="J1079" s="957">
        <v>66.790000000000006</v>
      </c>
    </row>
    <row r="1080" spans="1:10" s="852" customFormat="1" outlineLevel="2">
      <c r="A1080" s="815" t="s">
        <v>2594</v>
      </c>
      <c r="B1080" s="816" t="s">
        <v>7866</v>
      </c>
      <c r="C1080" s="729" t="s">
        <v>2052</v>
      </c>
      <c r="D1080" s="924"/>
      <c r="E1080" s="878" t="s">
        <v>1909</v>
      </c>
      <c r="F1080" s="881" t="s">
        <v>4027</v>
      </c>
      <c r="G1080" s="731" t="s">
        <v>2819</v>
      </c>
      <c r="H1080" s="1083">
        <v>42401</v>
      </c>
      <c r="I1080" s="1084">
        <v>42480</v>
      </c>
      <c r="J1080" s="957">
        <v>2.13</v>
      </c>
    </row>
    <row r="1081" spans="1:10" s="852" customFormat="1" outlineLevel="2">
      <c r="A1081" s="815" t="s">
        <v>2594</v>
      </c>
      <c r="B1081" s="816" t="s">
        <v>7866</v>
      </c>
      <c r="C1081" s="729" t="s">
        <v>2052</v>
      </c>
      <c r="D1081" s="924"/>
      <c r="E1081" s="878" t="s">
        <v>1909</v>
      </c>
      <c r="F1081" s="881" t="s">
        <v>4129</v>
      </c>
      <c r="G1081" s="731" t="s">
        <v>2821</v>
      </c>
      <c r="H1081" s="1083">
        <v>42401</v>
      </c>
      <c r="I1081" s="1084">
        <v>42480</v>
      </c>
      <c r="J1081" s="957">
        <v>25.2</v>
      </c>
    </row>
    <row r="1082" spans="1:10" s="852" customFormat="1" outlineLevel="2">
      <c r="A1082" s="815" t="s">
        <v>2284</v>
      </c>
      <c r="B1082" s="816" t="s">
        <v>7865</v>
      </c>
      <c r="C1082" s="729" t="s">
        <v>2052</v>
      </c>
      <c r="D1082" s="924"/>
      <c r="E1082" s="878" t="s">
        <v>1909</v>
      </c>
      <c r="F1082" s="881" t="s">
        <v>6254</v>
      </c>
      <c r="G1082" s="731" t="s">
        <v>3777</v>
      </c>
      <c r="H1082" s="1083">
        <v>42401</v>
      </c>
      <c r="I1082" s="1084">
        <v>42480</v>
      </c>
      <c r="J1082" s="957">
        <v>451.89</v>
      </c>
    </row>
    <row r="1083" spans="1:10" s="852" customFormat="1" outlineLevel="2">
      <c r="A1083" s="815" t="s">
        <v>2284</v>
      </c>
      <c r="B1083" s="816" t="s">
        <v>7865</v>
      </c>
      <c r="C1083" s="729" t="s">
        <v>2052</v>
      </c>
      <c r="D1083" s="924"/>
      <c r="E1083" s="878" t="s">
        <v>1909</v>
      </c>
      <c r="F1083" s="881" t="s">
        <v>6254</v>
      </c>
      <c r="G1083" s="731" t="s">
        <v>3777</v>
      </c>
      <c r="H1083" s="1083">
        <v>42401</v>
      </c>
      <c r="I1083" s="1084">
        <v>42480</v>
      </c>
      <c r="J1083" s="957">
        <v>1217.55</v>
      </c>
    </row>
    <row r="1084" spans="1:10" s="852" customFormat="1" outlineLevel="2">
      <c r="A1084" s="815" t="s">
        <v>2284</v>
      </c>
      <c r="B1084" s="816" t="s">
        <v>7865</v>
      </c>
      <c r="C1084" s="729" t="s">
        <v>2052</v>
      </c>
      <c r="D1084" s="924"/>
      <c r="E1084" s="878" t="s">
        <v>1909</v>
      </c>
      <c r="F1084" s="881" t="s">
        <v>6255</v>
      </c>
      <c r="G1084" s="731" t="s">
        <v>3778</v>
      </c>
      <c r="H1084" s="1083">
        <v>42401</v>
      </c>
      <c r="I1084" s="1084">
        <v>42480</v>
      </c>
      <c r="J1084" s="957">
        <v>129.09</v>
      </c>
    </row>
    <row r="1085" spans="1:10" s="852" customFormat="1" outlineLevel="2">
      <c r="A1085" s="815" t="s">
        <v>2284</v>
      </c>
      <c r="B1085" s="816" t="s">
        <v>7865</v>
      </c>
      <c r="C1085" s="729" t="s">
        <v>2052</v>
      </c>
      <c r="D1085" s="924"/>
      <c r="E1085" s="878" t="s">
        <v>1909</v>
      </c>
      <c r="F1085" s="881" t="s">
        <v>6255</v>
      </c>
      <c r="G1085" s="731" t="s">
        <v>3778</v>
      </c>
      <c r="H1085" s="1083">
        <v>42401</v>
      </c>
      <c r="I1085" s="1084">
        <v>42480</v>
      </c>
      <c r="J1085" s="957">
        <v>56.39</v>
      </c>
    </row>
    <row r="1086" spans="1:10" s="852" customFormat="1" ht="28.5" outlineLevel="2">
      <c r="A1086" s="815" t="s">
        <v>2594</v>
      </c>
      <c r="B1086" s="816" t="s">
        <v>7866</v>
      </c>
      <c r="C1086" s="729" t="s">
        <v>2052</v>
      </c>
      <c r="D1086" s="924"/>
      <c r="E1086" s="878" t="s">
        <v>1909</v>
      </c>
      <c r="F1086" s="881" t="s">
        <v>4956</v>
      </c>
      <c r="G1086" s="731" t="s">
        <v>2833</v>
      </c>
      <c r="H1086" s="1083">
        <v>42401</v>
      </c>
      <c r="I1086" s="1084">
        <v>42480</v>
      </c>
      <c r="J1086" s="957">
        <v>207.06</v>
      </c>
    </row>
    <row r="1087" spans="1:10" s="852" customFormat="1" ht="28.5" outlineLevel="2">
      <c r="A1087" s="815" t="s">
        <v>2594</v>
      </c>
      <c r="B1087" s="816" t="s">
        <v>7866</v>
      </c>
      <c r="C1087" s="729" t="s">
        <v>2052</v>
      </c>
      <c r="D1087" s="924"/>
      <c r="E1087" s="878" t="s">
        <v>1909</v>
      </c>
      <c r="F1087" s="881" t="s">
        <v>4903</v>
      </c>
      <c r="G1087" s="731" t="s">
        <v>2832</v>
      </c>
      <c r="H1087" s="1083">
        <v>42401</v>
      </c>
      <c r="I1087" s="1084">
        <v>42480</v>
      </c>
      <c r="J1087" s="957">
        <v>6.62</v>
      </c>
    </row>
    <row r="1088" spans="1:10" s="852" customFormat="1" ht="28.5" outlineLevel="2">
      <c r="A1088" s="815" t="s">
        <v>2594</v>
      </c>
      <c r="B1088" s="816" t="s">
        <v>7866</v>
      </c>
      <c r="C1088" s="729" t="s">
        <v>2052</v>
      </c>
      <c r="D1088" s="924"/>
      <c r="E1088" s="878" t="s">
        <v>1909</v>
      </c>
      <c r="F1088" s="881" t="s">
        <v>4853</v>
      </c>
      <c r="G1088" s="731" t="s">
        <v>2831</v>
      </c>
      <c r="H1088" s="1083">
        <v>42401</v>
      </c>
      <c r="I1088" s="1084">
        <v>42480</v>
      </c>
      <c r="J1088" s="957">
        <v>78.12</v>
      </c>
    </row>
    <row r="1089" spans="1:10" s="852" customFormat="1" ht="28.5" outlineLevel="2">
      <c r="A1089" s="815" t="s">
        <v>2284</v>
      </c>
      <c r="B1089" s="816" t="s">
        <v>7865</v>
      </c>
      <c r="C1089" s="729" t="s">
        <v>2052</v>
      </c>
      <c r="D1089" s="924"/>
      <c r="E1089" s="878" t="s">
        <v>1909</v>
      </c>
      <c r="F1089" s="881" t="s">
        <v>4750</v>
      </c>
      <c r="G1089" s="731" t="s">
        <v>3780</v>
      </c>
      <c r="H1089" s="1083">
        <v>42401</v>
      </c>
      <c r="I1089" s="1084">
        <v>42480</v>
      </c>
      <c r="J1089" s="957">
        <v>1400.88</v>
      </c>
    </row>
    <row r="1090" spans="1:10" s="852" customFormat="1" ht="28.5" outlineLevel="2">
      <c r="A1090" s="815" t="s">
        <v>2284</v>
      </c>
      <c r="B1090" s="816" t="s">
        <v>7865</v>
      </c>
      <c r="C1090" s="729" t="s">
        <v>2052</v>
      </c>
      <c r="D1090" s="924"/>
      <c r="E1090" s="878" t="s">
        <v>1909</v>
      </c>
      <c r="F1090" s="881" t="s">
        <v>4750</v>
      </c>
      <c r="G1090" s="731" t="s">
        <v>3780</v>
      </c>
      <c r="H1090" s="1083">
        <v>42401</v>
      </c>
      <c r="I1090" s="1084">
        <v>42480</v>
      </c>
      <c r="J1090" s="957">
        <v>3774.4</v>
      </c>
    </row>
    <row r="1091" spans="1:10" s="852" customFormat="1" ht="28.5" outlineLevel="2">
      <c r="A1091" s="815" t="s">
        <v>2284</v>
      </c>
      <c r="B1091" s="816" t="s">
        <v>7865</v>
      </c>
      <c r="C1091" s="729" t="s">
        <v>2052</v>
      </c>
      <c r="D1091" s="924"/>
      <c r="E1091" s="878" t="s">
        <v>1909</v>
      </c>
      <c r="F1091" s="881" t="s">
        <v>4653</v>
      </c>
      <c r="G1091" s="731" t="s">
        <v>3779</v>
      </c>
      <c r="H1091" s="1083">
        <v>42401</v>
      </c>
      <c r="I1091" s="1084">
        <v>42480</v>
      </c>
      <c r="J1091" s="957">
        <v>400.2</v>
      </c>
    </row>
    <row r="1092" spans="1:10" s="852" customFormat="1" ht="28.5" outlineLevel="2">
      <c r="A1092" s="815" t="s">
        <v>2284</v>
      </c>
      <c r="B1092" s="816" t="s">
        <v>7865</v>
      </c>
      <c r="C1092" s="729" t="s">
        <v>2052</v>
      </c>
      <c r="D1092" s="924"/>
      <c r="E1092" s="878" t="s">
        <v>1909</v>
      </c>
      <c r="F1092" s="881" t="s">
        <v>4653</v>
      </c>
      <c r="G1092" s="731" t="s">
        <v>3779</v>
      </c>
      <c r="H1092" s="1083">
        <v>42401</v>
      </c>
      <c r="I1092" s="1084">
        <v>42480</v>
      </c>
      <c r="J1092" s="957">
        <v>174.82</v>
      </c>
    </row>
    <row r="1093" spans="1:10" s="852" customFormat="1" outlineLevel="2">
      <c r="A1093" s="815" t="s">
        <v>2284</v>
      </c>
      <c r="B1093" s="816" t="s">
        <v>7865</v>
      </c>
      <c r="C1093" s="729" t="s">
        <v>2052</v>
      </c>
      <c r="D1093" s="924"/>
      <c r="E1093" s="878" t="s">
        <v>5842</v>
      </c>
      <c r="F1093" s="881" t="s">
        <v>1094</v>
      </c>
      <c r="G1093" s="731" t="s">
        <v>5847</v>
      </c>
      <c r="H1093" s="1083">
        <v>42430</v>
      </c>
      <c r="I1093" s="1084">
        <v>42489</v>
      </c>
      <c r="J1093" s="957">
        <v>10482.17</v>
      </c>
    </row>
    <row r="1094" spans="1:10" s="852" customFormat="1" outlineLevel="1">
      <c r="A1094" s="815"/>
      <c r="B1094" s="816" t="s">
        <v>258</v>
      </c>
      <c r="C1094" s="908" t="s">
        <v>2052</v>
      </c>
      <c r="D1094" s="928" t="str">
        <f>VLOOKUP(C1094,$C$3691:$D$3771,2,FALSE)</f>
        <v>TOTAL POUPATEMPO  GUARATINGUETÁ</v>
      </c>
      <c r="E1094" s="1085"/>
      <c r="F1094" s="929"/>
      <c r="G1094" s="910"/>
      <c r="H1094" s="1086"/>
      <c r="I1094" s="1087"/>
      <c r="J1094" s="930">
        <f>SUBTOTAL(9,J1066:J1093)</f>
        <v>131553.53</v>
      </c>
    </row>
    <row r="1095" spans="1:10" s="852" customFormat="1" outlineLevel="2">
      <c r="A1095" s="815" t="s">
        <v>6436</v>
      </c>
      <c r="B1095" s="816" t="s">
        <v>7863</v>
      </c>
      <c r="C1095" s="729" t="s">
        <v>2051</v>
      </c>
      <c r="D1095" s="924"/>
      <c r="E1095" s="878" t="s">
        <v>483</v>
      </c>
      <c r="F1095" s="881" t="s">
        <v>2208</v>
      </c>
      <c r="G1095" s="731" t="str">
        <f>"16979"</f>
        <v>16979</v>
      </c>
      <c r="H1095" s="1083">
        <v>42401</v>
      </c>
      <c r="I1095" s="1084">
        <v>42473</v>
      </c>
      <c r="J1095" s="957">
        <v>12469.11</v>
      </c>
    </row>
    <row r="1096" spans="1:10" s="852" customFormat="1" ht="28.5" outlineLevel="2">
      <c r="A1096" s="815" t="s">
        <v>2281</v>
      </c>
      <c r="B1096" s="816" t="s">
        <v>7865</v>
      </c>
      <c r="C1096" s="729" t="s">
        <v>2051</v>
      </c>
      <c r="D1096" s="924"/>
      <c r="E1096" s="878" t="s">
        <v>2336</v>
      </c>
      <c r="F1096" s="881" t="s">
        <v>5415</v>
      </c>
      <c r="G1096" s="731" t="s">
        <v>3784</v>
      </c>
      <c r="H1096" s="1083">
        <v>42430</v>
      </c>
      <c r="I1096" s="1084">
        <v>42480</v>
      </c>
      <c r="J1096" s="957">
        <v>1576.69</v>
      </c>
    </row>
    <row r="1097" spans="1:10" s="852" customFormat="1" outlineLevel="2">
      <c r="A1097" s="815" t="s">
        <v>2256</v>
      </c>
      <c r="B1097" s="816" t="s">
        <v>7863</v>
      </c>
      <c r="C1097" s="729" t="s">
        <v>2051</v>
      </c>
      <c r="D1097" s="924"/>
      <c r="E1097" s="878" t="s">
        <v>2336</v>
      </c>
      <c r="F1097" s="881" t="s">
        <v>3875</v>
      </c>
      <c r="G1097" s="731" t="s">
        <v>3782</v>
      </c>
      <c r="H1097" s="1083">
        <v>42401</v>
      </c>
      <c r="I1097" s="1084">
        <v>42480</v>
      </c>
      <c r="J1097" s="957">
        <v>1707.03</v>
      </c>
    </row>
    <row r="1098" spans="1:10" s="852" customFormat="1" outlineLevel="2">
      <c r="A1098" s="815" t="s">
        <v>2281</v>
      </c>
      <c r="B1098" s="816" t="s">
        <v>7865</v>
      </c>
      <c r="C1098" s="729" t="s">
        <v>2051</v>
      </c>
      <c r="D1098" s="924"/>
      <c r="E1098" s="878" t="s">
        <v>2336</v>
      </c>
      <c r="F1098" s="881" t="s">
        <v>6011</v>
      </c>
      <c r="G1098" s="731" t="s">
        <v>3781</v>
      </c>
      <c r="H1098" s="1083">
        <v>42401</v>
      </c>
      <c r="I1098" s="1084">
        <v>42480</v>
      </c>
      <c r="J1098" s="957">
        <v>1576.69</v>
      </c>
    </row>
    <row r="1099" spans="1:10" s="852" customFormat="1" outlineLevel="2">
      <c r="A1099" s="815" t="s">
        <v>2281</v>
      </c>
      <c r="B1099" s="816" t="s">
        <v>7865</v>
      </c>
      <c r="C1099" s="729" t="s">
        <v>2051</v>
      </c>
      <c r="D1099" s="924"/>
      <c r="E1099" s="878" t="s">
        <v>2336</v>
      </c>
      <c r="F1099" s="881" t="s">
        <v>3892</v>
      </c>
      <c r="G1099" s="731" t="s">
        <v>3783</v>
      </c>
      <c r="H1099" s="1083">
        <v>42401</v>
      </c>
      <c r="I1099" s="1084">
        <v>42480</v>
      </c>
      <c r="J1099" s="957">
        <v>12613.53</v>
      </c>
    </row>
    <row r="1100" spans="1:10" s="852" customFormat="1" outlineLevel="2">
      <c r="A1100" s="815" t="s">
        <v>2579</v>
      </c>
      <c r="B1100" s="816" t="s">
        <v>7864</v>
      </c>
      <c r="C1100" s="729" t="s">
        <v>2051</v>
      </c>
      <c r="D1100" s="924"/>
      <c r="E1100" s="878" t="s">
        <v>2336</v>
      </c>
      <c r="F1100" s="881" t="s">
        <v>6494</v>
      </c>
      <c r="G1100" s="731" t="s">
        <v>6495</v>
      </c>
      <c r="H1100" s="1083">
        <v>42401</v>
      </c>
      <c r="I1100" s="1084">
        <v>42487</v>
      </c>
      <c r="J1100" s="957">
        <v>208.09</v>
      </c>
    </row>
    <row r="1101" spans="1:10" s="852" customFormat="1" outlineLevel="2">
      <c r="A1101" s="815" t="s">
        <v>2579</v>
      </c>
      <c r="B1101" s="816" t="s">
        <v>7864</v>
      </c>
      <c r="C1101" s="729" t="s">
        <v>2051</v>
      </c>
      <c r="D1101" s="924"/>
      <c r="E1101" s="878" t="s">
        <v>2336</v>
      </c>
      <c r="F1101" s="881" t="s">
        <v>6496</v>
      </c>
      <c r="G1101" s="731" t="s">
        <v>6497</v>
      </c>
      <c r="H1101" s="1083">
        <v>42401</v>
      </c>
      <c r="I1101" s="1084">
        <v>42487</v>
      </c>
      <c r="J1101" s="957">
        <v>934.51</v>
      </c>
    </row>
    <row r="1102" spans="1:10" s="852" customFormat="1" outlineLevel="2">
      <c r="A1102" s="815" t="s">
        <v>2281</v>
      </c>
      <c r="B1102" s="816" t="s">
        <v>7865</v>
      </c>
      <c r="C1102" s="729" t="s">
        <v>2051</v>
      </c>
      <c r="D1102" s="924"/>
      <c r="E1102" s="878" t="s">
        <v>484</v>
      </c>
      <c r="F1102" s="881" t="s">
        <v>1094</v>
      </c>
      <c r="G1102" s="731" t="s">
        <v>5811</v>
      </c>
      <c r="H1102" s="1083">
        <v>42430</v>
      </c>
      <c r="I1102" s="1084">
        <v>42489</v>
      </c>
      <c r="J1102" s="957">
        <v>11445.36</v>
      </c>
    </row>
    <row r="1103" spans="1:10" s="852" customFormat="1" outlineLevel="2">
      <c r="A1103" s="815" t="s">
        <v>2593</v>
      </c>
      <c r="B1103" s="816" t="s">
        <v>7866</v>
      </c>
      <c r="C1103" s="729" t="s">
        <v>2051</v>
      </c>
      <c r="D1103" s="924"/>
      <c r="E1103" s="878" t="s">
        <v>2282</v>
      </c>
      <c r="F1103" s="881" t="s">
        <v>3974</v>
      </c>
      <c r="G1103" s="731" t="s">
        <v>2779</v>
      </c>
      <c r="H1103" s="1083">
        <v>42401</v>
      </c>
      <c r="I1103" s="1084">
        <v>42471</v>
      </c>
      <c r="J1103" s="957">
        <v>431.72</v>
      </c>
    </row>
    <row r="1104" spans="1:10" s="852" customFormat="1" outlineLevel="2">
      <c r="A1104" s="815" t="s">
        <v>2593</v>
      </c>
      <c r="B1104" s="816" t="s">
        <v>7866</v>
      </c>
      <c r="C1104" s="729" t="s">
        <v>2051</v>
      </c>
      <c r="D1104" s="924"/>
      <c r="E1104" s="878" t="s">
        <v>2282</v>
      </c>
      <c r="F1104" s="881" t="s">
        <v>4081</v>
      </c>
      <c r="G1104" s="731" t="s">
        <v>2781</v>
      </c>
      <c r="H1104" s="1083">
        <v>42401</v>
      </c>
      <c r="I1104" s="1084">
        <v>42471</v>
      </c>
      <c r="J1104" s="957">
        <v>13.8</v>
      </c>
    </row>
    <row r="1105" spans="1:10" s="852" customFormat="1" outlineLevel="2">
      <c r="A1105" s="815" t="s">
        <v>2593</v>
      </c>
      <c r="B1105" s="816" t="s">
        <v>7866</v>
      </c>
      <c r="C1105" s="729" t="s">
        <v>2051</v>
      </c>
      <c r="D1105" s="924"/>
      <c r="E1105" s="878" t="s">
        <v>2282</v>
      </c>
      <c r="F1105" s="881" t="s">
        <v>4165</v>
      </c>
      <c r="G1105" s="731" t="s">
        <v>2782</v>
      </c>
      <c r="H1105" s="1083">
        <v>42401</v>
      </c>
      <c r="I1105" s="1084">
        <v>42471</v>
      </c>
      <c r="J1105" s="957">
        <v>162.88</v>
      </c>
    </row>
    <row r="1106" spans="1:10" s="852" customFormat="1" outlineLevel="2">
      <c r="A1106" s="815" t="s">
        <v>2281</v>
      </c>
      <c r="B1106" s="816" t="s">
        <v>7865</v>
      </c>
      <c r="C1106" s="729" t="s">
        <v>2051</v>
      </c>
      <c r="D1106" s="924"/>
      <c r="E1106" s="878" t="s">
        <v>2700</v>
      </c>
      <c r="F1106" s="881" t="s">
        <v>6133</v>
      </c>
      <c r="G1106" s="731" t="s">
        <v>3785</v>
      </c>
      <c r="H1106" s="1083">
        <v>42401</v>
      </c>
      <c r="I1106" s="1084">
        <v>42471</v>
      </c>
      <c r="J1106" s="957">
        <v>430</v>
      </c>
    </row>
    <row r="1107" spans="1:10" s="852" customFormat="1" outlineLevel="2">
      <c r="A1107" s="815" t="s">
        <v>2256</v>
      </c>
      <c r="B1107" s="816" t="s">
        <v>7863</v>
      </c>
      <c r="C1107" s="729" t="s">
        <v>2051</v>
      </c>
      <c r="D1107" s="924"/>
      <c r="E1107" s="878" t="s">
        <v>2700</v>
      </c>
      <c r="F1107" s="881" t="s">
        <v>3876</v>
      </c>
      <c r="G1107" s="731" t="s">
        <v>3786</v>
      </c>
      <c r="H1107" s="1083">
        <v>42401</v>
      </c>
      <c r="I1107" s="1084">
        <v>42471</v>
      </c>
      <c r="J1107" s="957">
        <v>465.55</v>
      </c>
    </row>
    <row r="1108" spans="1:10" s="852" customFormat="1" outlineLevel="2">
      <c r="A1108" s="815" t="s">
        <v>2281</v>
      </c>
      <c r="B1108" s="816" t="s">
        <v>7865</v>
      </c>
      <c r="C1108" s="729" t="s">
        <v>2051</v>
      </c>
      <c r="D1108" s="924"/>
      <c r="E1108" s="878" t="s">
        <v>2700</v>
      </c>
      <c r="F1108" s="881" t="s">
        <v>3894</v>
      </c>
      <c r="G1108" s="731" t="s">
        <v>3787</v>
      </c>
      <c r="H1108" s="1083">
        <v>42401</v>
      </c>
      <c r="I1108" s="1084">
        <v>42471</v>
      </c>
      <c r="J1108" s="957">
        <v>3440.05</v>
      </c>
    </row>
    <row r="1109" spans="1:10" s="852" customFormat="1" ht="28.5" outlineLevel="2">
      <c r="A1109" s="815" t="s">
        <v>2579</v>
      </c>
      <c r="B1109" s="816" t="s">
        <v>7864</v>
      </c>
      <c r="C1109" s="729" t="s">
        <v>2051</v>
      </c>
      <c r="D1109" s="924"/>
      <c r="E1109" s="878" t="s">
        <v>2700</v>
      </c>
      <c r="F1109" s="881" t="s">
        <v>5121</v>
      </c>
      <c r="G1109" s="731" t="s">
        <v>3788</v>
      </c>
      <c r="H1109" s="1083">
        <v>42401</v>
      </c>
      <c r="I1109" s="1084">
        <v>42471</v>
      </c>
      <c r="J1109" s="957">
        <v>166.62</v>
      </c>
    </row>
    <row r="1110" spans="1:10" s="852" customFormat="1" ht="28.5" outlineLevel="2">
      <c r="A1110" s="815" t="s">
        <v>2281</v>
      </c>
      <c r="B1110" s="816" t="s">
        <v>7865</v>
      </c>
      <c r="C1110" s="729" t="s">
        <v>2051</v>
      </c>
      <c r="D1110" s="924"/>
      <c r="E1110" s="878" t="s">
        <v>2700</v>
      </c>
      <c r="F1110" s="881" t="s">
        <v>5416</v>
      </c>
      <c r="G1110" s="731" t="s">
        <v>3789</v>
      </c>
      <c r="H1110" s="1083">
        <v>42430</v>
      </c>
      <c r="I1110" s="1084">
        <v>42471</v>
      </c>
      <c r="J1110" s="957">
        <v>430.01</v>
      </c>
    </row>
    <row r="1111" spans="1:10" s="852" customFormat="1" ht="28.5" outlineLevel="2">
      <c r="A1111" s="815" t="s">
        <v>2281</v>
      </c>
      <c r="B1111" s="816" t="s">
        <v>7865</v>
      </c>
      <c r="C1111" s="729" t="s">
        <v>2051</v>
      </c>
      <c r="D1111" s="924"/>
      <c r="E1111" s="878" t="s">
        <v>1909</v>
      </c>
      <c r="F1111" s="881" t="s">
        <v>5413</v>
      </c>
      <c r="G1111" s="731" t="s">
        <v>3804</v>
      </c>
      <c r="H1111" s="1083">
        <v>42430</v>
      </c>
      <c r="I1111" s="1084">
        <v>42480</v>
      </c>
      <c r="J1111" s="957">
        <v>215</v>
      </c>
    </row>
    <row r="1112" spans="1:10" s="852" customFormat="1" outlineLevel="2">
      <c r="A1112" s="815" t="s">
        <v>2593</v>
      </c>
      <c r="B1112" s="816" t="s">
        <v>7866</v>
      </c>
      <c r="C1112" s="729" t="s">
        <v>2051</v>
      </c>
      <c r="D1112" s="924"/>
      <c r="E1112" s="878" t="s">
        <v>1909</v>
      </c>
      <c r="F1112" s="881" t="s">
        <v>3935</v>
      </c>
      <c r="G1112" s="731" t="s">
        <v>2817</v>
      </c>
      <c r="H1112" s="1083">
        <v>42401</v>
      </c>
      <c r="I1112" s="1084">
        <v>42480</v>
      </c>
      <c r="J1112" s="957">
        <v>129.51</v>
      </c>
    </row>
    <row r="1113" spans="1:10" s="852" customFormat="1" outlineLevel="2">
      <c r="A1113" s="815" t="s">
        <v>2593</v>
      </c>
      <c r="B1113" s="816" t="s">
        <v>7866</v>
      </c>
      <c r="C1113" s="729" t="s">
        <v>2051</v>
      </c>
      <c r="D1113" s="924"/>
      <c r="E1113" s="878" t="s">
        <v>1909</v>
      </c>
      <c r="F1113" s="881" t="s">
        <v>4027</v>
      </c>
      <c r="G1113" s="731" t="s">
        <v>2819</v>
      </c>
      <c r="H1113" s="1083">
        <v>42401</v>
      </c>
      <c r="I1113" s="1084">
        <v>42480</v>
      </c>
      <c r="J1113" s="957">
        <v>4.1399999999999997</v>
      </c>
    </row>
    <row r="1114" spans="1:10" s="852" customFormat="1" outlineLevel="2">
      <c r="A1114" s="815" t="s">
        <v>2593</v>
      </c>
      <c r="B1114" s="816" t="s">
        <v>7866</v>
      </c>
      <c r="C1114" s="729" t="s">
        <v>2051</v>
      </c>
      <c r="D1114" s="924"/>
      <c r="E1114" s="878" t="s">
        <v>1909</v>
      </c>
      <c r="F1114" s="881" t="s">
        <v>4129</v>
      </c>
      <c r="G1114" s="731" t="s">
        <v>2821</v>
      </c>
      <c r="H1114" s="1083">
        <v>42401</v>
      </c>
      <c r="I1114" s="1084">
        <v>42480</v>
      </c>
      <c r="J1114" s="957">
        <v>48.86</v>
      </c>
    </row>
    <row r="1115" spans="1:10" s="852" customFormat="1" outlineLevel="2">
      <c r="A1115" s="815" t="s">
        <v>2256</v>
      </c>
      <c r="B1115" s="816" t="s">
        <v>7863</v>
      </c>
      <c r="C1115" s="729" t="s">
        <v>2051</v>
      </c>
      <c r="D1115" s="924"/>
      <c r="E1115" s="878" t="s">
        <v>1909</v>
      </c>
      <c r="F1115" s="881" t="s">
        <v>3874</v>
      </c>
      <c r="G1115" s="731" t="s">
        <v>3794</v>
      </c>
      <c r="H1115" s="1083">
        <v>42401</v>
      </c>
      <c r="I1115" s="1084">
        <v>42480</v>
      </c>
      <c r="J1115" s="957">
        <v>155.18</v>
      </c>
    </row>
    <row r="1116" spans="1:10" s="852" customFormat="1" outlineLevel="2">
      <c r="A1116" s="815" t="s">
        <v>2281</v>
      </c>
      <c r="B1116" s="816" t="s">
        <v>7865</v>
      </c>
      <c r="C1116" s="729" t="s">
        <v>2051</v>
      </c>
      <c r="D1116" s="924"/>
      <c r="E1116" s="878" t="s">
        <v>1909</v>
      </c>
      <c r="F1116" s="881" t="s">
        <v>6257</v>
      </c>
      <c r="G1116" s="731" t="s">
        <v>3793</v>
      </c>
      <c r="H1116" s="1083">
        <v>42401</v>
      </c>
      <c r="I1116" s="1084">
        <v>42480</v>
      </c>
      <c r="J1116" s="957">
        <v>215</v>
      </c>
    </row>
    <row r="1117" spans="1:10" s="852" customFormat="1" outlineLevel="2">
      <c r="A1117" s="815" t="s">
        <v>2281</v>
      </c>
      <c r="B1117" s="816" t="s">
        <v>7865</v>
      </c>
      <c r="C1117" s="729" t="s">
        <v>2051</v>
      </c>
      <c r="D1117" s="924"/>
      <c r="E1117" s="878" t="s">
        <v>1909</v>
      </c>
      <c r="F1117" s="881" t="s">
        <v>3890</v>
      </c>
      <c r="G1117" s="731" t="s">
        <v>3796</v>
      </c>
      <c r="H1117" s="1083">
        <v>42401</v>
      </c>
      <c r="I1117" s="1084">
        <v>42480</v>
      </c>
      <c r="J1117" s="957">
        <v>1720.03</v>
      </c>
    </row>
    <row r="1118" spans="1:10" s="852" customFormat="1" ht="42.75" outlineLevel="2">
      <c r="A1118" s="815" t="s">
        <v>2281</v>
      </c>
      <c r="B1118" s="816" t="s">
        <v>7865</v>
      </c>
      <c r="C1118" s="729" t="s">
        <v>2051</v>
      </c>
      <c r="D1118" s="924"/>
      <c r="E1118" s="878" t="s">
        <v>1909</v>
      </c>
      <c r="F1118" s="881" t="s">
        <v>5038</v>
      </c>
      <c r="G1118" s="731" t="s">
        <v>3803</v>
      </c>
      <c r="H1118" s="1083">
        <v>42401</v>
      </c>
      <c r="I1118" s="1084">
        <v>42480</v>
      </c>
      <c r="J1118" s="957">
        <v>666.51</v>
      </c>
    </row>
    <row r="1119" spans="1:10" s="852" customFormat="1" ht="28.5" outlineLevel="2">
      <c r="A1119" s="815" t="s">
        <v>2593</v>
      </c>
      <c r="B1119" s="816" t="s">
        <v>7866</v>
      </c>
      <c r="C1119" s="729" t="s">
        <v>2051</v>
      </c>
      <c r="D1119" s="924"/>
      <c r="E1119" s="878" t="s">
        <v>1909</v>
      </c>
      <c r="F1119" s="881" t="s">
        <v>4956</v>
      </c>
      <c r="G1119" s="731" t="s">
        <v>2833</v>
      </c>
      <c r="H1119" s="1083">
        <v>42401</v>
      </c>
      <c r="I1119" s="1084">
        <v>42480</v>
      </c>
      <c r="J1119" s="957">
        <v>401.5</v>
      </c>
    </row>
    <row r="1120" spans="1:10" s="852" customFormat="1" ht="28.5" outlineLevel="2">
      <c r="A1120" s="815" t="s">
        <v>2593</v>
      </c>
      <c r="B1120" s="816" t="s">
        <v>7866</v>
      </c>
      <c r="C1120" s="729" t="s">
        <v>2051</v>
      </c>
      <c r="D1120" s="924"/>
      <c r="E1120" s="878" t="s">
        <v>1909</v>
      </c>
      <c r="F1120" s="881" t="s">
        <v>4903</v>
      </c>
      <c r="G1120" s="731" t="s">
        <v>2832</v>
      </c>
      <c r="H1120" s="1083">
        <v>42401</v>
      </c>
      <c r="I1120" s="1084">
        <v>42480</v>
      </c>
      <c r="J1120" s="957">
        <v>12.83</v>
      </c>
    </row>
    <row r="1121" spans="1:10" s="852" customFormat="1" ht="28.5" outlineLevel="2">
      <c r="A1121" s="815" t="s">
        <v>2593</v>
      </c>
      <c r="B1121" s="816" t="s">
        <v>7866</v>
      </c>
      <c r="C1121" s="729" t="s">
        <v>2051</v>
      </c>
      <c r="D1121" s="924"/>
      <c r="E1121" s="878" t="s">
        <v>1909</v>
      </c>
      <c r="F1121" s="881" t="s">
        <v>4853</v>
      </c>
      <c r="G1121" s="731" t="s">
        <v>2831</v>
      </c>
      <c r="H1121" s="1083">
        <v>42401</v>
      </c>
      <c r="I1121" s="1084">
        <v>42480</v>
      </c>
      <c r="J1121" s="957">
        <v>151.47999999999999</v>
      </c>
    </row>
    <row r="1122" spans="1:10" s="852" customFormat="1" ht="28.5" outlineLevel="2">
      <c r="A1122" s="815" t="s">
        <v>2256</v>
      </c>
      <c r="B1122" s="816" t="s">
        <v>7863</v>
      </c>
      <c r="C1122" s="729" t="s">
        <v>2051</v>
      </c>
      <c r="D1122" s="924"/>
      <c r="E1122" s="878" t="s">
        <v>1909</v>
      </c>
      <c r="F1122" s="881" t="s">
        <v>6256</v>
      </c>
      <c r="G1122" s="731" t="s">
        <v>3790</v>
      </c>
      <c r="H1122" s="1083">
        <v>42370</v>
      </c>
      <c r="I1122" s="1084">
        <v>42480</v>
      </c>
      <c r="J1122" s="957">
        <v>771.37</v>
      </c>
    </row>
    <row r="1123" spans="1:10" s="852" customFormat="1" ht="28.5" outlineLevel="2">
      <c r="A1123" s="815" t="s">
        <v>2256</v>
      </c>
      <c r="B1123" s="816" t="s">
        <v>7863</v>
      </c>
      <c r="C1123" s="729" t="s">
        <v>2051</v>
      </c>
      <c r="D1123" s="924"/>
      <c r="E1123" s="878" t="s">
        <v>1909</v>
      </c>
      <c r="F1123" s="881" t="s">
        <v>6256</v>
      </c>
      <c r="G1123" s="731" t="s">
        <v>3791</v>
      </c>
      <c r="H1123" s="1083">
        <v>42370</v>
      </c>
      <c r="I1123" s="1084">
        <v>42480</v>
      </c>
      <c r="J1123" s="957">
        <v>771.38</v>
      </c>
    </row>
    <row r="1124" spans="1:10" s="852" customFormat="1" ht="28.5" outlineLevel="2">
      <c r="A1124" s="815" t="s">
        <v>2256</v>
      </c>
      <c r="B1124" s="816" t="s">
        <v>7863</v>
      </c>
      <c r="C1124" s="729" t="s">
        <v>2051</v>
      </c>
      <c r="D1124" s="924"/>
      <c r="E1124" s="878" t="s">
        <v>1909</v>
      </c>
      <c r="F1124" s="881" t="s">
        <v>6256</v>
      </c>
      <c r="G1124" s="731" t="s">
        <v>3792</v>
      </c>
      <c r="H1124" s="1083">
        <v>42370</v>
      </c>
      <c r="I1124" s="1084">
        <v>42480</v>
      </c>
      <c r="J1124" s="957">
        <v>-771.37</v>
      </c>
    </row>
    <row r="1125" spans="1:10" s="852" customFormat="1" ht="28.5" outlineLevel="2">
      <c r="A1125" s="815" t="s">
        <v>2281</v>
      </c>
      <c r="B1125" s="816" t="s">
        <v>7865</v>
      </c>
      <c r="C1125" s="729" t="s">
        <v>2051</v>
      </c>
      <c r="D1125" s="924"/>
      <c r="E1125" s="878" t="s">
        <v>1909</v>
      </c>
      <c r="F1125" s="881" t="s">
        <v>4685</v>
      </c>
      <c r="G1125" s="731" t="s">
        <v>3800</v>
      </c>
      <c r="H1125" s="1083">
        <v>42401</v>
      </c>
      <c r="I1125" s="1084">
        <v>42480</v>
      </c>
      <c r="J1125" s="957">
        <v>666.51</v>
      </c>
    </row>
    <row r="1126" spans="1:10" s="852" customFormat="1" ht="28.5" outlineLevel="2">
      <c r="A1126" s="815" t="s">
        <v>2281</v>
      </c>
      <c r="B1126" s="816" t="s">
        <v>7865</v>
      </c>
      <c r="C1126" s="729" t="s">
        <v>2051</v>
      </c>
      <c r="D1126" s="924"/>
      <c r="E1126" s="878" t="s">
        <v>1909</v>
      </c>
      <c r="F1126" s="881" t="s">
        <v>5007</v>
      </c>
      <c r="G1126" s="731" t="s">
        <v>3802</v>
      </c>
      <c r="H1126" s="1083">
        <v>42401</v>
      </c>
      <c r="I1126" s="1084">
        <v>42480</v>
      </c>
      <c r="J1126" s="957">
        <v>5332.08</v>
      </c>
    </row>
    <row r="1127" spans="1:10" s="852" customFormat="1" outlineLevel="2">
      <c r="A1127" s="815" t="s">
        <v>2281</v>
      </c>
      <c r="B1127" s="816" t="s">
        <v>7865</v>
      </c>
      <c r="C1127" s="729" t="s">
        <v>2051</v>
      </c>
      <c r="D1127" s="924"/>
      <c r="E1127" s="878" t="s">
        <v>447</v>
      </c>
      <c r="F1127" s="881" t="s">
        <v>1094</v>
      </c>
      <c r="G1127" s="731" t="s">
        <v>5866</v>
      </c>
      <c r="H1127" s="1083">
        <v>42430</v>
      </c>
      <c r="I1127" s="1084">
        <v>42489</v>
      </c>
      <c r="J1127" s="957">
        <v>91562.76</v>
      </c>
    </row>
    <row r="1128" spans="1:10" s="852" customFormat="1" outlineLevel="2">
      <c r="A1128" s="815" t="s">
        <v>2579</v>
      </c>
      <c r="B1128" s="816" t="s">
        <v>7864</v>
      </c>
      <c r="C1128" s="729" t="s">
        <v>2051</v>
      </c>
      <c r="D1128" s="924"/>
      <c r="E1128" s="878" t="s">
        <v>2580</v>
      </c>
      <c r="F1128" s="881" t="s">
        <v>434</v>
      </c>
      <c r="G1128" s="731" t="s">
        <v>5590</v>
      </c>
      <c r="H1128" s="1083">
        <v>42401</v>
      </c>
      <c r="I1128" s="1084">
        <v>42467</v>
      </c>
      <c r="J1128" s="957">
        <v>8164.02</v>
      </c>
    </row>
    <row r="1129" spans="1:10" s="852" customFormat="1" outlineLevel="1">
      <c r="A1129" s="815"/>
      <c r="B1129" s="816" t="s">
        <v>258</v>
      </c>
      <c r="C1129" s="908" t="s">
        <v>2051</v>
      </c>
      <c r="D1129" s="928" t="str">
        <f>VLOOKUP(C1129,$C$3691:$D$3771,2,FALSE)</f>
        <v>TOTAL POUPATEMPO  GUARUJÁ</v>
      </c>
      <c r="E1129" s="1085"/>
      <c r="F1129" s="929"/>
      <c r="G1129" s="910"/>
      <c r="H1129" s="1086"/>
      <c r="I1129" s="1087"/>
      <c r="J1129" s="930">
        <f>SUBTOTAL(9,J1095:J1128)</f>
        <v>158288.43000000002</v>
      </c>
    </row>
    <row r="1130" spans="1:10" s="852" customFormat="1" outlineLevel="2">
      <c r="A1130" s="815" t="s">
        <v>2241</v>
      </c>
      <c r="B1130" s="816" t="s">
        <v>7869</v>
      </c>
      <c r="C1130" s="729" t="s">
        <v>607</v>
      </c>
      <c r="D1130" s="924"/>
      <c r="E1130" s="878" t="s">
        <v>2221</v>
      </c>
      <c r="F1130" s="881" t="s">
        <v>863</v>
      </c>
      <c r="G1130" s="731" t="s">
        <v>5571</v>
      </c>
      <c r="H1130" s="1083">
        <v>42401</v>
      </c>
      <c r="I1130" s="1084">
        <v>42465</v>
      </c>
      <c r="J1130" s="957">
        <v>8102.08</v>
      </c>
    </row>
    <row r="1131" spans="1:10" s="852" customFormat="1" outlineLevel="2">
      <c r="A1131" s="815" t="s">
        <v>606</v>
      </c>
      <c r="B1131" s="816" t="s">
        <v>7865</v>
      </c>
      <c r="C1131" s="729" t="s">
        <v>607</v>
      </c>
      <c r="D1131" s="924"/>
      <c r="E1131" s="878" t="s">
        <v>2336</v>
      </c>
      <c r="F1131" s="881" t="s">
        <v>6013</v>
      </c>
      <c r="G1131" s="731" t="s">
        <v>3807</v>
      </c>
      <c r="H1131" s="1083">
        <v>42401</v>
      </c>
      <c r="I1131" s="1084">
        <v>42480</v>
      </c>
      <c r="J1131" s="957">
        <v>7828.29</v>
      </c>
    </row>
    <row r="1132" spans="1:10" s="852" customFormat="1" outlineLevel="2">
      <c r="A1132" s="815" t="s">
        <v>606</v>
      </c>
      <c r="B1132" s="816" t="s">
        <v>7865</v>
      </c>
      <c r="C1132" s="729" t="s">
        <v>607</v>
      </c>
      <c r="D1132" s="924"/>
      <c r="E1132" s="878" t="s">
        <v>2336</v>
      </c>
      <c r="F1132" s="881" t="s">
        <v>6012</v>
      </c>
      <c r="G1132" s="731" t="s">
        <v>3805</v>
      </c>
      <c r="H1132" s="1083">
        <v>42401</v>
      </c>
      <c r="I1132" s="1084">
        <v>42480</v>
      </c>
      <c r="J1132" s="957">
        <v>869.81</v>
      </c>
    </row>
    <row r="1133" spans="1:10" s="852" customFormat="1" outlineLevel="2">
      <c r="A1133" s="815" t="s">
        <v>1015</v>
      </c>
      <c r="B1133" s="816" t="s">
        <v>7866</v>
      </c>
      <c r="C1133" s="729" t="s">
        <v>607</v>
      </c>
      <c r="D1133" s="924"/>
      <c r="E1133" s="878" t="s">
        <v>2282</v>
      </c>
      <c r="F1133" s="881" t="s">
        <v>3974</v>
      </c>
      <c r="G1133" s="731" t="s">
        <v>2779</v>
      </c>
      <c r="H1133" s="1083">
        <v>42401</v>
      </c>
      <c r="I1133" s="1084">
        <v>42471</v>
      </c>
      <c r="J1133" s="957">
        <v>340.71</v>
      </c>
    </row>
    <row r="1134" spans="1:10" s="852" customFormat="1" outlineLevel="2">
      <c r="A1134" s="815" t="s">
        <v>1015</v>
      </c>
      <c r="B1134" s="816" t="s">
        <v>7866</v>
      </c>
      <c r="C1134" s="729" t="s">
        <v>607</v>
      </c>
      <c r="D1134" s="924"/>
      <c r="E1134" s="878" t="s">
        <v>2282</v>
      </c>
      <c r="F1134" s="881" t="s">
        <v>4081</v>
      </c>
      <c r="G1134" s="731" t="s">
        <v>2781</v>
      </c>
      <c r="H1134" s="1083">
        <v>42401</v>
      </c>
      <c r="I1134" s="1084">
        <v>42471</v>
      </c>
      <c r="J1134" s="957">
        <v>10.89</v>
      </c>
    </row>
    <row r="1135" spans="1:10" s="852" customFormat="1" outlineLevel="2">
      <c r="A1135" s="815" t="s">
        <v>1015</v>
      </c>
      <c r="B1135" s="816" t="s">
        <v>7866</v>
      </c>
      <c r="C1135" s="729" t="s">
        <v>607</v>
      </c>
      <c r="D1135" s="924"/>
      <c r="E1135" s="878" t="s">
        <v>2282</v>
      </c>
      <c r="F1135" s="881" t="s">
        <v>4165</v>
      </c>
      <c r="G1135" s="731" t="s">
        <v>2782</v>
      </c>
      <c r="H1135" s="1083">
        <v>42401</v>
      </c>
      <c r="I1135" s="1084">
        <v>42471</v>
      </c>
      <c r="J1135" s="957">
        <v>128.54</v>
      </c>
    </row>
    <row r="1136" spans="1:10" s="852" customFormat="1" outlineLevel="2">
      <c r="A1136" s="815" t="s">
        <v>606</v>
      </c>
      <c r="B1136" s="816" t="s">
        <v>7865</v>
      </c>
      <c r="C1136" s="729" t="s">
        <v>607</v>
      </c>
      <c r="D1136" s="924"/>
      <c r="E1136" s="878" t="s">
        <v>2701</v>
      </c>
      <c r="F1136" s="881" t="s">
        <v>6135</v>
      </c>
      <c r="G1136" s="731" t="s">
        <v>3810</v>
      </c>
      <c r="H1136" s="1083">
        <v>42401</v>
      </c>
      <c r="I1136" s="1084">
        <v>42475</v>
      </c>
      <c r="J1136" s="957">
        <v>277.95</v>
      </c>
    </row>
    <row r="1137" spans="1:10" s="852" customFormat="1" outlineLevel="2">
      <c r="A1137" s="815" t="s">
        <v>606</v>
      </c>
      <c r="B1137" s="816" t="s">
        <v>7865</v>
      </c>
      <c r="C1137" s="729" t="s">
        <v>607</v>
      </c>
      <c r="D1137" s="924"/>
      <c r="E1137" s="878" t="s">
        <v>2701</v>
      </c>
      <c r="F1137" s="881" t="s">
        <v>5496</v>
      </c>
      <c r="G1137" s="731" t="s">
        <v>3811</v>
      </c>
      <c r="H1137" s="1083">
        <v>42401</v>
      </c>
      <c r="I1137" s="1084">
        <v>42475</v>
      </c>
      <c r="J1137" s="957">
        <v>2501.62</v>
      </c>
    </row>
    <row r="1138" spans="1:10" s="852" customFormat="1" outlineLevel="2">
      <c r="A1138" s="815" t="s">
        <v>606</v>
      </c>
      <c r="B1138" s="816" t="s">
        <v>7865</v>
      </c>
      <c r="C1138" s="729" t="s">
        <v>607</v>
      </c>
      <c r="D1138" s="924"/>
      <c r="E1138" s="878" t="s">
        <v>508</v>
      </c>
      <c r="F1138" s="881" t="s">
        <v>1094</v>
      </c>
      <c r="G1138" s="731" t="s">
        <v>5820</v>
      </c>
      <c r="H1138" s="1083">
        <v>42430</v>
      </c>
      <c r="I1138" s="1084">
        <v>42489</v>
      </c>
      <c r="J1138" s="957">
        <v>107058</v>
      </c>
    </row>
    <row r="1139" spans="1:10" s="852" customFormat="1" outlineLevel="2">
      <c r="A1139" s="815" t="s">
        <v>1015</v>
      </c>
      <c r="B1139" s="816" t="s">
        <v>7866</v>
      </c>
      <c r="C1139" s="729" t="s">
        <v>607</v>
      </c>
      <c r="D1139" s="924"/>
      <c r="E1139" s="878" t="s">
        <v>1909</v>
      </c>
      <c r="F1139" s="881" t="s">
        <v>3935</v>
      </c>
      <c r="G1139" s="731" t="s">
        <v>2817</v>
      </c>
      <c r="H1139" s="1083">
        <v>42401</v>
      </c>
      <c r="I1139" s="1084">
        <v>42480</v>
      </c>
      <c r="J1139" s="957">
        <v>102.21</v>
      </c>
    </row>
    <row r="1140" spans="1:10" s="852" customFormat="1" outlineLevel="2">
      <c r="A1140" s="815" t="s">
        <v>1015</v>
      </c>
      <c r="B1140" s="816" t="s">
        <v>7866</v>
      </c>
      <c r="C1140" s="729" t="s">
        <v>607</v>
      </c>
      <c r="D1140" s="924"/>
      <c r="E1140" s="878" t="s">
        <v>1909</v>
      </c>
      <c r="F1140" s="881" t="s">
        <v>4027</v>
      </c>
      <c r="G1140" s="731" t="s">
        <v>2819</v>
      </c>
      <c r="H1140" s="1083">
        <v>42401</v>
      </c>
      <c r="I1140" s="1084">
        <v>42480</v>
      </c>
      <c r="J1140" s="957">
        <v>3.26</v>
      </c>
    </row>
    <row r="1141" spans="1:10" s="852" customFormat="1" outlineLevel="2">
      <c r="A1141" s="815" t="s">
        <v>1015</v>
      </c>
      <c r="B1141" s="816" t="s">
        <v>7866</v>
      </c>
      <c r="C1141" s="729" t="s">
        <v>607</v>
      </c>
      <c r="D1141" s="924"/>
      <c r="E1141" s="878" t="s">
        <v>1909</v>
      </c>
      <c r="F1141" s="881" t="s">
        <v>4129</v>
      </c>
      <c r="G1141" s="731" t="s">
        <v>2821</v>
      </c>
      <c r="H1141" s="1083">
        <v>42401</v>
      </c>
      <c r="I1141" s="1084">
        <v>42480</v>
      </c>
      <c r="J1141" s="957">
        <v>38.56</v>
      </c>
    </row>
    <row r="1142" spans="1:10" s="852" customFormat="1" outlineLevel="2">
      <c r="A1142" s="815" t="s">
        <v>606</v>
      </c>
      <c r="B1142" s="816" t="s">
        <v>7865</v>
      </c>
      <c r="C1142" s="729" t="s">
        <v>607</v>
      </c>
      <c r="D1142" s="924"/>
      <c r="E1142" s="878" t="s">
        <v>1909</v>
      </c>
      <c r="F1142" s="881" t="s">
        <v>6259</v>
      </c>
      <c r="G1142" s="731" t="s">
        <v>3815</v>
      </c>
      <c r="H1142" s="1083">
        <v>42401</v>
      </c>
      <c r="I1142" s="1084">
        <v>42480</v>
      </c>
      <c r="J1142" s="957">
        <v>1876.2</v>
      </c>
    </row>
    <row r="1143" spans="1:10" s="852" customFormat="1" outlineLevel="2">
      <c r="A1143" s="815" t="s">
        <v>606</v>
      </c>
      <c r="B1143" s="816" t="s">
        <v>7865</v>
      </c>
      <c r="C1143" s="729" t="s">
        <v>607</v>
      </c>
      <c r="D1143" s="924"/>
      <c r="E1143" s="878" t="s">
        <v>1909</v>
      </c>
      <c r="F1143" s="881" t="s">
        <v>6258</v>
      </c>
      <c r="G1143" s="731" t="s">
        <v>3813</v>
      </c>
      <c r="H1143" s="1083">
        <v>42401</v>
      </c>
      <c r="I1143" s="1084">
        <v>42480</v>
      </c>
      <c r="J1143" s="957">
        <v>208.47</v>
      </c>
    </row>
    <row r="1144" spans="1:10" s="852" customFormat="1" ht="28.5" outlineLevel="2">
      <c r="A1144" s="815" t="s">
        <v>1015</v>
      </c>
      <c r="B1144" s="816" t="s">
        <v>7866</v>
      </c>
      <c r="C1144" s="729" t="s">
        <v>607</v>
      </c>
      <c r="D1144" s="924"/>
      <c r="E1144" s="878" t="s">
        <v>1909</v>
      </c>
      <c r="F1144" s="881" t="s">
        <v>4956</v>
      </c>
      <c r="G1144" s="731" t="s">
        <v>2833</v>
      </c>
      <c r="H1144" s="1083">
        <v>42401</v>
      </c>
      <c r="I1144" s="1084">
        <v>42480</v>
      </c>
      <c r="J1144" s="957">
        <v>316.86</v>
      </c>
    </row>
    <row r="1145" spans="1:10" s="852" customFormat="1" ht="28.5" outlineLevel="2">
      <c r="A1145" s="815" t="s">
        <v>1015</v>
      </c>
      <c r="B1145" s="816" t="s">
        <v>7866</v>
      </c>
      <c r="C1145" s="729" t="s">
        <v>607</v>
      </c>
      <c r="D1145" s="924"/>
      <c r="E1145" s="878" t="s">
        <v>1909</v>
      </c>
      <c r="F1145" s="881" t="s">
        <v>4903</v>
      </c>
      <c r="G1145" s="731" t="s">
        <v>2832</v>
      </c>
      <c r="H1145" s="1083">
        <v>42401</v>
      </c>
      <c r="I1145" s="1084">
        <v>42480</v>
      </c>
      <c r="J1145" s="957">
        <v>10.130000000000001</v>
      </c>
    </row>
    <row r="1146" spans="1:10" s="852" customFormat="1" ht="28.5" outlineLevel="2">
      <c r="A1146" s="815" t="s">
        <v>1015</v>
      </c>
      <c r="B1146" s="816" t="s">
        <v>7866</v>
      </c>
      <c r="C1146" s="729" t="s">
        <v>607</v>
      </c>
      <c r="D1146" s="924"/>
      <c r="E1146" s="878" t="s">
        <v>1909</v>
      </c>
      <c r="F1146" s="881" t="s">
        <v>4853</v>
      </c>
      <c r="G1146" s="731" t="s">
        <v>2831</v>
      </c>
      <c r="H1146" s="1083">
        <v>42401</v>
      </c>
      <c r="I1146" s="1084">
        <v>42480</v>
      </c>
      <c r="J1146" s="957">
        <v>119.55</v>
      </c>
    </row>
    <row r="1147" spans="1:10" s="852" customFormat="1" ht="28.5" outlineLevel="2">
      <c r="A1147" s="815" t="s">
        <v>606</v>
      </c>
      <c r="B1147" s="816" t="s">
        <v>7865</v>
      </c>
      <c r="C1147" s="729" t="s">
        <v>607</v>
      </c>
      <c r="D1147" s="924"/>
      <c r="E1147" s="878" t="s">
        <v>1909</v>
      </c>
      <c r="F1147" s="881" t="s">
        <v>4674</v>
      </c>
      <c r="G1147" s="731" t="s">
        <v>3820</v>
      </c>
      <c r="H1147" s="1083">
        <v>42401</v>
      </c>
      <c r="I1147" s="1084">
        <v>42480</v>
      </c>
      <c r="J1147" s="957">
        <v>5816.24</v>
      </c>
    </row>
    <row r="1148" spans="1:10" s="852" customFormat="1" ht="28.5" outlineLevel="2">
      <c r="A1148" s="815" t="s">
        <v>606</v>
      </c>
      <c r="B1148" s="816" t="s">
        <v>7865</v>
      </c>
      <c r="C1148" s="729" t="s">
        <v>607</v>
      </c>
      <c r="D1148" s="924"/>
      <c r="E1148" s="878" t="s">
        <v>1909</v>
      </c>
      <c r="F1148" s="881" t="s">
        <v>4839</v>
      </c>
      <c r="G1148" s="731" t="s">
        <v>3822</v>
      </c>
      <c r="H1148" s="1083">
        <v>42401</v>
      </c>
      <c r="I1148" s="1084">
        <v>42480</v>
      </c>
      <c r="J1148" s="957">
        <v>646.25</v>
      </c>
    </row>
    <row r="1149" spans="1:10" s="852" customFormat="1" outlineLevel="2">
      <c r="A1149" s="815" t="s">
        <v>606</v>
      </c>
      <c r="B1149" s="816" t="s">
        <v>7865</v>
      </c>
      <c r="C1149" s="729" t="s">
        <v>607</v>
      </c>
      <c r="D1149" s="924"/>
      <c r="E1149" s="878" t="s">
        <v>5842</v>
      </c>
      <c r="F1149" s="881" t="s">
        <v>1094</v>
      </c>
      <c r="G1149" s="731" t="s">
        <v>5844</v>
      </c>
      <c r="H1149" s="1083">
        <v>42430</v>
      </c>
      <c r="I1149" s="1084">
        <v>42489</v>
      </c>
      <c r="J1149" s="957">
        <v>11895.34</v>
      </c>
    </row>
    <row r="1150" spans="1:10" s="852" customFormat="1" outlineLevel="1">
      <c r="A1150" s="815"/>
      <c r="B1150" s="816" t="s">
        <v>258</v>
      </c>
      <c r="C1150" s="908" t="s">
        <v>607</v>
      </c>
      <c r="D1150" s="928" t="str">
        <f>VLOOKUP(C1150,$C$3691:$D$3771,2,FALSE)</f>
        <v>TOTAL POUPATEMPO  INDAIATUBA</v>
      </c>
      <c r="E1150" s="1085"/>
      <c r="F1150" s="929"/>
      <c r="G1150" s="910"/>
      <c r="H1150" s="1086"/>
      <c r="I1150" s="1087"/>
      <c r="J1150" s="930">
        <f>SUBTOTAL(9,J1130:J1149)</f>
        <v>148150.96</v>
      </c>
    </row>
    <row r="1151" spans="1:10" s="852" customFormat="1" outlineLevel="2">
      <c r="A1151" s="815" t="s">
        <v>609</v>
      </c>
      <c r="B1151" s="816" t="s">
        <v>7865</v>
      </c>
      <c r="C1151" s="729" t="s">
        <v>610</v>
      </c>
      <c r="D1151" s="924"/>
      <c r="E1151" s="878" t="s">
        <v>560</v>
      </c>
      <c r="F1151" s="881" t="s">
        <v>1094</v>
      </c>
      <c r="G1151" s="731" t="s">
        <v>5752</v>
      </c>
      <c r="H1151" s="1083">
        <v>42430</v>
      </c>
      <c r="I1151" s="1084">
        <v>42489</v>
      </c>
      <c r="J1151" s="957">
        <v>67563.5</v>
      </c>
    </row>
    <row r="1152" spans="1:10" s="852" customFormat="1" outlineLevel="2">
      <c r="A1152" s="815" t="s">
        <v>2242</v>
      </c>
      <c r="B1152" s="816" t="s">
        <v>7869</v>
      </c>
      <c r="C1152" s="729" t="s">
        <v>610</v>
      </c>
      <c r="D1152" s="924"/>
      <c r="E1152" s="878" t="s">
        <v>2221</v>
      </c>
      <c r="F1152" s="881" t="s">
        <v>863</v>
      </c>
      <c r="G1152" s="731" t="s">
        <v>5571</v>
      </c>
      <c r="H1152" s="1083">
        <v>42401</v>
      </c>
      <c r="I1152" s="1084">
        <v>42465</v>
      </c>
      <c r="J1152" s="957">
        <v>8102.08</v>
      </c>
    </row>
    <row r="1153" spans="1:10" s="852" customFormat="1" outlineLevel="2">
      <c r="A1153" s="815" t="s">
        <v>6441</v>
      </c>
      <c r="B1153" s="816" t="s">
        <v>7863</v>
      </c>
      <c r="C1153" s="729" t="s">
        <v>610</v>
      </c>
      <c r="D1153" s="924"/>
      <c r="E1153" s="878" t="s">
        <v>483</v>
      </c>
      <c r="F1153" s="881" t="s">
        <v>2208</v>
      </c>
      <c r="G1153" s="731" t="str">
        <f>"16981"</f>
        <v>16981</v>
      </c>
      <c r="H1153" s="1083">
        <v>42401</v>
      </c>
      <c r="I1153" s="1084">
        <v>42473</v>
      </c>
      <c r="J1153" s="957">
        <v>12469.11</v>
      </c>
    </row>
    <row r="1154" spans="1:10" s="852" customFormat="1" outlineLevel="2">
      <c r="A1154" s="815" t="s">
        <v>2261</v>
      </c>
      <c r="B1154" s="816" t="s">
        <v>7872</v>
      </c>
      <c r="C1154" s="729" t="s">
        <v>610</v>
      </c>
      <c r="D1154" s="924"/>
      <c r="E1154" s="878" t="s">
        <v>1699</v>
      </c>
      <c r="F1154" s="881" t="s">
        <v>1696</v>
      </c>
      <c r="G1154" s="731" t="s">
        <v>5573</v>
      </c>
      <c r="H1154" s="1083">
        <v>42430</v>
      </c>
      <c r="I1154" s="1084">
        <v>42465</v>
      </c>
      <c r="J1154" s="957">
        <v>5776.66</v>
      </c>
    </row>
    <row r="1155" spans="1:10" s="852" customFormat="1" outlineLevel="2">
      <c r="A1155" s="815" t="s">
        <v>5964</v>
      </c>
      <c r="B1155" s="816" t="s">
        <v>7864</v>
      </c>
      <c r="C1155" s="729" t="s">
        <v>610</v>
      </c>
      <c r="D1155" s="924"/>
      <c r="E1155" s="878" t="s">
        <v>6470</v>
      </c>
      <c r="F1155" s="881" t="s">
        <v>434</v>
      </c>
      <c r="G1155" s="731" t="str">
        <f>"2654"</f>
        <v>2654</v>
      </c>
      <c r="H1155" s="1083">
        <v>42370</v>
      </c>
      <c r="I1155" s="1084">
        <v>42478</v>
      </c>
      <c r="J1155" s="957">
        <v>-3730.78</v>
      </c>
    </row>
    <row r="1156" spans="1:10" s="852" customFormat="1" outlineLevel="2">
      <c r="A1156" s="815" t="s">
        <v>5964</v>
      </c>
      <c r="B1156" s="816" t="s">
        <v>7864</v>
      </c>
      <c r="C1156" s="729" t="s">
        <v>610</v>
      </c>
      <c r="D1156" s="924"/>
      <c r="E1156" s="878" t="s">
        <v>6470</v>
      </c>
      <c r="F1156" s="881" t="s">
        <v>434</v>
      </c>
      <c r="G1156" s="731" t="str">
        <f>"2654"</f>
        <v>2654</v>
      </c>
      <c r="H1156" s="1083">
        <v>42370</v>
      </c>
      <c r="I1156" s="1084">
        <v>42478</v>
      </c>
      <c r="J1156" s="957">
        <v>3730.78</v>
      </c>
    </row>
    <row r="1157" spans="1:10" s="852" customFormat="1" outlineLevel="2">
      <c r="A1157" s="815" t="s">
        <v>5964</v>
      </c>
      <c r="B1157" s="816" t="s">
        <v>7864</v>
      </c>
      <c r="C1157" s="729" t="s">
        <v>610</v>
      </c>
      <c r="D1157" s="924"/>
      <c r="E1157" s="878" t="s">
        <v>6470</v>
      </c>
      <c r="F1157" s="881" t="s">
        <v>434</v>
      </c>
      <c r="G1157" s="731" t="str">
        <f>"2654"</f>
        <v>2654</v>
      </c>
      <c r="H1157" s="1083">
        <v>42370</v>
      </c>
      <c r="I1157" s="1084">
        <v>42478</v>
      </c>
      <c r="J1157" s="957">
        <v>3730.78</v>
      </c>
    </row>
    <row r="1158" spans="1:10" s="852" customFormat="1" outlineLevel="2">
      <c r="A1158" s="815" t="s">
        <v>5964</v>
      </c>
      <c r="B1158" s="816" t="s">
        <v>7864</v>
      </c>
      <c r="C1158" s="729" t="s">
        <v>610</v>
      </c>
      <c r="D1158" s="924"/>
      <c r="E1158" s="878" t="s">
        <v>6470</v>
      </c>
      <c r="F1158" s="881" t="s">
        <v>434</v>
      </c>
      <c r="G1158" s="731" t="str">
        <f>"2654"</f>
        <v>2654</v>
      </c>
      <c r="H1158" s="1083">
        <v>42370</v>
      </c>
      <c r="I1158" s="1084">
        <v>42478</v>
      </c>
      <c r="J1158" s="957">
        <v>3730.78</v>
      </c>
    </row>
    <row r="1159" spans="1:10" s="852" customFormat="1" outlineLevel="2">
      <c r="A1159" s="815" t="s">
        <v>5964</v>
      </c>
      <c r="B1159" s="816" t="s">
        <v>7864</v>
      </c>
      <c r="C1159" s="729" t="s">
        <v>610</v>
      </c>
      <c r="D1159" s="924"/>
      <c r="E1159" s="878" t="s">
        <v>6470</v>
      </c>
      <c r="F1159" s="881" t="s">
        <v>434</v>
      </c>
      <c r="G1159" s="731" t="str">
        <f>"2654"</f>
        <v>2654</v>
      </c>
      <c r="H1159" s="1083">
        <v>42370</v>
      </c>
      <c r="I1159" s="1084">
        <v>42478</v>
      </c>
      <c r="J1159" s="957">
        <v>-3730.78</v>
      </c>
    </row>
    <row r="1160" spans="1:10" s="852" customFormat="1" ht="28.5" outlineLevel="2">
      <c r="A1160" s="815" t="s">
        <v>609</v>
      </c>
      <c r="B1160" s="816" t="s">
        <v>7865</v>
      </c>
      <c r="C1160" s="729" t="s">
        <v>610</v>
      </c>
      <c r="D1160" s="924"/>
      <c r="E1160" s="878" t="s">
        <v>2336</v>
      </c>
      <c r="F1160" s="881" t="s">
        <v>5322</v>
      </c>
      <c r="G1160" s="731" t="s">
        <v>3834</v>
      </c>
      <c r="H1160" s="1083">
        <v>42430</v>
      </c>
      <c r="I1160" s="1084">
        <v>42480</v>
      </c>
      <c r="J1160" s="957">
        <v>2704.91</v>
      </c>
    </row>
    <row r="1161" spans="1:10" s="852" customFormat="1" outlineLevel="2">
      <c r="A1161" s="815" t="s">
        <v>613</v>
      </c>
      <c r="B1161" s="816" t="s">
        <v>7863</v>
      </c>
      <c r="C1161" s="729" t="s">
        <v>610</v>
      </c>
      <c r="D1161" s="924"/>
      <c r="E1161" s="878" t="s">
        <v>2336</v>
      </c>
      <c r="F1161" s="881" t="s">
        <v>4378</v>
      </c>
      <c r="G1161" s="731" t="s">
        <v>3833</v>
      </c>
      <c r="H1161" s="1083">
        <v>42401</v>
      </c>
      <c r="I1161" s="1084">
        <v>42480</v>
      </c>
      <c r="J1161" s="957">
        <v>1707.03</v>
      </c>
    </row>
    <row r="1162" spans="1:10" s="852" customFormat="1" outlineLevel="2">
      <c r="A1162" s="815" t="s">
        <v>612</v>
      </c>
      <c r="B1162" s="816" t="s">
        <v>7864</v>
      </c>
      <c r="C1162" s="729" t="s">
        <v>610</v>
      </c>
      <c r="D1162" s="924"/>
      <c r="E1162" s="878" t="s">
        <v>2336</v>
      </c>
      <c r="F1162" s="881" t="s">
        <v>6014</v>
      </c>
      <c r="G1162" s="731" t="s">
        <v>3826</v>
      </c>
      <c r="H1162" s="1083">
        <v>42401</v>
      </c>
      <c r="I1162" s="1084">
        <v>42480</v>
      </c>
      <c r="J1162" s="957">
        <v>523.79</v>
      </c>
    </row>
    <row r="1163" spans="1:10" s="852" customFormat="1" outlineLevel="2">
      <c r="A1163" s="815" t="s">
        <v>612</v>
      </c>
      <c r="B1163" s="816" t="s">
        <v>7864</v>
      </c>
      <c r="C1163" s="729" t="s">
        <v>610</v>
      </c>
      <c r="D1163" s="924"/>
      <c r="E1163" s="878" t="s">
        <v>2336</v>
      </c>
      <c r="F1163" s="881" t="s">
        <v>3616</v>
      </c>
      <c r="G1163" s="731" t="s">
        <v>3832</v>
      </c>
      <c r="H1163" s="1083">
        <v>42401</v>
      </c>
      <c r="I1163" s="1084">
        <v>42480</v>
      </c>
      <c r="J1163" s="957">
        <v>344.6</v>
      </c>
    </row>
    <row r="1164" spans="1:10" s="852" customFormat="1" outlineLevel="2">
      <c r="A1164" s="815" t="s">
        <v>612</v>
      </c>
      <c r="B1164" s="816" t="s">
        <v>7864</v>
      </c>
      <c r="C1164" s="729" t="s">
        <v>610</v>
      </c>
      <c r="D1164" s="924"/>
      <c r="E1164" s="878" t="s">
        <v>2336</v>
      </c>
      <c r="F1164" s="881" t="s">
        <v>3158</v>
      </c>
      <c r="G1164" s="731" t="s">
        <v>3830</v>
      </c>
      <c r="H1164" s="1083">
        <v>42401</v>
      </c>
      <c r="I1164" s="1084">
        <v>42480</v>
      </c>
      <c r="J1164" s="957">
        <v>510</v>
      </c>
    </row>
    <row r="1165" spans="1:10" s="852" customFormat="1" outlineLevel="2">
      <c r="A1165" s="815" t="s">
        <v>609</v>
      </c>
      <c r="B1165" s="816" t="s">
        <v>7865</v>
      </c>
      <c r="C1165" s="729" t="s">
        <v>610</v>
      </c>
      <c r="D1165" s="924"/>
      <c r="E1165" s="878" t="s">
        <v>2336</v>
      </c>
      <c r="F1165" s="881" t="s">
        <v>3024</v>
      </c>
      <c r="G1165" s="731" t="s">
        <v>3828</v>
      </c>
      <c r="H1165" s="1083">
        <v>42401</v>
      </c>
      <c r="I1165" s="1084">
        <v>42480</v>
      </c>
      <c r="J1165" s="957">
        <v>1803.27</v>
      </c>
    </row>
    <row r="1166" spans="1:10" s="852" customFormat="1" outlineLevel="2">
      <c r="A1166" s="815" t="s">
        <v>5964</v>
      </c>
      <c r="B1166" s="816" t="s">
        <v>7864</v>
      </c>
      <c r="C1166" s="729" t="s">
        <v>610</v>
      </c>
      <c r="D1166" s="924"/>
      <c r="E1166" s="878" t="s">
        <v>2717</v>
      </c>
      <c r="F1166" s="881" t="s">
        <v>434</v>
      </c>
      <c r="G1166" s="731" t="str">
        <f>"3520"</f>
        <v>3520</v>
      </c>
      <c r="H1166" s="1083">
        <v>42401</v>
      </c>
      <c r="I1166" s="1084">
        <v>42467</v>
      </c>
      <c r="J1166" s="957">
        <v>2454.46</v>
      </c>
    </row>
    <row r="1167" spans="1:10" s="852" customFormat="1" outlineLevel="2">
      <c r="A1167" s="815" t="s">
        <v>5964</v>
      </c>
      <c r="B1167" s="816" t="s">
        <v>7864</v>
      </c>
      <c r="C1167" s="729" t="s">
        <v>610</v>
      </c>
      <c r="D1167" s="924"/>
      <c r="E1167" s="878" t="s">
        <v>409</v>
      </c>
      <c r="F1167" s="881" t="s">
        <v>434</v>
      </c>
      <c r="G1167" s="731" t="str">
        <f>"6676"</f>
        <v>6676</v>
      </c>
      <c r="H1167" s="1083">
        <v>42401</v>
      </c>
      <c r="I1167" s="1084">
        <v>42475</v>
      </c>
      <c r="J1167" s="957">
        <v>3632.6</v>
      </c>
    </row>
    <row r="1168" spans="1:10" s="852" customFormat="1" outlineLevel="2">
      <c r="A1168" s="815" t="s">
        <v>1016</v>
      </c>
      <c r="B1168" s="816" t="s">
        <v>7866</v>
      </c>
      <c r="C1168" s="729" t="s">
        <v>610</v>
      </c>
      <c r="D1168" s="924"/>
      <c r="E1168" s="878" t="s">
        <v>2282</v>
      </c>
      <c r="F1168" s="881" t="s">
        <v>3974</v>
      </c>
      <c r="G1168" s="731" t="s">
        <v>2779</v>
      </c>
      <c r="H1168" s="1083">
        <v>42401</v>
      </c>
      <c r="I1168" s="1084">
        <v>42471</v>
      </c>
      <c r="J1168" s="957">
        <v>300.47000000000003</v>
      </c>
    </row>
    <row r="1169" spans="1:10" s="852" customFormat="1" outlineLevel="2">
      <c r="A1169" s="815" t="s">
        <v>1016</v>
      </c>
      <c r="B1169" s="816" t="s">
        <v>7866</v>
      </c>
      <c r="C1169" s="729" t="s">
        <v>610</v>
      </c>
      <c r="D1169" s="924"/>
      <c r="E1169" s="878" t="s">
        <v>2282</v>
      </c>
      <c r="F1169" s="881" t="s">
        <v>4081</v>
      </c>
      <c r="G1169" s="731" t="s">
        <v>2781</v>
      </c>
      <c r="H1169" s="1083">
        <v>42401</v>
      </c>
      <c r="I1169" s="1084">
        <v>42471</v>
      </c>
      <c r="J1169" s="957">
        <v>9.6</v>
      </c>
    </row>
    <row r="1170" spans="1:10" s="852" customFormat="1" outlineLevel="2">
      <c r="A1170" s="815" t="s">
        <v>1016</v>
      </c>
      <c r="B1170" s="816" t="s">
        <v>7866</v>
      </c>
      <c r="C1170" s="729" t="s">
        <v>610</v>
      </c>
      <c r="D1170" s="924"/>
      <c r="E1170" s="878" t="s">
        <v>2282</v>
      </c>
      <c r="F1170" s="881" t="s">
        <v>4165</v>
      </c>
      <c r="G1170" s="731" t="s">
        <v>2782</v>
      </c>
      <c r="H1170" s="1083">
        <v>42401</v>
      </c>
      <c r="I1170" s="1084">
        <v>42471</v>
      </c>
      <c r="J1170" s="957">
        <v>113.36</v>
      </c>
    </row>
    <row r="1171" spans="1:10" s="852" customFormat="1" outlineLevel="2">
      <c r="A1171" s="815" t="s">
        <v>612</v>
      </c>
      <c r="B1171" s="816" t="s">
        <v>7864</v>
      </c>
      <c r="C1171" s="729" t="s">
        <v>610</v>
      </c>
      <c r="D1171" s="924"/>
      <c r="E1171" s="878" t="s">
        <v>2702</v>
      </c>
      <c r="F1171" s="881" t="s">
        <v>6136</v>
      </c>
      <c r="G1171" s="731" t="s">
        <v>3837</v>
      </c>
      <c r="H1171" s="1083">
        <v>42401</v>
      </c>
      <c r="I1171" s="1084">
        <v>42480</v>
      </c>
      <c r="J1171" s="957">
        <v>238.08</v>
      </c>
    </row>
    <row r="1172" spans="1:10" s="852" customFormat="1" outlineLevel="2">
      <c r="A1172" s="815" t="s">
        <v>609</v>
      </c>
      <c r="B1172" s="816" t="s">
        <v>7865</v>
      </c>
      <c r="C1172" s="729" t="s">
        <v>610</v>
      </c>
      <c r="D1172" s="924"/>
      <c r="E1172" s="878" t="s">
        <v>2702</v>
      </c>
      <c r="F1172" s="881" t="s">
        <v>3025</v>
      </c>
      <c r="G1172" s="731" t="s">
        <v>3839</v>
      </c>
      <c r="H1172" s="1083">
        <v>42401</v>
      </c>
      <c r="I1172" s="1084">
        <v>42480</v>
      </c>
      <c r="J1172" s="957">
        <v>1546.91</v>
      </c>
    </row>
    <row r="1173" spans="1:10" s="852" customFormat="1" outlineLevel="2">
      <c r="A1173" s="815" t="s">
        <v>612</v>
      </c>
      <c r="B1173" s="816" t="s">
        <v>7864</v>
      </c>
      <c r="C1173" s="729" t="s">
        <v>610</v>
      </c>
      <c r="D1173" s="924"/>
      <c r="E1173" s="878" t="s">
        <v>2702</v>
      </c>
      <c r="F1173" s="881" t="s">
        <v>3160</v>
      </c>
      <c r="G1173" s="731" t="s">
        <v>3841</v>
      </c>
      <c r="H1173" s="1083">
        <v>42401</v>
      </c>
      <c r="I1173" s="1084">
        <v>42480</v>
      </c>
      <c r="J1173" s="957">
        <v>231.82</v>
      </c>
    </row>
    <row r="1174" spans="1:10" s="852" customFormat="1" outlineLevel="2">
      <c r="A1174" s="815" t="s">
        <v>612</v>
      </c>
      <c r="B1174" s="816" t="s">
        <v>7864</v>
      </c>
      <c r="C1174" s="729" t="s">
        <v>610</v>
      </c>
      <c r="D1174" s="924"/>
      <c r="E1174" s="878" t="s">
        <v>2702</v>
      </c>
      <c r="F1174" s="881" t="s">
        <v>3617</v>
      </c>
      <c r="G1174" s="731" t="s">
        <v>3843</v>
      </c>
      <c r="H1174" s="1083">
        <v>42401</v>
      </c>
      <c r="I1174" s="1084">
        <v>42480</v>
      </c>
      <c r="J1174" s="957">
        <v>156.63</v>
      </c>
    </row>
    <row r="1175" spans="1:10" s="852" customFormat="1" outlineLevel="2">
      <c r="A1175" s="815" t="s">
        <v>613</v>
      </c>
      <c r="B1175" s="816" t="s">
        <v>7863</v>
      </c>
      <c r="C1175" s="729" t="s">
        <v>610</v>
      </c>
      <c r="D1175" s="924"/>
      <c r="E1175" s="878" t="s">
        <v>2702</v>
      </c>
      <c r="F1175" s="881" t="s">
        <v>4380</v>
      </c>
      <c r="G1175" s="731" t="s">
        <v>3845</v>
      </c>
      <c r="H1175" s="1083">
        <v>42401</v>
      </c>
      <c r="I1175" s="1084">
        <v>42480</v>
      </c>
      <c r="J1175" s="957">
        <v>465.55</v>
      </c>
    </row>
    <row r="1176" spans="1:10" s="852" customFormat="1" ht="28.5" outlineLevel="2">
      <c r="A1176" s="815" t="s">
        <v>609</v>
      </c>
      <c r="B1176" s="816" t="s">
        <v>7865</v>
      </c>
      <c r="C1176" s="729" t="s">
        <v>610</v>
      </c>
      <c r="D1176" s="924"/>
      <c r="E1176" s="878" t="s">
        <v>2702</v>
      </c>
      <c r="F1176" s="881" t="s">
        <v>5325</v>
      </c>
      <c r="G1176" s="731" t="s">
        <v>3847</v>
      </c>
      <c r="H1176" s="1083">
        <v>42430</v>
      </c>
      <c r="I1176" s="1084">
        <v>42480</v>
      </c>
      <c r="J1176" s="957">
        <v>2320.37</v>
      </c>
    </row>
    <row r="1177" spans="1:10" s="852" customFormat="1" ht="28.5" outlineLevel="2">
      <c r="A1177" s="815" t="s">
        <v>609</v>
      </c>
      <c r="B1177" s="816" t="s">
        <v>7865</v>
      </c>
      <c r="C1177" s="729" t="s">
        <v>610</v>
      </c>
      <c r="D1177" s="924"/>
      <c r="E1177" s="878" t="s">
        <v>1909</v>
      </c>
      <c r="F1177" s="881" t="s">
        <v>5320</v>
      </c>
      <c r="G1177" s="731" t="s">
        <v>3880</v>
      </c>
      <c r="H1177" s="1083">
        <v>42430</v>
      </c>
      <c r="I1177" s="1084">
        <v>42480</v>
      </c>
      <c r="J1177" s="957">
        <v>1160.18</v>
      </c>
    </row>
    <row r="1178" spans="1:10" s="852" customFormat="1" outlineLevel="2">
      <c r="A1178" s="815" t="s">
        <v>1016</v>
      </c>
      <c r="B1178" s="816" t="s">
        <v>7866</v>
      </c>
      <c r="C1178" s="729" t="s">
        <v>610</v>
      </c>
      <c r="D1178" s="924"/>
      <c r="E1178" s="878" t="s">
        <v>1909</v>
      </c>
      <c r="F1178" s="881" t="s">
        <v>3935</v>
      </c>
      <c r="G1178" s="731" t="s">
        <v>2817</v>
      </c>
      <c r="H1178" s="1083">
        <v>42401</v>
      </c>
      <c r="I1178" s="1084">
        <v>42480</v>
      </c>
      <c r="J1178" s="957">
        <v>90.14</v>
      </c>
    </row>
    <row r="1179" spans="1:10" s="852" customFormat="1" outlineLevel="2">
      <c r="A1179" s="815" t="s">
        <v>1016</v>
      </c>
      <c r="B1179" s="816" t="s">
        <v>7866</v>
      </c>
      <c r="C1179" s="729" t="s">
        <v>610</v>
      </c>
      <c r="D1179" s="924"/>
      <c r="E1179" s="878" t="s">
        <v>1909</v>
      </c>
      <c r="F1179" s="881" t="s">
        <v>4027</v>
      </c>
      <c r="G1179" s="731" t="s">
        <v>2819</v>
      </c>
      <c r="H1179" s="1083">
        <v>42401</v>
      </c>
      <c r="I1179" s="1084">
        <v>42480</v>
      </c>
      <c r="J1179" s="957">
        <v>2.88</v>
      </c>
    </row>
    <row r="1180" spans="1:10" s="852" customFormat="1" outlineLevel="2">
      <c r="A1180" s="815" t="s">
        <v>1016</v>
      </c>
      <c r="B1180" s="816" t="s">
        <v>7866</v>
      </c>
      <c r="C1180" s="729" t="s">
        <v>610</v>
      </c>
      <c r="D1180" s="924"/>
      <c r="E1180" s="878" t="s">
        <v>1909</v>
      </c>
      <c r="F1180" s="881" t="s">
        <v>4129</v>
      </c>
      <c r="G1180" s="731" t="s">
        <v>2821</v>
      </c>
      <c r="H1180" s="1083">
        <v>42401</v>
      </c>
      <c r="I1180" s="1084">
        <v>42480</v>
      </c>
      <c r="J1180" s="957">
        <v>34</v>
      </c>
    </row>
    <row r="1181" spans="1:10" s="852" customFormat="1" outlineLevel="2">
      <c r="A1181" s="815" t="s">
        <v>613</v>
      </c>
      <c r="B1181" s="816" t="s">
        <v>7863</v>
      </c>
      <c r="C1181" s="729" t="s">
        <v>610</v>
      </c>
      <c r="D1181" s="924"/>
      <c r="E1181" s="878" t="s">
        <v>1909</v>
      </c>
      <c r="F1181" s="881" t="s">
        <v>4377</v>
      </c>
      <c r="G1181" s="731" t="s">
        <v>3872</v>
      </c>
      <c r="H1181" s="1083">
        <v>42401</v>
      </c>
      <c r="I1181" s="1084">
        <v>42480</v>
      </c>
      <c r="J1181" s="957">
        <v>155.18</v>
      </c>
    </row>
    <row r="1182" spans="1:10" s="852" customFormat="1" outlineLevel="2">
      <c r="A1182" s="815" t="s">
        <v>612</v>
      </c>
      <c r="B1182" s="816" t="s">
        <v>7864</v>
      </c>
      <c r="C1182" s="729" t="s">
        <v>610</v>
      </c>
      <c r="D1182" s="924"/>
      <c r="E1182" s="878" t="s">
        <v>1909</v>
      </c>
      <c r="F1182" s="881" t="s">
        <v>6261</v>
      </c>
      <c r="G1182" s="731" t="s">
        <v>3852</v>
      </c>
      <c r="H1182" s="1083">
        <v>42401</v>
      </c>
      <c r="I1182" s="1084">
        <v>42480</v>
      </c>
      <c r="J1182" s="957">
        <v>47.62</v>
      </c>
    </row>
    <row r="1183" spans="1:10" s="852" customFormat="1" outlineLevel="2">
      <c r="A1183" s="815" t="s">
        <v>612</v>
      </c>
      <c r="B1183" s="816" t="s">
        <v>7864</v>
      </c>
      <c r="C1183" s="729" t="s">
        <v>610</v>
      </c>
      <c r="D1183" s="924"/>
      <c r="E1183" s="878" t="s">
        <v>1909</v>
      </c>
      <c r="F1183" s="881" t="s">
        <v>3614</v>
      </c>
      <c r="G1183" s="731" t="s">
        <v>3869</v>
      </c>
      <c r="H1183" s="1083">
        <v>42401</v>
      </c>
      <c r="I1183" s="1084">
        <v>42480</v>
      </c>
      <c r="J1183" s="957">
        <v>31.33</v>
      </c>
    </row>
    <row r="1184" spans="1:10" s="852" customFormat="1" outlineLevel="2">
      <c r="A1184" s="815" t="s">
        <v>612</v>
      </c>
      <c r="B1184" s="816" t="s">
        <v>7864</v>
      </c>
      <c r="C1184" s="729" t="s">
        <v>610</v>
      </c>
      <c r="D1184" s="924"/>
      <c r="E1184" s="878" t="s">
        <v>1909</v>
      </c>
      <c r="F1184" s="881" t="s">
        <v>3157</v>
      </c>
      <c r="G1184" s="731" t="s">
        <v>3863</v>
      </c>
      <c r="H1184" s="1083">
        <v>42401</v>
      </c>
      <c r="I1184" s="1084">
        <v>42480</v>
      </c>
      <c r="J1184" s="957">
        <v>46.36</v>
      </c>
    </row>
    <row r="1185" spans="1:10" s="852" customFormat="1" outlineLevel="2">
      <c r="A1185" s="815" t="s">
        <v>609</v>
      </c>
      <c r="B1185" s="816" t="s">
        <v>7865</v>
      </c>
      <c r="C1185" s="729" t="s">
        <v>610</v>
      </c>
      <c r="D1185" s="924"/>
      <c r="E1185" s="878" t="s">
        <v>1909</v>
      </c>
      <c r="F1185" s="881" t="s">
        <v>3023</v>
      </c>
      <c r="G1185" s="731" t="s">
        <v>3859</v>
      </c>
      <c r="H1185" s="1083">
        <v>42401</v>
      </c>
      <c r="I1185" s="1084">
        <v>42480</v>
      </c>
      <c r="J1185" s="957">
        <v>773.46</v>
      </c>
    </row>
    <row r="1186" spans="1:10" s="852" customFormat="1" ht="42.75" outlineLevel="2">
      <c r="A1186" s="815" t="s">
        <v>609</v>
      </c>
      <c r="B1186" s="816" t="s">
        <v>7865</v>
      </c>
      <c r="C1186" s="729" t="s">
        <v>610</v>
      </c>
      <c r="D1186" s="924"/>
      <c r="E1186" s="878" t="s">
        <v>1909</v>
      </c>
      <c r="F1186" s="881" t="s">
        <v>5040</v>
      </c>
      <c r="G1186" s="731" t="s">
        <v>3878</v>
      </c>
      <c r="H1186" s="1083">
        <v>42401</v>
      </c>
      <c r="I1186" s="1084">
        <v>42480</v>
      </c>
      <c r="J1186" s="957">
        <v>3596.57</v>
      </c>
    </row>
    <row r="1187" spans="1:10" s="852" customFormat="1" ht="28.5" outlineLevel="2">
      <c r="A1187" s="815" t="s">
        <v>1016</v>
      </c>
      <c r="B1187" s="816" t="s">
        <v>7866</v>
      </c>
      <c r="C1187" s="729" t="s">
        <v>610</v>
      </c>
      <c r="D1187" s="924"/>
      <c r="E1187" s="878" t="s">
        <v>1909</v>
      </c>
      <c r="F1187" s="881" t="s">
        <v>4956</v>
      </c>
      <c r="G1187" s="731" t="s">
        <v>2833</v>
      </c>
      <c r="H1187" s="1083">
        <v>42401</v>
      </c>
      <c r="I1187" s="1084">
        <v>42480</v>
      </c>
      <c r="J1187" s="957">
        <v>279.43</v>
      </c>
    </row>
    <row r="1188" spans="1:10" s="852" customFormat="1" ht="28.5" outlineLevel="2">
      <c r="A1188" s="815" t="s">
        <v>1016</v>
      </c>
      <c r="B1188" s="816" t="s">
        <v>7866</v>
      </c>
      <c r="C1188" s="729" t="s">
        <v>610</v>
      </c>
      <c r="D1188" s="924"/>
      <c r="E1188" s="878" t="s">
        <v>1909</v>
      </c>
      <c r="F1188" s="881" t="s">
        <v>4903</v>
      </c>
      <c r="G1188" s="731" t="s">
        <v>2832</v>
      </c>
      <c r="H1188" s="1083">
        <v>42401</v>
      </c>
      <c r="I1188" s="1084">
        <v>42480</v>
      </c>
      <c r="J1188" s="957">
        <v>8.93</v>
      </c>
    </row>
    <row r="1189" spans="1:10" s="852" customFormat="1" ht="28.5" outlineLevel="2">
      <c r="A1189" s="815" t="s">
        <v>1016</v>
      </c>
      <c r="B1189" s="816" t="s">
        <v>7866</v>
      </c>
      <c r="C1189" s="729" t="s">
        <v>610</v>
      </c>
      <c r="D1189" s="924"/>
      <c r="E1189" s="878" t="s">
        <v>1909</v>
      </c>
      <c r="F1189" s="881" t="s">
        <v>4853</v>
      </c>
      <c r="G1189" s="731" t="s">
        <v>2831</v>
      </c>
      <c r="H1189" s="1083">
        <v>42401</v>
      </c>
      <c r="I1189" s="1084">
        <v>42480</v>
      </c>
      <c r="J1189" s="957">
        <v>105.43</v>
      </c>
    </row>
    <row r="1190" spans="1:10" s="852" customFormat="1" ht="28.5" outlineLevel="2">
      <c r="A1190" s="815" t="s">
        <v>613</v>
      </c>
      <c r="B1190" s="816" t="s">
        <v>7863</v>
      </c>
      <c r="C1190" s="729" t="s">
        <v>610</v>
      </c>
      <c r="D1190" s="924"/>
      <c r="E1190" s="878" t="s">
        <v>1909</v>
      </c>
      <c r="F1190" s="881" t="s">
        <v>6260</v>
      </c>
      <c r="G1190" s="731" t="s">
        <v>3848</v>
      </c>
      <c r="H1190" s="1083">
        <v>42370</v>
      </c>
      <c r="I1190" s="1084">
        <v>42480</v>
      </c>
      <c r="J1190" s="957">
        <v>771.37</v>
      </c>
    </row>
    <row r="1191" spans="1:10" s="852" customFormat="1" ht="28.5" outlineLevel="2">
      <c r="A1191" s="815" t="s">
        <v>613</v>
      </c>
      <c r="B1191" s="816" t="s">
        <v>7863</v>
      </c>
      <c r="C1191" s="729" t="s">
        <v>610</v>
      </c>
      <c r="D1191" s="924"/>
      <c r="E1191" s="878" t="s">
        <v>1909</v>
      </c>
      <c r="F1191" s="881" t="s">
        <v>6260</v>
      </c>
      <c r="G1191" s="731" t="s">
        <v>3849</v>
      </c>
      <c r="H1191" s="1083">
        <v>42370</v>
      </c>
      <c r="I1191" s="1084">
        <v>42480</v>
      </c>
      <c r="J1191" s="957">
        <v>771.37</v>
      </c>
    </row>
    <row r="1192" spans="1:10" s="852" customFormat="1" ht="28.5" outlineLevel="2">
      <c r="A1192" s="815" t="s">
        <v>613</v>
      </c>
      <c r="B1192" s="816" t="s">
        <v>7863</v>
      </c>
      <c r="C1192" s="729" t="s">
        <v>610</v>
      </c>
      <c r="D1192" s="924"/>
      <c r="E1192" s="878" t="s">
        <v>1909</v>
      </c>
      <c r="F1192" s="881" t="s">
        <v>6260</v>
      </c>
      <c r="G1192" s="731" t="s">
        <v>3850</v>
      </c>
      <c r="H1192" s="1083">
        <v>42370</v>
      </c>
      <c r="I1192" s="1084">
        <v>42480</v>
      </c>
      <c r="J1192" s="957">
        <v>-771.37</v>
      </c>
    </row>
    <row r="1193" spans="1:10" s="852" customFormat="1" ht="28.5" outlineLevel="2">
      <c r="A1193" s="815" t="s">
        <v>612</v>
      </c>
      <c r="B1193" s="816" t="s">
        <v>7864</v>
      </c>
      <c r="C1193" s="729" t="s">
        <v>610</v>
      </c>
      <c r="D1193" s="924"/>
      <c r="E1193" s="878" t="s">
        <v>1909</v>
      </c>
      <c r="F1193" s="881" t="s">
        <v>2937</v>
      </c>
      <c r="G1193" s="731" t="s">
        <v>3854</v>
      </c>
      <c r="H1193" s="1083">
        <v>42370</v>
      </c>
      <c r="I1193" s="1084">
        <v>42480</v>
      </c>
      <c r="J1193" s="957">
        <v>-145.66999999999999</v>
      </c>
    </row>
    <row r="1194" spans="1:10" s="852" customFormat="1" ht="28.5" outlineLevel="2">
      <c r="A1194" s="815" t="s">
        <v>612</v>
      </c>
      <c r="B1194" s="816" t="s">
        <v>7864</v>
      </c>
      <c r="C1194" s="729" t="s">
        <v>610</v>
      </c>
      <c r="D1194" s="924"/>
      <c r="E1194" s="878" t="s">
        <v>1909</v>
      </c>
      <c r="F1194" s="881" t="s">
        <v>2937</v>
      </c>
      <c r="G1194" s="731" t="s">
        <v>3856</v>
      </c>
      <c r="H1194" s="1083">
        <v>42370</v>
      </c>
      <c r="I1194" s="1084">
        <v>42480</v>
      </c>
      <c r="J1194" s="957">
        <v>-145.66999999999999</v>
      </c>
    </row>
    <row r="1195" spans="1:10" s="852" customFormat="1" ht="28.5" outlineLevel="2">
      <c r="A1195" s="815" t="s">
        <v>612</v>
      </c>
      <c r="B1195" s="816" t="s">
        <v>7864</v>
      </c>
      <c r="C1195" s="729" t="s">
        <v>610</v>
      </c>
      <c r="D1195" s="924"/>
      <c r="E1195" s="878" t="s">
        <v>1909</v>
      </c>
      <c r="F1195" s="881" t="s">
        <v>2937</v>
      </c>
      <c r="G1195" s="731" t="s">
        <v>3857</v>
      </c>
      <c r="H1195" s="1083">
        <v>42370</v>
      </c>
      <c r="I1195" s="1084">
        <v>42480</v>
      </c>
      <c r="J1195" s="957">
        <v>145.66999999999999</v>
      </c>
    </row>
    <row r="1196" spans="1:10" s="852" customFormat="1" ht="28.5" outlineLevel="2">
      <c r="A1196" s="815" t="s">
        <v>612</v>
      </c>
      <c r="B1196" s="816" t="s">
        <v>7864</v>
      </c>
      <c r="C1196" s="729" t="s">
        <v>610</v>
      </c>
      <c r="D1196" s="924"/>
      <c r="E1196" s="878" t="s">
        <v>1909</v>
      </c>
      <c r="F1196" s="881" t="s">
        <v>2937</v>
      </c>
      <c r="G1196" s="731" t="s">
        <v>3861</v>
      </c>
      <c r="H1196" s="1083">
        <v>42370</v>
      </c>
      <c r="I1196" s="1084">
        <v>42480</v>
      </c>
      <c r="J1196" s="957">
        <v>145.66999999999999</v>
      </c>
    </row>
    <row r="1197" spans="1:10" s="852" customFormat="1" ht="28.5" outlineLevel="2">
      <c r="A1197" s="815" t="s">
        <v>612</v>
      </c>
      <c r="B1197" s="816" t="s">
        <v>7864</v>
      </c>
      <c r="C1197" s="729" t="s">
        <v>610</v>
      </c>
      <c r="D1197" s="924"/>
      <c r="E1197" s="878" t="s">
        <v>1909</v>
      </c>
      <c r="F1197" s="881" t="s">
        <v>2937</v>
      </c>
      <c r="G1197" s="731" t="s">
        <v>3865</v>
      </c>
      <c r="H1197" s="1083">
        <v>42370</v>
      </c>
      <c r="I1197" s="1084">
        <v>42480</v>
      </c>
      <c r="J1197" s="957">
        <v>145.66999999999999</v>
      </c>
    </row>
    <row r="1198" spans="1:10" s="852" customFormat="1" ht="28.5" outlineLevel="2">
      <c r="A1198" s="815" t="s">
        <v>612</v>
      </c>
      <c r="B1198" s="816" t="s">
        <v>7864</v>
      </c>
      <c r="C1198" s="729" t="s">
        <v>610</v>
      </c>
      <c r="D1198" s="924"/>
      <c r="E1198" s="878" t="s">
        <v>1909</v>
      </c>
      <c r="F1198" s="881" t="s">
        <v>3597</v>
      </c>
      <c r="G1198" s="731" t="s">
        <v>3867</v>
      </c>
      <c r="H1198" s="1083">
        <v>42370</v>
      </c>
      <c r="I1198" s="1084">
        <v>42480</v>
      </c>
      <c r="J1198" s="957">
        <v>-215.59</v>
      </c>
    </row>
    <row r="1199" spans="1:10" s="852" customFormat="1" ht="28.5" outlineLevel="2">
      <c r="A1199" s="815" t="s">
        <v>612</v>
      </c>
      <c r="B1199" s="816" t="s">
        <v>7864</v>
      </c>
      <c r="C1199" s="729" t="s">
        <v>610</v>
      </c>
      <c r="D1199" s="924"/>
      <c r="E1199" s="878" t="s">
        <v>1909</v>
      </c>
      <c r="F1199" s="881" t="s">
        <v>3597</v>
      </c>
      <c r="G1199" s="731" t="s">
        <v>3870</v>
      </c>
      <c r="H1199" s="1083">
        <v>42370</v>
      </c>
      <c r="I1199" s="1084">
        <v>42480</v>
      </c>
      <c r="J1199" s="957">
        <v>215.59</v>
      </c>
    </row>
    <row r="1200" spans="1:10" s="852" customFormat="1" ht="28.5" outlineLevel="2">
      <c r="A1200" s="815" t="s">
        <v>612</v>
      </c>
      <c r="B1200" s="816" t="s">
        <v>7864</v>
      </c>
      <c r="C1200" s="729" t="s">
        <v>610</v>
      </c>
      <c r="D1200" s="924"/>
      <c r="E1200" s="878" t="s">
        <v>1909</v>
      </c>
      <c r="F1200" s="881" t="s">
        <v>3597</v>
      </c>
      <c r="G1200" s="731" t="s">
        <v>3871</v>
      </c>
      <c r="H1200" s="1083">
        <v>42370</v>
      </c>
      <c r="I1200" s="1084">
        <v>42480</v>
      </c>
      <c r="J1200" s="957">
        <v>215.59</v>
      </c>
    </row>
    <row r="1201" spans="1:10" s="852" customFormat="1" ht="28.5" outlineLevel="2">
      <c r="A1201" s="815" t="s">
        <v>609</v>
      </c>
      <c r="B1201" s="816" t="s">
        <v>7865</v>
      </c>
      <c r="C1201" s="729" t="s">
        <v>610</v>
      </c>
      <c r="D1201" s="924"/>
      <c r="E1201" s="878" t="s">
        <v>1909</v>
      </c>
      <c r="F1201" s="881" t="s">
        <v>4729</v>
      </c>
      <c r="G1201" s="731" t="s">
        <v>3873</v>
      </c>
      <c r="H1201" s="1083">
        <v>42401</v>
      </c>
      <c r="I1201" s="1084">
        <v>42480</v>
      </c>
      <c r="J1201" s="957">
        <v>2397.71</v>
      </c>
    </row>
    <row r="1202" spans="1:10" s="852" customFormat="1" outlineLevel="2">
      <c r="A1202" s="815" t="s">
        <v>1790</v>
      </c>
      <c r="B1202" s="816" t="s">
        <v>7871</v>
      </c>
      <c r="C1202" s="729" t="s">
        <v>610</v>
      </c>
      <c r="D1202" s="924"/>
      <c r="E1202" s="878" t="s">
        <v>1752</v>
      </c>
      <c r="F1202" s="881" t="s">
        <v>1753</v>
      </c>
      <c r="G1202" s="731" t="s">
        <v>5699</v>
      </c>
      <c r="H1202" s="1083">
        <v>42430</v>
      </c>
      <c r="I1202" s="1084">
        <v>42480</v>
      </c>
      <c r="J1202" s="957">
        <v>576.23</v>
      </c>
    </row>
    <row r="1203" spans="1:10" s="852" customFormat="1" outlineLevel="2">
      <c r="A1203" s="815" t="s">
        <v>609</v>
      </c>
      <c r="B1203" s="816" t="s">
        <v>7865</v>
      </c>
      <c r="C1203" s="729" t="s">
        <v>610</v>
      </c>
      <c r="D1203" s="924"/>
      <c r="E1203" s="878" t="s">
        <v>447</v>
      </c>
      <c r="F1203" s="881" t="s">
        <v>1094</v>
      </c>
      <c r="G1203" s="731" t="s">
        <v>5862</v>
      </c>
      <c r="H1203" s="1083">
        <v>42401</v>
      </c>
      <c r="I1203" s="1084">
        <v>42489</v>
      </c>
      <c r="J1203" s="957">
        <v>45042.33</v>
      </c>
    </row>
    <row r="1204" spans="1:10" s="852" customFormat="1" outlineLevel="1">
      <c r="A1204" s="815"/>
      <c r="B1204" s="816" t="s">
        <v>258</v>
      </c>
      <c r="C1204" s="908" t="s">
        <v>610</v>
      </c>
      <c r="D1204" s="928" t="str">
        <f>VLOOKUP(C1204,$C$3691:$D$3771,2,FALSE)</f>
        <v>TOTAL POUPATEMPO  ITAPETININGA</v>
      </c>
      <c r="E1204" s="1085"/>
      <c r="F1204" s="929"/>
      <c r="G1204" s="910"/>
      <c r="H1204" s="1086"/>
      <c r="I1204" s="1087"/>
      <c r="J1204" s="930">
        <f>SUBTOTAL(9,J1151:J1203)</f>
        <v>172185.99000000002</v>
      </c>
    </row>
    <row r="1205" spans="1:10" s="852" customFormat="1" outlineLevel="2">
      <c r="A1205" s="815" t="s">
        <v>614</v>
      </c>
      <c r="B1205" s="816" t="s">
        <v>7865</v>
      </c>
      <c r="C1205" s="729" t="s">
        <v>615</v>
      </c>
      <c r="D1205" s="924"/>
      <c r="E1205" s="878" t="s">
        <v>560</v>
      </c>
      <c r="F1205" s="881" t="s">
        <v>1094</v>
      </c>
      <c r="G1205" s="731" t="s">
        <v>5754</v>
      </c>
      <c r="H1205" s="1083">
        <v>42430</v>
      </c>
      <c r="I1205" s="1084">
        <v>42489</v>
      </c>
      <c r="J1205" s="957">
        <v>65502.26</v>
      </c>
    </row>
    <row r="1206" spans="1:10" s="852" customFormat="1" outlineLevel="2">
      <c r="A1206" s="815" t="s">
        <v>2243</v>
      </c>
      <c r="B1206" s="816" t="s">
        <v>7869</v>
      </c>
      <c r="C1206" s="729" t="s">
        <v>615</v>
      </c>
      <c r="D1206" s="924"/>
      <c r="E1206" s="878" t="s">
        <v>2221</v>
      </c>
      <c r="F1206" s="881" t="s">
        <v>863</v>
      </c>
      <c r="G1206" s="731" t="s">
        <v>5571</v>
      </c>
      <c r="H1206" s="1083">
        <v>42401</v>
      </c>
      <c r="I1206" s="1084">
        <v>42465</v>
      </c>
      <c r="J1206" s="957">
        <v>4051.04</v>
      </c>
    </row>
    <row r="1207" spans="1:10" s="852" customFormat="1" outlineLevel="2">
      <c r="A1207" s="815" t="s">
        <v>1737</v>
      </c>
      <c r="B1207" s="816" t="s">
        <v>7872</v>
      </c>
      <c r="C1207" s="729" t="s">
        <v>615</v>
      </c>
      <c r="D1207" s="924"/>
      <c r="E1207" s="878" t="s">
        <v>1715</v>
      </c>
      <c r="F1207" s="881" t="s">
        <v>1696</v>
      </c>
      <c r="G1207" s="731" t="s">
        <v>5592</v>
      </c>
      <c r="H1207" s="1083">
        <v>42401</v>
      </c>
      <c r="I1207" s="1084">
        <v>42468</v>
      </c>
      <c r="J1207" s="957">
        <v>5798.67</v>
      </c>
    </row>
    <row r="1208" spans="1:10" s="852" customFormat="1" ht="28.5" outlineLevel="2">
      <c r="A1208" s="815" t="s">
        <v>614</v>
      </c>
      <c r="B1208" s="816" t="s">
        <v>7865</v>
      </c>
      <c r="C1208" s="729" t="s">
        <v>615</v>
      </c>
      <c r="D1208" s="924"/>
      <c r="E1208" s="878" t="s">
        <v>2336</v>
      </c>
      <c r="F1208" s="881" t="s">
        <v>5316</v>
      </c>
      <c r="G1208" s="731" t="s">
        <v>3884</v>
      </c>
      <c r="H1208" s="1083">
        <v>42430</v>
      </c>
      <c r="I1208" s="1084">
        <v>42480</v>
      </c>
      <c r="J1208" s="957">
        <v>2704.9</v>
      </c>
    </row>
    <row r="1209" spans="1:10" s="852" customFormat="1" outlineLevel="2">
      <c r="A1209" s="815" t="s">
        <v>614</v>
      </c>
      <c r="B1209" s="816" t="s">
        <v>7865</v>
      </c>
      <c r="C1209" s="729" t="s">
        <v>615</v>
      </c>
      <c r="D1209" s="924"/>
      <c r="E1209" s="878" t="s">
        <v>2336</v>
      </c>
      <c r="F1209" s="881" t="s">
        <v>6015</v>
      </c>
      <c r="G1209" s="731" t="s">
        <v>3882</v>
      </c>
      <c r="H1209" s="1083">
        <v>42401</v>
      </c>
      <c r="I1209" s="1084">
        <v>42480</v>
      </c>
      <c r="J1209" s="957">
        <v>1803.27</v>
      </c>
    </row>
    <row r="1210" spans="1:10" s="852" customFormat="1" outlineLevel="2">
      <c r="A1210" s="815" t="s">
        <v>1017</v>
      </c>
      <c r="B1210" s="816" t="s">
        <v>7866</v>
      </c>
      <c r="C1210" s="729" t="s">
        <v>615</v>
      </c>
      <c r="D1210" s="924"/>
      <c r="E1210" s="878" t="s">
        <v>2282</v>
      </c>
      <c r="F1210" s="881" t="s">
        <v>3974</v>
      </c>
      <c r="G1210" s="731" t="s">
        <v>2779</v>
      </c>
      <c r="H1210" s="1083">
        <v>42401</v>
      </c>
      <c r="I1210" s="1084">
        <v>42471</v>
      </c>
      <c r="J1210" s="957">
        <v>217.67</v>
      </c>
    </row>
    <row r="1211" spans="1:10" s="852" customFormat="1" outlineLevel="2">
      <c r="A1211" s="815" t="s">
        <v>1017</v>
      </c>
      <c r="B1211" s="816" t="s">
        <v>7866</v>
      </c>
      <c r="C1211" s="729" t="s">
        <v>615</v>
      </c>
      <c r="D1211" s="924"/>
      <c r="E1211" s="878" t="s">
        <v>2282</v>
      </c>
      <c r="F1211" s="881" t="s">
        <v>4081</v>
      </c>
      <c r="G1211" s="731" t="s">
        <v>2781</v>
      </c>
      <c r="H1211" s="1083">
        <v>42401</v>
      </c>
      <c r="I1211" s="1084">
        <v>42471</v>
      </c>
      <c r="J1211" s="957">
        <v>6.96</v>
      </c>
    </row>
    <row r="1212" spans="1:10" s="852" customFormat="1" outlineLevel="2">
      <c r="A1212" s="815" t="s">
        <v>1017</v>
      </c>
      <c r="B1212" s="816" t="s">
        <v>7866</v>
      </c>
      <c r="C1212" s="729" t="s">
        <v>615</v>
      </c>
      <c r="D1212" s="924"/>
      <c r="E1212" s="878" t="s">
        <v>2282</v>
      </c>
      <c r="F1212" s="881" t="s">
        <v>4165</v>
      </c>
      <c r="G1212" s="731" t="s">
        <v>2782</v>
      </c>
      <c r="H1212" s="1083">
        <v>42401</v>
      </c>
      <c r="I1212" s="1084">
        <v>42471</v>
      </c>
      <c r="J1212" s="957">
        <v>82.12</v>
      </c>
    </row>
    <row r="1213" spans="1:10" s="852" customFormat="1" outlineLevel="2">
      <c r="A1213" s="815" t="s">
        <v>614</v>
      </c>
      <c r="B1213" s="816" t="s">
        <v>7865</v>
      </c>
      <c r="C1213" s="729" t="s">
        <v>615</v>
      </c>
      <c r="D1213" s="924"/>
      <c r="E1213" s="878" t="s">
        <v>2681</v>
      </c>
      <c r="F1213" s="881" t="s">
        <v>6137</v>
      </c>
      <c r="G1213" s="731" t="s">
        <v>3889</v>
      </c>
      <c r="H1213" s="1083">
        <v>42401</v>
      </c>
      <c r="I1213" s="1084">
        <v>42467</v>
      </c>
      <c r="J1213" s="957">
        <v>1501.53</v>
      </c>
    </row>
    <row r="1214" spans="1:10" s="852" customFormat="1" ht="28.5" outlineLevel="2">
      <c r="A1214" s="815" t="s">
        <v>614</v>
      </c>
      <c r="B1214" s="816" t="s">
        <v>7865</v>
      </c>
      <c r="C1214" s="729" t="s">
        <v>615</v>
      </c>
      <c r="D1214" s="924"/>
      <c r="E1214" s="878" t="s">
        <v>2681</v>
      </c>
      <c r="F1214" s="881" t="s">
        <v>5318</v>
      </c>
      <c r="G1214" s="731" t="s">
        <v>3891</v>
      </c>
      <c r="H1214" s="1083">
        <v>42430</v>
      </c>
      <c r="I1214" s="1084">
        <v>42467</v>
      </c>
      <c r="J1214" s="957">
        <v>2252.3000000000002</v>
      </c>
    </row>
    <row r="1215" spans="1:10" s="852" customFormat="1" ht="28.5" outlineLevel="2">
      <c r="A1215" s="815" t="s">
        <v>614</v>
      </c>
      <c r="B1215" s="816" t="s">
        <v>7865</v>
      </c>
      <c r="C1215" s="729" t="s">
        <v>615</v>
      </c>
      <c r="D1215" s="924"/>
      <c r="E1215" s="878" t="s">
        <v>1909</v>
      </c>
      <c r="F1215" s="881" t="s">
        <v>5313</v>
      </c>
      <c r="G1215" s="731" t="s">
        <v>3899</v>
      </c>
      <c r="H1215" s="1083">
        <v>42430</v>
      </c>
      <c r="I1215" s="1084">
        <v>42480</v>
      </c>
      <c r="J1215" s="957">
        <v>1126.1500000000001</v>
      </c>
    </row>
    <row r="1216" spans="1:10" s="852" customFormat="1" outlineLevel="2">
      <c r="A1216" s="815" t="s">
        <v>1017</v>
      </c>
      <c r="B1216" s="816" t="s">
        <v>7866</v>
      </c>
      <c r="C1216" s="729" t="s">
        <v>615</v>
      </c>
      <c r="D1216" s="924"/>
      <c r="E1216" s="878" t="s">
        <v>1909</v>
      </c>
      <c r="F1216" s="881" t="s">
        <v>3935</v>
      </c>
      <c r="G1216" s="731" t="s">
        <v>2817</v>
      </c>
      <c r="H1216" s="1083">
        <v>42401</v>
      </c>
      <c r="I1216" s="1084">
        <v>42480</v>
      </c>
      <c r="J1216" s="957">
        <v>65.3</v>
      </c>
    </row>
    <row r="1217" spans="1:10" s="852" customFormat="1" outlineLevel="2">
      <c r="A1217" s="815" t="s">
        <v>1017</v>
      </c>
      <c r="B1217" s="816" t="s">
        <v>7866</v>
      </c>
      <c r="C1217" s="729" t="s">
        <v>615</v>
      </c>
      <c r="D1217" s="924"/>
      <c r="E1217" s="878" t="s">
        <v>1909</v>
      </c>
      <c r="F1217" s="881" t="s">
        <v>4027</v>
      </c>
      <c r="G1217" s="731" t="s">
        <v>2819</v>
      </c>
      <c r="H1217" s="1083">
        <v>42401</v>
      </c>
      <c r="I1217" s="1084">
        <v>42480</v>
      </c>
      <c r="J1217" s="957">
        <v>2.08</v>
      </c>
    </row>
    <row r="1218" spans="1:10" s="852" customFormat="1" outlineLevel="2">
      <c r="A1218" s="815" t="s">
        <v>1017</v>
      </c>
      <c r="B1218" s="816" t="s">
        <v>7866</v>
      </c>
      <c r="C1218" s="729" t="s">
        <v>615</v>
      </c>
      <c r="D1218" s="924"/>
      <c r="E1218" s="878" t="s">
        <v>1909</v>
      </c>
      <c r="F1218" s="881" t="s">
        <v>4129</v>
      </c>
      <c r="G1218" s="731" t="s">
        <v>2821</v>
      </c>
      <c r="H1218" s="1083">
        <v>42401</v>
      </c>
      <c r="I1218" s="1084">
        <v>42480</v>
      </c>
      <c r="J1218" s="957">
        <v>24.63</v>
      </c>
    </row>
    <row r="1219" spans="1:10" s="852" customFormat="1" outlineLevel="2">
      <c r="A1219" s="815" t="s">
        <v>614</v>
      </c>
      <c r="B1219" s="816" t="s">
        <v>7865</v>
      </c>
      <c r="C1219" s="729" t="s">
        <v>615</v>
      </c>
      <c r="D1219" s="924"/>
      <c r="E1219" s="878" t="s">
        <v>1909</v>
      </c>
      <c r="F1219" s="881" t="s">
        <v>6262</v>
      </c>
      <c r="G1219" s="731" t="s">
        <v>3893</v>
      </c>
      <c r="H1219" s="1083">
        <v>42401</v>
      </c>
      <c r="I1219" s="1084">
        <v>42480</v>
      </c>
      <c r="J1219" s="957">
        <v>750.77</v>
      </c>
    </row>
    <row r="1220" spans="1:10" s="852" customFormat="1" ht="42.75" outlineLevel="2">
      <c r="A1220" s="815" t="s">
        <v>614</v>
      </c>
      <c r="B1220" s="816" t="s">
        <v>7865</v>
      </c>
      <c r="C1220" s="729" t="s">
        <v>615</v>
      </c>
      <c r="D1220" s="924"/>
      <c r="E1220" s="878" t="s">
        <v>1909</v>
      </c>
      <c r="F1220" s="881" t="s">
        <v>5042</v>
      </c>
      <c r="G1220" s="731" t="s">
        <v>3897</v>
      </c>
      <c r="H1220" s="1083">
        <v>42401</v>
      </c>
      <c r="I1220" s="1084">
        <v>42480</v>
      </c>
      <c r="J1220" s="957">
        <v>3491.07</v>
      </c>
    </row>
    <row r="1221" spans="1:10" s="852" customFormat="1" ht="28.5" outlineLevel="2">
      <c r="A1221" s="815" t="s">
        <v>1017</v>
      </c>
      <c r="B1221" s="816" t="s">
        <v>7866</v>
      </c>
      <c r="C1221" s="729" t="s">
        <v>615</v>
      </c>
      <c r="D1221" s="924"/>
      <c r="E1221" s="878" t="s">
        <v>1909</v>
      </c>
      <c r="F1221" s="881" t="s">
        <v>4956</v>
      </c>
      <c r="G1221" s="731" t="s">
        <v>2833</v>
      </c>
      <c r="H1221" s="1083">
        <v>42401</v>
      </c>
      <c r="I1221" s="1084">
        <v>42480</v>
      </c>
      <c r="J1221" s="957">
        <v>202.43</v>
      </c>
    </row>
    <row r="1222" spans="1:10" s="852" customFormat="1" ht="28.5" outlineLevel="2">
      <c r="A1222" s="815" t="s">
        <v>1017</v>
      </c>
      <c r="B1222" s="816" t="s">
        <v>7866</v>
      </c>
      <c r="C1222" s="729" t="s">
        <v>615</v>
      </c>
      <c r="D1222" s="924"/>
      <c r="E1222" s="878" t="s">
        <v>1909</v>
      </c>
      <c r="F1222" s="881" t="s">
        <v>4903</v>
      </c>
      <c r="G1222" s="731" t="s">
        <v>2832</v>
      </c>
      <c r="H1222" s="1083">
        <v>42401</v>
      </c>
      <c r="I1222" s="1084">
        <v>42480</v>
      </c>
      <c r="J1222" s="957">
        <v>6.47</v>
      </c>
    </row>
    <row r="1223" spans="1:10" s="852" customFormat="1" ht="28.5" outlineLevel="2">
      <c r="A1223" s="815" t="s">
        <v>1017</v>
      </c>
      <c r="B1223" s="816" t="s">
        <v>7866</v>
      </c>
      <c r="C1223" s="729" t="s">
        <v>615</v>
      </c>
      <c r="D1223" s="924"/>
      <c r="E1223" s="878" t="s">
        <v>1909</v>
      </c>
      <c r="F1223" s="881" t="s">
        <v>4853</v>
      </c>
      <c r="G1223" s="731" t="s">
        <v>2831</v>
      </c>
      <c r="H1223" s="1083">
        <v>42401</v>
      </c>
      <c r="I1223" s="1084">
        <v>42480</v>
      </c>
      <c r="J1223" s="957">
        <v>76.37</v>
      </c>
    </row>
    <row r="1224" spans="1:10" s="852" customFormat="1" ht="28.5" outlineLevel="2">
      <c r="A1224" s="815" t="s">
        <v>614</v>
      </c>
      <c r="B1224" s="816" t="s">
        <v>7865</v>
      </c>
      <c r="C1224" s="729" t="s">
        <v>615</v>
      </c>
      <c r="D1224" s="924"/>
      <c r="E1224" s="878" t="s">
        <v>1909</v>
      </c>
      <c r="F1224" s="881" t="s">
        <v>4667</v>
      </c>
      <c r="G1224" s="731" t="s">
        <v>3895</v>
      </c>
      <c r="H1224" s="1083">
        <v>42401</v>
      </c>
      <c r="I1224" s="1084">
        <v>42480</v>
      </c>
      <c r="J1224" s="957">
        <v>2327.37</v>
      </c>
    </row>
    <row r="1225" spans="1:10" s="852" customFormat="1" outlineLevel="2">
      <c r="A1225" s="815" t="s">
        <v>1792</v>
      </c>
      <c r="B1225" s="816" t="s">
        <v>7871</v>
      </c>
      <c r="C1225" s="729" t="s">
        <v>615</v>
      </c>
      <c r="D1225" s="924"/>
      <c r="E1225" s="878" t="s">
        <v>1752</v>
      </c>
      <c r="F1225" s="881" t="s">
        <v>1753</v>
      </c>
      <c r="G1225" s="731" t="s">
        <v>5576</v>
      </c>
      <c r="H1225" s="1083">
        <v>42430</v>
      </c>
      <c r="I1225" s="1084">
        <v>42465</v>
      </c>
      <c r="J1225" s="957">
        <v>193.51</v>
      </c>
    </row>
    <row r="1226" spans="1:10" s="852" customFormat="1" outlineLevel="2">
      <c r="A1226" s="815" t="s">
        <v>614</v>
      </c>
      <c r="B1226" s="816" t="s">
        <v>7865</v>
      </c>
      <c r="C1226" s="729" t="s">
        <v>615</v>
      </c>
      <c r="D1226" s="924"/>
      <c r="E1226" s="878" t="s">
        <v>447</v>
      </c>
      <c r="F1226" s="881" t="s">
        <v>1094</v>
      </c>
      <c r="G1226" s="731" t="s">
        <v>5863</v>
      </c>
      <c r="H1226" s="1083">
        <v>42430</v>
      </c>
      <c r="I1226" s="1084">
        <v>42489</v>
      </c>
      <c r="J1226" s="957">
        <v>43668.18</v>
      </c>
    </row>
    <row r="1227" spans="1:10" s="852" customFormat="1" outlineLevel="1">
      <c r="A1227" s="815"/>
      <c r="B1227" s="816" t="s">
        <v>258</v>
      </c>
      <c r="C1227" s="908" t="s">
        <v>615</v>
      </c>
      <c r="D1227" s="928" t="str">
        <f>VLOOKUP(C1227,$C$3691:$D$3771,2,FALSE)</f>
        <v>TOTAL POUPATEMPO  ITAPEVA</v>
      </c>
      <c r="E1227" s="1085"/>
      <c r="F1227" s="929"/>
      <c r="G1227" s="910"/>
      <c r="H1227" s="1086"/>
      <c r="I1227" s="1087"/>
      <c r="J1227" s="930">
        <f>SUBTOTAL(9,J1205:J1226)</f>
        <v>135855.04999999999</v>
      </c>
    </row>
    <row r="1228" spans="1:10" s="852" customFormat="1" outlineLevel="2">
      <c r="A1228" s="815" t="s">
        <v>445</v>
      </c>
      <c r="B1228" s="816" t="s">
        <v>7865</v>
      </c>
      <c r="C1228" s="729" t="s">
        <v>446</v>
      </c>
      <c r="D1228" s="924"/>
      <c r="E1228" s="878" t="s">
        <v>560</v>
      </c>
      <c r="F1228" s="881" t="s">
        <v>1094</v>
      </c>
      <c r="G1228" s="731" t="s">
        <v>5756</v>
      </c>
      <c r="H1228" s="1083">
        <v>42430</v>
      </c>
      <c r="I1228" s="1084">
        <v>42489</v>
      </c>
      <c r="J1228" s="957">
        <v>63149.65</v>
      </c>
    </row>
    <row r="1229" spans="1:10" s="852" customFormat="1" outlineLevel="2">
      <c r="A1229" s="815" t="s">
        <v>2244</v>
      </c>
      <c r="B1229" s="816" t="s">
        <v>7869</v>
      </c>
      <c r="C1229" s="729" t="s">
        <v>446</v>
      </c>
      <c r="D1229" s="924"/>
      <c r="E1229" s="878" t="s">
        <v>2221</v>
      </c>
      <c r="F1229" s="881" t="s">
        <v>863</v>
      </c>
      <c r="G1229" s="731" t="s">
        <v>5571</v>
      </c>
      <c r="H1229" s="1083">
        <v>42401</v>
      </c>
      <c r="I1229" s="1084">
        <v>42465</v>
      </c>
      <c r="J1229" s="957">
        <v>4051.04</v>
      </c>
    </row>
    <row r="1230" spans="1:10" s="852" customFormat="1" outlineLevel="2">
      <c r="A1230" s="815" t="s">
        <v>2574</v>
      </c>
      <c r="B1230" s="816" t="s">
        <v>7872</v>
      </c>
      <c r="C1230" s="729" t="s">
        <v>446</v>
      </c>
      <c r="D1230" s="924"/>
      <c r="E1230" s="878" t="s">
        <v>2262</v>
      </c>
      <c r="F1230" s="881" t="s">
        <v>1696</v>
      </c>
      <c r="G1230" s="731" t="s">
        <v>5785</v>
      </c>
      <c r="H1230" s="1083">
        <v>42430</v>
      </c>
      <c r="I1230" s="1084">
        <v>42489</v>
      </c>
      <c r="J1230" s="957">
        <v>9919.31</v>
      </c>
    </row>
    <row r="1231" spans="1:10" s="852" customFormat="1" ht="28.5" outlineLevel="2">
      <c r="A1231" s="815" t="s">
        <v>445</v>
      </c>
      <c r="B1231" s="816" t="s">
        <v>7865</v>
      </c>
      <c r="C1231" s="729" t="s">
        <v>446</v>
      </c>
      <c r="D1231" s="924"/>
      <c r="E1231" s="878" t="s">
        <v>2336</v>
      </c>
      <c r="F1231" s="881" t="s">
        <v>5097</v>
      </c>
      <c r="G1231" s="731" t="s">
        <v>3903</v>
      </c>
      <c r="H1231" s="1083">
        <v>42430</v>
      </c>
      <c r="I1231" s="1084">
        <v>42480</v>
      </c>
      <c r="J1231" s="957">
        <v>2698.76</v>
      </c>
    </row>
    <row r="1232" spans="1:10" s="852" customFormat="1" outlineLevel="2">
      <c r="A1232" s="815" t="s">
        <v>445</v>
      </c>
      <c r="B1232" s="816" t="s">
        <v>7865</v>
      </c>
      <c r="C1232" s="729" t="s">
        <v>446</v>
      </c>
      <c r="D1232" s="924"/>
      <c r="E1232" s="878" t="s">
        <v>2336</v>
      </c>
      <c r="F1232" s="881" t="s">
        <v>3031</v>
      </c>
      <c r="G1232" s="731" t="s">
        <v>3901</v>
      </c>
      <c r="H1232" s="1083">
        <v>42401</v>
      </c>
      <c r="I1232" s="1084">
        <v>42480</v>
      </c>
      <c r="J1232" s="957">
        <v>1799.17</v>
      </c>
    </row>
    <row r="1233" spans="1:10" s="852" customFormat="1" outlineLevel="2">
      <c r="A1233" s="815" t="s">
        <v>1018</v>
      </c>
      <c r="B1233" s="816" t="s">
        <v>7866</v>
      </c>
      <c r="C1233" s="729" t="s">
        <v>446</v>
      </c>
      <c r="D1233" s="924"/>
      <c r="E1233" s="878" t="s">
        <v>2282</v>
      </c>
      <c r="F1233" s="881" t="s">
        <v>3974</v>
      </c>
      <c r="G1233" s="731" t="s">
        <v>2779</v>
      </c>
      <c r="H1233" s="1083">
        <v>42401</v>
      </c>
      <c r="I1233" s="1084">
        <v>42471</v>
      </c>
      <c r="J1233" s="957">
        <v>234.16</v>
      </c>
    </row>
    <row r="1234" spans="1:10" s="852" customFormat="1" outlineLevel="2">
      <c r="A1234" s="815" t="s">
        <v>1018</v>
      </c>
      <c r="B1234" s="816" t="s">
        <v>7866</v>
      </c>
      <c r="C1234" s="729" t="s">
        <v>446</v>
      </c>
      <c r="D1234" s="924"/>
      <c r="E1234" s="878" t="s">
        <v>2282</v>
      </c>
      <c r="F1234" s="881" t="s">
        <v>4081</v>
      </c>
      <c r="G1234" s="731" t="s">
        <v>2781</v>
      </c>
      <c r="H1234" s="1083">
        <v>42401</v>
      </c>
      <c r="I1234" s="1084">
        <v>42471</v>
      </c>
      <c r="J1234" s="957">
        <v>7.48</v>
      </c>
    </row>
    <row r="1235" spans="1:10" s="852" customFormat="1" outlineLevel="2">
      <c r="A1235" s="815" t="s">
        <v>1018</v>
      </c>
      <c r="B1235" s="816" t="s">
        <v>7866</v>
      </c>
      <c r="C1235" s="729" t="s">
        <v>446</v>
      </c>
      <c r="D1235" s="924"/>
      <c r="E1235" s="878" t="s">
        <v>2282</v>
      </c>
      <c r="F1235" s="881" t="s">
        <v>4165</v>
      </c>
      <c r="G1235" s="731" t="s">
        <v>2782</v>
      </c>
      <c r="H1235" s="1083">
        <v>42401</v>
      </c>
      <c r="I1235" s="1084">
        <v>42471</v>
      </c>
      <c r="J1235" s="957">
        <v>88.35</v>
      </c>
    </row>
    <row r="1236" spans="1:10" s="852" customFormat="1" outlineLevel="2">
      <c r="A1236" s="815" t="s">
        <v>445</v>
      </c>
      <c r="B1236" s="816" t="s">
        <v>7865</v>
      </c>
      <c r="C1236" s="729" t="s">
        <v>446</v>
      </c>
      <c r="D1236" s="924"/>
      <c r="E1236" s="878" t="s">
        <v>2703</v>
      </c>
      <c r="F1236" s="881" t="s">
        <v>3033</v>
      </c>
      <c r="G1236" s="731" t="s">
        <v>3908</v>
      </c>
      <c r="H1236" s="1083">
        <v>42401</v>
      </c>
      <c r="I1236" s="1084">
        <v>42475</v>
      </c>
      <c r="J1236" s="957">
        <v>955.88</v>
      </c>
    </row>
    <row r="1237" spans="1:10" s="852" customFormat="1" ht="28.5" outlineLevel="2">
      <c r="A1237" s="815" t="s">
        <v>445</v>
      </c>
      <c r="B1237" s="816" t="s">
        <v>7865</v>
      </c>
      <c r="C1237" s="729" t="s">
        <v>446</v>
      </c>
      <c r="D1237" s="924"/>
      <c r="E1237" s="878" t="s">
        <v>2703</v>
      </c>
      <c r="F1237" s="881" t="s">
        <v>5099</v>
      </c>
      <c r="G1237" s="731" t="s">
        <v>3910</v>
      </c>
      <c r="H1237" s="1083">
        <v>42430</v>
      </c>
      <c r="I1237" s="1084">
        <v>42475</v>
      </c>
      <c r="J1237" s="957">
        <v>1433.83</v>
      </c>
    </row>
    <row r="1238" spans="1:10" s="852" customFormat="1" ht="28.5" outlineLevel="2">
      <c r="A1238" s="815" t="s">
        <v>445</v>
      </c>
      <c r="B1238" s="816" t="s">
        <v>7865</v>
      </c>
      <c r="C1238" s="729" t="s">
        <v>446</v>
      </c>
      <c r="D1238" s="924"/>
      <c r="E1238" s="878" t="s">
        <v>1909</v>
      </c>
      <c r="F1238" s="881" t="s">
        <v>5095</v>
      </c>
      <c r="G1238" s="731" t="s">
        <v>3923</v>
      </c>
      <c r="H1238" s="1083">
        <v>42430</v>
      </c>
      <c r="I1238" s="1084">
        <v>42480</v>
      </c>
      <c r="J1238" s="957">
        <v>1075.3699999999999</v>
      </c>
    </row>
    <row r="1239" spans="1:10" s="852" customFormat="1" outlineLevel="2">
      <c r="A1239" s="815" t="s">
        <v>1018</v>
      </c>
      <c r="B1239" s="816" t="s">
        <v>7866</v>
      </c>
      <c r="C1239" s="729" t="s">
        <v>446</v>
      </c>
      <c r="D1239" s="924"/>
      <c r="E1239" s="878" t="s">
        <v>1909</v>
      </c>
      <c r="F1239" s="881" t="s">
        <v>3935</v>
      </c>
      <c r="G1239" s="731" t="s">
        <v>2817</v>
      </c>
      <c r="H1239" s="1083">
        <v>42401</v>
      </c>
      <c r="I1239" s="1084">
        <v>42480</v>
      </c>
      <c r="J1239" s="957">
        <v>70.25</v>
      </c>
    </row>
    <row r="1240" spans="1:10" s="852" customFormat="1" outlineLevel="2">
      <c r="A1240" s="815" t="s">
        <v>1018</v>
      </c>
      <c r="B1240" s="816" t="s">
        <v>7866</v>
      </c>
      <c r="C1240" s="729" t="s">
        <v>446</v>
      </c>
      <c r="D1240" s="924"/>
      <c r="E1240" s="878" t="s">
        <v>1909</v>
      </c>
      <c r="F1240" s="881" t="s">
        <v>4027</v>
      </c>
      <c r="G1240" s="731" t="s">
        <v>2819</v>
      </c>
      <c r="H1240" s="1083">
        <v>42401</v>
      </c>
      <c r="I1240" s="1084">
        <v>42480</v>
      </c>
      <c r="J1240" s="957">
        <v>2.2400000000000002</v>
      </c>
    </row>
    <row r="1241" spans="1:10" s="852" customFormat="1" outlineLevel="2">
      <c r="A1241" s="815" t="s">
        <v>1018</v>
      </c>
      <c r="B1241" s="816" t="s">
        <v>7866</v>
      </c>
      <c r="C1241" s="729" t="s">
        <v>446</v>
      </c>
      <c r="D1241" s="924"/>
      <c r="E1241" s="878" t="s">
        <v>1909</v>
      </c>
      <c r="F1241" s="881" t="s">
        <v>4129</v>
      </c>
      <c r="G1241" s="731" t="s">
        <v>2821</v>
      </c>
      <c r="H1241" s="1083">
        <v>42401</v>
      </c>
      <c r="I1241" s="1084">
        <v>42480</v>
      </c>
      <c r="J1241" s="957">
        <v>26.5</v>
      </c>
    </row>
    <row r="1242" spans="1:10" s="852" customFormat="1" outlineLevel="2">
      <c r="A1242" s="815" t="s">
        <v>445</v>
      </c>
      <c r="B1242" s="816" t="s">
        <v>7865</v>
      </c>
      <c r="C1242" s="729" t="s">
        <v>446</v>
      </c>
      <c r="D1242" s="924"/>
      <c r="E1242" s="878" t="s">
        <v>1909</v>
      </c>
      <c r="F1242" s="881" t="s">
        <v>3029</v>
      </c>
      <c r="G1242" s="731" t="s">
        <v>3912</v>
      </c>
      <c r="H1242" s="1083">
        <v>42401</v>
      </c>
      <c r="I1242" s="1084">
        <v>42480</v>
      </c>
      <c r="J1242" s="957">
        <v>716.91</v>
      </c>
    </row>
    <row r="1243" spans="1:10" s="852" customFormat="1" ht="42.75" outlineLevel="2">
      <c r="A1243" s="815" t="s">
        <v>445</v>
      </c>
      <c r="B1243" s="816" t="s">
        <v>7865</v>
      </c>
      <c r="C1243" s="729" t="s">
        <v>446</v>
      </c>
      <c r="D1243" s="924"/>
      <c r="E1243" s="878" t="s">
        <v>1909</v>
      </c>
      <c r="F1243" s="881" t="s">
        <v>5027</v>
      </c>
      <c r="G1243" s="731" t="s">
        <v>3922</v>
      </c>
      <c r="H1243" s="1083">
        <v>42401</v>
      </c>
      <c r="I1243" s="1084">
        <v>42480</v>
      </c>
      <c r="J1243" s="957">
        <v>3333.64</v>
      </c>
    </row>
    <row r="1244" spans="1:10" s="852" customFormat="1" ht="28.5" outlineLevel="2">
      <c r="A1244" s="815" t="s">
        <v>1018</v>
      </c>
      <c r="B1244" s="816" t="s">
        <v>7866</v>
      </c>
      <c r="C1244" s="729" t="s">
        <v>446</v>
      </c>
      <c r="D1244" s="924"/>
      <c r="E1244" s="878" t="s">
        <v>1909</v>
      </c>
      <c r="F1244" s="881" t="s">
        <v>4956</v>
      </c>
      <c r="G1244" s="731" t="s">
        <v>2833</v>
      </c>
      <c r="H1244" s="1083">
        <v>42401</v>
      </c>
      <c r="I1244" s="1084">
        <v>42480</v>
      </c>
      <c r="J1244" s="957">
        <v>217.77</v>
      </c>
    </row>
    <row r="1245" spans="1:10" s="852" customFormat="1" ht="28.5" outlineLevel="2">
      <c r="A1245" s="815" t="s">
        <v>1018</v>
      </c>
      <c r="B1245" s="816" t="s">
        <v>7866</v>
      </c>
      <c r="C1245" s="729" t="s">
        <v>446</v>
      </c>
      <c r="D1245" s="924"/>
      <c r="E1245" s="878" t="s">
        <v>1909</v>
      </c>
      <c r="F1245" s="881" t="s">
        <v>4903</v>
      </c>
      <c r="G1245" s="731" t="s">
        <v>2832</v>
      </c>
      <c r="H1245" s="1083">
        <v>42401</v>
      </c>
      <c r="I1245" s="1084">
        <v>42480</v>
      </c>
      <c r="J1245" s="957">
        <v>6.96</v>
      </c>
    </row>
    <row r="1246" spans="1:10" s="852" customFormat="1" ht="28.5" outlineLevel="2">
      <c r="A1246" s="815" t="s">
        <v>1018</v>
      </c>
      <c r="B1246" s="816" t="s">
        <v>7866</v>
      </c>
      <c r="C1246" s="729" t="s">
        <v>446</v>
      </c>
      <c r="D1246" s="924"/>
      <c r="E1246" s="878" t="s">
        <v>1909</v>
      </c>
      <c r="F1246" s="881" t="s">
        <v>4853</v>
      </c>
      <c r="G1246" s="731" t="s">
        <v>2831</v>
      </c>
      <c r="H1246" s="1083">
        <v>42401</v>
      </c>
      <c r="I1246" s="1084">
        <v>42480</v>
      </c>
      <c r="J1246" s="957">
        <v>82.16</v>
      </c>
    </row>
    <row r="1247" spans="1:10" s="852" customFormat="1" ht="28.5" outlineLevel="2">
      <c r="A1247" s="815" t="s">
        <v>445</v>
      </c>
      <c r="B1247" s="816" t="s">
        <v>7865</v>
      </c>
      <c r="C1247" s="729" t="s">
        <v>446</v>
      </c>
      <c r="D1247" s="924"/>
      <c r="E1247" s="878" t="s">
        <v>1909</v>
      </c>
      <c r="F1247" s="881" t="s">
        <v>4728</v>
      </c>
      <c r="G1247" s="731" t="s">
        <v>3917</v>
      </c>
      <c r="H1247" s="1083">
        <v>42401</v>
      </c>
      <c r="I1247" s="1084">
        <v>42480</v>
      </c>
      <c r="J1247" s="957">
        <v>2222.4299999999998</v>
      </c>
    </row>
    <row r="1248" spans="1:10" s="852" customFormat="1" outlineLevel="2">
      <c r="A1248" s="815" t="s">
        <v>445</v>
      </c>
      <c r="B1248" s="816" t="s">
        <v>7865</v>
      </c>
      <c r="C1248" s="729" t="s">
        <v>446</v>
      </c>
      <c r="D1248" s="924"/>
      <c r="E1248" s="878" t="s">
        <v>447</v>
      </c>
      <c r="F1248" s="881" t="s">
        <v>1094</v>
      </c>
      <c r="G1248" s="731" t="s">
        <v>5864</v>
      </c>
      <c r="H1248" s="1083">
        <v>42430</v>
      </c>
      <c r="I1248" s="1084">
        <v>42489</v>
      </c>
      <c r="J1248" s="957">
        <v>42099.78</v>
      </c>
    </row>
    <row r="1249" spans="1:10" s="852" customFormat="1" ht="28.5" outlineLevel="2">
      <c r="A1249" s="815" t="s">
        <v>1794</v>
      </c>
      <c r="B1249" s="816" t="s">
        <v>7871</v>
      </c>
      <c r="C1249" s="729" t="s">
        <v>446</v>
      </c>
      <c r="D1249" s="924"/>
      <c r="E1249" s="878" t="s">
        <v>438</v>
      </c>
      <c r="F1249" s="881" t="s">
        <v>5636</v>
      </c>
      <c r="G1249" s="731" t="s">
        <v>5637</v>
      </c>
      <c r="H1249" s="1083">
        <v>42461</v>
      </c>
      <c r="I1249" s="1084">
        <v>42474</v>
      </c>
      <c r="J1249" s="957">
        <v>676</v>
      </c>
    </row>
    <row r="1250" spans="1:10" s="852" customFormat="1" outlineLevel="1">
      <c r="A1250" s="815"/>
      <c r="B1250" s="816" t="s">
        <v>258</v>
      </c>
      <c r="C1250" s="908" t="s">
        <v>446</v>
      </c>
      <c r="D1250" s="928" t="str">
        <f>VLOOKUP(C1250,$C$3691:$D$3771,2,FALSE)</f>
        <v>TOTAL POUPATEMPO  ITU</v>
      </c>
      <c r="E1250" s="1085"/>
      <c r="F1250" s="929"/>
      <c r="G1250" s="910"/>
      <c r="H1250" s="1086"/>
      <c r="I1250" s="1087"/>
      <c r="J1250" s="930">
        <f>SUBTOTAL(9,J1228:J1249)</f>
        <v>134867.64000000001</v>
      </c>
    </row>
    <row r="1251" spans="1:10" s="852" customFormat="1" outlineLevel="2">
      <c r="A1251" s="815" t="s">
        <v>2245</v>
      </c>
      <c r="B1251" s="816" t="s">
        <v>7869</v>
      </c>
      <c r="C1251" s="729" t="s">
        <v>619</v>
      </c>
      <c r="D1251" s="924"/>
      <c r="E1251" s="878" t="s">
        <v>2221</v>
      </c>
      <c r="F1251" s="881" t="s">
        <v>863</v>
      </c>
      <c r="G1251" s="731" t="s">
        <v>5571</v>
      </c>
      <c r="H1251" s="1083">
        <v>42401</v>
      </c>
      <c r="I1251" s="1084">
        <v>42465</v>
      </c>
      <c r="J1251" s="957">
        <v>4051.04</v>
      </c>
    </row>
    <row r="1252" spans="1:10" s="852" customFormat="1" outlineLevel="2">
      <c r="A1252" s="815" t="s">
        <v>618</v>
      </c>
      <c r="B1252" s="816" t="s">
        <v>7865</v>
      </c>
      <c r="C1252" s="729" t="s">
        <v>619</v>
      </c>
      <c r="D1252" s="924"/>
      <c r="E1252" s="878" t="s">
        <v>2336</v>
      </c>
      <c r="F1252" s="881" t="s">
        <v>6016</v>
      </c>
      <c r="G1252" s="731" t="s">
        <v>3924</v>
      </c>
      <c r="H1252" s="1083">
        <v>42401</v>
      </c>
      <c r="I1252" s="1084">
        <v>42480</v>
      </c>
      <c r="J1252" s="957">
        <v>8031.14</v>
      </c>
    </row>
    <row r="1253" spans="1:10" s="852" customFormat="1" outlineLevel="2">
      <c r="A1253" s="815" t="s">
        <v>618</v>
      </c>
      <c r="B1253" s="816" t="s">
        <v>7865</v>
      </c>
      <c r="C1253" s="729" t="s">
        <v>619</v>
      </c>
      <c r="D1253" s="924"/>
      <c r="E1253" s="878" t="s">
        <v>2336</v>
      </c>
      <c r="F1253" s="881" t="s">
        <v>6017</v>
      </c>
      <c r="G1253" s="731" t="s">
        <v>3925</v>
      </c>
      <c r="H1253" s="1083">
        <v>42401</v>
      </c>
      <c r="I1253" s="1084">
        <v>42480</v>
      </c>
      <c r="J1253" s="957">
        <v>892.35</v>
      </c>
    </row>
    <row r="1254" spans="1:10" s="852" customFormat="1" outlineLevel="2">
      <c r="A1254" s="815" t="s">
        <v>1019</v>
      </c>
      <c r="B1254" s="816" t="s">
        <v>7866</v>
      </c>
      <c r="C1254" s="729" t="s">
        <v>619</v>
      </c>
      <c r="D1254" s="924"/>
      <c r="E1254" s="878" t="s">
        <v>2282</v>
      </c>
      <c r="F1254" s="881" t="s">
        <v>3974</v>
      </c>
      <c r="G1254" s="731" t="s">
        <v>2779</v>
      </c>
      <c r="H1254" s="1083">
        <v>42401</v>
      </c>
      <c r="I1254" s="1084">
        <v>42471</v>
      </c>
      <c r="J1254" s="957">
        <v>312.62</v>
      </c>
    </row>
    <row r="1255" spans="1:10" s="852" customFormat="1" outlineLevel="2">
      <c r="A1255" s="815" t="s">
        <v>1019</v>
      </c>
      <c r="B1255" s="816" t="s">
        <v>7866</v>
      </c>
      <c r="C1255" s="729" t="s">
        <v>619</v>
      </c>
      <c r="D1255" s="924"/>
      <c r="E1255" s="878" t="s">
        <v>2282</v>
      </c>
      <c r="F1255" s="881" t="s">
        <v>4081</v>
      </c>
      <c r="G1255" s="731" t="s">
        <v>2781</v>
      </c>
      <c r="H1255" s="1083">
        <v>42401</v>
      </c>
      <c r="I1255" s="1084">
        <v>42471</v>
      </c>
      <c r="J1255" s="957">
        <v>9.99</v>
      </c>
    </row>
    <row r="1256" spans="1:10" s="852" customFormat="1" outlineLevel="2">
      <c r="A1256" s="815" t="s">
        <v>1019</v>
      </c>
      <c r="B1256" s="816" t="s">
        <v>7866</v>
      </c>
      <c r="C1256" s="729" t="s">
        <v>619</v>
      </c>
      <c r="D1256" s="924"/>
      <c r="E1256" s="878" t="s">
        <v>2282</v>
      </c>
      <c r="F1256" s="881" t="s">
        <v>4165</v>
      </c>
      <c r="G1256" s="731" t="s">
        <v>2782</v>
      </c>
      <c r="H1256" s="1083">
        <v>42401</v>
      </c>
      <c r="I1256" s="1084">
        <v>42471</v>
      </c>
      <c r="J1256" s="957">
        <v>117.95</v>
      </c>
    </row>
    <row r="1257" spans="1:10" s="852" customFormat="1" outlineLevel="2">
      <c r="A1257" s="815" t="s">
        <v>618</v>
      </c>
      <c r="B1257" s="816" t="s">
        <v>7865</v>
      </c>
      <c r="C1257" s="729" t="s">
        <v>619</v>
      </c>
      <c r="D1257" s="924"/>
      <c r="E1257" s="878" t="s">
        <v>2704</v>
      </c>
      <c r="F1257" s="881" t="s">
        <v>6139</v>
      </c>
      <c r="G1257" s="731" t="s">
        <v>3926</v>
      </c>
      <c r="H1257" s="1083">
        <v>42401</v>
      </c>
      <c r="I1257" s="1084">
        <v>42480</v>
      </c>
      <c r="J1257" s="957">
        <v>3899.7</v>
      </c>
    </row>
    <row r="1258" spans="1:10" s="852" customFormat="1" outlineLevel="2">
      <c r="A1258" s="815" t="s">
        <v>618</v>
      </c>
      <c r="B1258" s="816" t="s">
        <v>7865</v>
      </c>
      <c r="C1258" s="729" t="s">
        <v>619</v>
      </c>
      <c r="D1258" s="924"/>
      <c r="E1258" s="878" t="s">
        <v>2704</v>
      </c>
      <c r="F1258" s="881" t="s">
        <v>6140</v>
      </c>
      <c r="G1258" s="731" t="s">
        <v>3927</v>
      </c>
      <c r="H1258" s="1083">
        <v>42401</v>
      </c>
      <c r="I1258" s="1084">
        <v>42480</v>
      </c>
      <c r="J1258" s="957">
        <v>433.3</v>
      </c>
    </row>
    <row r="1259" spans="1:10" s="852" customFormat="1" outlineLevel="2">
      <c r="A1259" s="815" t="s">
        <v>618</v>
      </c>
      <c r="B1259" s="816" t="s">
        <v>7865</v>
      </c>
      <c r="C1259" s="729" t="s">
        <v>619</v>
      </c>
      <c r="D1259" s="924"/>
      <c r="E1259" s="878" t="s">
        <v>508</v>
      </c>
      <c r="F1259" s="881" t="s">
        <v>1094</v>
      </c>
      <c r="G1259" s="731" t="s">
        <v>5821</v>
      </c>
      <c r="H1259" s="1083">
        <v>42430</v>
      </c>
      <c r="I1259" s="1084">
        <v>42489</v>
      </c>
      <c r="J1259" s="957">
        <v>110064.89</v>
      </c>
    </row>
    <row r="1260" spans="1:10" s="852" customFormat="1" outlineLevel="2">
      <c r="A1260" s="815" t="s">
        <v>1019</v>
      </c>
      <c r="B1260" s="816" t="s">
        <v>7866</v>
      </c>
      <c r="C1260" s="729" t="s">
        <v>619</v>
      </c>
      <c r="D1260" s="924"/>
      <c r="E1260" s="878" t="s">
        <v>1909</v>
      </c>
      <c r="F1260" s="881" t="s">
        <v>3935</v>
      </c>
      <c r="G1260" s="731" t="s">
        <v>2817</v>
      </c>
      <c r="H1260" s="1083">
        <v>42401</v>
      </c>
      <c r="I1260" s="1084">
        <v>42480</v>
      </c>
      <c r="J1260" s="957">
        <v>93.78</v>
      </c>
    </row>
    <row r="1261" spans="1:10" s="852" customFormat="1" outlineLevel="2">
      <c r="A1261" s="815" t="s">
        <v>1019</v>
      </c>
      <c r="B1261" s="816" t="s">
        <v>7866</v>
      </c>
      <c r="C1261" s="729" t="s">
        <v>619</v>
      </c>
      <c r="D1261" s="924"/>
      <c r="E1261" s="878" t="s">
        <v>1909</v>
      </c>
      <c r="F1261" s="881" t="s">
        <v>4027</v>
      </c>
      <c r="G1261" s="731" t="s">
        <v>2819</v>
      </c>
      <c r="H1261" s="1083">
        <v>42401</v>
      </c>
      <c r="I1261" s="1084">
        <v>42480</v>
      </c>
      <c r="J1261" s="957">
        <v>2.99</v>
      </c>
    </row>
    <row r="1262" spans="1:10" s="852" customFormat="1" outlineLevel="2">
      <c r="A1262" s="815" t="s">
        <v>1019</v>
      </c>
      <c r="B1262" s="816" t="s">
        <v>7866</v>
      </c>
      <c r="C1262" s="729" t="s">
        <v>619</v>
      </c>
      <c r="D1262" s="924"/>
      <c r="E1262" s="878" t="s">
        <v>1909</v>
      </c>
      <c r="F1262" s="881" t="s">
        <v>4129</v>
      </c>
      <c r="G1262" s="731" t="s">
        <v>2821</v>
      </c>
      <c r="H1262" s="1083">
        <v>42401</v>
      </c>
      <c r="I1262" s="1084">
        <v>42480</v>
      </c>
      <c r="J1262" s="957">
        <v>35.380000000000003</v>
      </c>
    </row>
    <row r="1263" spans="1:10" s="852" customFormat="1" outlineLevel="2">
      <c r="A1263" s="815" t="s">
        <v>618</v>
      </c>
      <c r="B1263" s="816" t="s">
        <v>7865</v>
      </c>
      <c r="C1263" s="729" t="s">
        <v>619</v>
      </c>
      <c r="D1263" s="924"/>
      <c r="E1263" s="878" t="s">
        <v>1909</v>
      </c>
      <c r="F1263" s="881" t="s">
        <v>6263</v>
      </c>
      <c r="G1263" s="731" t="s">
        <v>3928</v>
      </c>
      <c r="H1263" s="1083">
        <v>42401</v>
      </c>
      <c r="I1263" s="1084">
        <v>42480</v>
      </c>
      <c r="J1263" s="957">
        <v>1949.85</v>
      </c>
    </row>
    <row r="1264" spans="1:10" s="852" customFormat="1" outlineLevel="2">
      <c r="A1264" s="815" t="s">
        <v>618</v>
      </c>
      <c r="B1264" s="816" t="s">
        <v>7865</v>
      </c>
      <c r="C1264" s="729" t="s">
        <v>619</v>
      </c>
      <c r="D1264" s="924"/>
      <c r="E1264" s="878" t="s">
        <v>1909</v>
      </c>
      <c r="F1264" s="881" t="s">
        <v>6264</v>
      </c>
      <c r="G1264" s="731" t="s">
        <v>3929</v>
      </c>
      <c r="H1264" s="1083">
        <v>42401</v>
      </c>
      <c r="I1264" s="1084">
        <v>42480</v>
      </c>
      <c r="J1264" s="957">
        <v>216.65</v>
      </c>
    </row>
    <row r="1265" spans="1:10" s="852" customFormat="1" ht="28.5" outlineLevel="2">
      <c r="A1265" s="815" t="s">
        <v>1019</v>
      </c>
      <c r="B1265" s="816" t="s">
        <v>7866</v>
      </c>
      <c r="C1265" s="729" t="s">
        <v>619</v>
      </c>
      <c r="D1265" s="924"/>
      <c r="E1265" s="878" t="s">
        <v>1909</v>
      </c>
      <c r="F1265" s="881" t="s">
        <v>4956</v>
      </c>
      <c r="G1265" s="731" t="s">
        <v>2833</v>
      </c>
      <c r="H1265" s="1083">
        <v>42401</v>
      </c>
      <c r="I1265" s="1084">
        <v>42480</v>
      </c>
      <c r="J1265" s="957">
        <v>290.73</v>
      </c>
    </row>
    <row r="1266" spans="1:10" s="852" customFormat="1" ht="28.5" outlineLevel="2">
      <c r="A1266" s="815" t="s">
        <v>1019</v>
      </c>
      <c r="B1266" s="816" t="s">
        <v>7866</v>
      </c>
      <c r="C1266" s="729" t="s">
        <v>619</v>
      </c>
      <c r="D1266" s="924"/>
      <c r="E1266" s="878" t="s">
        <v>1909</v>
      </c>
      <c r="F1266" s="881" t="s">
        <v>4903</v>
      </c>
      <c r="G1266" s="731" t="s">
        <v>2832</v>
      </c>
      <c r="H1266" s="1083">
        <v>42401</v>
      </c>
      <c r="I1266" s="1084">
        <v>42480</v>
      </c>
      <c r="J1266" s="957">
        <v>9.2899999999999991</v>
      </c>
    </row>
    <row r="1267" spans="1:10" s="852" customFormat="1" ht="28.5" outlineLevel="2">
      <c r="A1267" s="815" t="s">
        <v>1019</v>
      </c>
      <c r="B1267" s="816" t="s">
        <v>7866</v>
      </c>
      <c r="C1267" s="729" t="s">
        <v>619</v>
      </c>
      <c r="D1267" s="924"/>
      <c r="E1267" s="878" t="s">
        <v>1909</v>
      </c>
      <c r="F1267" s="881" t="s">
        <v>4853</v>
      </c>
      <c r="G1267" s="731" t="s">
        <v>2831</v>
      </c>
      <c r="H1267" s="1083">
        <v>42401</v>
      </c>
      <c r="I1267" s="1084">
        <v>42480</v>
      </c>
      <c r="J1267" s="957">
        <v>109.69</v>
      </c>
    </row>
    <row r="1268" spans="1:10" s="852" customFormat="1" ht="28.5" outlineLevel="2">
      <c r="A1268" s="815" t="s">
        <v>618</v>
      </c>
      <c r="B1268" s="816" t="s">
        <v>7865</v>
      </c>
      <c r="C1268" s="729" t="s">
        <v>619</v>
      </c>
      <c r="D1268" s="924"/>
      <c r="E1268" s="878" t="s">
        <v>1909</v>
      </c>
      <c r="F1268" s="881" t="s">
        <v>4752</v>
      </c>
      <c r="G1268" s="731" t="s">
        <v>3931</v>
      </c>
      <c r="H1268" s="1083">
        <v>42401</v>
      </c>
      <c r="I1268" s="1084">
        <v>42480</v>
      </c>
      <c r="J1268" s="957">
        <v>6044.54</v>
      </c>
    </row>
    <row r="1269" spans="1:10" s="852" customFormat="1" ht="28.5" outlineLevel="2">
      <c r="A1269" s="815" t="s">
        <v>618</v>
      </c>
      <c r="B1269" s="816" t="s">
        <v>7865</v>
      </c>
      <c r="C1269" s="729" t="s">
        <v>619</v>
      </c>
      <c r="D1269" s="924"/>
      <c r="E1269" s="878" t="s">
        <v>1909</v>
      </c>
      <c r="F1269" s="881" t="s">
        <v>4651</v>
      </c>
      <c r="G1269" s="731" t="s">
        <v>3930</v>
      </c>
      <c r="H1269" s="1083">
        <v>42401</v>
      </c>
      <c r="I1269" s="1084">
        <v>42480</v>
      </c>
      <c r="J1269" s="957">
        <v>671.61</v>
      </c>
    </row>
    <row r="1270" spans="1:10" s="852" customFormat="1" outlineLevel="2">
      <c r="A1270" s="815" t="s">
        <v>618</v>
      </c>
      <c r="B1270" s="816" t="s">
        <v>7865</v>
      </c>
      <c r="C1270" s="729" t="s">
        <v>619</v>
      </c>
      <c r="D1270" s="924"/>
      <c r="E1270" s="878" t="s">
        <v>5842</v>
      </c>
      <c r="F1270" s="881" t="s">
        <v>1094</v>
      </c>
      <c r="G1270" s="731" t="s">
        <v>5845</v>
      </c>
      <c r="H1270" s="1083">
        <v>42430</v>
      </c>
      <c r="I1270" s="1084">
        <v>42489</v>
      </c>
      <c r="J1270" s="957">
        <v>12229.43</v>
      </c>
    </row>
    <row r="1271" spans="1:10" s="852" customFormat="1" outlineLevel="1">
      <c r="A1271" s="815"/>
      <c r="B1271" s="816" t="s">
        <v>258</v>
      </c>
      <c r="C1271" s="908" t="s">
        <v>619</v>
      </c>
      <c r="D1271" s="928" t="str">
        <f>VLOOKUP(C1271,$C$3691:$D$3771,2,FALSE)</f>
        <v>TOTAL POUPATEMPO  JACAREÍ</v>
      </c>
      <c r="E1271" s="1085"/>
      <c r="F1271" s="929"/>
      <c r="G1271" s="910"/>
      <c r="H1271" s="1086"/>
      <c r="I1271" s="1087"/>
      <c r="J1271" s="930">
        <f>SUBTOTAL(9,J1251:J1270)</f>
        <v>149466.91999999998</v>
      </c>
    </row>
    <row r="1272" spans="1:10" s="852" customFormat="1" outlineLevel="2">
      <c r="A1272" s="815" t="s">
        <v>2246</v>
      </c>
      <c r="B1272" s="816" t="s">
        <v>7869</v>
      </c>
      <c r="C1272" s="729" t="s">
        <v>622</v>
      </c>
      <c r="D1272" s="924"/>
      <c r="E1272" s="878" t="s">
        <v>2221</v>
      </c>
      <c r="F1272" s="881" t="s">
        <v>863</v>
      </c>
      <c r="G1272" s="731" t="s">
        <v>5571</v>
      </c>
      <c r="H1272" s="1083">
        <v>42401</v>
      </c>
      <c r="I1272" s="1084">
        <v>42465</v>
      </c>
      <c r="J1272" s="957">
        <v>4051.04</v>
      </c>
    </row>
    <row r="1273" spans="1:10" s="852" customFormat="1" outlineLevel="2">
      <c r="A1273" s="815" t="s">
        <v>6461</v>
      </c>
      <c r="B1273" s="816" t="s">
        <v>7863</v>
      </c>
      <c r="C1273" s="729" t="s">
        <v>622</v>
      </c>
      <c r="D1273" s="924"/>
      <c r="E1273" s="878" t="s">
        <v>483</v>
      </c>
      <c r="F1273" s="881" t="s">
        <v>2208</v>
      </c>
      <c r="G1273" s="731" t="str">
        <f>"17005"</f>
        <v>17005</v>
      </c>
      <c r="H1273" s="1083">
        <v>42401</v>
      </c>
      <c r="I1273" s="1084">
        <v>42475</v>
      </c>
      <c r="J1273" s="957">
        <v>12490.28</v>
      </c>
    </row>
    <row r="1274" spans="1:10" s="852" customFormat="1" outlineLevel="2">
      <c r="A1274" s="815" t="s">
        <v>1739</v>
      </c>
      <c r="B1274" s="816" t="s">
        <v>7872</v>
      </c>
      <c r="C1274" s="729" t="s">
        <v>622</v>
      </c>
      <c r="D1274" s="924"/>
      <c r="E1274" s="878" t="s">
        <v>1699</v>
      </c>
      <c r="F1274" s="881" t="s">
        <v>1696</v>
      </c>
      <c r="G1274" s="731" t="s">
        <v>5621</v>
      </c>
      <c r="H1274" s="1083">
        <v>42430</v>
      </c>
      <c r="I1274" s="1084">
        <v>42473</v>
      </c>
      <c r="J1274" s="957">
        <v>5813.22</v>
      </c>
    </row>
    <row r="1275" spans="1:10" s="852" customFormat="1" outlineLevel="2">
      <c r="A1275" s="815" t="s">
        <v>625</v>
      </c>
      <c r="B1275" s="816" t="s">
        <v>7863</v>
      </c>
      <c r="C1275" s="729" t="s">
        <v>622</v>
      </c>
      <c r="D1275" s="924"/>
      <c r="E1275" s="878" t="s">
        <v>2336</v>
      </c>
      <c r="F1275" s="881" t="s">
        <v>5197</v>
      </c>
      <c r="G1275" s="731" t="s">
        <v>3936</v>
      </c>
      <c r="H1275" s="1083">
        <v>42401</v>
      </c>
      <c r="I1275" s="1084">
        <v>42480</v>
      </c>
      <c r="J1275" s="957">
        <v>1688.91</v>
      </c>
    </row>
    <row r="1276" spans="1:10" s="852" customFormat="1" outlineLevel="2">
      <c r="A1276" s="815" t="s">
        <v>623</v>
      </c>
      <c r="B1276" s="816" t="s">
        <v>7865</v>
      </c>
      <c r="C1276" s="729" t="s">
        <v>622</v>
      </c>
      <c r="D1276" s="924"/>
      <c r="E1276" s="878" t="s">
        <v>2336</v>
      </c>
      <c r="F1276" s="881" t="s">
        <v>6020</v>
      </c>
      <c r="G1276" s="731" t="s">
        <v>3934</v>
      </c>
      <c r="H1276" s="1083">
        <v>42401</v>
      </c>
      <c r="I1276" s="1084">
        <v>42480</v>
      </c>
      <c r="J1276" s="957">
        <v>2915.63</v>
      </c>
    </row>
    <row r="1277" spans="1:10" s="852" customFormat="1" outlineLevel="2">
      <c r="A1277" s="815" t="s">
        <v>623</v>
      </c>
      <c r="B1277" s="816" t="s">
        <v>7865</v>
      </c>
      <c r="C1277" s="729" t="s">
        <v>622</v>
      </c>
      <c r="D1277" s="924"/>
      <c r="E1277" s="878" t="s">
        <v>2336</v>
      </c>
      <c r="F1277" s="881" t="s">
        <v>6020</v>
      </c>
      <c r="G1277" s="731" t="s">
        <v>3934</v>
      </c>
      <c r="H1277" s="1083">
        <v>42401</v>
      </c>
      <c r="I1277" s="1084">
        <v>42480</v>
      </c>
      <c r="J1277" s="957">
        <v>1191.95</v>
      </c>
    </row>
    <row r="1278" spans="1:10" s="852" customFormat="1" outlineLevel="2">
      <c r="A1278" s="815" t="s">
        <v>623</v>
      </c>
      <c r="B1278" s="816" t="s">
        <v>7865</v>
      </c>
      <c r="C1278" s="729" t="s">
        <v>622</v>
      </c>
      <c r="D1278" s="924"/>
      <c r="E1278" s="878" t="s">
        <v>2336</v>
      </c>
      <c r="F1278" s="881" t="s">
        <v>6019</v>
      </c>
      <c r="G1278" s="731" t="s">
        <v>3933</v>
      </c>
      <c r="H1278" s="1083">
        <v>42401</v>
      </c>
      <c r="I1278" s="1084">
        <v>42480</v>
      </c>
      <c r="J1278" s="957">
        <v>448.56</v>
      </c>
    </row>
    <row r="1279" spans="1:10" s="852" customFormat="1" outlineLevel="2">
      <c r="A1279" s="815" t="s">
        <v>623</v>
      </c>
      <c r="B1279" s="816" t="s">
        <v>7865</v>
      </c>
      <c r="C1279" s="729" t="s">
        <v>622</v>
      </c>
      <c r="D1279" s="924"/>
      <c r="E1279" s="878" t="s">
        <v>2336</v>
      </c>
      <c r="F1279" s="881" t="s">
        <v>6019</v>
      </c>
      <c r="G1279" s="731" t="s">
        <v>3933</v>
      </c>
      <c r="H1279" s="1083">
        <v>42401</v>
      </c>
      <c r="I1279" s="1084">
        <v>42480</v>
      </c>
      <c r="J1279" s="957">
        <v>183.37</v>
      </c>
    </row>
    <row r="1280" spans="1:10" s="852" customFormat="1" outlineLevel="2">
      <c r="A1280" s="815" t="s">
        <v>623</v>
      </c>
      <c r="B1280" s="816" t="s">
        <v>7865</v>
      </c>
      <c r="C1280" s="729" t="s">
        <v>622</v>
      </c>
      <c r="D1280" s="924"/>
      <c r="E1280" s="878" t="s">
        <v>2336</v>
      </c>
      <c r="F1280" s="881" t="s">
        <v>6018</v>
      </c>
      <c r="G1280" s="731" t="s">
        <v>3932</v>
      </c>
      <c r="H1280" s="1083">
        <v>42401</v>
      </c>
      <c r="I1280" s="1084">
        <v>42480</v>
      </c>
      <c r="J1280" s="957">
        <v>1121.3900000000001</v>
      </c>
    </row>
    <row r="1281" spans="1:10" s="852" customFormat="1" outlineLevel="2">
      <c r="A1281" s="815" t="s">
        <v>623</v>
      </c>
      <c r="B1281" s="816" t="s">
        <v>7865</v>
      </c>
      <c r="C1281" s="729" t="s">
        <v>622</v>
      </c>
      <c r="D1281" s="924"/>
      <c r="E1281" s="878" t="s">
        <v>2336</v>
      </c>
      <c r="F1281" s="881" t="s">
        <v>6018</v>
      </c>
      <c r="G1281" s="731" t="s">
        <v>3932</v>
      </c>
      <c r="H1281" s="1083">
        <v>42401</v>
      </c>
      <c r="I1281" s="1084">
        <v>42480</v>
      </c>
      <c r="J1281" s="957">
        <v>458.44</v>
      </c>
    </row>
    <row r="1282" spans="1:10" s="852" customFormat="1" outlineLevel="2">
      <c r="A1282" s="815" t="s">
        <v>623</v>
      </c>
      <c r="B1282" s="816" t="s">
        <v>7865</v>
      </c>
      <c r="C1282" s="729" t="s">
        <v>622</v>
      </c>
      <c r="D1282" s="924"/>
      <c r="E1282" s="878" t="s">
        <v>484</v>
      </c>
      <c r="F1282" s="881" t="s">
        <v>1094</v>
      </c>
      <c r="G1282" s="731" t="s">
        <v>5806</v>
      </c>
      <c r="H1282" s="1083">
        <v>42430</v>
      </c>
      <c r="I1282" s="1084">
        <v>42489</v>
      </c>
      <c r="J1282" s="957">
        <v>71689.850000000006</v>
      </c>
    </row>
    <row r="1283" spans="1:10" s="852" customFormat="1" outlineLevel="2">
      <c r="A1283" s="815" t="s">
        <v>1020</v>
      </c>
      <c r="B1283" s="816" t="s">
        <v>7866</v>
      </c>
      <c r="C1283" s="729" t="s">
        <v>622</v>
      </c>
      <c r="D1283" s="924"/>
      <c r="E1283" s="878" t="s">
        <v>2282</v>
      </c>
      <c r="F1283" s="881" t="s">
        <v>3974</v>
      </c>
      <c r="G1283" s="731" t="s">
        <v>2779</v>
      </c>
      <c r="H1283" s="1083">
        <v>42401</v>
      </c>
      <c r="I1283" s="1084">
        <v>42471</v>
      </c>
      <c r="J1283" s="957">
        <v>274.77999999999997</v>
      </c>
    </row>
    <row r="1284" spans="1:10" s="852" customFormat="1" outlineLevel="2">
      <c r="A1284" s="815" t="s">
        <v>1020</v>
      </c>
      <c r="B1284" s="816" t="s">
        <v>7866</v>
      </c>
      <c r="C1284" s="729" t="s">
        <v>622</v>
      </c>
      <c r="D1284" s="924"/>
      <c r="E1284" s="878" t="s">
        <v>2282</v>
      </c>
      <c r="F1284" s="881" t="s">
        <v>4081</v>
      </c>
      <c r="G1284" s="731" t="s">
        <v>2781</v>
      </c>
      <c r="H1284" s="1083">
        <v>42401</v>
      </c>
      <c r="I1284" s="1084">
        <v>42471</v>
      </c>
      <c r="J1284" s="957">
        <v>8.7799999999999994</v>
      </c>
    </row>
    <row r="1285" spans="1:10" s="852" customFormat="1" outlineLevel="2">
      <c r="A1285" s="815" t="s">
        <v>1020</v>
      </c>
      <c r="B1285" s="816" t="s">
        <v>7866</v>
      </c>
      <c r="C1285" s="729" t="s">
        <v>622</v>
      </c>
      <c r="D1285" s="924"/>
      <c r="E1285" s="878" t="s">
        <v>2282</v>
      </c>
      <c r="F1285" s="881" t="s">
        <v>4165</v>
      </c>
      <c r="G1285" s="731" t="s">
        <v>2782</v>
      </c>
      <c r="H1285" s="1083">
        <v>42401</v>
      </c>
      <c r="I1285" s="1084">
        <v>42471</v>
      </c>
      <c r="J1285" s="957">
        <v>103.67</v>
      </c>
    </row>
    <row r="1286" spans="1:10" s="852" customFormat="1" outlineLevel="2">
      <c r="A1286" s="815" t="s">
        <v>623</v>
      </c>
      <c r="B1286" s="816" t="s">
        <v>7865</v>
      </c>
      <c r="C1286" s="729" t="s">
        <v>622</v>
      </c>
      <c r="D1286" s="924"/>
      <c r="E1286" s="878" t="s">
        <v>624</v>
      </c>
      <c r="F1286" s="881" t="s">
        <v>6146</v>
      </c>
      <c r="G1286" s="731" t="s">
        <v>3937</v>
      </c>
      <c r="H1286" s="1083">
        <v>42401</v>
      </c>
      <c r="I1286" s="1084">
        <v>42475</v>
      </c>
      <c r="J1286" s="957">
        <v>180.22</v>
      </c>
    </row>
    <row r="1287" spans="1:10" s="852" customFormat="1" outlineLevel="2">
      <c r="A1287" s="815" t="s">
        <v>623</v>
      </c>
      <c r="B1287" s="816" t="s">
        <v>7865</v>
      </c>
      <c r="C1287" s="729" t="s">
        <v>622</v>
      </c>
      <c r="D1287" s="924"/>
      <c r="E1287" s="878" t="s">
        <v>624</v>
      </c>
      <c r="F1287" s="881" t="s">
        <v>6146</v>
      </c>
      <c r="G1287" s="731" t="s">
        <v>3937</v>
      </c>
      <c r="H1287" s="1083">
        <v>42401</v>
      </c>
      <c r="I1287" s="1084">
        <v>42475</v>
      </c>
      <c r="J1287" s="957">
        <v>73.680000000000007</v>
      </c>
    </row>
    <row r="1288" spans="1:10" s="852" customFormat="1" outlineLevel="2">
      <c r="A1288" s="815" t="s">
        <v>623</v>
      </c>
      <c r="B1288" s="816" t="s">
        <v>7865</v>
      </c>
      <c r="C1288" s="729" t="s">
        <v>622</v>
      </c>
      <c r="D1288" s="924"/>
      <c r="E1288" s="878" t="s">
        <v>624</v>
      </c>
      <c r="F1288" s="881" t="s">
        <v>6147</v>
      </c>
      <c r="G1288" s="731" t="s">
        <v>3938</v>
      </c>
      <c r="H1288" s="1083">
        <v>42401</v>
      </c>
      <c r="I1288" s="1084">
        <v>42475</v>
      </c>
      <c r="J1288" s="957">
        <v>1171.52</v>
      </c>
    </row>
    <row r="1289" spans="1:10" s="852" customFormat="1" outlineLevel="2">
      <c r="A1289" s="815" t="s">
        <v>623</v>
      </c>
      <c r="B1289" s="816" t="s">
        <v>7865</v>
      </c>
      <c r="C1289" s="729" t="s">
        <v>622</v>
      </c>
      <c r="D1289" s="924"/>
      <c r="E1289" s="878" t="s">
        <v>624</v>
      </c>
      <c r="F1289" s="881" t="s">
        <v>6147</v>
      </c>
      <c r="G1289" s="731" t="s">
        <v>3938</v>
      </c>
      <c r="H1289" s="1083">
        <v>42401</v>
      </c>
      <c r="I1289" s="1084">
        <v>42475</v>
      </c>
      <c r="J1289" s="957">
        <v>478.93</v>
      </c>
    </row>
    <row r="1290" spans="1:10" s="852" customFormat="1" outlineLevel="2">
      <c r="A1290" s="815" t="s">
        <v>625</v>
      </c>
      <c r="B1290" s="816" t="s">
        <v>7863</v>
      </c>
      <c r="C1290" s="729" t="s">
        <v>622</v>
      </c>
      <c r="D1290" s="924"/>
      <c r="E1290" s="878" t="s">
        <v>624</v>
      </c>
      <c r="F1290" s="881" t="s">
        <v>5199</v>
      </c>
      <c r="G1290" s="731" t="s">
        <v>3939</v>
      </c>
      <c r="H1290" s="1083">
        <v>42401</v>
      </c>
      <c r="I1290" s="1084">
        <v>42475</v>
      </c>
      <c r="J1290" s="957">
        <v>307.08</v>
      </c>
    </row>
    <row r="1291" spans="1:10" s="852" customFormat="1" outlineLevel="2">
      <c r="A1291" s="815" t="s">
        <v>623</v>
      </c>
      <c r="B1291" s="816" t="s">
        <v>7865</v>
      </c>
      <c r="C1291" s="729" t="s">
        <v>622</v>
      </c>
      <c r="D1291" s="924"/>
      <c r="E1291" s="878" t="s">
        <v>624</v>
      </c>
      <c r="F1291" s="881" t="s">
        <v>5498</v>
      </c>
      <c r="G1291" s="731" t="s">
        <v>3940</v>
      </c>
      <c r="H1291" s="1083">
        <v>42401</v>
      </c>
      <c r="I1291" s="1084">
        <v>42475</v>
      </c>
      <c r="J1291" s="957">
        <v>450.59</v>
      </c>
    </row>
    <row r="1292" spans="1:10" s="852" customFormat="1" outlineLevel="2">
      <c r="A1292" s="815" t="s">
        <v>623</v>
      </c>
      <c r="B1292" s="816" t="s">
        <v>7865</v>
      </c>
      <c r="C1292" s="729" t="s">
        <v>622</v>
      </c>
      <c r="D1292" s="924"/>
      <c r="E1292" s="878" t="s">
        <v>624</v>
      </c>
      <c r="F1292" s="881" t="s">
        <v>5498</v>
      </c>
      <c r="G1292" s="731" t="s">
        <v>3940</v>
      </c>
      <c r="H1292" s="1083">
        <v>42401</v>
      </c>
      <c r="I1292" s="1084">
        <v>42475</v>
      </c>
      <c r="J1292" s="957">
        <v>184.23</v>
      </c>
    </row>
    <row r="1293" spans="1:10" s="852" customFormat="1" outlineLevel="2">
      <c r="A1293" s="815" t="s">
        <v>1020</v>
      </c>
      <c r="B1293" s="816" t="s">
        <v>7866</v>
      </c>
      <c r="C1293" s="729" t="s">
        <v>622</v>
      </c>
      <c r="D1293" s="924"/>
      <c r="E1293" s="878" t="s">
        <v>1909</v>
      </c>
      <c r="F1293" s="881" t="s">
        <v>3935</v>
      </c>
      <c r="G1293" s="731" t="s">
        <v>2817</v>
      </c>
      <c r="H1293" s="1083">
        <v>42401</v>
      </c>
      <c r="I1293" s="1084">
        <v>42480</v>
      </c>
      <c r="J1293" s="957">
        <v>82.43</v>
      </c>
    </row>
    <row r="1294" spans="1:10" s="852" customFormat="1" outlineLevel="2">
      <c r="A1294" s="815" t="s">
        <v>1020</v>
      </c>
      <c r="B1294" s="816" t="s">
        <v>7866</v>
      </c>
      <c r="C1294" s="729" t="s">
        <v>622</v>
      </c>
      <c r="D1294" s="924"/>
      <c r="E1294" s="878" t="s">
        <v>1909</v>
      </c>
      <c r="F1294" s="881" t="s">
        <v>4027</v>
      </c>
      <c r="G1294" s="731" t="s">
        <v>2819</v>
      </c>
      <c r="H1294" s="1083">
        <v>42401</v>
      </c>
      <c r="I1294" s="1084">
        <v>42480</v>
      </c>
      <c r="J1294" s="957">
        <v>2.63</v>
      </c>
    </row>
    <row r="1295" spans="1:10" s="852" customFormat="1" outlineLevel="2">
      <c r="A1295" s="815" t="s">
        <v>1020</v>
      </c>
      <c r="B1295" s="816" t="s">
        <v>7866</v>
      </c>
      <c r="C1295" s="729" t="s">
        <v>622</v>
      </c>
      <c r="D1295" s="924"/>
      <c r="E1295" s="878" t="s">
        <v>1909</v>
      </c>
      <c r="F1295" s="881" t="s">
        <v>4129</v>
      </c>
      <c r="G1295" s="731" t="s">
        <v>2821</v>
      </c>
      <c r="H1295" s="1083">
        <v>42401</v>
      </c>
      <c r="I1295" s="1084">
        <v>42480</v>
      </c>
      <c r="J1295" s="957">
        <v>31.1</v>
      </c>
    </row>
    <row r="1296" spans="1:10" s="852" customFormat="1" outlineLevel="2">
      <c r="A1296" s="815" t="s">
        <v>625</v>
      </c>
      <c r="B1296" s="816" t="s">
        <v>7863</v>
      </c>
      <c r="C1296" s="729" t="s">
        <v>622</v>
      </c>
      <c r="D1296" s="924"/>
      <c r="E1296" s="878" t="s">
        <v>1909</v>
      </c>
      <c r="F1296" s="881" t="s">
        <v>5195</v>
      </c>
      <c r="G1296" s="731" t="s">
        <v>3949</v>
      </c>
      <c r="H1296" s="1083">
        <v>42401</v>
      </c>
      <c r="I1296" s="1084">
        <v>42480</v>
      </c>
      <c r="J1296" s="957">
        <v>153.54</v>
      </c>
    </row>
    <row r="1297" spans="1:10" s="852" customFormat="1" outlineLevel="2">
      <c r="A1297" s="815" t="s">
        <v>623</v>
      </c>
      <c r="B1297" s="816" t="s">
        <v>7865</v>
      </c>
      <c r="C1297" s="729" t="s">
        <v>622</v>
      </c>
      <c r="D1297" s="924"/>
      <c r="E1297" s="878" t="s">
        <v>1909</v>
      </c>
      <c r="F1297" s="881" t="s">
        <v>6268</v>
      </c>
      <c r="G1297" s="731" t="s">
        <v>3946</v>
      </c>
      <c r="H1297" s="1083">
        <v>42401</v>
      </c>
      <c r="I1297" s="1084">
        <v>42480</v>
      </c>
      <c r="J1297" s="957">
        <v>878.64</v>
      </c>
    </row>
    <row r="1298" spans="1:10" s="852" customFormat="1" outlineLevel="2">
      <c r="A1298" s="815" t="s">
        <v>623</v>
      </c>
      <c r="B1298" s="816" t="s">
        <v>7865</v>
      </c>
      <c r="C1298" s="729" t="s">
        <v>622</v>
      </c>
      <c r="D1298" s="924"/>
      <c r="E1298" s="878" t="s">
        <v>1909</v>
      </c>
      <c r="F1298" s="881" t="s">
        <v>6268</v>
      </c>
      <c r="G1298" s="731" t="s">
        <v>3946</v>
      </c>
      <c r="H1298" s="1083">
        <v>42401</v>
      </c>
      <c r="I1298" s="1084">
        <v>42480</v>
      </c>
      <c r="J1298" s="957">
        <v>359.2</v>
      </c>
    </row>
    <row r="1299" spans="1:10" s="852" customFormat="1" outlineLevel="2">
      <c r="A1299" s="815" t="s">
        <v>623</v>
      </c>
      <c r="B1299" s="816" t="s">
        <v>7865</v>
      </c>
      <c r="C1299" s="729" t="s">
        <v>622</v>
      </c>
      <c r="D1299" s="924"/>
      <c r="E1299" s="878" t="s">
        <v>1909</v>
      </c>
      <c r="F1299" s="881" t="s">
        <v>6267</v>
      </c>
      <c r="G1299" s="731" t="s">
        <v>3945</v>
      </c>
      <c r="H1299" s="1083">
        <v>42401</v>
      </c>
      <c r="I1299" s="1084">
        <v>42480</v>
      </c>
      <c r="J1299" s="957">
        <v>135.16999999999999</v>
      </c>
    </row>
    <row r="1300" spans="1:10" s="852" customFormat="1" outlineLevel="2">
      <c r="A1300" s="815" t="s">
        <v>623</v>
      </c>
      <c r="B1300" s="816" t="s">
        <v>7865</v>
      </c>
      <c r="C1300" s="729" t="s">
        <v>622</v>
      </c>
      <c r="D1300" s="924"/>
      <c r="E1300" s="878" t="s">
        <v>1909</v>
      </c>
      <c r="F1300" s="881" t="s">
        <v>6267</v>
      </c>
      <c r="G1300" s="731" t="s">
        <v>3945</v>
      </c>
      <c r="H1300" s="1083">
        <v>42401</v>
      </c>
      <c r="I1300" s="1084">
        <v>42480</v>
      </c>
      <c r="J1300" s="957">
        <v>55.26</v>
      </c>
    </row>
    <row r="1301" spans="1:10" s="852" customFormat="1" outlineLevel="2">
      <c r="A1301" s="815" t="s">
        <v>623</v>
      </c>
      <c r="B1301" s="816" t="s">
        <v>7865</v>
      </c>
      <c r="C1301" s="729" t="s">
        <v>622</v>
      </c>
      <c r="D1301" s="924"/>
      <c r="E1301" s="878" t="s">
        <v>1909</v>
      </c>
      <c r="F1301" s="881" t="s">
        <v>6266</v>
      </c>
      <c r="G1301" s="731" t="s">
        <v>3944</v>
      </c>
      <c r="H1301" s="1083">
        <v>42401</v>
      </c>
      <c r="I1301" s="1084">
        <v>42480</v>
      </c>
      <c r="J1301" s="957">
        <v>337.93</v>
      </c>
    </row>
    <row r="1302" spans="1:10" s="852" customFormat="1" outlineLevel="2">
      <c r="A1302" s="815" t="s">
        <v>623</v>
      </c>
      <c r="B1302" s="816" t="s">
        <v>7865</v>
      </c>
      <c r="C1302" s="729" t="s">
        <v>622</v>
      </c>
      <c r="D1302" s="924"/>
      <c r="E1302" s="878" t="s">
        <v>1909</v>
      </c>
      <c r="F1302" s="881" t="s">
        <v>6266</v>
      </c>
      <c r="G1302" s="731" t="s">
        <v>3944</v>
      </c>
      <c r="H1302" s="1083">
        <v>42401</v>
      </c>
      <c r="I1302" s="1084">
        <v>42480</v>
      </c>
      <c r="J1302" s="957">
        <v>138.15</v>
      </c>
    </row>
    <row r="1303" spans="1:10" s="852" customFormat="1" ht="28.5" outlineLevel="2">
      <c r="A1303" s="815" t="s">
        <v>1020</v>
      </c>
      <c r="B1303" s="816" t="s">
        <v>7866</v>
      </c>
      <c r="C1303" s="729" t="s">
        <v>622</v>
      </c>
      <c r="D1303" s="924"/>
      <c r="E1303" s="878" t="s">
        <v>1909</v>
      </c>
      <c r="F1303" s="881" t="s">
        <v>4956</v>
      </c>
      <c r="G1303" s="731" t="s">
        <v>2833</v>
      </c>
      <c r="H1303" s="1083">
        <v>42401</v>
      </c>
      <c r="I1303" s="1084">
        <v>42480</v>
      </c>
      <c r="J1303" s="957">
        <v>255.55</v>
      </c>
    </row>
    <row r="1304" spans="1:10" s="852" customFormat="1" ht="28.5" outlineLevel="2">
      <c r="A1304" s="815" t="s">
        <v>1020</v>
      </c>
      <c r="B1304" s="816" t="s">
        <v>7866</v>
      </c>
      <c r="C1304" s="729" t="s">
        <v>622</v>
      </c>
      <c r="D1304" s="924"/>
      <c r="E1304" s="878" t="s">
        <v>1909</v>
      </c>
      <c r="F1304" s="881" t="s">
        <v>4903</v>
      </c>
      <c r="G1304" s="731" t="s">
        <v>2832</v>
      </c>
      <c r="H1304" s="1083">
        <v>42401</v>
      </c>
      <c r="I1304" s="1084">
        <v>42480</v>
      </c>
      <c r="J1304" s="957">
        <v>8.17</v>
      </c>
    </row>
    <row r="1305" spans="1:10" s="852" customFormat="1" ht="28.5" outlineLevel="2">
      <c r="A1305" s="815" t="s">
        <v>1020</v>
      </c>
      <c r="B1305" s="816" t="s">
        <v>7866</v>
      </c>
      <c r="C1305" s="729" t="s">
        <v>622</v>
      </c>
      <c r="D1305" s="924"/>
      <c r="E1305" s="878" t="s">
        <v>1909</v>
      </c>
      <c r="F1305" s="881" t="s">
        <v>4853</v>
      </c>
      <c r="G1305" s="731" t="s">
        <v>2831</v>
      </c>
      <c r="H1305" s="1083">
        <v>42401</v>
      </c>
      <c r="I1305" s="1084">
        <v>42480</v>
      </c>
      <c r="J1305" s="957">
        <v>96.41</v>
      </c>
    </row>
    <row r="1306" spans="1:10" s="852" customFormat="1" ht="28.5" outlineLevel="2">
      <c r="A1306" s="815" t="s">
        <v>625</v>
      </c>
      <c r="B1306" s="816" t="s">
        <v>7863</v>
      </c>
      <c r="C1306" s="729" t="s">
        <v>622</v>
      </c>
      <c r="D1306" s="924"/>
      <c r="E1306" s="878" t="s">
        <v>1909</v>
      </c>
      <c r="F1306" s="881" t="s">
        <v>6265</v>
      </c>
      <c r="G1306" s="731" t="s">
        <v>3941</v>
      </c>
      <c r="H1306" s="1083">
        <v>42370</v>
      </c>
      <c r="I1306" s="1084">
        <v>42480</v>
      </c>
      <c r="J1306" s="957">
        <v>763.19</v>
      </c>
    </row>
    <row r="1307" spans="1:10" s="852" customFormat="1" ht="28.5" outlineLevel="2">
      <c r="A1307" s="815" t="s">
        <v>625</v>
      </c>
      <c r="B1307" s="816" t="s">
        <v>7863</v>
      </c>
      <c r="C1307" s="729" t="s">
        <v>622</v>
      </c>
      <c r="D1307" s="924"/>
      <c r="E1307" s="878" t="s">
        <v>1909</v>
      </c>
      <c r="F1307" s="881" t="s">
        <v>6265</v>
      </c>
      <c r="G1307" s="731" t="s">
        <v>3942</v>
      </c>
      <c r="H1307" s="1083">
        <v>42370</v>
      </c>
      <c r="I1307" s="1084">
        <v>42480</v>
      </c>
      <c r="J1307" s="957">
        <v>763.19</v>
      </c>
    </row>
    <row r="1308" spans="1:10" s="852" customFormat="1" ht="28.5" outlineLevel="2">
      <c r="A1308" s="815" t="s">
        <v>625</v>
      </c>
      <c r="B1308" s="816" t="s">
        <v>7863</v>
      </c>
      <c r="C1308" s="729" t="s">
        <v>622</v>
      </c>
      <c r="D1308" s="924"/>
      <c r="E1308" s="878" t="s">
        <v>1909</v>
      </c>
      <c r="F1308" s="881" t="s">
        <v>6265</v>
      </c>
      <c r="G1308" s="731" t="s">
        <v>3943</v>
      </c>
      <c r="H1308" s="1083">
        <v>42370</v>
      </c>
      <c r="I1308" s="1084">
        <v>42480</v>
      </c>
      <c r="J1308" s="957">
        <v>-763.19</v>
      </c>
    </row>
    <row r="1309" spans="1:10" s="852" customFormat="1" ht="28.5" outlineLevel="2">
      <c r="A1309" s="815" t="s">
        <v>623</v>
      </c>
      <c r="B1309" s="816" t="s">
        <v>7865</v>
      </c>
      <c r="C1309" s="729" t="s">
        <v>622</v>
      </c>
      <c r="D1309" s="924"/>
      <c r="E1309" s="878" t="s">
        <v>1909</v>
      </c>
      <c r="F1309" s="881" t="s">
        <v>4644</v>
      </c>
      <c r="G1309" s="731" t="s">
        <v>3947</v>
      </c>
      <c r="H1309" s="1083">
        <v>42401</v>
      </c>
      <c r="I1309" s="1084">
        <v>42480</v>
      </c>
      <c r="J1309" s="957">
        <v>2723.79</v>
      </c>
    </row>
    <row r="1310" spans="1:10" s="852" customFormat="1" ht="28.5" outlineLevel="2">
      <c r="A1310" s="815" t="s">
        <v>623</v>
      </c>
      <c r="B1310" s="816" t="s">
        <v>7865</v>
      </c>
      <c r="C1310" s="729" t="s">
        <v>622</v>
      </c>
      <c r="D1310" s="924"/>
      <c r="E1310" s="878" t="s">
        <v>1909</v>
      </c>
      <c r="F1310" s="881" t="s">
        <v>4644</v>
      </c>
      <c r="G1310" s="731" t="s">
        <v>3947</v>
      </c>
      <c r="H1310" s="1083">
        <v>42401</v>
      </c>
      <c r="I1310" s="1084">
        <v>42480</v>
      </c>
      <c r="J1310" s="957">
        <v>1113.52</v>
      </c>
    </row>
    <row r="1311" spans="1:10" s="852" customFormat="1" ht="28.5" outlineLevel="2">
      <c r="A1311" s="815" t="s">
        <v>623</v>
      </c>
      <c r="B1311" s="816" t="s">
        <v>7865</v>
      </c>
      <c r="C1311" s="729" t="s">
        <v>622</v>
      </c>
      <c r="D1311" s="924"/>
      <c r="E1311" s="878" t="s">
        <v>1909</v>
      </c>
      <c r="F1311" s="881" t="s">
        <v>4708</v>
      </c>
      <c r="G1311" s="731" t="s">
        <v>3948</v>
      </c>
      <c r="H1311" s="1083">
        <v>42401</v>
      </c>
      <c r="I1311" s="1084">
        <v>42480</v>
      </c>
      <c r="J1311" s="957">
        <v>1047.6099999999999</v>
      </c>
    </row>
    <row r="1312" spans="1:10" s="852" customFormat="1" ht="28.5" outlineLevel="2">
      <c r="A1312" s="815" t="s">
        <v>623</v>
      </c>
      <c r="B1312" s="816" t="s">
        <v>7865</v>
      </c>
      <c r="C1312" s="729" t="s">
        <v>622</v>
      </c>
      <c r="D1312" s="924"/>
      <c r="E1312" s="878" t="s">
        <v>1909</v>
      </c>
      <c r="F1312" s="881" t="s">
        <v>4708</v>
      </c>
      <c r="G1312" s="731" t="s">
        <v>3948</v>
      </c>
      <c r="H1312" s="1083">
        <v>42401</v>
      </c>
      <c r="I1312" s="1084">
        <v>42480</v>
      </c>
      <c r="J1312" s="957">
        <v>428.28</v>
      </c>
    </row>
    <row r="1313" spans="1:10" s="852" customFormat="1" outlineLevel="2">
      <c r="A1313" s="815" t="s">
        <v>1796</v>
      </c>
      <c r="B1313" s="816" t="s">
        <v>7871</v>
      </c>
      <c r="C1313" s="729" t="s">
        <v>622</v>
      </c>
      <c r="D1313" s="924"/>
      <c r="E1313" s="878" t="s">
        <v>1752</v>
      </c>
      <c r="F1313" s="881" t="s">
        <v>1753</v>
      </c>
      <c r="G1313" s="731" t="s">
        <v>5657</v>
      </c>
      <c r="H1313" s="1083">
        <v>42430</v>
      </c>
      <c r="I1313" s="1084">
        <v>42475</v>
      </c>
      <c r="J1313" s="957">
        <v>765.42</v>
      </c>
    </row>
    <row r="1314" spans="1:10" s="852" customFormat="1" outlineLevel="2">
      <c r="A1314" s="815" t="s">
        <v>623</v>
      </c>
      <c r="B1314" s="816" t="s">
        <v>7865</v>
      </c>
      <c r="C1314" s="729" t="s">
        <v>622</v>
      </c>
      <c r="D1314" s="924"/>
      <c r="E1314" s="878" t="s">
        <v>548</v>
      </c>
      <c r="F1314" s="881" t="s">
        <v>1094</v>
      </c>
      <c r="G1314" s="731" t="s">
        <v>5879</v>
      </c>
      <c r="H1314" s="1083">
        <v>42430</v>
      </c>
      <c r="I1314" s="1084">
        <v>42489</v>
      </c>
      <c r="J1314" s="957">
        <v>27573.03</v>
      </c>
    </row>
    <row r="1315" spans="1:10" s="852" customFormat="1" outlineLevel="1">
      <c r="A1315" s="815"/>
      <c r="B1315" s="816" t="s">
        <v>258</v>
      </c>
      <c r="C1315" s="908" t="s">
        <v>622</v>
      </c>
      <c r="D1315" s="928" t="str">
        <f>VLOOKUP(C1315,$C$3691:$D$3771,2,FALSE)</f>
        <v>TOTAL POUPATEMPO  LINS</v>
      </c>
      <c r="E1315" s="1085"/>
      <c r="F1315" s="929"/>
      <c r="G1315" s="910"/>
      <c r="H1315" s="1086"/>
      <c r="I1315" s="1087"/>
      <c r="J1315" s="930">
        <f>SUBTOTAL(9,J1272:J1314)</f>
        <v>142235.13999999996</v>
      </c>
    </row>
    <row r="1316" spans="1:10" s="852" customFormat="1" outlineLevel="2">
      <c r="A1316" s="815" t="s">
        <v>5731</v>
      </c>
      <c r="B1316" s="816" t="s">
        <v>7873</v>
      </c>
      <c r="C1316" s="729" t="s">
        <v>627</v>
      </c>
      <c r="D1316" s="924"/>
      <c r="E1316" s="878" t="s">
        <v>5732</v>
      </c>
      <c r="F1316" s="881" t="s">
        <v>431</v>
      </c>
      <c r="G1316" s="731" t="s">
        <v>5733</v>
      </c>
      <c r="H1316" s="1083">
        <v>42430</v>
      </c>
      <c r="I1316" s="1084">
        <v>42487</v>
      </c>
      <c r="J1316" s="957">
        <v>7000</v>
      </c>
    </row>
    <row r="1317" spans="1:10" s="852" customFormat="1" outlineLevel="2">
      <c r="A1317" s="815" t="s">
        <v>626</v>
      </c>
      <c r="B1317" s="816" t="s">
        <v>7863</v>
      </c>
      <c r="C1317" s="729" t="s">
        <v>627</v>
      </c>
      <c r="D1317" s="924"/>
      <c r="E1317" s="878" t="s">
        <v>2336</v>
      </c>
      <c r="F1317" s="881" t="s">
        <v>5309</v>
      </c>
      <c r="G1317" s="731" t="s">
        <v>3950</v>
      </c>
      <c r="H1317" s="1083">
        <v>42401</v>
      </c>
      <c r="I1317" s="1084">
        <v>42480</v>
      </c>
      <c r="J1317" s="957">
        <v>3414.07</v>
      </c>
    </row>
    <row r="1318" spans="1:10" s="852" customFormat="1" outlineLevel="2">
      <c r="A1318" s="815" t="s">
        <v>626</v>
      </c>
      <c r="B1318" s="816" t="s">
        <v>7863</v>
      </c>
      <c r="C1318" s="729" t="s">
        <v>627</v>
      </c>
      <c r="D1318" s="924"/>
      <c r="E1318" s="878" t="s">
        <v>2705</v>
      </c>
      <c r="F1318" s="881" t="s">
        <v>5310</v>
      </c>
      <c r="G1318" s="731" t="s">
        <v>3951</v>
      </c>
      <c r="H1318" s="1083">
        <v>42401</v>
      </c>
      <c r="I1318" s="1084">
        <v>42480</v>
      </c>
      <c r="J1318" s="957">
        <v>931.11</v>
      </c>
    </row>
    <row r="1319" spans="1:10" s="852" customFormat="1" outlineLevel="2">
      <c r="A1319" s="815" t="s">
        <v>626</v>
      </c>
      <c r="B1319" s="816" t="s">
        <v>7863</v>
      </c>
      <c r="C1319" s="729" t="s">
        <v>627</v>
      </c>
      <c r="D1319" s="924"/>
      <c r="E1319" s="878" t="s">
        <v>1909</v>
      </c>
      <c r="F1319" s="881" t="s">
        <v>5307</v>
      </c>
      <c r="G1319" s="731" t="s">
        <v>3955</v>
      </c>
      <c r="H1319" s="1083">
        <v>42401</v>
      </c>
      <c r="I1319" s="1084">
        <v>42480</v>
      </c>
      <c r="J1319" s="957">
        <v>310.37</v>
      </c>
    </row>
    <row r="1320" spans="1:10" s="852" customFormat="1" ht="28.5" outlineLevel="2">
      <c r="A1320" s="815" t="s">
        <v>626</v>
      </c>
      <c r="B1320" s="816" t="s">
        <v>7863</v>
      </c>
      <c r="C1320" s="729" t="s">
        <v>627</v>
      </c>
      <c r="D1320" s="924"/>
      <c r="E1320" s="878" t="s">
        <v>1909</v>
      </c>
      <c r="F1320" s="881" t="s">
        <v>6269</v>
      </c>
      <c r="G1320" s="731" t="s">
        <v>3952</v>
      </c>
      <c r="H1320" s="1083">
        <v>42370</v>
      </c>
      <c r="I1320" s="1084">
        <v>42480</v>
      </c>
      <c r="J1320" s="957">
        <v>1542.75</v>
      </c>
    </row>
    <row r="1321" spans="1:10" s="852" customFormat="1" ht="28.5" outlineLevel="2">
      <c r="A1321" s="815" t="s">
        <v>626</v>
      </c>
      <c r="B1321" s="816" t="s">
        <v>7863</v>
      </c>
      <c r="C1321" s="729" t="s">
        <v>627</v>
      </c>
      <c r="D1321" s="924"/>
      <c r="E1321" s="878" t="s">
        <v>1909</v>
      </c>
      <c r="F1321" s="881" t="s">
        <v>6269</v>
      </c>
      <c r="G1321" s="731" t="s">
        <v>3953</v>
      </c>
      <c r="H1321" s="1083">
        <v>42370</v>
      </c>
      <c r="I1321" s="1084">
        <v>42480</v>
      </c>
      <c r="J1321" s="957">
        <v>1542.75</v>
      </c>
    </row>
    <row r="1322" spans="1:10" s="852" customFormat="1" ht="28.5" outlineLevel="2">
      <c r="A1322" s="815" t="s">
        <v>626</v>
      </c>
      <c r="B1322" s="816" t="s">
        <v>7863</v>
      </c>
      <c r="C1322" s="729" t="s">
        <v>627</v>
      </c>
      <c r="D1322" s="924"/>
      <c r="E1322" s="878" t="s">
        <v>1909</v>
      </c>
      <c r="F1322" s="881" t="s">
        <v>6269</v>
      </c>
      <c r="G1322" s="731" t="s">
        <v>3954</v>
      </c>
      <c r="H1322" s="1083">
        <v>42370</v>
      </c>
      <c r="I1322" s="1084">
        <v>42480</v>
      </c>
      <c r="J1322" s="957">
        <v>-1542.75</v>
      </c>
    </row>
    <row r="1323" spans="1:10" s="852" customFormat="1" outlineLevel="1">
      <c r="A1323" s="815"/>
      <c r="B1323" s="816" t="s">
        <v>258</v>
      </c>
      <c r="C1323" s="908" t="s">
        <v>627</v>
      </c>
      <c r="D1323" s="928" t="str">
        <f>VLOOKUP(C1323,$C$3691:$D$3771,2,FALSE)</f>
        <v>TOTAL POUPATEMPO  MAUÁ</v>
      </c>
      <c r="E1323" s="1085"/>
      <c r="F1323" s="929"/>
      <c r="G1323" s="910"/>
      <c r="H1323" s="1086"/>
      <c r="I1323" s="1087"/>
      <c r="J1323" s="930">
        <f>SUBTOTAL(9,J1316:J1322)</f>
        <v>13198.300000000001</v>
      </c>
    </row>
    <row r="1324" spans="1:10" s="852" customFormat="1" outlineLevel="2">
      <c r="A1324" s="815" t="s">
        <v>2227</v>
      </c>
      <c r="B1324" s="816" t="s">
        <v>7869</v>
      </c>
      <c r="C1324" s="729" t="s">
        <v>629</v>
      </c>
      <c r="D1324" s="924"/>
      <c r="E1324" s="878" t="s">
        <v>2221</v>
      </c>
      <c r="F1324" s="881" t="s">
        <v>863</v>
      </c>
      <c r="G1324" s="731" t="s">
        <v>5571</v>
      </c>
      <c r="H1324" s="1083">
        <v>42401</v>
      </c>
      <c r="I1324" s="1084">
        <v>42465</v>
      </c>
      <c r="J1324" s="957">
        <v>8102.08</v>
      </c>
    </row>
    <row r="1325" spans="1:10" s="852" customFormat="1" outlineLevel="2">
      <c r="A1325" s="815" t="s">
        <v>630</v>
      </c>
      <c r="B1325" s="816" t="s">
        <v>7865</v>
      </c>
      <c r="C1325" s="729" t="s">
        <v>629</v>
      </c>
      <c r="D1325" s="924"/>
      <c r="E1325" s="878" t="s">
        <v>533</v>
      </c>
      <c r="F1325" s="881" t="s">
        <v>1094</v>
      </c>
      <c r="G1325" s="731" t="s">
        <v>5767</v>
      </c>
      <c r="H1325" s="1083">
        <v>42430</v>
      </c>
      <c r="I1325" s="1084">
        <v>42489</v>
      </c>
      <c r="J1325" s="957">
        <v>55647.82</v>
      </c>
    </row>
    <row r="1326" spans="1:10" s="852" customFormat="1" outlineLevel="2">
      <c r="A1326" s="815" t="s">
        <v>630</v>
      </c>
      <c r="B1326" s="816" t="s">
        <v>7865</v>
      </c>
      <c r="C1326" s="729" t="s">
        <v>629</v>
      </c>
      <c r="D1326" s="924"/>
      <c r="E1326" s="878" t="s">
        <v>530</v>
      </c>
      <c r="F1326" s="881" t="s">
        <v>1094</v>
      </c>
      <c r="G1326" s="731" t="s">
        <v>5780</v>
      </c>
      <c r="H1326" s="1083">
        <v>42430</v>
      </c>
      <c r="I1326" s="1084">
        <v>42489</v>
      </c>
      <c r="J1326" s="957">
        <v>33388.699999999997</v>
      </c>
    </row>
    <row r="1327" spans="1:10" s="852" customFormat="1" ht="28.5" outlineLevel="2">
      <c r="A1327" s="815" t="s">
        <v>6477</v>
      </c>
      <c r="B1327" s="816" t="s">
        <v>7870</v>
      </c>
      <c r="C1327" s="729" t="s">
        <v>629</v>
      </c>
      <c r="D1327" s="924"/>
      <c r="E1327" s="878" t="s">
        <v>1599</v>
      </c>
      <c r="F1327" s="881" t="s">
        <v>426</v>
      </c>
      <c r="G1327" s="731" t="s">
        <v>5708</v>
      </c>
      <c r="H1327" s="1083">
        <v>42401</v>
      </c>
      <c r="I1327" s="1084">
        <v>42482</v>
      </c>
      <c r="J1327" s="957">
        <v>-2.35</v>
      </c>
    </row>
    <row r="1328" spans="1:10" s="852" customFormat="1" outlineLevel="2">
      <c r="A1328" s="815" t="s">
        <v>6477</v>
      </c>
      <c r="B1328" s="816" t="s">
        <v>7870</v>
      </c>
      <c r="C1328" s="729" t="s">
        <v>629</v>
      </c>
      <c r="D1328" s="924"/>
      <c r="E1328" s="878" t="s">
        <v>1599</v>
      </c>
      <c r="F1328" s="881" t="s">
        <v>2274</v>
      </c>
      <c r="G1328" s="731" t="s">
        <v>5709</v>
      </c>
      <c r="H1328" s="1083">
        <v>42401</v>
      </c>
      <c r="I1328" s="1084">
        <v>42482</v>
      </c>
      <c r="J1328" s="957">
        <v>41.52</v>
      </c>
    </row>
    <row r="1329" spans="1:10" s="852" customFormat="1" outlineLevel="2">
      <c r="A1329" s="815" t="s">
        <v>630</v>
      </c>
      <c r="B1329" s="816" t="s">
        <v>7865</v>
      </c>
      <c r="C1329" s="729" t="s">
        <v>629</v>
      </c>
      <c r="D1329" s="924"/>
      <c r="E1329" s="878" t="s">
        <v>542</v>
      </c>
      <c r="F1329" s="881" t="s">
        <v>1094</v>
      </c>
      <c r="G1329" s="731" t="s">
        <v>5795</v>
      </c>
      <c r="H1329" s="1083">
        <v>42430</v>
      </c>
      <c r="I1329" s="1084">
        <v>42489</v>
      </c>
      <c r="J1329" s="957">
        <v>22259.14</v>
      </c>
    </row>
    <row r="1330" spans="1:10" s="852" customFormat="1" outlineLevel="2">
      <c r="A1330" s="815" t="s">
        <v>630</v>
      </c>
      <c r="B1330" s="816" t="s">
        <v>7865</v>
      </c>
      <c r="C1330" s="729" t="s">
        <v>629</v>
      </c>
      <c r="D1330" s="924"/>
      <c r="E1330" s="878" t="s">
        <v>2336</v>
      </c>
      <c r="F1330" s="881" t="s">
        <v>6022</v>
      </c>
      <c r="G1330" s="731" t="s">
        <v>3957</v>
      </c>
      <c r="H1330" s="1083">
        <v>42401</v>
      </c>
      <c r="I1330" s="1084">
        <v>42480</v>
      </c>
      <c r="J1330" s="957">
        <v>7665.95</v>
      </c>
    </row>
    <row r="1331" spans="1:10" s="852" customFormat="1" outlineLevel="2">
      <c r="A1331" s="815" t="s">
        <v>630</v>
      </c>
      <c r="B1331" s="816" t="s">
        <v>7865</v>
      </c>
      <c r="C1331" s="729" t="s">
        <v>629</v>
      </c>
      <c r="D1331" s="924"/>
      <c r="E1331" s="878" t="s">
        <v>2336</v>
      </c>
      <c r="F1331" s="881" t="s">
        <v>3307</v>
      </c>
      <c r="G1331" s="731" t="s">
        <v>3958</v>
      </c>
      <c r="H1331" s="1083">
        <v>42401</v>
      </c>
      <c r="I1331" s="1084">
        <v>42480</v>
      </c>
      <c r="J1331" s="957">
        <v>4154.99</v>
      </c>
    </row>
    <row r="1332" spans="1:10" s="852" customFormat="1" outlineLevel="2">
      <c r="A1332" s="815" t="s">
        <v>630</v>
      </c>
      <c r="B1332" s="816" t="s">
        <v>7865</v>
      </c>
      <c r="C1332" s="729" t="s">
        <v>629</v>
      </c>
      <c r="D1332" s="924"/>
      <c r="E1332" s="878" t="s">
        <v>2336</v>
      </c>
      <c r="F1332" s="881" t="s">
        <v>3307</v>
      </c>
      <c r="G1332" s="731" t="s">
        <v>3958</v>
      </c>
      <c r="H1332" s="1083">
        <v>42401</v>
      </c>
      <c r="I1332" s="1084">
        <v>42480</v>
      </c>
      <c r="J1332" s="957">
        <v>444.57</v>
      </c>
    </row>
    <row r="1333" spans="1:10" s="852" customFormat="1" outlineLevel="2">
      <c r="A1333" s="815" t="s">
        <v>630</v>
      </c>
      <c r="B1333" s="816" t="s">
        <v>7865</v>
      </c>
      <c r="C1333" s="729" t="s">
        <v>629</v>
      </c>
      <c r="D1333" s="924"/>
      <c r="E1333" s="878" t="s">
        <v>2336</v>
      </c>
      <c r="F1333" s="881" t="s">
        <v>6021</v>
      </c>
      <c r="G1333" s="731" t="s">
        <v>3956</v>
      </c>
      <c r="H1333" s="1083">
        <v>42401</v>
      </c>
      <c r="I1333" s="1084">
        <v>42480</v>
      </c>
      <c r="J1333" s="957">
        <v>3066.38</v>
      </c>
    </row>
    <row r="1334" spans="1:10" s="852" customFormat="1" outlineLevel="2">
      <c r="A1334" s="815" t="s">
        <v>999</v>
      </c>
      <c r="B1334" s="816" t="s">
        <v>7866</v>
      </c>
      <c r="C1334" s="729" t="s">
        <v>629</v>
      </c>
      <c r="D1334" s="924"/>
      <c r="E1334" s="878" t="s">
        <v>2282</v>
      </c>
      <c r="F1334" s="881" t="s">
        <v>3974</v>
      </c>
      <c r="G1334" s="731" t="s">
        <v>2779</v>
      </c>
      <c r="H1334" s="1083">
        <v>42401</v>
      </c>
      <c r="I1334" s="1084">
        <v>42471</v>
      </c>
      <c r="J1334" s="957">
        <v>305.26</v>
      </c>
    </row>
    <row r="1335" spans="1:10" s="852" customFormat="1" outlineLevel="2">
      <c r="A1335" s="815" t="s">
        <v>999</v>
      </c>
      <c r="B1335" s="816" t="s">
        <v>7866</v>
      </c>
      <c r="C1335" s="729" t="s">
        <v>629</v>
      </c>
      <c r="D1335" s="924"/>
      <c r="E1335" s="878" t="s">
        <v>2282</v>
      </c>
      <c r="F1335" s="881" t="s">
        <v>4081</v>
      </c>
      <c r="G1335" s="731" t="s">
        <v>2781</v>
      </c>
      <c r="H1335" s="1083">
        <v>42401</v>
      </c>
      <c r="I1335" s="1084">
        <v>42471</v>
      </c>
      <c r="J1335" s="957">
        <v>9.76</v>
      </c>
    </row>
    <row r="1336" spans="1:10" s="852" customFormat="1" outlineLevel="2">
      <c r="A1336" s="815" t="s">
        <v>999</v>
      </c>
      <c r="B1336" s="816" t="s">
        <v>7866</v>
      </c>
      <c r="C1336" s="729" t="s">
        <v>629</v>
      </c>
      <c r="D1336" s="924"/>
      <c r="E1336" s="878" t="s">
        <v>2282</v>
      </c>
      <c r="F1336" s="881" t="s">
        <v>4165</v>
      </c>
      <c r="G1336" s="731" t="s">
        <v>2782</v>
      </c>
      <c r="H1336" s="1083">
        <v>42401</v>
      </c>
      <c r="I1336" s="1084">
        <v>42471</v>
      </c>
      <c r="J1336" s="957">
        <v>115.17</v>
      </c>
    </row>
    <row r="1337" spans="1:10" s="852" customFormat="1" outlineLevel="2">
      <c r="A1337" s="815" t="s">
        <v>630</v>
      </c>
      <c r="B1337" s="816" t="s">
        <v>7865</v>
      </c>
      <c r="C1337" s="729" t="s">
        <v>629</v>
      </c>
      <c r="D1337" s="924"/>
      <c r="E1337" s="878" t="s">
        <v>2706</v>
      </c>
      <c r="F1337" s="881" t="s">
        <v>6152</v>
      </c>
      <c r="G1337" s="731" t="s">
        <v>3959</v>
      </c>
      <c r="H1337" s="1083">
        <v>42401</v>
      </c>
      <c r="I1337" s="1084">
        <v>42480</v>
      </c>
      <c r="J1337" s="957">
        <v>836.28</v>
      </c>
    </row>
    <row r="1338" spans="1:10" s="852" customFormat="1" outlineLevel="2">
      <c r="A1338" s="815" t="s">
        <v>630</v>
      </c>
      <c r="B1338" s="816" t="s">
        <v>7865</v>
      </c>
      <c r="C1338" s="729" t="s">
        <v>629</v>
      </c>
      <c r="D1338" s="924"/>
      <c r="E1338" s="878" t="s">
        <v>2706</v>
      </c>
      <c r="F1338" s="881" t="s">
        <v>3310</v>
      </c>
      <c r="G1338" s="731" t="s">
        <v>3960</v>
      </c>
      <c r="H1338" s="1083">
        <v>42401</v>
      </c>
      <c r="I1338" s="1084">
        <v>42480</v>
      </c>
      <c r="J1338" s="957">
        <v>1133.18</v>
      </c>
    </row>
    <row r="1339" spans="1:10" s="852" customFormat="1" outlineLevel="2">
      <c r="A1339" s="815" t="s">
        <v>630</v>
      </c>
      <c r="B1339" s="816" t="s">
        <v>7865</v>
      </c>
      <c r="C1339" s="729" t="s">
        <v>629</v>
      </c>
      <c r="D1339" s="924"/>
      <c r="E1339" s="878" t="s">
        <v>2706</v>
      </c>
      <c r="F1339" s="881" t="s">
        <v>3310</v>
      </c>
      <c r="G1339" s="731" t="s">
        <v>3960</v>
      </c>
      <c r="H1339" s="1083">
        <v>42401</v>
      </c>
      <c r="I1339" s="1084">
        <v>42480</v>
      </c>
      <c r="J1339" s="957">
        <v>121.24</v>
      </c>
    </row>
    <row r="1340" spans="1:10" s="852" customFormat="1" outlineLevel="2">
      <c r="A1340" s="815" t="s">
        <v>630</v>
      </c>
      <c r="B1340" s="816" t="s">
        <v>7865</v>
      </c>
      <c r="C1340" s="729" t="s">
        <v>629</v>
      </c>
      <c r="D1340" s="924"/>
      <c r="E1340" s="878" t="s">
        <v>2706</v>
      </c>
      <c r="F1340" s="881" t="s">
        <v>5512</v>
      </c>
      <c r="G1340" s="731" t="s">
        <v>3961</v>
      </c>
      <c r="H1340" s="1083">
        <v>42401</v>
      </c>
      <c r="I1340" s="1084">
        <v>42480</v>
      </c>
      <c r="J1340" s="957">
        <v>2090.73</v>
      </c>
    </row>
    <row r="1341" spans="1:10" s="852" customFormat="1" outlineLevel="2">
      <c r="A1341" s="815" t="s">
        <v>630</v>
      </c>
      <c r="B1341" s="816" t="s">
        <v>7865</v>
      </c>
      <c r="C1341" s="729" t="s">
        <v>629</v>
      </c>
      <c r="D1341" s="924"/>
      <c r="E1341" s="878" t="s">
        <v>1909</v>
      </c>
      <c r="F1341" s="881" t="s">
        <v>6271</v>
      </c>
      <c r="G1341" s="731" t="s">
        <v>3963</v>
      </c>
      <c r="H1341" s="1083">
        <v>42401</v>
      </c>
      <c r="I1341" s="1084">
        <v>42480</v>
      </c>
      <c r="J1341" s="957">
        <v>1045.3599999999999</v>
      </c>
    </row>
    <row r="1342" spans="1:10" s="852" customFormat="1" outlineLevel="2">
      <c r="A1342" s="815" t="s">
        <v>999</v>
      </c>
      <c r="B1342" s="816" t="s">
        <v>7866</v>
      </c>
      <c r="C1342" s="729" t="s">
        <v>629</v>
      </c>
      <c r="D1342" s="924"/>
      <c r="E1342" s="878" t="s">
        <v>1909</v>
      </c>
      <c r="F1342" s="881" t="s">
        <v>3935</v>
      </c>
      <c r="G1342" s="731" t="s">
        <v>2817</v>
      </c>
      <c r="H1342" s="1083">
        <v>42401</v>
      </c>
      <c r="I1342" s="1084">
        <v>42480</v>
      </c>
      <c r="J1342" s="957">
        <v>91.57</v>
      </c>
    </row>
    <row r="1343" spans="1:10" s="852" customFormat="1" outlineLevel="2">
      <c r="A1343" s="815" t="s">
        <v>999</v>
      </c>
      <c r="B1343" s="816" t="s">
        <v>7866</v>
      </c>
      <c r="C1343" s="729" t="s">
        <v>629</v>
      </c>
      <c r="D1343" s="924"/>
      <c r="E1343" s="878" t="s">
        <v>1909</v>
      </c>
      <c r="F1343" s="881" t="s">
        <v>4027</v>
      </c>
      <c r="G1343" s="731" t="s">
        <v>2819</v>
      </c>
      <c r="H1343" s="1083">
        <v>42401</v>
      </c>
      <c r="I1343" s="1084">
        <v>42480</v>
      </c>
      <c r="J1343" s="957">
        <v>2.92</v>
      </c>
    </row>
    <row r="1344" spans="1:10" s="852" customFormat="1" outlineLevel="2">
      <c r="A1344" s="815" t="s">
        <v>999</v>
      </c>
      <c r="B1344" s="816" t="s">
        <v>7866</v>
      </c>
      <c r="C1344" s="729" t="s">
        <v>629</v>
      </c>
      <c r="D1344" s="924"/>
      <c r="E1344" s="878" t="s">
        <v>1909</v>
      </c>
      <c r="F1344" s="881" t="s">
        <v>4129</v>
      </c>
      <c r="G1344" s="731" t="s">
        <v>2821</v>
      </c>
      <c r="H1344" s="1083">
        <v>42401</v>
      </c>
      <c r="I1344" s="1084">
        <v>42480</v>
      </c>
      <c r="J1344" s="957">
        <v>34.549999999999997</v>
      </c>
    </row>
    <row r="1345" spans="1:10" s="852" customFormat="1" outlineLevel="2">
      <c r="A1345" s="815" t="s">
        <v>630</v>
      </c>
      <c r="B1345" s="816" t="s">
        <v>7865</v>
      </c>
      <c r="C1345" s="729" t="s">
        <v>629</v>
      </c>
      <c r="D1345" s="924"/>
      <c r="E1345" s="878" t="s">
        <v>1909</v>
      </c>
      <c r="F1345" s="881" t="s">
        <v>3304</v>
      </c>
      <c r="G1345" s="731" t="s">
        <v>3964</v>
      </c>
      <c r="H1345" s="1083">
        <v>42401</v>
      </c>
      <c r="I1345" s="1084">
        <v>42480</v>
      </c>
      <c r="J1345" s="957">
        <v>566.58000000000004</v>
      </c>
    </row>
    <row r="1346" spans="1:10" s="852" customFormat="1" outlineLevel="2">
      <c r="A1346" s="815" t="s">
        <v>630</v>
      </c>
      <c r="B1346" s="816" t="s">
        <v>7865</v>
      </c>
      <c r="C1346" s="729" t="s">
        <v>629</v>
      </c>
      <c r="D1346" s="924"/>
      <c r="E1346" s="878" t="s">
        <v>1909</v>
      </c>
      <c r="F1346" s="881" t="s">
        <v>3304</v>
      </c>
      <c r="G1346" s="731" t="s">
        <v>3964</v>
      </c>
      <c r="H1346" s="1083">
        <v>42401</v>
      </c>
      <c r="I1346" s="1084">
        <v>42480</v>
      </c>
      <c r="J1346" s="957">
        <v>60.62</v>
      </c>
    </row>
    <row r="1347" spans="1:10" s="852" customFormat="1" outlineLevel="2">
      <c r="A1347" s="815" t="s">
        <v>630</v>
      </c>
      <c r="B1347" s="816" t="s">
        <v>7865</v>
      </c>
      <c r="C1347" s="729" t="s">
        <v>629</v>
      </c>
      <c r="D1347" s="924"/>
      <c r="E1347" s="878" t="s">
        <v>1909</v>
      </c>
      <c r="F1347" s="881" t="s">
        <v>6270</v>
      </c>
      <c r="G1347" s="731" t="s">
        <v>3962</v>
      </c>
      <c r="H1347" s="1083">
        <v>42401</v>
      </c>
      <c r="I1347" s="1084">
        <v>42480</v>
      </c>
      <c r="J1347" s="957">
        <v>418.14</v>
      </c>
    </row>
    <row r="1348" spans="1:10" s="852" customFormat="1" ht="28.5" outlineLevel="2">
      <c r="A1348" s="815" t="s">
        <v>630</v>
      </c>
      <c r="B1348" s="816" t="s">
        <v>7865</v>
      </c>
      <c r="C1348" s="729" t="s">
        <v>629</v>
      </c>
      <c r="D1348" s="924"/>
      <c r="E1348" s="878" t="s">
        <v>1909</v>
      </c>
      <c r="F1348" s="881" t="s">
        <v>4754</v>
      </c>
      <c r="G1348" s="731" t="s">
        <v>3966</v>
      </c>
      <c r="H1348" s="1083">
        <v>42401</v>
      </c>
      <c r="I1348" s="1084">
        <v>42480</v>
      </c>
      <c r="J1348" s="957">
        <v>3240.6</v>
      </c>
    </row>
    <row r="1349" spans="1:10" s="852" customFormat="1" ht="28.5" outlineLevel="2">
      <c r="A1349" s="815" t="s">
        <v>999</v>
      </c>
      <c r="B1349" s="816" t="s">
        <v>7866</v>
      </c>
      <c r="C1349" s="729" t="s">
        <v>629</v>
      </c>
      <c r="D1349" s="924"/>
      <c r="E1349" s="878" t="s">
        <v>1909</v>
      </c>
      <c r="F1349" s="881" t="s">
        <v>4956</v>
      </c>
      <c r="G1349" s="731" t="s">
        <v>2833</v>
      </c>
      <c r="H1349" s="1083">
        <v>42401</v>
      </c>
      <c r="I1349" s="1084">
        <v>42480</v>
      </c>
      <c r="J1349" s="957">
        <v>283.89</v>
      </c>
    </row>
    <row r="1350" spans="1:10" s="852" customFormat="1" ht="28.5" outlineLevel="2">
      <c r="A1350" s="815" t="s">
        <v>999</v>
      </c>
      <c r="B1350" s="816" t="s">
        <v>7866</v>
      </c>
      <c r="C1350" s="729" t="s">
        <v>629</v>
      </c>
      <c r="D1350" s="924"/>
      <c r="E1350" s="878" t="s">
        <v>1909</v>
      </c>
      <c r="F1350" s="881" t="s">
        <v>4903</v>
      </c>
      <c r="G1350" s="731" t="s">
        <v>2832</v>
      </c>
      <c r="H1350" s="1083">
        <v>42401</v>
      </c>
      <c r="I1350" s="1084">
        <v>42480</v>
      </c>
      <c r="J1350" s="957">
        <v>9.07</v>
      </c>
    </row>
    <row r="1351" spans="1:10" s="852" customFormat="1" ht="28.5" outlineLevel="2">
      <c r="A1351" s="815" t="s">
        <v>999</v>
      </c>
      <c r="B1351" s="816" t="s">
        <v>7866</v>
      </c>
      <c r="C1351" s="729" t="s">
        <v>629</v>
      </c>
      <c r="D1351" s="924"/>
      <c r="E1351" s="878" t="s">
        <v>1909</v>
      </c>
      <c r="F1351" s="881" t="s">
        <v>4853</v>
      </c>
      <c r="G1351" s="731" t="s">
        <v>2831</v>
      </c>
      <c r="H1351" s="1083">
        <v>42401</v>
      </c>
      <c r="I1351" s="1084">
        <v>42480</v>
      </c>
      <c r="J1351" s="957">
        <v>107.11</v>
      </c>
    </row>
    <row r="1352" spans="1:10" s="852" customFormat="1" ht="28.5" outlineLevel="2">
      <c r="A1352" s="815" t="s">
        <v>630</v>
      </c>
      <c r="B1352" s="816" t="s">
        <v>7865</v>
      </c>
      <c r="C1352" s="729" t="s">
        <v>629</v>
      </c>
      <c r="D1352" s="924"/>
      <c r="E1352" s="878" t="s">
        <v>1909</v>
      </c>
      <c r="F1352" s="881" t="s">
        <v>4718</v>
      </c>
      <c r="G1352" s="731" t="s">
        <v>3965</v>
      </c>
      <c r="H1352" s="1083">
        <v>42401</v>
      </c>
      <c r="I1352" s="1084">
        <v>42480</v>
      </c>
      <c r="J1352" s="957">
        <v>1756.42</v>
      </c>
    </row>
    <row r="1353" spans="1:10" s="852" customFormat="1" ht="28.5" outlineLevel="2">
      <c r="A1353" s="815" t="s">
        <v>630</v>
      </c>
      <c r="B1353" s="816" t="s">
        <v>7865</v>
      </c>
      <c r="C1353" s="729" t="s">
        <v>629</v>
      </c>
      <c r="D1353" s="924"/>
      <c r="E1353" s="878" t="s">
        <v>1909</v>
      </c>
      <c r="F1353" s="881" t="s">
        <v>4718</v>
      </c>
      <c r="G1353" s="731" t="s">
        <v>3965</v>
      </c>
      <c r="H1353" s="1083">
        <v>42401</v>
      </c>
      <c r="I1353" s="1084">
        <v>42480</v>
      </c>
      <c r="J1353" s="957">
        <v>187.93</v>
      </c>
    </row>
    <row r="1354" spans="1:10" s="852" customFormat="1" ht="28.5" outlineLevel="2">
      <c r="A1354" s="815" t="s">
        <v>630</v>
      </c>
      <c r="B1354" s="816" t="s">
        <v>7865</v>
      </c>
      <c r="C1354" s="729" t="s">
        <v>629</v>
      </c>
      <c r="D1354" s="924"/>
      <c r="E1354" s="878" t="s">
        <v>1909</v>
      </c>
      <c r="F1354" s="881" t="s">
        <v>5018</v>
      </c>
      <c r="G1354" s="731" t="s">
        <v>3967</v>
      </c>
      <c r="H1354" s="1083">
        <v>42401</v>
      </c>
      <c r="I1354" s="1084">
        <v>42480</v>
      </c>
      <c r="J1354" s="957">
        <v>1296.24</v>
      </c>
    </row>
    <row r="1355" spans="1:10" s="852" customFormat="1" outlineLevel="1">
      <c r="A1355" s="815"/>
      <c r="B1355" s="816" t="s">
        <v>258</v>
      </c>
      <c r="C1355" s="908" t="s">
        <v>629</v>
      </c>
      <c r="D1355" s="928" t="str">
        <f>VLOOKUP(C1355,$C$3691:$D$3771,2,FALSE)</f>
        <v>TOTAL POUPATEMPO  MOGI GUAÇU</v>
      </c>
      <c r="E1355" s="1085"/>
      <c r="F1355" s="929"/>
      <c r="G1355" s="910"/>
      <c r="H1355" s="1086"/>
      <c r="I1355" s="1087"/>
      <c r="J1355" s="930">
        <f>SUBTOTAL(9,J1324:J1354)</f>
        <v>148481.42000000004</v>
      </c>
    </row>
    <row r="1356" spans="1:10" s="852" customFormat="1" outlineLevel="2">
      <c r="A1356" s="815" t="s">
        <v>2247</v>
      </c>
      <c r="B1356" s="816" t="s">
        <v>7869</v>
      </c>
      <c r="C1356" s="729" t="s">
        <v>632</v>
      </c>
      <c r="D1356" s="924"/>
      <c r="E1356" s="878" t="s">
        <v>2221</v>
      </c>
      <c r="F1356" s="881" t="s">
        <v>863</v>
      </c>
      <c r="G1356" s="731" t="s">
        <v>5571</v>
      </c>
      <c r="H1356" s="1083">
        <v>42401</v>
      </c>
      <c r="I1356" s="1084">
        <v>42465</v>
      </c>
      <c r="J1356" s="957">
        <v>8102.08</v>
      </c>
    </row>
    <row r="1357" spans="1:10" s="852" customFormat="1" outlineLevel="2">
      <c r="A1357" s="815" t="s">
        <v>6457</v>
      </c>
      <c r="B1357" s="816" t="s">
        <v>7863</v>
      </c>
      <c r="C1357" s="729" t="s">
        <v>632</v>
      </c>
      <c r="D1357" s="924"/>
      <c r="E1357" s="878" t="s">
        <v>483</v>
      </c>
      <c r="F1357" s="881" t="s">
        <v>2208</v>
      </c>
      <c r="G1357" s="731" t="str">
        <f>"17006"</f>
        <v>17006</v>
      </c>
      <c r="H1357" s="1083">
        <v>42401</v>
      </c>
      <c r="I1357" s="1084">
        <v>42475</v>
      </c>
      <c r="J1357" s="957">
        <v>12490.28</v>
      </c>
    </row>
    <row r="1358" spans="1:10" s="852" customFormat="1" outlineLevel="2">
      <c r="A1358" s="815" t="s">
        <v>5958</v>
      </c>
      <c r="B1358" s="816" t="s">
        <v>7864</v>
      </c>
      <c r="C1358" s="729" t="s">
        <v>632</v>
      </c>
      <c r="D1358" s="924"/>
      <c r="E1358" s="878" t="s">
        <v>6470</v>
      </c>
      <c r="F1358" s="881" t="s">
        <v>434</v>
      </c>
      <c r="G1358" s="731" t="str">
        <f>"2589"</f>
        <v>2589</v>
      </c>
      <c r="H1358" s="1083">
        <v>42370</v>
      </c>
      <c r="I1358" s="1084">
        <v>42478</v>
      </c>
      <c r="J1358" s="957">
        <v>-1928.89</v>
      </c>
    </row>
    <row r="1359" spans="1:10" s="852" customFormat="1" outlineLevel="2">
      <c r="A1359" s="815" t="s">
        <v>5958</v>
      </c>
      <c r="B1359" s="816" t="s">
        <v>7864</v>
      </c>
      <c r="C1359" s="729" t="s">
        <v>632</v>
      </c>
      <c r="D1359" s="924"/>
      <c r="E1359" s="878" t="s">
        <v>6470</v>
      </c>
      <c r="F1359" s="881" t="s">
        <v>434</v>
      </c>
      <c r="G1359" s="731" t="str">
        <f>"2589"</f>
        <v>2589</v>
      </c>
      <c r="H1359" s="1083">
        <v>42370</v>
      </c>
      <c r="I1359" s="1084">
        <v>42478</v>
      </c>
      <c r="J1359" s="957">
        <v>1928.9</v>
      </c>
    </row>
    <row r="1360" spans="1:10" s="852" customFormat="1" outlineLevel="2">
      <c r="A1360" s="815" t="s">
        <v>5958</v>
      </c>
      <c r="B1360" s="816" t="s">
        <v>7864</v>
      </c>
      <c r="C1360" s="729" t="s">
        <v>632</v>
      </c>
      <c r="D1360" s="924"/>
      <c r="E1360" s="878" t="s">
        <v>6470</v>
      </c>
      <c r="F1360" s="881" t="s">
        <v>434</v>
      </c>
      <c r="G1360" s="731" t="str">
        <f>"2589"</f>
        <v>2589</v>
      </c>
      <c r="H1360" s="1083">
        <v>42370</v>
      </c>
      <c r="I1360" s="1084">
        <v>42478</v>
      </c>
      <c r="J1360" s="957">
        <v>1928.89</v>
      </c>
    </row>
    <row r="1361" spans="1:10" s="852" customFormat="1" outlineLevel="2">
      <c r="A1361" s="815" t="s">
        <v>5958</v>
      </c>
      <c r="B1361" s="816" t="s">
        <v>7864</v>
      </c>
      <c r="C1361" s="729" t="s">
        <v>632</v>
      </c>
      <c r="D1361" s="924"/>
      <c r="E1361" s="878" t="s">
        <v>6470</v>
      </c>
      <c r="F1361" s="881" t="s">
        <v>434</v>
      </c>
      <c r="G1361" s="731" t="str">
        <f>"2589"</f>
        <v>2589</v>
      </c>
      <c r="H1361" s="1083">
        <v>42370</v>
      </c>
      <c r="I1361" s="1084">
        <v>42478</v>
      </c>
      <c r="J1361" s="957">
        <v>1928.89</v>
      </c>
    </row>
    <row r="1362" spans="1:10" s="852" customFormat="1" outlineLevel="2">
      <c r="A1362" s="815" t="s">
        <v>5958</v>
      </c>
      <c r="B1362" s="816" t="s">
        <v>7864</v>
      </c>
      <c r="C1362" s="729" t="s">
        <v>632</v>
      </c>
      <c r="D1362" s="924"/>
      <c r="E1362" s="878" t="s">
        <v>6470</v>
      </c>
      <c r="F1362" s="881" t="s">
        <v>434</v>
      </c>
      <c r="G1362" s="731" t="str">
        <f>"2589"</f>
        <v>2589</v>
      </c>
      <c r="H1362" s="1083">
        <v>42370</v>
      </c>
      <c r="I1362" s="1084">
        <v>42478</v>
      </c>
      <c r="J1362" s="957">
        <v>-1928.89</v>
      </c>
    </row>
    <row r="1363" spans="1:10" s="852" customFormat="1" outlineLevel="2">
      <c r="A1363" s="815" t="s">
        <v>635</v>
      </c>
      <c r="B1363" s="816" t="s">
        <v>7863</v>
      </c>
      <c r="C1363" s="729" t="s">
        <v>632</v>
      </c>
      <c r="D1363" s="924"/>
      <c r="E1363" s="878" t="s">
        <v>2336</v>
      </c>
      <c r="F1363" s="881" t="s">
        <v>4256</v>
      </c>
      <c r="G1363" s="731" t="s">
        <v>3973</v>
      </c>
      <c r="H1363" s="1083">
        <v>42401</v>
      </c>
      <c r="I1363" s="1084">
        <v>42480</v>
      </c>
      <c r="J1363" s="957">
        <v>1688.91</v>
      </c>
    </row>
    <row r="1364" spans="1:10" s="852" customFormat="1" outlineLevel="2">
      <c r="A1364" s="815" t="s">
        <v>634</v>
      </c>
      <c r="B1364" s="816" t="s">
        <v>7864</v>
      </c>
      <c r="C1364" s="729" t="s">
        <v>632</v>
      </c>
      <c r="D1364" s="924"/>
      <c r="E1364" s="878" t="s">
        <v>2336</v>
      </c>
      <c r="F1364" s="881" t="s">
        <v>6024</v>
      </c>
      <c r="G1364" s="731" t="s">
        <v>3969</v>
      </c>
      <c r="H1364" s="1083">
        <v>42401</v>
      </c>
      <c r="I1364" s="1084">
        <v>42480</v>
      </c>
      <c r="J1364" s="957">
        <v>260.82</v>
      </c>
    </row>
    <row r="1365" spans="1:10" s="852" customFormat="1" outlineLevel="2">
      <c r="A1365" s="815" t="s">
        <v>634</v>
      </c>
      <c r="B1365" s="816" t="s">
        <v>7864</v>
      </c>
      <c r="C1365" s="729" t="s">
        <v>632</v>
      </c>
      <c r="D1365" s="924"/>
      <c r="E1365" s="878" t="s">
        <v>2336</v>
      </c>
      <c r="F1365" s="881" t="s">
        <v>6023</v>
      </c>
      <c r="G1365" s="731" t="s">
        <v>3968</v>
      </c>
      <c r="H1365" s="1083">
        <v>42401</v>
      </c>
      <c r="I1365" s="1084">
        <v>42480</v>
      </c>
      <c r="J1365" s="957">
        <v>171.59</v>
      </c>
    </row>
    <row r="1366" spans="1:10" s="852" customFormat="1" outlineLevel="2">
      <c r="A1366" s="815" t="s">
        <v>634</v>
      </c>
      <c r="B1366" s="816" t="s">
        <v>7864</v>
      </c>
      <c r="C1366" s="729" t="s">
        <v>632</v>
      </c>
      <c r="D1366" s="924"/>
      <c r="E1366" s="878" t="s">
        <v>2336</v>
      </c>
      <c r="F1366" s="881" t="s">
        <v>2964</v>
      </c>
      <c r="G1366" s="731" t="s">
        <v>3970</v>
      </c>
      <c r="H1366" s="1083">
        <v>42401</v>
      </c>
      <c r="I1366" s="1084">
        <v>42480</v>
      </c>
      <c r="J1366" s="957">
        <v>253.96</v>
      </c>
    </row>
    <row r="1367" spans="1:10" s="852" customFormat="1" outlineLevel="2">
      <c r="A1367" s="815" t="s">
        <v>633</v>
      </c>
      <c r="B1367" s="816" t="s">
        <v>7865</v>
      </c>
      <c r="C1367" s="729" t="s">
        <v>632</v>
      </c>
      <c r="D1367" s="924"/>
      <c r="E1367" s="878" t="s">
        <v>2336</v>
      </c>
      <c r="F1367" s="881" t="s">
        <v>3358</v>
      </c>
      <c r="G1367" s="731" t="s">
        <v>3972</v>
      </c>
      <c r="H1367" s="1083">
        <v>42401</v>
      </c>
      <c r="I1367" s="1084">
        <v>42480</v>
      </c>
      <c r="J1367" s="957">
        <v>3569.06</v>
      </c>
    </row>
    <row r="1368" spans="1:10" s="852" customFormat="1" outlineLevel="2">
      <c r="A1368" s="815" t="s">
        <v>633</v>
      </c>
      <c r="B1368" s="816" t="s">
        <v>7865</v>
      </c>
      <c r="C1368" s="729" t="s">
        <v>632</v>
      </c>
      <c r="D1368" s="924"/>
      <c r="E1368" s="878" t="s">
        <v>2336</v>
      </c>
      <c r="F1368" s="881" t="s">
        <v>3344</v>
      </c>
      <c r="G1368" s="731" t="s">
        <v>3971</v>
      </c>
      <c r="H1368" s="1083">
        <v>42401</v>
      </c>
      <c r="I1368" s="1084">
        <v>42480</v>
      </c>
      <c r="J1368" s="957">
        <v>5353.59</v>
      </c>
    </row>
    <row r="1369" spans="1:10" s="852" customFormat="1" outlineLevel="2">
      <c r="A1369" s="815" t="s">
        <v>5958</v>
      </c>
      <c r="B1369" s="816" t="s">
        <v>7864</v>
      </c>
      <c r="C1369" s="729" t="s">
        <v>632</v>
      </c>
      <c r="D1369" s="924"/>
      <c r="E1369" s="878" t="s">
        <v>2717</v>
      </c>
      <c r="F1369" s="881" t="s">
        <v>434</v>
      </c>
      <c r="G1369" s="731" t="str">
        <f>"3512"</f>
        <v>3512</v>
      </c>
      <c r="H1369" s="1083">
        <v>42401</v>
      </c>
      <c r="I1369" s="1084">
        <v>42467</v>
      </c>
      <c r="J1369" s="957">
        <v>1269</v>
      </c>
    </row>
    <row r="1370" spans="1:10" s="852" customFormat="1" outlineLevel="2">
      <c r="A1370" s="815" t="s">
        <v>5958</v>
      </c>
      <c r="B1370" s="816" t="s">
        <v>7864</v>
      </c>
      <c r="C1370" s="729" t="s">
        <v>632</v>
      </c>
      <c r="D1370" s="924"/>
      <c r="E1370" s="878" t="s">
        <v>409</v>
      </c>
      <c r="F1370" s="881" t="s">
        <v>434</v>
      </c>
      <c r="G1370" s="731" t="str">
        <f>"6686"</f>
        <v>6686</v>
      </c>
      <c r="H1370" s="1083">
        <v>42401</v>
      </c>
      <c r="I1370" s="1084">
        <v>42475</v>
      </c>
      <c r="J1370" s="957">
        <v>1878.13</v>
      </c>
    </row>
    <row r="1371" spans="1:10" s="852" customFormat="1" outlineLevel="2">
      <c r="A1371" s="815" t="s">
        <v>633</v>
      </c>
      <c r="B1371" s="816" t="s">
        <v>7865</v>
      </c>
      <c r="C1371" s="729" t="s">
        <v>632</v>
      </c>
      <c r="D1371" s="924"/>
      <c r="E1371" s="878" t="s">
        <v>484</v>
      </c>
      <c r="F1371" s="881" t="s">
        <v>1094</v>
      </c>
      <c r="G1371" s="731" t="s">
        <v>5800</v>
      </c>
      <c r="H1371" s="1083">
        <v>42430</v>
      </c>
      <c r="I1371" s="1084">
        <v>42489</v>
      </c>
      <c r="J1371" s="957">
        <v>48846.17</v>
      </c>
    </row>
    <row r="1372" spans="1:10" s="852" customFormat="1" outlineLevel="2">
      <c r="A1372" s="815" t="s">
        <v>1021</v>
      </c>
      <c r="B1372" s="816" t="s">
        <v>7866</v>
      </c>
      <c r="C1372" s="729" t="s">
        <v>632</v>
      </c>
      <c r="D1372" s="924"/>
      <c r="E1372" s="878" t="s">
        <v>2282</v>
      </c>
      <c r="F1372" s="881" t="s">
        <v>3974</v>
      </c>
      <c r="G1372" s="731" t="s">
        <v>2779</v>
      </c>
      <c r="H1372" s="1083">
        <v>42401</v>
      </c>
      <c r="I1372" s="1084">
        <v>42471</v>
      </c>
      <c r="J1372" s="957">
        <v>351.38</v>
      </c>
    </row>
    <row r="1373" spans="1:10" s="852" customFormat="1" outlineLevel="2">
      <c r="A1373" s="815" t="s">
        <v>1021</v>
      </c>
      <c r="B1373" s="816" t="s">
        <v>7866</v>
      </c>
      <c r="C1373" s="729" t="s">
        <v>632</v>
      </c>
      <c r="D1373" s="924"/>
      <c r="E1373" s="878" t="s">
        <v>2282</v>
      </c>
      <c r="F1373" s="881" t="s">
        <v>4081</v>
      </c>
      <c r="G1373" s="731" t="s">
        <v>2781</v>
      </c>
      <c r="H1373" s="1083">
        <v>42401</v>
      </c>
      <c r="I1373" s="1084">
        <v>42471</v>
      </c>
      <c r="J1373" s="957">
        <v>11.23</v>
      </c>
    </row>
    <row r="1374" spans="1:10" s="852" customFormat="1" outlineLevel="2">
      <c r="A1374" s="815" t="s">
        <v>1021</v>
      </c>
      <c r="B1374" s="816" t="s">
        <v>7866</v>
      </c>
      <c r="C1374" s="729" t="s">
        <v>632</v>
      </c>
      <c r="D1374" s="924"/>
      <c r="E1374" s="878" t="s">
        <v>2282</v>
      </c>
      <c r="F1374" s="881" t="s">
        <v>4165</v>
      </c>
      <c r="G1374" s="731" t="s">
        <v>2782</v>
      </c>
      <c r="H1374" s="1083">
        <v>42401</v>
      </c>
      <c r="I1374" s="1084">
        <v>42471</v>
      </c>
      <c r="J1374" s="957">
        <v>132.57</v>
      </c>
    </row>
    <row r="1375" spans="1:10" s="852" customFormat="1" outlineLevel="2">
      <c r="A1375" s="815" t="s">
        <v>634</v>
      </c>
      <c r="B1375" s="816" t="s">
        <v>7864</v>
      </c>
      <c r="C1375" s="729" t="s">
        <v>632</v>
      </c>
      <c r="D1375" s="924"/>
      <c r="E1375" s="878" t="s">
        <v>2707</v>
      </c>
      <c r="F1375" s="881" t="s">
        <v>6156</v>
      </c>
      <c r="G1375" s="731" t="s">
        <v>3975</v>
      </c>
      <c r="H1375" s="1083">
        <v>42401</v>
      </c>
      <c r="I1375" s="1084">
        <v>42471</v>
      </c>
      <c r="J1375" s="957">
        <v>31.2</v>
      </c>
    </row>
    <row r="1376" spans="1:10" s="852" customFormat="1" outlineLevel="2">
      <c r="A1376" s="815" t="s">
        <v>634</v>
      </c>
      <c r="B1376" s="816" t="s">
        <v>7864</v>
      </c>
      <c r="C1376" s="729" t="s">
        <v>632</v>
      </c>
      <c r="D1376" s="924"/>
      <c r="E1376" s="878" t="s">
        <v>2707</v>
      </c>
      <c r="F1376" s="881" t="s">
        <v>6157</v>
      </c>
      <c r="G1376" s="731" t="s">
        <v>3976</v>
      </c>
      <c r="H1376" s="1083">
        <v>42401</v>
      </c>
      <c r="I1376" s="1084">
        <v>42471</v>
      </c>
      <c r="J1376" s="957">
        <v>47.42</v>
      </c>
    </row>
    <row r="1377" spans="1:10" s="852" customFormat="1" outlineLevel="2">
      <c r="A1377" s="815" t="s">
        <v>634</v>
      </c>
      <c r="B1377" s="816" t="s">
        <v>7864</v>
      </c>
      <c r="C1377" s="729" t="s">
        <v>632</v>
      </c>
      <c r="D1377" s="924"/>
      <c r="E1377" s="878" t="s">
        <v>2707</v>
      </c>
      <c r="F1377" s="881" t="s">
        <v>2965</v>
      </c>
      <c r="G1377" s="731" t="s">
        <v>3977</v>
      </c>
      <c r="H1377" s="1083">
        <v>42401</v>
      </c>
      <c r="I1377" s="1084">
        <v>42471</v>
      </c>
      <c r="J1377" s="957">
        <v>46.17</v>
      </c>
    </row>
    <row r="1378" spans="1:10" s="852" customFormat="1" outlineLevel="2">
      <c r="A1378" s="815" t="s">
        <v>633</v>
      </c>
      <c r="B1378" s="816" t="s">
        <v>7865</v>
      </c>
      <c r="C1378" s="729" t="s">
        <v>632</v>
      </c>
      <c r="D1378" s="924"/>
      <c r="E1378" s="878" t="s">
        <v>2707</v>
      </c>
      <c r="F1378" s="881" t="s">
        <v>3345</v>
      </c>
      <c r="G1378" s="731" t="s">
        <v>3978</v>
      </c>
      <c r="H1378" s="1083">
        <v>42401</v>
      </c>
      <c r="I1378" s="1084">
        <v>42471</v>
      </c>
      <c r="J1378" s="957">
        <v>1711.98</v>
      </c>
    </row>
    <row r="1379" spans="1:10" s="852" customFormat="1" outlineLevel="2">
      <c r="A1379" s="815" t="s">
        <v>633</v>
      </c>
      <c r="B1379" s="816" t="s">
        <v>7865</v>
      </c>
      <c r="C1379" s="729" t="s">
        <v>632</v>
      </c>
      <c r="D1379" s="924"/>
      <c r="E1379" s="878" t="s">
        <v>2707</v>
      </c>
      <c r="F1379" s="881" t="s">
        <v>3359</v>
      </c>
      <c r="G1379" s="731" t="s">
        <v>3979</v>
      </c>
      <c r="H1379" s="1083">
        <v>42401</v>
      </c>
      <c r="I1379" s="1084">
        <v>42471</v>
      </c>
      <c r="J1379" s="957">
        <v>1141.32</v>
      </c>
    </row>
    <row r="1380" spans="1:10" s="852" customFormat="1" outlineLevel="2">
      <c r="A1380" s="815" t="s">
        <v>635</v>
      </c>
      <c r="B1380" s="816" t="s">
        <v>7863</v>
      </c>
      <c r="C1380" s="729" t="s">
        <v>632</v>
      </c>
      <c r="D1380" s="924"/>
      <c r="E1380" s="878" t="s">
        <v>2707</v>
      </c>
      <c r="F1380" s="881" t="s">
        <v>4258</v>
      </c>
      <c r="G1380" s="731" t="s">
        <v>3980</v>
      </c>
      <c r="H1380" s="1083">
        <v>42401</v>
      </c>
      <c r="I1380" s="1084">
        <v>42471</v>
      </c>
      <c r="J1380" s="957">
        <v>307.08</v>
      </c>
    </row>
    <row r="1381" spans="1:10" s="852" customFormat="1" outlineLevel="2">
      <c r="A1381" s="815" t="s">
        <v>633</v>
      </c>
      <c r="B1381" s="816" t="s">
        <v>7865</v>
      </c>
      <c r="C1381" s="729" t="s">
        <v>632</v>
      </c>
      <c r="D1381" s="924"/>
      <c r="E1381" s="878" t="s">
        <v>508</v>
      </c>
      <c r="F1381" s="881" t="s">
        <v>1094</v>
      </c>
      <c r="G1381" s="731" t="s">
        <v>5817</v>
      </c>
      <c r="H1381" s="1083">
        <v>42430</v>
      </c>
      <c r="I1381" s="1084">
        <v>42489</v>
      </c>
      <c r="J1381" s="957">
        <v>73269.25</v>
      </c>
    </row>
    <row r="1382" spans="1:10" s="852" customFormat="1" outlineLevel="2">
      <c r="A1382" s="815" t="s">
        <v>1021</v>
      </c>
      <c r="B1382" s="816" t="s">
        <v>7866</v>
      </c>
      <c r="C1382" s="729" t="s">
        <v>632</v>
      </c>
      <c r="D1382" s="924"/>
      <c r="E1382" s="878" t="s">
        <v>1909</v>
      </c>
      <c r="F1382" s="881" t="s">
        <v>3935</v>
      </c>
      <c r="G1382" s="731" t="s">
        <v>2817</v>
      </c>
      <c r="H1382" s="1083">
        <v>42401</v>
      </c>
      <c r="I1382" s="1084">
        <v>42480</v>
      </c>
      <c r="J1382" s="957">
        <v>105.41</v>
      </c>
    </row>
    <row r="1383" spans="1:10" s="852" customFormat="1" outlineLevel="2">
      <c r="A1383" s="815" t="s">
        <v>1021</v>
      </c>
      <c r="B1383" s="816" t="s">
        <v>7866</v>
      </c>
      <c r="C1383" s="729" t="s">
        <v>632</v>
      </c>
      <c r="D1383" s="924"/>
      <c r="E1383" s="878" t="s">
        <v>1909</v>
      </c>
      <c r="F1383" s="881" t="s">
        <v>4027</v>
      </c>
      <c r="G1383" s="731" t="s">
        <v>2819</v>
      </c>
      <c r="H1383" s="1083">
        <v>42401</v>
      </c>
      <c r="I1383" s="1084">
        <v>42480</v>
      </c>
      <c r="J1383" s="957">
        <v>3.37</v>
      </c>
    </row>
    <row r="1384" spans="1:10" s="852" customFormat="1" outlineLevel="2">
      <c r="A1384" s="815" t="s">
        <v>1021</v>
      </c>
      <c r="B1384" s="816" t="s">
        <v>7866</v>
      </c>
      <c r="C1384" s="729" t="s">
        <v>632</v>
      </c>
      <c r="D1384" s="924"/>
      <c r="E1384" s="878" t="s">
        <v>1909</v>
      </c>
      <c r="F1384" s="881" t="s">
        <v>4129</v>
      </c>
      <c r="G1384" s="731" t="s">
        <v>2821</v>
      </c>
      <c r="H1384" s="1083">
        <v>42401</v>
      </c>
      <c r="I1384" s="1084">
        <v>42480</v>
      </c>
      <c r="J1384" s="957">
        <v>39.770000000000003</v>
      </c>
    </row>
    <row r="1385" spans="1:10" s="852" customFormat="1" outlineLevel="2">
      <c r="A1385" s="815" t="s">
        <v>635</v>
      </c>
      <c r="B1385" s="816" t="s">
        <v>7863</v>
      </c>
      <c r="C1385" s="729" t="s">
        <v>632</v>
      </c>
      <c r="D1385" s="924"/>
      <c r="E1385" s="878" t="s">
        <v>1909</v>
      </c>
      <c r="F1385" s="881" t="s">
        <v>4232</v>
      </c>
      <c r="G1385" s="731" t="s">
        <v>4000</v>
      </c>
      <c r="H1385" s="1083">
        <v>42401</v>
      </c>
      <c r="I1385" s="1084">
        <v>42480</v>
      </c>
      <c r="J1385" s="957">
        <v>153.54</v>
      </c>
    </row>
    <row r="1386" spans="1:10" s="852" customFormat="1" outlineLevel="2">
      <c r="A1386" s="815" t="s">
        <v>634</v>
      </c>
      <c r="B1386" s="816" t="s">
        <v>7864</v>
      </c>
      <c r="C1386" s="729" t="s">
        <v>632</v>
      </c>
      <c r="D1386" s="924"/>
      <c r="E1386" s="878" t="s">
        <v>1909</v>
      </c>
      <c r="F1386" s="881" t="s">
        <v>6275</v>
      </c>
      <c r="G1386" s="731" t="s">
        <v>3988</v>
      </c>
      <c r="H1386" s="1083">
        <v>42401</v>
      </c>
      <c r="I1386" s="1084">
        <v>42480</v>
      </c>
      <c r="J1386" s="957">
        <v>23.71</v>
      </c>
    </row>
    <row r="1387" spans="1:10" s="852" customFormat="1" outlineLevel="2">
      <c r="A1387" s="815" t="s">
        <v>634</v>
      </c>
      <c r="B1387" s="816" t="s">
        <v>7864</v>
      </c>
      <c r="C1387" s="729" t="s">
        <v>632</v>
      </c>
      <c r="D1387" s="924"/>
      <c r="E1387" s="878" t="s">
        <v>1909</v>
      </c>
      <c r="F1387" s="881" t="s">
        <v>6274</v>
      </c>
      <c r="G1387" s="731" t="s">
        <v>3986</v>
      </c>
      <c r="H1387" s="1083">
        <v>42401</v>
      </c>
      <c r="I1387" s="1084">
        <v>42480</v>
      </c>
      <c r="J1387" s="957">
        <v>15.6</v>
      </c>
    </row>
    <row r="1388" spans="1:10" s="852" customFormat="1" outlineLevel="2">
      <c r="A1388" s="815" t="s">
        <v>634</v>
      </c>
      <c r="B1388" s="816" t="s">
        <v>7864</v>
      </c>
      <c r="C1388" s="729" t="s">
        <v>632</v>
      </c>
      <c r="D1388" s="924"/>
      <c r="E1388" s="878" t="s">
        <v>1909</v>
      </c>
      <c r="F1388" s="881" t="s">
        <v>2962</v>
      </c>
      <c r="G1388" s="731" t="s">
        <v>3992</v>
      </c>
      <c r="H1388" s="1083">
        <v>42401</v>
      </c>
      <c r="I1388" s="1084">
        <v>42480</v>
      </c>
      <c r="J1388" s="957">
        <v>23.09</v>
      </c>
    </row>
    <row r="1389" spans="1:10" s="852" customFormat="1" outlineLevel="2">
      <c r="A1389" s="815" t="s">
        <v>633</v>
      </c>
      <c r="B1389" s="816" t="s">
        <v>7865</v>
      </c>
      <c r="C1389" s="729" t="s">
        <v>632</v>
      </c>
      <c r="D1389" s="924"/>
      <c r="E1389" s="878" t="s">
        <v>1909</v>
      </c>
      <c r="F1389" s="881" t="s">
        <v>3357</v>
      </c>
      <c r="G1389" s="731" t="s">
        <v>3996</v>
      </c>
      <c r="H1389" s="1083">
        <v>42401</v>
      </c>
      <c r="I1389" s="1084">
        <v>42480</v>
      </c>
      <c r="J1389" s="957">
        <v>855.99</v>
      </c>
    </row>
    <row r="1390" spans="1:10" s="852" customFormat="1" outlineLevel="2">
      <c r="A1390" s="815" t="s">
        <v>633</v>
      </c>
      <c r="B1390" s="816" t="s">
        <v>7865</v>
      </c>
      <c r="C1390" s="729" t="s">
        <v>632</v>
      </c>
      <c r="D1390" s="924"/>
      <c r="E1390" s="878" t="s">
        <v>1909</v>
      </c>
      <c r="F1390" s="881" t="s">
        <v>3343</v>
      </c>
      <c r="G1390" s="731" t="s">
        <v>3995</v>
      </c>
      <c r="H1390" s="1083">
        <v>42401</v>
      </c>
      <c r="I1390" s="1084">
        <v>42480</v>
      </c>
      <c r="J1390" s="957">
        <v>1283.99</v>
      </c>
    </row>
    <row r="1391" spans="1:10" s="852" customFormat="1" ht="28.5" outlineLevel="2">
      <c r="A1391" s="815" t="s">
        <v>1021</v>
      </c>
      <c r="B1391" s="816" t="s">
        <v>7866</v>
      </c>
      <c r="C1391" s="729" t="s">
        <v>632</v>
      </c>
      <c r="D1391" s="924"/>
      <c r="E1391" s="878" t="s">
        <v>1909</v>
      </c>
      <c r="F1391" s="881" t="s">
        <v>4956</v>
      </c>
      <c r="G1391" s="731" t="s">
        <v>2833</v>
      </c>
      <c r="H1391" s="1083">
        <v>42401</v>
      </c>
      <c r="I1391" s="1084">
        <v>42480</v>
      </c>
      <c r="J1391" s="957">
        <v>326.77999999999997</v>
      </c>
    </row>
    <row r="1392" spans="1:10" s="852" customFormat="1" ht="28.5" outlineLevel="2">
      <c r="A1392" s="815" t="s">
        <v>1021</v>
      </c>
      <c r="B1392" s="816" t="s">
        <v>7866</v>
      </c>
      <c r="C1392" s="729" t="s">
        <v>632</v>
      </c>
      <c r="D1392" s="924"/>
      <c r="E1392" s="878" t="s">
        <v>1909</v>
      </c>
      <c r="F1392" s="881" t="s">
        <v>4903</v>
      </c>
      <c r="G1392" s="731" t="s">
        <v>2832</v>
      </c>
      <c r="H1392" s="1083">
        <v>42401</v>
      </c>
      <c r="I1392" s="1084">
        <v>42480</v>
      </c>
      <c r="J1392" s="957">
        <v>10.44</v>
      </c>
    </row>
    <row r="1393" spans="1:10" s="852" customFormat="1" ht="28.5" outlineLevel="2">
      <c r="A1393" s="815" t="s">
        <v>1021</v>
      </c>
      <c r="B1393" s="816" t="s">
        <v>7866</v>
      </c>
      <c r="C1393" s="729" t="s">
        <v>632</v>
      </c>
      <c r="D1393" s="924"/>
      <c r="E1393" s="878" t="s">
        <v>1909</v>
      </c>
      <c r="F1393" s="881" t="s">
        <v>4853</v>
      </c>
      <c r="G1393" s="731" t="s">
        <v>2831</v>
      </c>
      <c r="H1393" s="1083">
        <v>42401</v>
      </c>
      <c r="I1393" s="1084">
        <v>42480</v>
      </c>
      <c r="J1393" s="957">
        <v>123.29</v>
      </c>
    </row>
    <row r="1394" spans="1:10" s="852" customFormat="1" ht="28.5" outlineLevel="2">
      <c r="A1394" s="815" t="s">
        <v>635</v>
      </c>
      <c r="B1394" s="816" t="s">
        <v>7863</v>
      </c>
      <c r="C1394" s="729" t="s">
        <v>632</v>
      </c>
      <c r="D1394" s="924"/>
      <c r="E1394" s="878" t="s">
        <v>1909</v>
      </c>
      <c r="F1394" s="881" t="s">
        <v>6273</v>
      </c>
      <c r="G1394" s="731" t="s">
        <v>3984</v>
      </c>
      <c r="H1394" s="1083">
        <v>42370</v>
      </c>
      <c r="I1394" s="1084">
        <v>42480</v>
      </c>
      <c r="J1394" s="957">
        <v>763.19</v>
      </c>
    </row>
    <row r="1395" spans="1:10" s="852" customFormat="1" ht="28.5" outlineLevel="2">
      <c r="A1395" s="815" t="s">
        <v>635</v>
      </c>
      <c r="B1395" s="816" t="s">
        <v>7863</v>
      </c>
      <c r="C1395" s="729" t="s">
        <v>632</v>
      </c>
      <c r="D1395" s="924"/>
      <c r="E1395" s="878" t="s">
        <v>1909</v>
      </c>
      <c r="F1395" s="881" t="s">
        <v>6273</v>
      </c>
      <c r="G1395" s="731" t="s">
        <v>3985</v>
      </c>
      <c r="H1395" s="1083">
        <v>42370</v>
      </c>
      <c r="I1395" s="1084">
        <v>42480</v>
      </c>
      <c r="J1395" s="957">
        <v>763.19</v>
      </c>
    </row>
    <row r="1396" spans="1:10" s="852" customFormat="1" ht="28.5" outlineLevel="2">
      <c r="A1396" s="815" t="s">
        <v>635</v>
      </c>
      <c r="B1396" s="816" t="s">
        <v>7863</v>
      </c>
      <c r="C1396" s="729" t="s">
        <v>632</v>
      </c>
      <c r="D1396" s="924"/>
      <c r="E1396" s="878" t="s">
        <v>1909</v>
      </c>
      <c r="F1396" s="881" t="s">
        <v>6273</v>
      </c>
      <c r="G1396" s="731" t="s">
        <v>3987</v>
      </c>
      <c r="H1396" s="1083">
        <v>42370</v>
      </c>
      <c r="I1396" s="1084">
        <v>42480</v>
      </c>
      <c r="J1396" s="957">
        <v>-763.19</v>
      </c>
    </row>
    <row r="1397" spans="1:10" s="852" customFormat="1" ht="28.5" outlineLevel="2">
      <c r="A1397" s="815" t="s">
        <v>634</v>
      </c>
      <c r="B1397" s="816" t="s">
        <v>7864</v>
      </c>
      <c r="C1397" s="729" t="s">
        <v>632</v>
      </c>
      <c r="D1397" s="924"/>
      <c r="E1397" s="878" t="s">
        <v>1909</v>
      </c>
      <c r="F1397" s="881" t="s">
        <v>2898</v>
      </c>
      <c r="G1397" s="731" t="s">
        <v>3989</v>
      </c>
      <c r="H1397" s="1083">
        <v>42370</v>
      </c>
      <c r="I1397" s="1084">
        <v>42480</v>
      </c>
      <c r="J1397" s="957">
        <v>-72.53</v>
      </c>
    </row>
    <row r="1398" spans="1:10" s="852" customFormat="1" ht="28.5" outlineLevel="2">
      <c r="A1398" s="815" t="s">
        <v>634</v>
      </c>
      <c r="B1398" s="816" t="s">
        <v>7864</v>
      </c>
      <c r="C1398" s="729" t="s">
        <v>632</v>
      </c>
      <c r="D1398" s="924"/>
      <c r="E1398" s="878" t="s">
        <v>1909</v>
      </c>
      <c r="F1398" s="881" t="s">
        <v>2898</v>
      </c>
      <c r="G1398" s="731" t="s">
        <v>3990</v>
      </c>
      <c r="H1398" s="1083">
        <v>42370</v>
      </c>
      <c r="I1398" s="1084">
        <v>42480</v>
      </c>
      <c r="J1398" s="957">
        <v>-72.540000000000006</v>
      </c>
    </row>
    <row r="1399" spans="1:10" s="852" customFormat="1" ht="28.5" outlineLevel="2">
      <c r="A1399" s="815" t="s">
        <v>634</v>
      </c>
      <c r="B1399" s="816" t="s">
        <v>7864</v>
      </c>
      <c r="C1399" s="729" t="s">
        <v>632</v>
      </c>
      <c r="D1399" s="924"/>
      <c r="E1399" s="878" t="s">
        <v>1909</v>
      </c>
      <c r="F1399" s="881" t="s">
        <v>2898</v>
      </c>
      <c r="G1399" s="731" t="s">
        <v>3991</v>
      </c>
      <c r="H1399" s="1083">
        <v>42370</v>
      </c>
      <c r="I1399" s="1084">
        <v>42480</v>
      </c>
      <c r="J1399" s="957">
        <v>72.540000000000006</v>
      </c>
    </row>
    <row r="1400" spans="1:10" s="852" customFormat="1" ht="28.5" outlineLevel="2">
      <c r="A1400" s="815" t="s">
        <v>634</v>
      </c>
      <c r="B1400" s="816" t="s">
        <v>7864</v>
      </c>
      <c r="C1400" s="729" t="s">
        <v>632</v>
      </c>
      <c r="D1400" s="924"/>
      <c r="E1400" s="878" t="s">
        <v>1909</v>
      </c>
      <c r="F1400" s="881" t="s">
        <v>2898</v>
      </c>
      <c r="G1400" s="731" t="s">
        <v>3993</v>
      </c>
      <c r="H1400" s="1083">
        <v>42370</v>
      </c>
      <c r="I1400" s="1084">
        <v>42480</v>
      </c>
      <c r="J1400" s="957">
        <v>72.53</v>
      </c>
    </row>
    <row r="1401" spans="1:10" s="852" customFormat="1" ht="28.5" outlineLevel="2">
      <c r="A1401" s="815" t="s">
        <v>634</v>
      </c>
      <c r="B1401" s="816" t="s">
        <v>7864</v>
      </c>
      <c r="C1401" s="729" t="s">
        <v>632</v>
      </c>
      <c r="D1401" s="924"/>
      <c r="E1401" s="878" t="s">
        <v>1909</v>
      </c>
      <c r="F1401" s="881" t="s">
        <v>2898</v>
      </c>
      <c r="G1401" s="731" t="s">
        <v>3994</v>
      </c>
      <c r="H1401" s="1083">
        <v>42370</v>
      </c>
      <c r="I1401" s="1084">
        <v>42480</v>
      </c>
      <c r="J1401" s="957">
        <v>72.53</v>
      </c>
    </row>
    <row r="1402" spans="1:10" s="852" customFormat="1" ht="28.5" outlineLevel="2">
      <c r="A1402" s="815" t="s">
        <v>634</v>
      </c>
      <c r="B1402" s="816" t="s">
        <v>7864</v>
      </c>
      <c r="C1402" s="729" t="s">
        <v>632</v>
      </c>
      <c r="D1402" s="924"/>
      <c r="E1402" s="878" t="s">
        <v>1909</v>
      </c>
      <c r="F1402" s="881" t="s">
        <v>3558</v>
      </c>
      <c r="G1402" s="731" t="s">
        <v>3997</v>
      </c>
      <c r="H1402" s="1083">
        <v>42370</v>
      </c>
      <c r="I1402" s="1084">
        <v>42480</v>
      </c>
      <c r="J1402" s="957">
        <v>-107.35</v>
      </c>
    </row>
    <row r="1403" spans="1:10" s="852" customFormat="1" ht="28.5" outlineLevel="2">
      <c r="A1403" s="815" t="s">
        <v>634</v>
      </c>
      <c r="B1403" s="816" t="s">
        <v>7864</v>
      </c>
      <c r="C1403" s="729" t="s">
        <v>632</v>
      </c>
      <c r="D1403" s="924"/>
      <c r="E1403" s="878" t="s">
        <v>1909</v>
      </c>
      <c r="F1403" s="881" t="s">
        <v>3558</v>
      </c>
      <c r="G1403" s="731" t="s">
        <v>3998</v>
      </c>
      <c r="H1403" s="1083">
        <v>42370</v>
      </c>
      <c r="I1403" s="1084">
        <v>42480</v>
      </c>
      <c r="J1403" s="957">
        <v>107.36</v>
      </c>
    </row>
    <row r="1404" spans="1:10" s="852" customFormat="1" ht="28.5" outlineLevel="2">
      <c r="A1404" s="815" t="s">
        <v>634</v>
      </c>
      <c r="B1404" s="816" t="s">
        <v>7864</v>
      </c>
      <c r="C1404" s="729" t="s">
        <v>632</v>
      </c>
      <c r="D1404" s="924"/>
      <c r="E1404" s="878" t="s">
        <v>1909</v>
      </c>
      <c r="F1404" s="881" t="s">
        <v>3558</v>
      </c>
      <c r="G1404" s="731" t="s">
        <v>3999</v>
      </c>
      <c r="H1404" s="1083">
        <v>42370</v>
      </c>
      <c r="I1404" s="1084">
        <v>42480</v>
      </c>
      <c r="J1404" s="957">
        <v>107.35</v>
      </c>
    </row>
    <row r="1405" spans="1:10" s="852" customFormat="1" ht="28.5" outlineLevel="2">
      <c r="A1405" s="815" t="s">
        <v>633</v>
      </c>
      <c r="B1405" s="816" t="s">
        <v>7865</v>
      </c>
      <c r="C1405" s="729" t="s">
        <v>632</v>
      </c>
      <c r="D1405" s="924"/>
      <c r="E1405" s="878" t="s">
        <v>1909</v>
      </c>
      <c r="F1405" s="881" t="s">
        <v>4635</v>
      </c>
      <c r="G1405" s="731" t="s">
        <v>4001</v>
      </c>
      <c r="H1405" s="1083">
        <v>42401</v>
      </c>
      <c r="I1405" s="1084">
        <v>42480</v>
      </c>
      <c r="J1405" s="957">
        <v>2653.57</v>
      </c>
    </row>
    <row r="1406" spans="1:10" s="852" customFormat="1" ht="28.5" outlineLevel="2">
      <c r="A1406" s="815" t="s">
        <v>633</v>
      </c>
      <c r="B1406" s="816" t="s">
        <v>7865</v>
      </c>
      <c r="C1406" s="729" t="s">
        <v>632</v>
      </c>
      <c r="D1406" s="924"/>
      <c r="E1406" s="878" t="s">
        <v>1909</v>
      </c>
      <c r="F1406" s="881" t="s">
        <v>6272</v>
      </c>
      <c r="G1406" s="731" t="s">
        <v>3981</v>
      </c>
      <c r="H1406" s="1083">
        <v>42370</v>
      </c>
      <c r="I1406" s="1084">
        <v>42480</v>
      </c>
      <c r="J1406" s="957">
        <v>3980.36</v>
      </c>
    </row>
    <row r="1407" spans="1:10" s="852" customFormat="1" ht="28.5" outlineLevel="2">
      <c r="A1407" s="815" t="s">
        <v>633</v>
      </c>
      <c r="B1407" s="816" t="s">
        <v>7865</v>
      </c>
      <c r="C1407" s="729" t="s">
        <v>632</v>
      </c>
      <c r="D1407" s="924"/>
      <c r="E1407" s="878" t="s">
        <v>1909</v>
      </c>
      <c r="F1407" s="881" t="s">
        <v>6272</v>
      </c>
      <c r="G1407" s="731" t="s">
        <v>3982</v>
      </c>
      <c r="H1407" s="1083">
        <v>42370</v>
      </c>
      <c r="I1407" s="1084">
        <v>42480</v>
      </c>
      <c r="J1407" s="957">
        <v>3980.36</v>
      </c>
    </row>
    <row r="1408" spans="1:10" s="852" customFormat="1" ht="28.5" outlineLevel="2">
      <c r="A1408" s="815" t="s">
        <v>633</v>
      </c>
      <c r="B1408" s="816" t="s">
        <v>7865</v>
      </c>
      <c r="C1408" s="729" t="s">
        <v>632</v>
      </c>
      <c r="D1408" s="924"/>
      <c r="E1408" s="878" t="s">
        <v>1909</v>
      </c>
      <c r="F1408" s="881" t="s">
        <v>6272</v>
      </c>
      <c r="G1408" s="731" t="s">
        <v>3983</v>
      </c>
      <c r="H1408" s="1083">
        <v>42370</v>
      </c>
      <c r="I1408" s="1084">
        <v>42480</v>
      </c>
      <c r="J1408" s="957">
        <v>-3980.36</v>
      </c>
    </row>
    <row r="1409" spans="1:10" s="852" customFormat="1" ht="28.5" outlineLevel="2">
      <c r="A1409" s="815" t="s">
        <v>633</v>
      </c>
      <c r="B1409" s="816" t="s">
        <v>7865</v>
      </c>
      <c r="C1409" s="729" t="s">
        <v>632</v>
      </c>
      <c r="D1409" s="924"/>
      <c r="E1409" s="878" t="s">
        <v>1909</v>
      </c>
      <c r="F1409" s="881" t="s">
        <v>4638</v>
      </c>
      <c r="G1409" s="731" t="s">
        <v>4002</v>
      </c>
      <c r="H1409" s="1083">
        <v>42401</v>
      </c>
      <c r="I1409" s="1084">
        <v>42480</v>
      </c>
      <c r="J1409" s="957">
        <v>3980.36</v>
      </c>
    </row>
    <row r="1410" spans="1:10" s="852" customFormat="1" outlineLevel="1">
      <c r="A1410" s="815"/>
      <c r="B1410" s="816" t="s">
        <v>258</v>
      </c>
      <c r="C1410" s="908" t="s">
        <v>632</v>
      </c>
      <c r="D1410" s="928" t="str">
        <f>VLOOKUP(C1410,$C$3691:$D$3771,2,FALSE)</f>
        <v>TOTAL POUPATEMPO  OURINHOS</v>
      </c>
      <c r="E1410" s="1085"/>
      <c r="F1410" s="929"/>
      <c r="G1410" s="910"/>
      <c r="H1410" s="1086"/>
      <c r="I1410" s="1087"/>
      <c r="J1410" s="930">
        <f>SUBTOTAL(9,J1356:J1409)</f>
        <v>177384.43999999994</v>
      </c>
    </row>
    <row r="1411" spans="1:10" s="852" customFormat="1" outlineLevel="2">
      <c r="A1411" s="815" t="s">
        <v>2248</v>
      </c>
      <c r="B1411" s="816" t="s">
        <v>7869</v>
      </c>
      <c r="C1411" s="729" t="s">
        <v>637</v>
      </c>
      <c r="D1411" s="924"/>
      <c r="E1411" s="878" t="s">
        <v>2221</v>
      </c>
      <c r="F1411" s="881" t="s">
        <v>863</v>
      </c>
      <c r="G1411" s="731" t="s">
        <v>5571</v>
      </c>
      <c r="H1411" s="1083">
        <v>42401</v>
      </c>
      <c r="I1411" s="1084">
        <v>42465</v>
      </c>
      <c r="J1411" s="957">
        <v>4051.04</v>
      </c>
    </row>
    <row r="1412" spans="1:10" s="852" customFormat="1" outlineLevel="2">
      <c r="A1412" s="815" t="s">
        <v>1749</v>
      </c>
      <c r="B1412" s="816" t="s">
        <v>7872</v>
      </c>
      <c r="C1412" s="729" t="s">
        <v>637</v>
      </c>
      <c r="D1412" s="924"/>
      <c r="E1412" s="878" t="s">
        <v>1708</v>
      </c>
      <c r="F1412" s="881" t="s">
        <v>1696</v>
      </c>
      <c r="G1412" s="731" t="s">
        <v>5663</v>
      </c>
      <c r="H1412" s="1083">
        <v>42430</v>
      </c>
      <c r="I1412" s="1084">
        <v>42478</v>
      </c>
      <c r="J1412" s="957">
        <v>6326.13</v>
      </c>
    </row>
    <row r="1413" spans="1:10" s="852" customFormat="1" outlineLevel="2">
      <c r="A1413" s="815" t="s">
        <v>636</v>
      </c>
      <c r="B1413" s="816" t="s">
        <v>7865</v>
      </c>
      <c r="C1413" s="729" t="s">
        <v>637</v>
      </c>
      <c r="D1413" s="924"/>
      <c r="E1413" s="878" t="s">
        <v>2336</v>
      </c>
      <c r="F1413" s="881" t="s">
        <v>6025</v>
      </c>
      <c r="G1413" s="731" t="s">
        <v>4003</v>
      </c>
      <c r="H1413" s="1083">
        <v>42401</v>
      </c>
      <c r="I1413" s="1084">
        <v>42480</v>
      </c>
      <c r="J1413" s="957">
        <v>6976.28</v>
      </c>
    </row>
    <row r="1414" spans="1:10" s="852" customFormat="1" outlineLevel="2">
      <c r="A1414" s="815" t="s">
        <v>636</v>
      </c>
      <c r="B1414" s="816" t="s">
        <v>7865</v>
      </c>
      <c r="C1414" s="729" t="s">
        <v>637</v>
      </c>
      <c r="D1414" s="924"/>
      <c r="E1414" s="878" t="s">
        <v>2336</v>
      </c>
      <c r="F1414" s="881" t="s">
        <v>6026</v>
      </c>
      <c r="G1414" s="731" t="s">
        <v>4004</v>
      </c>
      <c r="H1414" s="1083">
        <v>42401</v>
      </c>
      <c r="I1414" s="1084">
        <v>42480</v>
      </c>
      <c r="J1414" s="957">
        <v>775.14</v>
      </c>
    </row>
    <row r="1415" spans="1:10" s="852" customFormat="1" outlineLevel="2">
      <c r="A1415" s="815" t="s">
        <v>1022</v>
      </c>
      <c r="B1415" s="816" t="s">
        <v>7866</v>
      </c>
      <c r="C1415" s="729" t="s">
        <v>637</v>
      </c>
      <c r="D1415" s="924"/>
      <c r="E1415" s="878" t="s">
        <v>2282</v>
      </c>
      <c r="F1415" s="881" t="s">
        <v>3974</v>
      </c>
      <c r="G1415" s="731" t="s">
        <v>2779</v>
      </c>
      <c r="H1415" s="1083">
        <v>42401</v>
      </c>
      <c r="I1415" s="1084">
        <v>42471</v>
      </c>
      <c r="J1415" s="957">
        <v>227.7</v>
      </c>
    </row>
    <row r="1416" spans="1:10" s="852" customFormat="1" outlineLevel="2">
      <c r="A1416" s="815" t="s">
        <v>1022</v>
      </c>
      <c r="B1416" s="816" t="s">
        <v>7866</v>
      </c>
      <c r="C1416" s="729" t="s">
        <v>637</v>
      </c>
      <c r="D1416" s="924"/>
      <c r="E1416" s="878" t="s">
        <v>2282</v>
      </c>
      <c r="F1416" s="881" t="s">
        <v>4081</v>
      </c>
      <c r="G1416" s="731" t="s">
        <v>2781</v>
      </c>
      <c r="H1416" s="1083">
        <v>42401</v>
      </c>
      <c r="I1416" s="1084">
        <v>42471</v>
      </c>
      <c r="J1416" s="957">
        <v>7.28</v>
      </c>
    </row>
    <row r="1417" spans="1:10" s="852" customFormat="1" outlineLevel="2">
      <c r="A1417" s="815" t="s">
        <v>1022</v>
      </c>
      <c r="B1417" s="816" t="s">
        <v>7866</v>
      </c>
      <c r="C1417" s="729" t="s">
        <v>637</v>
      </c>
      <c r="D1417" s="924"/>
      <c r="E1417" s="878" t="s">
        <v>2282</v>
      </c>
      <c r="F1417" s="881" t="s">
        <v>4165</v>
      </c>
      <c r="G1417" s="731" t="s">
        <v>2782</v>
      </c>
      <c r="H1417" s="1083">
        <v>42401</v>
      </c>
      <c r="I1417" s="1084">
        <v>42471</v>
      </c>
      <c r="J1417" s="957">
        <v>85.91</v>
      </c>
    </row>
    <row r="1418" spans="1:10" s="852" customFormat="1" outlineLevel="2">
      <c r="A1418" s="815" t="s">
        <v>636</v>
      </c>
      <c r="B1418" s="816" t="s">
        <v>7865</v>
      </c>
      <c r="C1418" s="729" t="s">
        <v>637</v>
      </c>
      <c r="D1418" s="924"/>
      <c r="E1418" s="878" t="s">
        <v>2708</v>
      </c>
      <c r="F1418" s="881" t="s">
        <v>6159</v>
      </c>
      <c r="G1418" s="731" t="s">
        <v>4005</v>
      </c>
      <c r="H1418" s="1083">
        <v>42401</v>
      </c>
      <c r="I1418" s="1084">
        <v>42471</v>
      </c>
      <c r="J1418" s="957">
        <v>5788.72</v>
      </c>
    </row>
    <row r="1419" spans="1:10" s="852" customFormat="1" outlineLevel="2">
      <c r="A1419" s="815" t="s">
        <v>636</v>
      </c>
      <c r="B1419" s="816" t="s">
        <v>7865</v>
      </c>
      <c r="C1419" s="729" t="s">
        <v>637</v>
      </c>
      <c r="D1419" s="924"/>
      <c r="E1419" s="878" t="s">
        <v>2708</v>
      </c>
      <c r="F1419" s="881" t="s">
        <v>6160</v>
      </c>
      <c r="G1419" s="731" t="s">
        <v>4006</v>
      </c>
      <c r="H1419" s="1083">
        <v>42401</v>
      </c>
      <c r="I1419" s="1084">
        <v>42471</v>
      </c>
      <c r="J1419" s="957">
        <v>643.19000000000005</v>
      </c>
    </row>
    <row r="1420" spans="1:10" s="852" customFormat="1" outlineLevel="2">
      <c r="A1420" s="815" t="s">
        <v>636</v>
      </c>
      <c r="B1420" s="816" t="s">
        <v>7865</v>
      </c>
      <c r="C1420" s="729" t="s">
        <v>637</v>
      </c>
      <c r="D1420" s="924"/>
      <c r="E1420" s="878" t="s">
        <v>508</v>
      </c>
      <c r="F1420" s="881" t="s">
        <v>1094</v>
      </c>
      <c r="G1420" s="731" t="s">
        <v>5822</v>
      </c>
      <c r="H1420" s="1083">
        <v>42430</v>
      </c>
      <c r="I1420" s="1084">
        <v>42489</v>
      </c>
      <c r="J1420" s="957">
        <v>95889.22</v>
      </c>
    </row>
    <row r="1421" spans="1:10" s="852" customFormat="1" outlineLevel="2">
      <c r="A1421" s="815" t="s">
        <v>1022</v>
      </c>
      <c r="B1421" s="816" t="s">
        <v>7866</v>
      </c>
      <c r="C1421" s="729" t="s">
        <v>637</v>
      </c>
      <c r="D1421" s="924"/>
      <c r="E1421" s="878" t="s">
        <v>1909</v>
      </c>
      <c r="F1421" s="881" t="s">
        <v>3935</v>
      </c>
      <c r="G1421" s="731" t="s">
        <v>2817</v>
      </c>
      <c r="H1421" s="1083">
        <v>42401</v>
      </c>
      <c r="I1421" s="1084">
        <v>42480</v>
      </c>
      <c r="J1421" s="957">
        <v>68.31</v>
      </c>
    </row>
    <row r="1422" spans="1:10" s="852" customFormat="1" outlineLevel="2">
      <c r="A1422" s="815" t="s">
        <v>1022</v>
      </c>
      <c r="B1422" s="816" t="s">
        <v>7866</v>
      </c>
      <c r="C1422" s="729" t="s">
        <v>637</v>
      </c>
      <c r="D1422" s="924"/>
      <c r="E1422" s="878" t="s">
        <v>1909</v>
      </c>
      <c r="F1422" s="881" t="s">
        <v>4027</v>
      </c>
      <c r="G1422" s="731" t="s">
        <v>2819</v>
      </c>
      <c r="H1422" s="1083">
        <v>42401</v>
      </c>
      <c r="I1422" s="1084">
        <v>42480</v>
      </c>
      <c r="J1422" s="957">
        <v>2.1800000000000002</v>
      </c>
    </row>
    <row r="1423" spans="1:10" s="852" customFormat="1" outlineLevel="2">
      <c r="A1423" s="815" t="s">
        <v>1022</v>
      </c>
      <c r="B1423" s="816" t="s">
        <v>7866</v>
      </c>
      <c r="C1423" s="729" t="s">
        <v>637</v>
      </c>
      <c r="D1423" s="924"/>
      <c r="E1423" s="878" t="s">
        <v>1909</v>
      </c>
      <c r="F1423" s="881" t="s">
        <v>4129</v>
      </c>
      <c r="G1423" s="731" t="s">
        <v>2821</v>
      </c>
      <c r="H1423" s="1083">
        <v>42401</v>
      </c>
      <c r="I1423" s="1084">
        <v>42480</v>
      </c>
      <c r="J1423" s="957">
        <v>25.77</v>
      </c>
    </row>
    <row r="1424" spans="1:10" s="852" customFormat="1" outlineLevel="2">
      <c r="A1424" s="815" t="s">
        <v>636</v>
      </c>
      <c r="B1424" s="816" t="s">
        <v>7865</v>
      </c>
      <c r="C1424" s="729" t="s">
        <v>637</v>
      </c>
      <c r="D1424" s="924"/>
      <c r="E1424" s="878" t="s">
        <v>1909</v>
      </c>
      <c r="F1424" s="881" t="s">
        <v>6276</v>
      </c>
      <c r="G1424" s="731" t="s">
        <v>4007</v>
      </c>
      <c r="H1424" s="1083">
        <v>42401</v>
      </c>
      <c r="I1424" s="1084">
        <v>42480</v>
      </c>
      <c r="J1424" s="957">
        <v>1736.62</v>
      </c>
    </row>
    <row r="1425" spans="1:10" s="852" customFormat="1" outlineLevel="2">
      <c r="A1425" s="815" t="s">
        <v>636</v>
      </c>
      <c r="B1425" s="816" t="s">
        <v>7865</v>
      </c>
      <c r="C1425" s="729" t="s">
        <v>637</v>
      </c>
      <c r="D1425" s="924"/>
      <c r="E1425" s="878" t="s">
        <v>1909</v>
      </c>
      <c r="F1425" s="881" t="s">
        <v>6277</v>
      </c>
      <c r="G1425" s="731" t="s">
        <v>4008</v>
      </c>
      <c r="H1425" s="1083">
        <v>42401</v>
      </c>
      <c r="I1425" s="1084">
        <v>42480</v>
      </c>
      <c r="J1425" s="957">
        <v>192.96</v>
      </c>
    </row>
    <row r="1426" spans="1:10" s="852" customFormat="1" ht="28.5" outlineLevel="2">
      <c r="A1426" s="815" t="s">
        <v>1022</v>
      </c>
      <c r="B1426" s="816" t="s">
        <v>7866</v>
      </c>
      <c r="C1426" s="729" t="s">
        <v>637</v>
      </c>
      <c r="D1426" s="924"/>
      <c r="E1426" s="878" t="s">
        <v>1909</v>
      </c>
      <c r="F1426" s="881" t="s">
        <v>4956</v>
      </c>
      <c r="G1426" s="731" t="s">
        <v>2833</v>
      </c>
      <c r="H1426" s="1083">
        <v>42401</v>
      </c>
      <c r="I1426" s="1084">
        <v>42480</v>
      </c>
      <c r="J1426" s="957">
        <v>211.76</v>
      </c>
    </row>
    <row r="1427" spans="1:10" s="852" customFormat="1" ht="28.5" outlineLevel="2">
      <c r="A1427" s="815" t="s">
        <v>1022</v>
      </c>
      <c r="B1427" s="816" t="s">
        <v>7866</v>
      </c>
      <c r="C1427" s="729" t="s">
        <v>637</v>
      </c>
      <c r="D1427" s="924"/>
      <c r="E1427" s="878" t="s">
        <v>1909</v>
      </c>
      <c r="F1427" s="881" t="s">
        <v>4903</v>
      </c>
      <c r="G1427" s="731" t="s">
        <v>2832</v>
      </c>
      <c r="H1427" s="1083">
        <v>42401</v>
      </c>
      <c r="I1427" s="1084">
        <v>42480</v>
      </c>
      <c r="J1427" s="957">
        <v>6.77</v>
      </c>
    </row>
    <row r="1428" spans="1:10" s="852" customFormat="1" ht="28.5" outlineLevel="2">
      <c r="A1428" s="815" t="s">
        <v>1022</v>
      </c>
      <c r="B1428" s="816" t="s">
        <v>7866</v>
      </c>
      <c r="C1428" s="729" t="s">
        <v>637</v>
      </c>
      <c r="D1428" s="924"/>
      <c r="E1428" s="878" t="s">
        <v>1909</v>
      </c>
      <c r="F1428" s="881" t="s">
        <v>4853</v>
      </c>
      <c r="G1428" s="731" t="s">
        <v>2831</v>
      </c>
      <c r="H1428" s="1083">
        <v>42401</v>
      </c>
      <c r="I1428" s="1084">
        <v>42480</v>
      </c>
      <c r="J1428" s="957">
        <v>79.89</v>
      </c>
    </row>
    <row r="1429" spans="1:10" s="852" customFormat="1" ht="28.5" outlineLevel="2">
      <c r="A1429" s="815" t="s">
        <v>636</v>
      </c>
      <c r="B1429" s="816" t="s">
        <v>7865</v>
      </c>
      <c r="C1429" s="729" t="s">
        <v>637</v>
      </c>
      <c r="D1429" s="924"/>
      <c r="E1429" s="878" t="s">
        <v>1909</v>
      </c>
      <c r="F1429" s="881" t="s">
        <v>4846</v>
      </c>
      <c r="G1429" s="731" t="s">
        <v>4010</v>
      </c>
      <c r="H1429" s="1083">
        <v>42401</v>
      </c>
      <c r="I1429" s="1084">
        <v>42480</v>
      </c>
      <c r="J1429" s="957">
        <v>5383.51</v>
      </c>
    </row>
    <row r="1430" spans="1:10" s="852" customFormat="1" ht="28.5" outlineLevel="2">
      <c r="A1430" s="815" t="s">
        <v>636</v>
      </c>
      <c r="B1430" s="816" t="s">
        <v>7865</v>
      </c>
      <c r="C1430" s="729" t="s">
        <v>637</v>
      </c>
      <c r="D1430" s="924"/>
      <c r="E1430" s="878" t="s">
        <v>1909</v>
      </c>
      <c r="F1430" s="881" t="s">
        <v>4649</v>
      </c>
      <c r="G1430" s="731" t="s">
        <v>4009</v>
      </c>
      <c r="H1430" s="1083">
        <v>42401</v>
      </c>
      <c r="I1430" s="1084">
        <v>42480</v>
      </c>
      <c r="J1430" s="957">
        <v>598.16999999999996</v>
      </c>
    </row>
    <row r="1431" spans="1:10" s="852" customFormat="1" outlineLevel="2">
      <c r="A1431" s="815" t="s">
        <v>636</v>
      </c>
      <c r="B1431" s="816" t="s">
        <v>7865</v>
      </c>
      <c r="C1431" s="729" t="s">
        <v>637</v>
      </c>
      <c r="D1431" s="924"/>
      <c r="E1431" s="878" t="s">
        <v>5842</v>
      </c>
      <c r="F1431" s="881" t="s">
        <v>1094</v>
      </c>
      <c r="G1431" s="731" t="s">
        <v>5846</v>
      </c>
      <c r="H1431" s="1083">
        <v>42430</v>
      </c>
      <c r="I1431" s="1084">
        <v>42489</v>
      </c>
      <c r="J1431" s="957">
        <v>10654.36</v>
      </c>
    </row>
    <row r="1432" spans="1:10" s="852" customFormat="1" outlineLevel="1">
      <c r="A1432" s="815"/>
      <c r="B1432" s="816" t="s">
        <v>258</v>
      </c>
      <c r="C1432" s="908" t="s">
        <v>637</v>
      </c>
      <c r="D1432" s="928" t="str">
        <f>VLOOKUP(C1432,$C$3691:$D$3771,2,FALSE)</f>
        <v>TOTAL POUPATEMPO  PINDAMONHANGABA</v>
      </c>
      <c r="E1432" s="1085"/>
      <c r="F1432" s="929"/>
      <c r="G1432" s="910"/>
      <c r="H1432" s="1086"/>
      <c r="I1432" s="1087"/>
      <c r="J1432" s="930">
        <f>SUBTOTAL(9,J1411:J1431)</f>
        <v>139730.90999999997</v>
      </c>
    </row>
    <row r="1433" spans="1:10" s="852" customFormat="1" outlineLevel="2">
      <c r="A1433" s="815" t="s">
        <v>639</v>
      </c>
      <c r="B1433" s="816" t="s">
        <v>7865</v>
      </c>
      <c r="C1433" s="729" t="s">
        <v>640</v>
      </c>
      <c r="D1433" s="924"/>
      <c r="E1433" s="878" t="s">
        <v>560</v>
      </c>
      <c r="F1433" s="881" t="s">
        <v>1094</v>
      </c>
      <c r="G1433" s="731" t="s">
        <v>5753</v>
      </c>
      <c r="H1433" s="1083">
        <v>42430</v>
      </c>
      <c r="I1433" s="1084">
        <v>42489</v>
      </c>
      <c r="J1433" s="957">
        <v>12315.06</v>
      </c>
    </row>
    <row r="1434" spans="1:10" s="852" customFormat="1" outlineLevel="2">
      <c r="A1434" s="815" t="s">
        <v>2228</v>
      </c>
      <c r="B1434" s="816" t="s">
        <v>7869</v>
      </c>
      <c r="C1434" s="729" t="s">
        <v>640</v>
      </c>
      <c r="D1434" s="924"/>
      <c r="E1434" s="878" t="s">
        <v>2221</v>
      </c>
      <c r="F1434" s="881" t="s">
        <v>863</v>
      </c>
      <c r="G1434" s="731" t="s">
        <v>5571</v>
      </c>
      <c r="H1434" s="1083">
        <v>42401</v>
      </c>
      <c r="I1434" s="1084">
        <v>42465</v>
      </c>
      <c r="J1434" s="957">
        <v>8102.08</v>
      </c>
    </row>
    <row r="1435" spans="1:10" s="852" customFormat="1" outlineLevel="2">
      <c r="A1435" s="815" t="s">
        <v>6443</v>
      </c>
      <c r="B1435" s="816" t="s">
        <v>7863</v>
      </c>
      <c r="C1435" s="729" t="s">
        <v>640</v>
      </c>
      <c r="D1435" s="924"/>
      <c r="E1435" s="878" t="s">
        <v>483</v>
      </c>
      <c r="F1435" s="881" t="s">
        <v>2208</v>
      </c>
      <c r="G1435" s="731" t="str">
        <f>"16987"</f>
        <v>16987</v>
      </c>
      <c r="H1435" s="1083">
        <v>42401</v>
      </c>
      <c r="I1435" s="1084">
        <v>42473</v>
      </c>
      <c r="J1435" s="957">
        <v>12336.75</v>
      </c>
    </row>
    <row r="1436" spans="1:10" s="852" customFormat="1" outlineLevel="2">
      <c r="A1436" s="815" t="s">
        <v>5951</v>
      </c>
      <c r="B1436" s="816" t="s">
        <v>7864</v>
      </c>
      <c r="C1436" s="729" t="s">
        <v>640</v>
      </c>
      <c r="D1436" s="924"/>
      <c r="E1436" s="878" t="s">
        <v>6470</v>
      </c>
      <c r="F1436" s="881" t="s">
        <v>434</v>
      </c>
      <c r="G1436" s="731" t="str">
        <f>"2648"</f>
        <v>2648</v>
      </c>
      <c r="H1436" s="1083">
        <v>42370</v>
      </c>
      <c r="I1436" s="1084">
        <v>42478</v>
      </c>
      <c r="J1436" s="957">
        <v>2155.7600000000002</v>
      </c>
    </row>
    <row r="1437" spans="1:10" s="852" customFormat="1" outlineLevel="2">
      <c r="A1437" s="815" t="s">
        <v>5951</v>
      </c>
      <c r="B1437" s="816" t="s">
        <v>7864</v>
      </c>
      <c r="C1437" s="729" t="s">
        <v>640</v>
      </c>
      <c r="D1437" s="924"/>
      <c r="E1437" s="878" t="s">
        <v>6470</v>
      </c>
      <c r="F1437" s="881" t="s">
        <v>434</v>
      </c>
      <c r="G1437" s="731" t="str">
        <f>"2648"</f>
        <v>2648</v>
      </c>
      <c r="H1437" s="1083">
        <v>42370</v>
      </c>
      <c r="I1437" s="1084">
        <v>42478</v>
      </c>
      <c r="J1437" s="957">
        <v>-2155.7600000000002</v>
      </c>
    </row>
    <row r="1438" spans="1:10" s="852" customFormat="1" outlineLevel="2">
      <c r="A1438" s="815" t="s">
        <v>5951</v>
      </c>
      <c r="B1438" s="816" t="s">
        <v>7864</v>
      </c>
      <c r="C1438" s="729" t="s">
        <v>640</v>
      </c>
      <c r="D1438" s="924"/>
      <c r="E1438" s="878" t="s">
        <v>6470</v>
      </c>
      <c r="F1438" s="881" t="s">
        <v>434</v>
      </c>
      <c r="G1438" s="731" t="str">
        <f>"2648"</f>
        <v>2648</v>
      </c>
      <c r="H1438" s="1083">
        <v>42370</v>
      </c>
      <c r="I1438" s="1084">
        <v>42478</v>
      </c>
      <c r="J1438" s="957">
        <v>2155.7600000000002</v>
      </c>
    </row>
    <row r="1439" spans="1:10" s="852" customFormat="1" outlineLevel="2">
      <c r="A1439" s="815" t="s">
        <v>5951</v>
      </c>
      <c r="B1439" s="816" t="s">
        <v>7864</v>
      </c>
      <c r="C1439" s="729" t="s">
        <v>640</v>
      </c>
      <c r="D1439" s="924"/>
      <c r="E1439" s="878" t="s">
        <v>6470</v>
      </c>
      <c r="F1439" s="881" t="s">
        <v>434</v>
      </c>
      <c r="G1439" s="731" t="str">
        <f>"2648"</f>
        <v>2648</v>
      </c>
      <c r="H1439" s="1083">
        <v>42370</v>
      </c>
      <c r="I1439" s="1084">
        <v>42478</v>
      </c>
      <c r="J1439" s="957">
        <v>2155.7600000000002</v>
      </c>
    </row>
    <row r="1440" spans="1:10" s="852" customFormat="1" outlineLevel="2">
      <c r="A1440" s="815" t="s">
        <v>5951</v>
      </c>
      <c r="B1440" s="816" t="s">
        <v>7864</v>
      </c>
      <c r="C1440" s="729" t="s">
        <v>640</v>
      </c>
      <c r="D1440" s="924"/>
      <c r="E1440" s="878" t="s">
        <v>6470</v>
      </c>
      <c r="F1440" s="881" t="s">
        <v>434</v>
      </c>
      <c r="G1440" s="731" t="str">
        <f>"2648"</f>
        <v>2648</v>
      </c>
      <c r="H1440" s="1083">
        <v>42370</v>
      </c>
      <c r="I1440" s="1084">
        <v>42478</v>
      </c>
      <c r="J1440" s="957">
        <v>-2155.7600000000002</v>
      </c>
    </row>
    <row r="1441" spans="1:10" s="852" customFormat="1" ht="28.5" outlineLevel="2">
      <c r="A1441" s="815" t="s">
        <v>639</v>
      </c>
      <c r="B1441" s="816" t="s">
        <v>7865</v>
      </c>
      <c r="C1441" s="729" t="s">
        <v>640</v>
      </c>
      <c r="D1441" s="924"/>
      <c r="E1441" s="878" t="s">
        <v>2336</v>
      </c>
      <c r="F1441" s="881" t="s">
        <v>5296</v>
      </c>
      <c r="G1441" s="731" t="s">
        <v>4017</v>
      </c>
      <c r="H1441" s="1083">
        <v>42430</v>
      </c>
      <c r="I1441" s="1084">
        <v>42480</v>
      </c>
      <c r="J1441" s="957">
        <v>1696.5</v>
      </c>
    </row>
    <row r="1442" spans="1:10" s="852" customFormat="1" outlineLevel="2">
      <c r="A1442" s="815" t="s">
        <v>643</v>
      </c>
      <c r="B1442" s="816" t="s">
        <v>7863</v>
      </c>
      <c r="C1442" s="729" t="s">
        <v>640</v>
      </c>
      <c r="D1442" s="924"/>
      <c r="E1442" s="878" t="s">
        <v>2336</v>
      </c>
      <c r="F1442" s="881" t="s">
        <v>4402</v>
      </c>
      <c r="G1442" s="731" t="s">
        <v>4016</v>
      </c>
      <c r="H1442" s="1083">
        <v>42401</v>
      </c>
      <c r="I1442" s="1084">
        <v>42480</v>
      </c>
      <c r="J1442" s="957">
        <v>1688.91</v>
      </c>
    </row>
    <row r="1443" spans="1:10" s="852" customFormat="1" outlineLevel="2">
      <c r="A1443" s="815" t="s">
        <v>642</v>
      </c>
      <c r="B1443" s="816" t="s">
        <v>7864</v>
      </c>
      <c r="C1443" s="729" t="s">
        <v>640</v>
      </c>
      <c r="D1443" s="924"/>
      <c r="E1443" s="878" t="s">
        <v>2336</v>
      </c>
      <c r="F1443" s="881" t="s">
        <v>3920</v>
      </c>
      <c r="G1443" s="731" t="s">
        <v>4014</v>
      </c>
      <c r="H1443" s="1083">
        <v>42401</v>
      </c>
      <c r="I1443" s="1084">
        <v>42480</v>
      </c>
      <c r="J1443" s="957">
        <v>295.13</v>
      </c>
    </row>
    <row r="1444" spans="1:10" s="852" customFormat="1" outlineLevel="2">
      <c r="A1444" s="815" t="s">
        <v>642</v>
      </c>
      <c r="B1444" s="816" t="s">
        <v>7864</v>
      </c>
      <c r="C1444" s="729" t="s">
        <v>640</v>
      </c>
      <c r="D1444" s="924"/>
      <c r="E1444" s="878" t="s">
        <v>2336</v>
      </c>
      <c r="F1444" s="881" t="s">
        <v>4346</v>
      </c>
      <c r="G1444" s="731" t="s">
        <v>4015</v>
      </c>
      <c r="H1444" s="1083">
        <v>42401</v>
      </c>
      <c r="I1444" s="1084">
        <v>42480</v>
      </c>
      <c r="J1444" s="957">
        <v>194.16</v>
      </c>
    </row>
    <row r="1445" spans="1:10" s="852" customFormat="1" outlineLevel="2">
      <c r="A1445" s="815" t="s">
        <v>642</v>
      </c>
      <c r="B1445" s="816" t="s">
        <v>7864</v>
      </c>
      <c r="C1445" s="729" t="s">
        <v>640</v>
      </c>
      <c r="D1445" s="924"/>
      <c r="E1445" s="878" t="s">
        <v>2336</v>
      </c>
      <c r="F1445" s="881" t="s">
        <v>3513</v>
      </c>
      <c r="G1445" s="731" t="s">
        <v>4013</v>
      </c>
      <c r="H1445" s="1083">
        <v>42401</v>
      </c>
      <c r="I1445" s="1084">
        <v>42480</v>
      </c>
      <c r="J1445" s="957">
        <v>287.36</v>
      </c>
    </row>
    <row r="1446" spans="1:10" s="852" customFormat="1" outlineLevel="2">
      <c r="A1446" s="815" t="s">
        <v>639</v>
      </c>
      <c r="B1446" s="816" t="s">
        <v>7865</v>
      </c>
      <c r="C1446" s="729" t="s">
        <v>640</v>
      </c>
      <c r="D1446" s="924"/>
      <c r="E1446" s="878" t="s">
        <v>2336</v>
      </c>
      <c r="F1446" s="881" t="s">
        <v>6027</v>
      </c>
      <c r="G1446" s="731" t="s">
        <v>4011</v>
      </c>
      <c r="H1446" s="1083">
        <v>42401</v>
      </c>
      <c r="I1446" s="1084">
        <v>42480</v>
      </c>
      <c r="J1446" s="957">
        <v>1696.5</v>
      </c>
    </row>
    <row r="1447" spans="1:10" s="852" customFormat="1" outlineLevel="2">
      <c r="A1447" s="815" t="s">
        <v>639</v>
      </c>
      <c r="B1447" s="816" t="s">
        <v>7865</v>
      </c>
      <c r="C1447" s="729" t="s">
        <v>640</v>
      </c>
      <c r="D1447" s="924"/>
      <c r="E1447" s="878" t="s">
        <v>2336</v>
      </c>
      <c r="F1447" s="881" t="s">
        <v>3254</v>
      </c>
      <c r="G1447" s="731" t="s">
        <v>4012</v>
      </c>
      <c r="H1447" s="1083">
        <v>42401</v>
      </c>
      <c r="I1447" s="1084">
        <v>42480</v>
      </c>
      <c r="J1447" s="957">
        <v>13572.01</v>
      </c>
    </row>
    <row r="1448" spans="1:10" s="852" customFormat="1" outlineLevel="2">
      <c r="A1448" s="815" t="s">
        <v>5951</v>
      </c>
      <c r="B1448" s="816" t="s">
        <v>7864</v>
      </c>
      <c r="C1448" s="729" t="s">
        <v>640</v>
      </c>
      <c r="D1448" s="924"/>
      <c r="E1448" s="878" t="s">
        <v>2717</v>
      </c>
      <c r="F1448" s="881" t="s">
        <v>434</v>
      </c>
      <c r="G1448" s="731" t="str">
        <f>"3568"</f>
        <v>3568</v>
      </c>
      <c r="H1448" s="1083">
        <v>42401</v>
      </c>
      <c r="I1448" s="1084">
        <v>42467</v>
      </c>
      <c r="J1448" s="957">
        <v>1418.28</v>
      </c>
    </row>
    <row r="1449" spans="1:10" s="852" customFormat="1" outlineLevel="2">
      <c r="A1449" s="815" t="s">
        <v>5951</v>
      </c>
      <c r="B1449" s="816" t="s">
        <v>7864</v>
      </c>
      <c r="C1449" s="729" t="s">
        <v>640</v>
      </c>
      <c r="D1449" s="924"/>
      <c r="E1449" s="878" t="s">
        <v>409</v>
      </c>
      <c r="F1449" s="881" t="s">
        <v>434</v>
      </c>
      <c r="G1449" s="731" t="str">
        <f>"6711"</f>
        <v>6711</v>
      </c>
      <c r="H1449" s="1083">
        <v>42401</v>
      </c>
      <c r="I1449" s="1084">
        <v>42475</v>
      </c>
      <c r="J1449" s="957">
        <v>2099.04</v>
      </c>
    </row>
    <row r="1450" spans="1:10" s="852" customFormat="1" outlineLevel="2">
      <c r="A1450" s="815" t="s">
        <v>639</v>
      </c>
      <c r="B1450" s="816" t="s">
        <v>7865</v>
      </c>
      <c r="C1450" s="729" t="s">
        <v>640</v>
      </c>
      <c r="D1450" s="924"/>
      <c r="E1450" s="878" t="s">
        <v>484</v>
      </c>
      <c r="F1450" s="881" t="s">
        <v>1094</v>
      </c>
      <c r="G1450" s="731" t="s">
        <v>5805</v>
      </c>
      <c r="H1450" s="1083">
        <v>42430</v>
      </c>
      <c r="I1450" s="1084">
        <v>42489</v>
      </c>
      <c r="J1450" s="957">
        <v>12315.06</v>
      </c>
    </row>
    <row r="1451" spans="1:10" s="852" customFormat="1" outlineLevel="2">
      <c r="A1451" s="815" t="s">
        <v>1000</v>
      </c>
      <c r="B1451" s="816" t="s">
        <v>7866</v>
      </c>
      <c r="C1451" s="729" t="s">
        <v>640</v>
      </c>
      <c r="D1451" s="924"/>
      <c r="E1451" s="878" t="s">
        <v>2282</v>
      </c>
      <c r="F1451" s="881" t="s">
        <v>3974</v>
      </c>
      <c r="G1451" s="731" t="s">
        <v>2779</v>
      </c>
      <c r="H1451" s="1083">
        <v>42401</v>
      </c>
      <c r="I1451" s="1084">
        <v>42471</v>
      </c>
      <c r="J1451" s="957">
        <v>469.31</v>
      </c>
    </row>
    <row r="1452" spans="1:10" s="852" customFormat="1" outlineLevel="2">
      <c r="A1452" s="815" t="s">
        <v>1000</v>
      </c>
      <c r="B1452" s="816" t="s">
        <v>7866</v>
      </c>
      <c r="C1452" s="729" t="s">
        <v>640</v>
      </c>
      <c r="D1452" s="924"/>
      <c r="E1452" s="878" t="s">
        <v>2282</v>
      </c>
      <c r="F1452" s="881" t="s">
        <v>4081</v>
      </c>
      <c r="G1452" s="731" t="s">
        <v>2781</v>
      </c>
      <c r="H1452" s="1083">
        <v>42401</v>
      </c>
      <c r="I1452" s="1084">
        <v>42471</v>
      </c>
      <c r="J1452" s="957">
        <v>15</v>
      </c>
    </row>
    <row r="1453" spans="1:10" s="852" customFormat="1" outlineLevel="2">
      <c r="A1453" s="815" t="s">
        <v>1000</v>
      </c>
      <c r="B1453" s="816" t="s">
        <v>7866</v>
      </c>
      <c r="C1453" s="729" t="s">
        <v>640</v>
      </c>
      <c r="D1453" s="924"/>
      <c r="E1453" s="878" t="s">
        <v>2282</v>
      </c>
      <c r="F1453" s="881" t="s">
        <v>4165</v>
      </c>
      <c r="G1453" s="731" t="s">
        <v>2782</v>
      </c>
      <c r="H1453" s="1083">
        <v>42401</v>
      </c>
      <c r="I1453" s="1084">
        <v>42471</v>
      </c>
      <c r="J1453" s="957">
        <v>177.07</v>
      </c>
    </row>
    <row r="1454" spans="1:10" s="852" customFormat="1" outlineLevel="2">
      <c r="A1454" s="815" t="s">
        <v>639</v>
      </c>
      <c r="B1454" s="816" t="s">
        <v>7865</v>
      </c>
      <c r="C1454" s="729" t="s">
        <v>640</v>
      </c>
      <c r="D1454" s="924"/>
      <c r="E1454" s="878" t="s">
        <v>2709</v>
      </c>
      <c r="F1454" s="881" t="s">
        <v>6163</v>
      </c>
      <c r="G1454" s="731" t="s">
        <v>4018</v>
      </c>
      <c r="H1454" s="1083">
        <v>42401</v>
      </c>
      <c r="I1454" s="1084">
        <v>42475</v>
      </c>
      <c r="J1454" s="957">
        <v>462.68</v>
      </c>
    </row>
    <row r="1455" spans="1:10" s="852" customFormat="1" outlineLevel="2">
      <c r="A1455" s="815" t="s">
        <v>639</v>
      </c>
      <c r="B1455" s="816" t="s">
        <v>7865</v>
      </c>
      <c r="C1455" s="729" t="s">
        <v>640</v>
      </c>
      <c r="D1455" s="924"/>
      <c r="E1455" s="878" t="s">
        <v>2709</v>
      </c>
      <c r="F1455" s="881" t="s">
        <v>3256</v>
      </c>
      <c r="G1455" s="731" t="s">
        <v>4019</v>
      </c>
      <c r="H1455" s="1083">
        <v>42401</v>
      </c>
      <c r="I1455" s="1084">
        <v>42475</v>
      </c>
      <c r="J1455" s="957">
        <v>3701.46</v>
      </c>
    </row>
    <row r="1456" spans="1:10" s="852" customFormat="1" outlineLevel="2">
      <c r="A1456" s="815" t="s">
        <v>642</v>
      </c>
      <c r="B1456" s="816" t="s">
        <v>7864</v>
      </c>
      <c r="C1456" s="729" t="s">
        <v>640</v>
      </c>
      <c r="D1456" s="924"/>
      <c r="E1456" s="878" t="s">
        <v>2709</v>
      </c>
      <c r="F1456" s="881" t="s">
        <v>3514</v>
      </c>
      <c r="G1456" s="731" t="s">
        <v>4020</v>
      </c>
      <c r="H1456" s="1083">
        <v>42401</v>
      </c>
      <c r="I1456" s="1084">
        <v>42475</v>
      </c>
      <c r="J1456" s="957">
        <v>78.37</v>
      </c>
    </row>
    <row r="1457" spans="1:10" s="852" customFormat="1" outlineLevel="2">
      <c r="A1457" s="815" t="s">
        <v>642</v>
      </c>
      <c r="B1457" s="816" t="s">
        <v>7864</v>
      </c>
      <c r="C1457" s="729" t="s">
        <v>640</v>
      </c>
      <c r="D1457" s="924"/>
      <c r="E1457" s="878" t="s">
        <v>2709</v>
      </c>
      <c r="F1457" s="881" t="s">
        <v>3921</v>
      </c>
      <c r="G1457" s="731" t="s">
        <v>4021</v>
      </c>
      <c r="H1457" s="1083">
        <v>42401</v>
      </c>
      <c r="I1457" s="1084">
        <v>42475</v>
      </c>
      <c r="J1457" s="957">
        <v>80.489999999999995</v>
      </c>
    </row>
    <row r="1458" spans="1:10" s="852" customFormat="1" outlineLevel="2">
      <c r="A1458" s="815" t="s">
        <v>642</v>
      </c>
      <c r="B1458" s="816" t="s">
        <v>7864</v>
      </c>
      <c r="C1458" s="729" t="s">
        <v>640</v>
      </c>
      <c r="D1458" s="924"/>
      <c r="E1458" s="878" t="s">
        <v>2709</v>
      </c>
      <c r="F1458" s="881" t="s">
        <v>4348</v>
      </c>
      <c r="G1458" s="731" t="s">
        <v>4022</v>
      </c>
      <c r="H1458" s="1083">
        <v>42401</v>
      </c>
      <c r="I1458" s="1084">
        <v>42475</v>
      </c>
      <c r="J1458" s="957">
        <v>52.95</v>
      </c>
    </row>
    <row r="1459" spans="1:10" s="852" customFormat="1" outlineLevel="2">
      <c r="A1459" s="815" t="s">
        <v>643</v>
      </c>
      <c r="B1459" s="816" t="s">
        <v>7863</v>
      </c>
      <c r="C1459" s="729" t="s">
        <v>640</v>
      </c>
      <c r="D1459" s="924"/>
      <c r="E1459" s="878" t="s">
        <v>2709</v>
      </c>
      <c r="F1459" s="881" t="s">
        <v>4403</v>
      </c>
      <c r="G1459" s="731" t="s">
        <v>4023</v>
      </c>
      <c r="H1459" s="1083">
        <v>42401</v>
      </c>
      <c r="I1459" s="1084">
        <v>42475</v>
      </c>
      <c r="J1459" s="957">
        <v>460.61</v>
      </c>
    </row>
    <row r="1460" spans="1:10" s="852" customFormat="1" ht="28.5" outlineLevel="2">
      <c r="A1460" s="815" t="s">
        <v>639</v>
      </c>
      <c r="B1460" s="816" t="s">
        <v>7865</v>
      </c>
      <c r="C1460" s="729" t="s">
        <v>640</v>
      </c>
      <c r="D1460" s="924"/>
      <c r="E1460" s="878" t="s">
        <v>2709</v>
      </c>
      <c r="F1460" s="881" t="s">
        <v>5298</v>
      </c>
      <c r="G1460" s="731" t="s">
        <v>4024</v>
      </c>
      <c r="H1460" s="1083">
        <v>42430</v>
      </c>
      <c r="I1460" s="1084">
        <v>42475</v>
      </c>
      <c r="J1460" s="957">
        <v>462.68</v>
      </c>
    </row>
    <row r="1461" spans="1:10" s="852" customFormat="1" ht="28.5" outlineLevel="2">
      <c r="A1461" s="815" t="s">
        <v>639</v>
      </c>
      <c r="B1461" s="816" t="s">
        <v>7865</v>
      </c>
      <c r="C1461" s="729" t="s">
        <v>640</v>
      </c>
      <c r="D1461" s="460"/>
      <c r="E1461" s="878" t="s">
        <v>1909</v>
      </c>
      <c r="F1461" s="881" t="s">
        <v>5294</v>
      </c>
      <c r="G1461" s="731" t="s">
        <v>4046</v>
      </c>
      <c r="H1461" s="1083">
        <v>42430</v>
      </c>
      <c r="I1461" s="1084">
        <v>42480</v>
      </c>
      <c r="J1461" s="957">
        <v>231.34</v>
      </c>
    </row>
    <row r="1462" spans="1:10" s="852" customFormat="1" outlineLevel="2">
      <c r="A1462" s="815" t="s">
        <v>1000</v>
      </c>
      <c r="B1462" s="816" t="s">
        <v>7866</v>
      </c>
      <c r="C1462" s="729" t="s">
        <v>640</v>
      </c>
      <c r="D1462" s="460"/>
      <c r="E1462" s="878" t="s">
        <v>1909</v>
      </c>
      <c r="F1462" s="881" t="s">
        <v>3935</v>
      </c>
      <c r="G1462" s="731" t="s">
        <v>2817</v>
      </c>
      <c r="H1462" s="1083">
        <v>42401</v>
      </c>
      <c r="I1462" s="1084">
        <v>42480</v>
      </c>
      <c r="J1462" s="957">
        <v>140.79</v>
      </c>
    </row>
    <row r="1463" spans="1:10" s="852" customFormat="1" outlineLevel="2">
      <c r="A1463" s="815" t="s">
        <v>1000</v>
      </c>
      <c r="B1463" s="816" t="s">
        <v>7866</v>
      </c>
      <c r="C1463" s="729" t="s">
        <v>640</v>
      </c>
      <c r="D1463" s="460"/>
      <c r="E1463" s="878" t="s">
        <v>1909</v>
      </c>
      <c r="F1463" s="881" t="s">
        <v>4027</v>
      </c>
      <c r="G1463" s="731" t="s">
        <v>2819</v>
      </c>
      <c r="H1463" s="1083">
        <v>42401</v>
      </c>
      <c r="I1463" s="1084">
        <v>42480</v>
      </c>
      <c r="J1463" s="957">
        <v>4.5</v>
      </c>
    </row>
    <row r="1464" spans="1:10" s="852" customFormat="1" outlineLevel="2">
      <c r="A1464" s="815" t="s">
        <v>1000</v>
      </c>
      <c r="B1464" s="816" t="s">
        <v>7866</v>
      </c>
      <c r="C1464" s="729" t="s">
        <v>640</v>
      </c>
      <c r="D1464" s="460"/>
      <c r="E1464" s="878" t="s">
        <v>1909</v>
      </c>
      <c r="F1464" s="881" t="s">
        <v>4129</v>
      </c>
      <c r="G1464" s="731" t="s">
        <v>2821</v>
      </c>
      <c r="H1464" s="1083">
        <v>42401</v>
      </c>
      <c r="I1464" s="1084">
        <v>42480</v>
      </c>
      <c r="J1464" s="957">
        <v>53.12</v>
      </c>
    </row>
    <row r="1465" spans="1:10" s="852" customFormat="1" outlineLevel="2">
      <c r="A1465" s="815" t="s">
        <v>643</v>
      </c>
      <c r="B1465" s="816" t="s">
        <v>7863</v>
      </c>
      <c r="C1465" s="729" t="s">
        <v>640</v>
      </c>
      <c r="D1465" s="460"/>
      <c r="E1465" s="878" t="s">
        <v>1909</v>
      </c>
      <c r="F1465" s="881" t="s">
        <v>4400</v>
      </c>
      <c r="G1465" s="731" t="s">
        <v>4042</v>
      </c>
      <c r="H1465" s="1083">
        <v>42401</v>
      </c>
      <c r="I1465" s="1084">
        <v>42480</v>
      </c>
      <c r="J1465" s="957">
        <v>153.54</v>
      </c>
    </row>
    <row r="1466" spans="1:10" s="852" customFormat="1" outlineLevel="2">
      <c r="A1466" s="815" t="s">
        <v>642</v>
      </c>
      <c r="B1466" s="816" t="s">
        <v>7864</v>
      </c>
      <c r="C1466" s="729" t="s">
        <v>640</v>
      </c>
      <c r="D1466" s="460"/>
      <c r="E1466" s="878" t="s">
        <v>1909</v>
      </c>
      <c r="F1466" s="881" t="s">
        <v>3919</v>
      </c>
      <c r="G1466" s="731" t="s">
        <v>4040</v>
      </c>
      <c r="H1466" s="1083">
        <v>42401</v>
      </c>
      <c r="I1466" s="1084">
        <v>42480</v>
      </c>
      <c r="J1466" s="957">
        <v>26.83</v>
      </c>
    </row>
    <row r="1467" spans="1:10" s="852" customFormat="1" outlineLevel="2">
      <c r="A1467" s="815" t="s">
        <v>642</v>
      </c>
      <c r="B1467" s="816" t="s">
        <v>7864</v>
      </c>
      <c r="C1467" s="729" t="s">
        <v>640</v>
      </c>
      <c r="D1467" s="460"/>
      <c r="E1467" s="878" t="s">
        <v>1909</v>
      </c>
      <c r="F1467" s="881" t="s">
        <v>4344</v>
      </c>
      <c r="G1467" s="731" t="s">
        <v>4041</v>
      </c>
      <c r="H1467" s="1083">
        <v>42401</v>
      </c>
      <c r="I1467" s="1084">
        <v>42480</v>
      </c>
      <c r="J1467" s="957">
        <v>17.649999999999999</v>
      </c>
    </row>
    <row r="1468" spans="1:10" s="852" customFormat="1" outlineLevel="2">
      <c r="A1468" s="815" t="s">
        <v>642</v>
      </c>
      <c r="B1468" s="816" t="s">
        <v>7864</v>
      </c>
      <c r="C1468" s="729" t="s">
        <v>640</v>
      </c>
      <c r="D1468" s="460"/>
      <c r="E1468" s="878" t="s">
        <v>1909</v>
      </c>
      <c r="F1468" s="881" t="s">
        <v>3512</v>
      </c>
      <c r="G1468" s="731" t="s">
        <v>4036</v>
      </c>
      <c r="H1468" s="1083">
        <v>42401</v>
      </c>
      <c r="I1468" s="1084">
        <v>42480</v>
      </c>
      <c r="J1468" s="957">
        <v>26.12</v>
      </c>
    </row>
    <row r="1469" spans="1:10" s="852" customFormat="1" outlineLevel="2">
      <c r="A1469" s="815" t="s">
        <v>639</v>
      </c>
      <c r="B1469" s="816" t="s">
        <v>7865</v>
      </c>
      <c r="C1469" s="729" t="s">
        <v>640</v>
      </c>
      <c r="D1469" s="460"/>
      <c r="E1469" s="878" t="s">
        <v>1909</v>
      </c>
      <c r="F1469" s="881" t="s">
        <v>6279</v>
      </c>
      <c r="G1469" s="731" t="s">
        <v>4031</v>
      </c>
      <c r="H1469" s="1083">
        <v>42401</v>
      </c>
      <c r="I1469" s="1084">
        <v>42480</v>
      </c>
      <c r="J1469" s="957">
        <v>231.34</v>
      </c>
    </row>
    <row r="1470" spans="1:10" s="852" customFormat="1" outlineLevel="2">
      <c r="A1470" s="815" t="s">
        <v>639</v>
      </c>
      <c r="B1470" s="816" t="s">
        <v>7865</v>
      </c>
      <c r="C1470" s="729" t="s">
        <v>640</v>
      </c>
      <c r="D1470" s="460"/>
      <c r="E1470" s="878" t="s">
        <v>1909</v>
      </c>
      <c r="F1470" s="881" t="s">
        <v>3253</v>
      </c>
      <c r="G1470" s="731" t="s">
        <v>4035</v>
      </c>
      <c r="H1470" s="1083">
        <v>42401</v>
      </c>
      <c r="I1470" s="1084">
        <v>42480</v>
      </c>
      <c r="J1470" s="957">
        <v>1850.73</v>
      </c>
    </row>
    <row r="1471" spans="1:10" s="852" customFormat="1" ht="42.75" outlineLevel="2">
      <c r="A1471" s="815" t="s">
        <v>639</v>
      </c>
      <c r="B1471" s="816" t="s">
        <v>7865</v>
      </c>
      <c r="C1471" s="729" t="s">
        <v>640</v>
      </c>
      <c r="D1471" s="460"/>
      <c r="E1471" s="878" t="s">
        <v>1909</v>
      </c>
      <c r="F1471" s="881" t="s">
        <v>5030</v>
      </c>
      <c r="G1471" s="731" t="s">
        <v>4045</v>
      </c>
      <c r="H1471" s="1083">
        <v>42401</v>
      </c>
      <c r="I1471" s="1084">
        <v>42480</v>
      </c>
      <c r="J1471" s="957">
        <v>589.19000000000005</v>
      </c>
    </row>
    <row r="1472" spans="1:10" s="852" customFormat="1" ht="42.75" outlineLevel="2">
      <c r="A1472" s="815" t="s">
        <v>639</v>
      </c>
      <c r="B1472" s="816" t="s">
        <v>7865</v>
      </c>
      <c r="C1472" s="729" t="s">
        <v>640</v>
      </c>
      <c r="D1472" s="460"/>
      <c r="E1472" s="878" t="s">
        <v>1909</v>
      </c>
      <c r="F1472" s="881" t="s">
        <v>5030</v>
      </c>
      <c r="G1472" s="731" t="s">
        <v>4045</v>
      </c>
      <c r="H1472" s="1083">
        <v>42401</v>
      </c>
      <c r="I1472" s="1084">
        <v>42480</v>
      </c>
      <c r="J1472" s="957">
        <v>127.96</v>
      </c>
    </row>
    <row r="1473" spans="1:10" s="852" customFormat="1" ht="28.5" outlineLevel="2">
      <c r="A1473" s="815" t="s">
        <v>1000</v>
      </c>
      <c r="B1473" s="816" t="s">
        <v>7866</v>
      </c>
      <c r="C1473" s="729" t="s">
        <v>640</v>
      </c>
      <c r="D1473" s="460"/>
      <c r="E1473" s="878" t="s">
        <v>1909</v>
      </c>
      <c r="F1473" s="881" t="s">
        <v>4956</v>
      </c>
      <c r="G1473" s="731" t="s">
        <v>2833</v>
      </c>
      <c r="H1473" s="1083">
        <v>42401</v>
      </c>
      <c r="I1473" s="1084">
        <v>42480</v>
      </c>
      <c r="J1473" s="957">
        <v>436.46</v>
      </c>
    </row>
    <row r="1474" spans="1:10" s="852" customFormat="1" ht="28.5" outlineLevel="2">
      <c r="A1474" s="815" t="s">
        <v>1000</v>
      </c>
      <c r="B1474" s="816" t="s">
        <v>7866</v>
      </c>
      <c r="C1474" s="729" t="s">
        <v>640</v>
      </c>
      <c r="D1474" s="460"/>
      <c r="E1474" s="878" t="s">
        <v>1909</v>
      </c>
      <c r="F1474" s="881" t="s">
        <v>4903</v>
      </c>
      <c r="G1474" s="731" t="s">
        <v>2832</v>
      </c>
      <c r="H1474" s="1083">
        <v>42401</v>
      </c>
      <c r="I1474" s="1084">
        <v>42480</v>
      </c>
      <c r="J1474" s="957">
        <v>13.95</v>
      </c>
    </row>
    <row r="1475" spans="1:10" s="852" customFormat="1" ht="28.5" outlineLevel="2">
      <c r="A1475" s="815" t="s">
        <v>1000</v>
      </c>
      <c r="B1475" s="816" t="s">
        <v>7866</v>
      </c>
      <c r="C1475" s="729" t="s">
        <v>640</v>
      </c>
      <c r="D1475" s="460"/>
      <c r="E1475" s="878" t="s">
        <v>1909</v>
      </c>
      <c r="F1475" s="881" t="s">
        <v>4853</v>
      </c>
      <c r="G1475" s="731" t="s">
        <v>2831</v>
      </c>
      <c r="H1475" s="1083">
        <v>42401</v>
      </c>
      <c r="I1475" s="1084">
        <v>42480</v>
      </c>
      <c r="J1475" s="957">
        <v>164.67</v>
      </c>
    </row>
    <row r="1476" spans="1:10" s="852" customFormat="1" ht="28.5" outlineLevel="2">
      <c r="A1476" s="815" t="s">
        <v>643</v>
      </c>
      <c r="B1476" s="816" t="s">
        <v>7863</v>
      </c>
      <c r="C1476" s="729" t="s">
        <v>640</v>
      </c>
      <c r="D1476" s="460"/>
      <c r="E1476" s="878" t="s">
        <v>1909</v>
      </c>
      <c r="F1476" s="881" t="s">
        <v>6278</v>
      </c>
      <c r="G1476" s="731" t="s">
        <v>4025</v>
      </c>
      <c r="H1476" s="1083">
        <v>42370</v>
      </c>
      <c r="I1476" s="1084">
        <v>42480</v>
      </c>
      <c r="J1476" s="957">
        <v>763.18</v>
      </c>
    </row>
    <row r="1477" spans="1:10" s="852" customFormat="1" ht="28.5" outlineLevel="2">
      <c r="A1477" s="815" t="s">
        <v>643</v>
      </c>
      <c r="B1477" s="816" t="s">
        <v>7863</v>
      </c>
      <c r="C1477" s="729" t="s">
        <v>640</v>
      </c>
      <c r="D1477" s="460"/>
      <c r="E1477" s="878" t="s">
        <v>1909</v>
      </c>
      <c r="F1477" s="881" t="s">
        <v>6278</v>
      </c>
      <c r="G1477" s="731" t="s">
        <v>4026</v>
      </c>
      <c r="H1477" s="1083">
        <v>42370</v>
      </c>
      <c r="I1477" s="1084">
        <v>42480</v>
      </c>
      <c r="J1477" s="957">
        <v>763.19</v>
      </c>
    </row>
    <row r="1478" spans="1:10" s="852" customFormat="1" ht="28.5" outlineLevel="2">
      <c r="A1478" s="815" t="s">
        <v>643</v>
      </c>
      <c r="B1478" s="816" t="s">
        <v>7863</v>
      </c>
      <c r="C1478" s="729" t="s">
        <v>640</v>
      </c>
      <c r="D1478" s="460"/>
      <c r="E1478" s="878" t="s">
        <v>1909</v>
      </c>
      <c r="F1478" s="881" t="s">
        <v>6278</v>
      </c>
      <c r="G1478" s="731" t="s">
        <v>4028</v>
      </c>
      <c r="H1478" s="1083">
        <v>42370</v>
      </c>
      <c r="I1478" s="1084">
        <v>42480</v>
      </c>
      <c r="J1478" s="957">
        <v>-763.18</v>
      </c>
    </row>
    <row r="1479" spans="1:10" s="852" customFormat="1" ht="28.5" outlineLevel="2">
      <c r="A1479" s="815" t="s">
        <v>642</v>
      </c>
      <c r="B1479" s="816" t="s">
        <v>7864</v>
      </c>
      <c r="C1479" s="729" t="s">
        <v>640</v>
      </c>
      <c r="D1479" s="460"/>
      <c r="E1479" s="878" t="s">
        <v>1909</v>
      </c>
      <c r="F1479" s="881" t="s">
        <v>2969</v>
      </c>
      <c r="G1479" s="731" t="s">
        <v>4029</v>
      </c>
      <c r="H1479" s="1083">
        <v>42370</v>
      </c>
      <c r="I1479" s="1084">
        <v>42480</v>
      </c>
      <c r="J1479" s="957">
        <v>-82.08</v>
      </c>
    </row>
    <row r="1480" spans="1:10" s="852" customFormat="1" ht="28.5" outlineLevel="2">
      <c r="A1480" s="815" t="s">
        <v>642</v>
      </c>
      <c r="B1480" s="816" t="s">
        <v>7864</v>
      </c>
      <c r="C1480" s="729" t="s">
        <v>640</v>
      </c>
      <c r="D1480" s="460"/>
      <c r="E1480" s="878" t="s">
        <v>1909</v>
      </c>
      <c r="F1480" s="881" t="s">
        <v>2969</v>
      </c>
      <c r="G1480" s="731" t="s">
        <v>4030</v>
      </c>
      <c r="H1480" s="1083">
        <v>42370</v>
      </c>
      <c r="I1480" s="1084">
        <v>42480</v>
      </c>
      <c r="J1480" s="957">
        <v>-82.08</v>
      </c>
    </row>
    <row r="1481" spans="1:10" s="852" customFormat="1" ht="28.5" outlineLevel="2">
      <c r="A1481" s="815" t="s">
        <v>642</v>
      </c>
      <c r="B1481" s="816" t="s">
        <v>7864</v>
      </c>
      <c r="C1481" s="729" t="s">
        <v>640</v>
      </c>
      <c r="D1481" s="460"/>
      <c r="E1481" s="878" t="s">
        <v>1909</v>
      </c>
      <c r="F1481" s="881" t="s">
        <v>2969</v>
      </c>
      <c r="G1481" s="731" t="s">
        <v>4032</v>
      </c>
      <c r="H1481" s="1083">
        <v>42370</v>
      </c>
      <c r="I1481" s="1084">
        <v>42480</v>
      </c>
      <c r="J1481" s="957">
        <v>82.08</v>
      </c>
    </row>
    <row r="1482" spans="1:10" s="852" customFormat="1" ht="28.5" outlineLevel="2">
      <c r="A1482" s="815" t="s">
        <v>642</v>
      </c>
      <c r="B1482" s="816" t="s">
        <v>7864</v>
      </c>
      <c r="C1482" s="729" t="s">
        <v>640</v>
      </c>
      <c r="D1482" s="460"/>
      <c r="E1482" s="878" t="s">
        <v>1909</v>
      </c>
      <c r="F1482" s="881" t="s">
        <v>2969</v>
      </c>
      <c r="G1482" s="731" t="s">
        <v>4033</v>
      </c>
      <c r="H1482" s="1083">
        <v>42370</v>
      </c>
      <c r="I1482" s="1084">
        <v>42480</v>
      </c>
      <c r="J1482" s="957">
        <v>82.08</v>
      </c>
    </row>
    <row r="1483" spans="1:10" s="852" customFormat="1" ht="28.5" outlineLevel="2">
      <c r="A1483" s="815" t="s">
        <v>642</v>
      </c>
      <c r="B1483" s="816" t="s">
        <v>7864</v>
      </c>
      <c r="C1483" s="729" t="s">
        <v>640</v>
      </c>
      <c r="D1483" s="460"/>
      <c r="E1483" s="878" t="s">
        <v>1909</v>
      </c>
      <c r="F1483" s="881" t="s">
        <v>2969</v>
      </c>
      <c r="G1483" s="731" t="s">
        <v>4034</v>
      </c>
      <c r="H1483" s="1083">
        <v>42370</v>
      </c>
      <c r="I1483" s="1084">
        <v>42480</v>
      </c>
      <c r="J1483" s="957">
        <v>82.08</v>
      </c>
    </row>
    <row r="1484" spans="1:10" s="852" customFormat="1" ht="28.5" outlineLevel="2">
      <c r="A1484" s="815" t="s">
        <v>642</v>
      </c>
      <c r="B1484" s="816" t="s">
        <v>7864</v>
      </c>
      <c r="C1484" s="729" t="s">
        <v>640</v>
      </c>
      <c r="D1484" s="460"/>
      <c r="E1484" s="878" t="s">
        <v>1909</v>
      </c>
      <c r="F1484" s="881" t="s">
        <v>3696</v>
      </c>
      <c r="G1484" s="731" t="s">
        <v>4037</v>
      </c>
      <c r="H1484" s="1083">
        <v>42370</v>
      </c>
      <c r="I1484" s="1084">
        <v>42480</v>
      </c>
      <c r="J1484" s="957">
        <v>-121.47</v>
      </c>
    </row>
    <row r="1485" spans="1:10" s="852" customFormat="1" ht="28.5" outlineLevel="2">
      <c r="A1485" s="815" t="s">
        <v>642</v>
      </c>
      <c r="B1485" s="816" t="s">
        <v>7864</v>
      </c>
      <c r="C1485" s="729" t="s">
        <v>640</v>
      </c>
      <c r="D1485" s="460"/>
      <c r="E1485" s="878" t="s">
        <v>1909</v>
      </c>
      <c r="F1485" s="881" t="s">
        <v>3696</v>
      </c>
      <c r="G1485" s="731" t="s">
        <v>4038</v>
      </c>
      <c r="H1485" s="1083">
        <v>42370</v>
      </c>
      <c r="I1485" s="1084">
        <v>42480</v>
      </c>
      <c r="J1485" s="957">
        <v>121.47</v>
      </c>
    </row>
    <row r="1486" spans="1:10" s="852" customFormat="1" ht="28.5" outlineLevel="2">
      <c r="A1486" s="815" t="s">
        <v>642</v>
      </c>
      <c r="B1486" s="816" t="s">
        <v>7864</v>
      </c>
      <c r="C1486" s="729" t="s">
        <v>640</v>
      </c>
      <c r="D1486" s="460"/>
      <c r="E1486" s="878" t="s">
        <v>1909</v>
      </c>
      <c r="F1486" s="881" t="s">
        <v>3696</v>
      </c>
      <c r="G1486" s="731" t="s">
        <v>4039</v>
      </c>
      <c r="H1486" s="1083">
        <v>42370</v>
      </c>
      <c r="I1486" s="1084">
        <v>42480</v>
      </c>
      <c r="J1486" s="957">
        <v>121.47</v>
      </c>
    </row>
    <row r="1487" spans="1:10" s="852" customFormat="1" ht="28.5" outlineLevel="2">
      <c r="A1487" s="815" t="s">
        <v>639</v>
      </c>
      <c r="B1487" s="816" t="s">
        <v>7865</v>
      </c>
      <c r="C1487" s="729" t="s">
        <v>640</v>
      </c>
      <c r="D1487" s="460"/>
      <c r="E1487" s="878" t="s">
        <v>1909</v>
      </c>
      <c r="F1487" s="881" t="s">
        <v>4683</v>
      </c>
      <c r="G1487" s="731" t="s">
        <v>4043</v>
      </c>
      <c r="H1487" s="1083">
        <v>42401</v>
      </c>
      <c r="I1487" s="1084">
        <v>42480</v>
      </c>
      <c r="J1487" s="957">
        <v>717.16</v>
      </c>
    </row>
    <row r="1488" spans="1:10" s="852" customFormat="1" ht="28.5" outlineLevel="2">
      <c r="A1488" s="815" t="s">
        <v>639</v>
      </c>
      <c r="B1488" s="816" t="s">
        <v>7865</v>
      </c>
      <c r="C1488" s="729" t="s">
        <v>640</v>
      </c>
      <c r="D1488" s="460"/>
      <c r="E1488" s="878" t="s">
        <v>1909</v>
      </c>
      <c r="F1488" s="881" t="s">
        <v>4725</v>
      </c>
      <c r="G1488" s="731" t="s">
        <v>4044</v>
      </c>
      <c r="H1488" s="1083">
        <v>42401</v>
      </c>
      <c r="I1488" s="1084">
        <v>42480</v>
      </c>
      <c r="J1488" s="957">
        <v>5737.26</v>
      </c>
    </row>
    <row r="1489" spans="1:10" s="852" customFormat="1" outlineLevel="2">
      <c r="A1489" s="815" t="s">
        <v>639</v>
      </c>
      <c r="B1489" s="816" t="s">
        <v>7865</v>
      </c>
      <c r="C1489" s="729" t="s">
        <v>640</v>
      </c>
      <c r="D1489" s="460"/>
      <c r="E1489" s="878" t="s">
        <v>447</v>
      </c>
      <c r="F1489" s="881" t="s">
        <v>1094</v>
      </c>
      <c r="G1489" s="731" t="s">
        <v>5858</v>
      </c>
      <c r="H1489" s="1083">
        <v>42430</v>
      </c>
      <c r="I1489" s="1084">
        <v>42489</v>
      </c>
      <c r="J1489" s="957">
        <v>98520.41</v>
      </c>
    </row>
    <row r="1490" spans="1:10" s="852" customFormat="1" outlineLevel="1">
      <c r="A1490" s="815"/>
      <c r="B1490" s="816" t="s">
        <v>258</v>
      </c>
      <c r="C1490" s="908" t="s">
        <v>640</v>
      </c>
      <c r="D1490" s="928" t="str">
        <f>VLOOKUP(C1490,$C$3691:$D$3771,2,FALSE)</f>
        <v>TOTAL POUPATEMPO  PRAIA GRANDE</v>
      </c>
      <c r="E1490" s="1085"/>
      <c r="F1490" s="929"/>
      <c r="G1490" s="910"/>
      <c r="H1490" s="1086"/>
      <c r="I1490" s="1087"/>
      <c r="J1490" s="930">
        <f>SUBTOTAL(9,J1433:J1489)</f>
        <v>186142.97999999998</v>
      </c>
    </row>
    <row r="1491" spans="1:10" s="852" customFormat="1" outlineLevel="2">
      <c r="A1491" s="815" t="s">
        <v>644</v>
      </c>
      <c r="B1491" s="816" t="s">
        <v>7865</v>
      </c>
      <c r="C1491" s="729" t="s">
        <v>645</v>
      </c>
      <c r="D1491" s="460"/>
      <c r="E1491" s="878" t="s">
        <v>560</v>
      </c>
      <c r="F1491" s="881" t="s">
        <v>1094</v>
      </c>
      <c r="G1491" s="731" t="s">
        <v>5755</v>
      </c>
      <c r="H1491" s="1083">
        <v>42430</v>
      </c>
      <c r="I1491" s="1084">
        <v>42489</v>
      </c>
      <c r="J1491" s="957">
        <v>9522</v>
      </c>
    </row>
    <row r="1492" spans="1:10" s="852" customFormat="1" outlineLevel="2">
      <c r="A1492" s="815" t="s">
        <v>2229</v>
      </c>
      <c r="B1492" s="816" t="s">
        <v>7869</v>
      </c>
      <c r="C1492" s="729" t="s">
        <v>645</v>
      </c>
      <c r="D1492" s="460"/>
      <c r="E1492" s="878" t="s">
        <v>2221</v>
      </c>
      <c r="F1492" s="881" t="s">
        <v>863</v>
      </c>
      <c r="G1492" s="731" t="s">
        <v>5571</v>
      </c>
      <c r="H1492" s="1083">
        <v>42401</v>
      </c>
      <c r="I1492" s="1084">
        <v>42465</v>
      </c>
      <c r="J1492" s="957">
        <v>4051.04</v>
      </c>
    </row>
    <row r="1493" spans="1:10" s="852" customFormat="1" outlineLevel="2">
      <c r="A1493" s="815" t="s">
        <v>6452</v>
      </c>
      <c r="B1493" s="816" t="s">
        <v>7863</v>
      </c>
      <c r="C1493" s="729" t="s">
        <v>645</v>
      </c>
      <c r="D1493" s="460"/>
      <c r="E1493" s="878" t="s">
        <v>483</v>
      </c>
      <c r="F1493" s="881" t="s">
        <v>2208</v>
      </c>
      <c r="G1493" s="731" t="str">
        <f>"16988"</f>
        <v>16988</v>
      </c>
      <c r="H1493" s="1083">
        <v>42401</v>
      </c>
      <c r="I1493" s="1084">
        <v>42473</v>
      </c>
      <c r="J1493" s="957">
        <v>12455.67</v>
      </c>
    </row>
    <row r="1494" spans="1:10" s="852" customFormat="1" outlineLevel="2">
      <c r="A1494" s="815" t="s">
        <v>1777</v>
      </c>
      <c r="B1494" s="816" t="s">
        <v>7871</v>
      </c>
      <c r="C1494" s="729" t="s">
        <v>645</v>
      </c>
      <c r="D1494" s="460"/>
      <c r="E1494" s="878" t="s">
        <v>1715</v>
      </c>
      <c r="F1494" s="881" t="s">
        <v>1753</v>
      </c>
      <c r="G1494" s="731" t="s">
        <v>5738</v>
      </c>
      <c r="H1494" s="1083">
        <v>42430</v>
      </c>
      <c r="I1494" s="1084">
        <v>42488</v>
      </c>
      <c r="J1494" s="957">
        <v>4068.52</v>
      </c>
    </row>
    <row r="1495" spans="1:10" s="852" customFormat="1" outlineLevel="2">
      <c r="A1495" s="815" t="s">
        <v>5935</v>
      </c>
      <c r="B1495" s="816" t="s">
        <v>7864</v>
      </c>
      <c r="C1495" s="729" t="s">
        <v>645</v>
      </c>
      <c r="D1495" s="460"/>
      <c r="E1495" s="878" t="s">
        <v>6470</v>
      </c>
      <c r="F1495" s="881" t="s">
        <v>434</v>
      </c>
      <c r="G1495" s="731" t="str">
        <f>"2675"</f>
        <v>2675</v>
      </c>
      <c r="H1495" s="1083">
        <v>42370</v>
      </c>
      <c r="I1495" s="1084">
        <v>42478</v>
      </c>
      <c r="J1495" s="957">
        <v>-1672.46</v>
      </c>
    </row>
    <row r="1496" spans="1:10" s="852" customFormat="1" outlineLevel="2">
      <c r="A1496" s="815" t="s">
        <v>5935</v>
      </c>
      <c r="B1496" s="816" t="s">
        <v>7864</v>
      </c>
      <c r="C1496" s="729" t="s">
        <v>645</v>
      </c>
      <c r="D1496" s="460"/>
      <c r="E1496" s="878" t="s">
        <v>6470</v>
      </c>
      <c r="F1496" s="881" t="s">
        <v>434</v>
      </c>
      <c r="G1496" s="731" t="str">
        <f>"2675"</f>
        <v>2675</v>
      </c>
      <c r="H1496" s="1083">
        <v>42370</v>
      </c>
      <c r="I1496" s="1084">
        <v>42478</v>
      </c>
      <c r="J1496" s="957">
        <v>1672.46</v>
      </c>
    </row>
    <row r="1497" spans="1:10" s="852" customFormat="1" outlineLevel="2">
      <c r="A1497" s="815" t="s">
        <v>5935</v>
      </c>
      <c r="B1497" s="816" t="s">
        <v>7864</v>
      </c>
      <c r="C1497" s="729" t="s">
        <v>645</v>
      </c>
      <c r="D1497" s="460"/>
      <c r="E1497" s="878" t="s">
        <v>6470</v>
      </c>
      <c r="F1497" s="881" t="s">
        <v>434</v>
      </c>
      <c r="G1497" s="731" t="str">
        <f>"2675"</f>
        <v>2675</v>
      </c>
      <c r="H1497" s="1083">
        <v>42370</v>
      </c>
      <c r="I1497" s="1084">
        <v>42478</v>
      </c>
      <c r="J1497" s="957">
        <v>1672.45</v>
      </c>
    </row>
    <row r="1498" spans="1:10" s="852" customFormat="1" outlineLevel="2">
      <c r="A1498" s="815" t="s">
        <v>5935</v>
      </c>
      <c r="B1498" s="816" t="s">
        <v>7864</v>
      </c>
      <c r="C1498" s="729" t="s">
        <v>645</v>
      </c>
      <c r="D1498" s="460"/>
      <c r="E1498" s="878" t="s">
        <v>6470</v>
      </c>
      <c r="F1498" s="881" t="s">
        <v>434</v>
      </c>
      <c r="G1498" s="731" t="str">
        <f>"2675"</f>
        <v>2675</v>
      </c>
      <c r="H1498" s="1083">
        <v>42370</v>
      </c>
      <c r="I1498" s="1084">
        <v>42478</v>
      </c>
      <c r="J1498" s="957">
        <v>1672.45</v>
      </c>
    </row>
    <row r="1499" spans="1:10" s="852" customFormat="1" outlineLevel="2">
      <c r="A1499" s="815" t="s">
        <v>5935</v>
      </c>
      <c r="B1499" s="816" t="s">
        <v>7864</v>
      </c>
      <c r="C1499" s="729" t="s">
        <v>645</v>
      </c>
      <c r="D1499" s="460"/>
      <c r="E1499" s="878" t="s">
        <v>6470</v>
      </c>
      <c r="F1499" s="881" t="s">
        <v>434</v>
      </c>
      <c r="G1499" s="731" t="str">
        <f>"2675"</f>
        <v>2675</v>
      </c>
      <c r="H1499" s="1083">
        <v>42370</v>
      </c>
      <c r="I1499" s="1084">
        <v>42478</v>
      </c>
      <c r="J1499" s="957">
        <v>-1672.45</v>
      </c>
    </row>
    <row r="1500" spans="1:10" s="852" customFormat="1" ht="28.5" outlineLevel="2">
      <c r="A1500" s="815" t="s">
        <v>644</v>
      </c>
      <c r="B1500" s="816" t="s">
        <v>7865</v>
      </c>
      <c r="C1500" s="729" t="s">
        <v>645</v>
      </c>
      <c r="D1500" s="460"/>
      <c r="E1500" s="878" t="s">
        <v>2336</v>
      </c>
      <c r="F1500" s="881" t="s">
        <v>5286</v>
      </c>
      <c r="G1500" s="731" t="s">
        <v>4053</v>
      </c>
      <c r="H1500" s="1083">
        <v>42430</v>
      </c>
      <c r="I1500" s="1084">
        <v>42480</v>
      </c>
      <c r="J1500" s="957">
        <v>1295.51</v>
      </c>
    </row>
    <row r="1501" spans="1:10" s="852" customFormat="1" outlineLevel="2">
      <c r="A1501" s="815" t="s">
        <v>648</v>
      </c>
      <c r="B1501" s="816" t="s">
        <v>7863</v>
      </c>
      <c r="C1501" s="729" t="s">
        <v>645</v>
      </c>
      <c r="D1501" s="460"/>
      <c r="E1501" s="878" t="s">
        <v>2336</v>
      </c>
      <c r="F1501" s="881" t="s">
        <v>4453</v>
      </c>
      <c r="G1501" s="731" t="s">
        <v>4052</v>
      </c>
      <c r="H1501" s="1083">
        <v>42401</v>
      </c>
      <c r="I1501" s="1084">
        <v>42480</v>
      </c>
      <c r="J1501" s="957">
        <v>1726.68</v>
      </c>
    </row>
    <row r="1502" spans="1:10" s="852" customFormat="1" outlineLevel="2">
      <c r="A1502" s="815" t="s">
        <v>647</v>
      </c>
      <c r="B1502" s="816" t="s">
        <v>7864</v>
      </c>
      <c r="C1502" s="729" t="s">
        <v>645</v>
      </c>
      <c r="D1502" s="460"/>
      <c r="E1502" s="878" t="s">
        <v>2336</v>
      </c>
      <c r="F1502" s="881" t="s">
        <v>3814</v>
      </c>
      <c r="G1502" s="731" t="s">
        <v>4050</v>
      </c>
      <c r="H1502" s="1083">
        <v>42401</v>
      </c>
      <c r="I1502" s="1084">
        <v>42480</v>
      </c>
      <c r="J1502" s="957">
        <v>226.14</v>
      </c>
    </row>
    <row r="1503" spans="1:10" s="852" customFormat="1" outlineLevel="2">
      <c r="A1503" s="815" t="s">
        <v>647</v>
      </c>
      <c r="B1503" s="816" t="s">
        <v>7864</v>
      </c>
      <c r="C1503" s="729" t="s">
        <v>645</v>
      </c>
      <c r="D1503" s="460"/>
      <c r="E1503" s="878" t="s">
        <v>2336</v>
      </c>
      <c r="F1503" s="881" t="s">
        <v>3367</v>
      </c>
      <c r="G1503" s="731" t="s">
        <v>4049</v>
      </c>
      <c r="H1503" s="1083">
        <v>42401</v>
      </c>
      <c r="I1503" s="1084">
        <v>42480</v>
      </c>
      <c r="J1503" s="957">
        <v>148.78</v>
      </c>
    </row>
    <row r="1504" spans="1:10" s="852" customFormat="1" outlineLevel="2">
      <c r="A1504" s="815" t="s">
        <v>647</v>
      </c>
      <c r="B1504" s="816" t="s">
        <v>7864</v>
      </c>
      <c r="C1504" s="729" t="s">
        <v>645</v>
      </c>
      <c r="D1504" s="460"/>
      <c r="E1504" s="878" t="s">
        <v>2336</v>
      </c>
      <c r="F1504" s="881" t="s">
        <v>3898</v>
      </c>
      <c r="G1504" s="731" t="s">
        <v>4051</v>
      </c>
      <c r="H1504" s="1083">
        <v>42401</v>
      </c>
      <c r="I1504" s="1084">
        <v>42480</v>
      </c>
      <c r="J1504" s="957">
        <v>220.19</v>
      </c>
    </row>
    <row r="1505" spans="1:10" s="852" customFormat="1" outlineLevel="2">
      <c r="A1505" s="815" t="s">
        <v>644</v>
      </c>
      <c r="B1505" s="816" t="s">
        <v>7865</v>
      </c>
      <c r="C1505" s="729" t="s">
        <v>645</v>
      </c>
      <c r="D1505" s="460"/>
      <c r="E1505" s="878" t="s">
        <v>2336</v>
      </c>
      <c r="F1505" s="881" t="s">
        <v>6028</v>
      </c>
      <c r="G1505" s="731" t="s">
        <v>4047</v>
      </c>
      <c r="H1505" s="1083">
        <v>42401</v>
      </c>
      <c r="I1505" s="1084">
        <v>42480</v>
      </c>
      <c r="J1505" s="957">
        <v>1295.51</v>
      </c>
    </row>
    <row r="1506" spans="1:10" s="852" customFormat="1" outlineLevel="2">
      <c r="A1506" s="815" t="s">
        <v>644</v>
      </c>
      <c r="B1506" s="816" t="s">
        <v>7865</v>
      </c>
      <c r="C1506" s="729" t="s">
        <v>645</v>
      </c>
      <c r="D1506" s="460"/>
      <c r="E1506" s="878" t="s">
        <v>2336</v>
      </c>
      <c r="F1506" s="881" t="s">
        <v>2979</v>
      </c>
      <c r="G1506" s="731" t="s">
        <v>4048</v>
      </c>
      <c r="H1506" s="1083">
        <v>42401</v>
      </c>
      <c r="I1506" s="1084">
        <v>42480</v>
      </c>
      <c r="J1506" s="957">
        <v>10364.08</v>
      </c>
    </row>
    <row r="1507" spans="1:10" s="852" customFormat="1" outlineLevel="2">
      <c r="A1507" s="815" t="s">
        <v>5935</v>
      </c>
      <c r="B1507" s="816" t="s">
        <v>7864</v>
      </c>
      <c r="C1507" s="729" t="s">
        <v>645</v>
      </c>
      <c r="D1507" s="460"/>
      <c r="E1507" s="878" t="s">
        <v>2717</v>
      </c>
      <c r="F1507" s="881" t="s">
        <v>434</v>
      </c>
      <c r="G1507" s="731" t="str">
        <f>"3537"</f>
        <v>3537</v>
      </c>
      <c r="H1507" s="1083">
        <v>42401</v>
      </c>
      <c r="I1507" s="1084">
        <v>42467</v>
      </c>
      <c r="J1507" s="957">
        <v>1100.28</v>
      </c>
    </row>
    <row r="1508" spans="1:10" s="852" customFormat="1" outlineLevel="2">
      <c r="A1508" s="815" t="s">
        <v>5935</v>
      </c>
      <c r="B1508" s="816" t="s">
        <v>7864</v>
      </c>
      <c r="C1508" s="729" t="s">
        <v>645</v>
      </c>
      <c r="D1508" s="460"/>
      <c r="E1508" s="878" t="s">
        <v>409</v>
      </c>
      <c r="F1508" s="881" t="s">
        <v>434</v>
      </c>
      <c r="G1508" s="731" t="str">
        <f>"6694"</f>
        <v>6694</v>
      </c>
      <c r="H1508" s="1083">
        <v>42401</v>
      </c>
      <c r="I1508" s="1084">
        <v>42475</v>
      </c>
      <c r="J1508" s="957">
        <v>1628.42</v>
      </c>
    </row>
    <row r="1509" spans="1:10" s="852" customFormat="1" outlineLevel="2">
      <c r="A1509" s="815" t="s">
        <v>644</v>
      </c>
      <c r="B1509" s="816" t="s">
        <v>7865</v>
      </c>
      <c r="C1509" s="729" t="s">
        <v>645</v>
      </c>
      <c r="D1509" s="460"/>
      <c r="E1509" s="878" t="s">
        <v>484</v>
      </c>
      <c r="F1509" s="881" t="s">
        <v>1094</v>
      </c>
      <c r="G1509" s="731" t="s">
        <v>5804</v>
      </c>
      <c r="H1509" s="1083">
        <v>42430</v>
      </c>
      <c r="I1509" s="1084">
        <v>42489</v>
      </c>
      <c r="J1509" s="957">
        <v>9522.01</v>
      </c>
    </row>
    <row r="1510" spans="1:10" s="852" customFormat="1" outlineLevel="2">
      <c r="A1510" s="815" t="s">
        <v>1001</v>
      </c>
      <c r="B1510" s="816" t="s">
        <v>7866</v>
      </c>
      <c r="C1510" s="729" t="s">
        <v>645</v>
      </c>
      <c r="D1510" s="460"/>
      <c r="E1510" s="878" t="s">
        <v>2282</v>
      </c>
      <c r="F1510" s="881" t="s">
        <v>3974</v>
      </c>
      <c r="G1510" s="731" t="s">
        <v>2779</v>
      </c>
      <c r="H1510" s="1083">
        <v>42401</v>
      </c>
      <c r="I1510" s="1084">
        <v>42471</v>
      </c>
      <c r="J1510" s="957">
        <v>152.28</v>
      </c>
    </row>
    <row r="1511" spans="1:10" s="852" customFormat="1" outlineLevel="2">
      <c r="A1511" s="815" t="s">
        <v>1001</v>
      </c>
      <c r="B1511" s="816" t="s">
        <v>7866</v>
      </c>
      <c r="C1511" s="729" t="s">
        <v>645</v>
      </c>
      <c r="D1511" s="460"/>
      <c r="E1511" s="878" t="s">
        <v>2282</v>
      </c>
      <c r="F1511" s="881" t="s">
        <v>4081</v>
      </c>
      <c r="G1511" s="731" t="s">
        <v>2781</v>
      </c>
      <c r="H1511" s="1083">
        <v>42401</v>
      </c>
      <c r="I1511" s="1084">
        <v>42471</v>
      </c>
      <c r="J1511" s="957">
        <v>4.8600000000000003</v>
      </c>
    </row>
    <row r="1512" spans="1:10" s="852" customFormat="1" outlineLevel="2">
      <c r="A1512" s="815" t="s">
        <v>1001</v>
      </c>
      <c r="B1512" s="816" t="s">
        <v>7866</v>
      </c>
      <c r="C1512" s="729" t="s">
        <v>645</v>
      </c>
      <c r="D1512" s="460"/>
      <c r="E1512" s="878" t="s">
        <v>2282</v>
      </c>
      <c r="F1512" s="881" t="s">
        <v>4165</v>
      </c>
      <c r="G1512" s="731" t="s">
        <v>2782</v>
      </c>
      <c r="H1512" s="1083">
        <v>42401</v>
      </c>
      <c r="I1512" s="1084">
        <v>42471</v>
      </c>
      <c r="J1512" s="957">
        <v>57.45</v>
      </c>
    </row>
    <row r="1513" spans="1:10" s="852" customFormat="1" outlineLevel="2">
      <c r="A1513" s="815" t="s">
        <v>644</v>
      </c>
      <c r="B1513" s="816" t="s">
        <v>7865</v>
      </c>
      <c r="C1513" s="729" t="s">
        <v>645</v>
      </c>
      <c r="D1513" s="460"/>
      <c r="E1513" s="878" t="s">
        <v>2344</v>
      </c>
      <c r="F1513" s="881" t="s">
        <v>6167</v>
      </c>
      <c r="G1513" s="731" t="s">
        <v>4054</v>
      </c>
      <c r="H1513" s="1083">
        <v>42401</v>
      </c>
      <c r="I1513" s="1084">
        <v>42471</v>
      </c>
      <c r="J1513" s="957">
        <v>235.54</v>
      </c>
    </row>
    <row r="1514" spans="1:10" s="852" customFormat="1" outlineLevel="2">
      <c r="A1514" s="815" t="s">
        <v>644</v>
      </c>
      <c r="B1514" s="816" t="s">
        <v>7865</v>
      </c>
      <c r="C1514" s="729" t="s">
        <v>645</v>
      </c>
      <c r="D1514" s="460"/>
      <c r="E1514" s="878" t="s">
        <v>2344</v>
      </c>
      <c r="F1514" s="881" t="s">
        <v>2981</v>
      </c>
      <c r="G1514" s="731" t="s">
        <v>4055</v>
      </c>
      <c r="H1514" s="1083">
        <v>42401</v>
      </c>
      <c r="I1514" s="1084">
        <v>42471</v>
      </c>
      <c r="J1514" s="957">
        <v>1884.38</v>
      </c>
    </row>
    <row r="1515" spans="1:10" s="852" customFormat="1" outlineLevel="2">
      <c r="A1515" s="815" t="s">
        <v>647</v>
      </c>
      <c r="B1515" s="816" t="s">
        <v>7864</v>
      </c>
      <c r="C1515" s="729" t="s">
        <v>645</v>
      </c>
      <c r="D1515" s="460"/>
      <c r="E1515" s="878" t="s">
        <v>2344</v>
      </c>
      <c r="F1515" s="881" t="s">
        <v>3368</v>
      </c>
      <c r="G1515" s="731" t="s">
        <v>4056</v>
      </c>
      <c r="H1515" s="1083">
        <v>42401</v>
      </c>
      <c r="I1515" s="1084">
        <v>42471</v>
      </c>
      <c r="J1515" s="957">
        <v>27.05</v>
      </c>
    </row>
    <row r="1516" spans="1:10" s="852" customFormat="1" outlineLevel="2">
      <c r="A1516" s="815" t="s">
        <v>647</v>
      </c>
      <c r="B1516" s="816" t="s">
        <v>7864</v>
      </c>
      <c r="C1516" s="729" t="s">
        <v>645</v>
      </c>
      <c r="D1516" s="460"/>
      <c r="E1516" s="878" t="s">
        <v>2344</v>
      </c>
      <c r="F1516" s="881" t="s">
        <v>3816</v>
      </c>
      <c r="G1516" s="731" t="s">
        <v>4057</v>
      </c>
      <c r="H1516" s="1083">
        <v>42401</v>
      </c>
      <c r="I1516" s="1084">
        <v>42471</v>
      </c>
      <c r="J1516" s="957">
        <v>41.12</v>
      </c>
    </row>
    <row r="1517" spans="1:10" s="852" customFormat="1" outlineLevel="2">
      <c r="A1517" s="815" t="s">
        <v>647</v>
      </c>
      <c r="B1517" s="816" t="s">
        <v>7864</v>
      </c>
      <c r="C1517" s="729" t="s">
        <v>645</v>
      </c>
      <c r="D1517" s="460"/>
      <c r="E1517" s="878" t="s">
        <v>2344</v>
      </c>
      <c r="F1517" s="881" t="s">
        <v>3900</v>
      </c>
      <c r="G1517" s="731" t="s">
        <v>4058</v>
      </c>
      <c r="H1517" s="1083">
        <v>42401</v>
      </c>
      <c r="I1517" s="1084">
        <v>42471</v>
      </c>
      <c r="J1517" s="957">
        <v>40.04</v>
      </c>
    </row>
    <row r="1518" spans="1:10" s="852" customFormat="1" ht="28.5" outlineLevel="2">
      <c r="A1518" s="815" t="s">
        <v>644</v>
      </c>
      <c r="B1518" s="816" t="s">
        <v>7865</v>
      </c>
      <c r="C1518" s="729" t="s">
        <v>645</v>
      </c>
      <c r="D1518" s="460"/>
      <c r="E1518" s="878" t="s">
        <v>2344</v>
      </c>
      <c r="F1518" s="881" t="s">
        <v>5288</v>
      </c>
      <c r="G1518" s="731" t="s">
        <v>4059</v>
      </c>
      <c r="H1518" s="1083">
        <v>42430</v>
      </c>
      <c r="I1518" s="1084">
        <v>42471</v>
      </c>
      <c r="J1518" s="957">
        <v>235.55</v>
      </c>
    </row>
    <row r="1519" spans="1:10" s="852" customFormat="1" outlineLevel="2">
      <c r="A1519" s="815" t="s">
        <v>648</v>
      </c>
      <c r="B1519" s="816" t="s">
        <v>7863</v>
      </c>
      <c r="C1519" s="729" t="s">
        <v>645</v>
      </c>
      <c r="D1519" s="460"/>
      <c r="E1519" s="878" t="s">
        <v>2344</v>
      </c>
      <c r="F1519" s="881" t="s">
        <v>5386</v>
      </c>
      <c r="G1519" s="731" t="s">
        <v>4060</v>
      </c>
      <c r="H1519" s="1083">
        <v>42401</v>
      </c>
      <c r="I1519" s="1084">
        <v>42471</v>
      </c>
      <c r="J1519" s="957">
        <v>627.89</v>
      </c>
    </row>
    <row r="1520" spans="1:10" s="852" customFormat="1" ht="28.5" outlineLevel="2">
      <c r="A1520" s="815" t="s">
        <v>644</v>
      </c>
      <c r="B1520" s="816" t="s">
        <v>7865</v>
      </c>
      <c r="C1520" s="729" t="s">
        <v>645</v>
      </c>
      <c r="D1520" s="460"/>
      <c r="E1520" s="878" t="s">
        <v>1909</v>
      </c>
      <c r="F1520" s="881" t="s">
        <v>5284</v>
      </c>
      <c r="G1520" s="731" t="s">
        <v>4082</v>
      </c>
      <c r="H1520" s="1083">
        <v>42430</v>
      </c>
      <c r="I1520" s="1084">
        <v>42480</v>
      </c>
      <c r="J1520" s="957">
        <v>176.66</v>
      </c>
    </row>
    <row r="1521" spans="1:10" s="852" customFormat="1" outlineLevel="2">
      <c r="A1521" s="815" t="s">
        <v>1001</v>
      </c>
      <c r="B1521" s="816" t="s">
        <v>7866</v>
      </c>
      <c r="C1521" s="729" t="s">
        <v>645</v>
      </c>
      <c r="D1521" s="460"/>
      <c r="E1521" s="878" t="s">
        <v>1909</v>
      </c>
      <c r="F1521" s="881" t="s">
        <v>3935</v>
      </c>
      <c r="G1521" s="731" t="s">
        <v>2817</v>
      </c>
      <c r="H1521" s="1083">
        <v>42401</v>
      </c>
      <c r="I1521" s="1084">
        <v>42480</v>
      </c>
      <c r="J1521" s="957">
        <v>45.68</v>
      </c>
    </row>
    <row r="1522" spans="1:10" s="852" customFormat="1" outlineLevel="2">
      <c r="A1522" s="815" t="s">
        <v>1001</v>
      </c>
      <c r="B1522" s="816" t="s">
        <v>7866</v>
      </c>
      <c r="C1522" s="729" t="s">
        <v>645</v>
      </c>
      <c r="D1522" s="460"/>
      <c r="E1522" s="878" t="s">
        <v>1909</v>
      </c>
      <c r="F1522" s="881" t="s">
        <v>4027</v>
      </c>
      <c r="G1522" s="731" t="s">
        <v>2819</v>
      </c>
      <c r="H1522" s="1083">
        <v>42401</v>
      </c>
      <c r="I1522" s="1084">
        <v>42480</v>
      </c>
      <c r="J1522" s="957">
        <v>1.46</v>
      </c>
    </row>
    <row r="1523" spans="1:10" s="852" customFormat="1" outlineLevel="2">
      <c r="A1523" s="815" t="s">
        <v>1001</v>
      </c>
      <c r="B1523" s="816" t="s">
        <v>7866</v>
      </c>
      <c r="C1523" s="729" t="s">
        <v>645</v>
      </c>
      <c r="D1523" s="460"/>
      <c r="E1523" s="878" t="s">
        <v>1909</v>
      </c>
      <c r="F1523" s="881" t="s">
        <v>4129</v>
      </c>
      <c r="G1523" s="731" t="s">
        <v>2821</v>
      </c>
      <c r="H1523" s="1083">
        <v>42401</v>
      </c>
      <c r="I1523" s="1084">
        <v>42480</v>
      </c>
      <c r="J1523" s="957">
        <v>17.23</v>
      </c>
    </row>
    <row r="1524" spans="1:10" s="852" customFormat="1" outlineLevel="2">
      <c r="A1524" s="815" t="s">
        <v>648</v>
      </c>
      <c r="B1524" s="816" t="s">
        <v>7863</v>
      </c>
      <c r="C1524" s="729" t="s">
        <v>645</v>
      </c>
      <c r="D1524" s="460"/>
      <c r="E1524" s="878" t="s">
        <v>1909</v>
      </c>
      <c r="F1524" s="881" t="s">
        <v>4452</v>
      </c>
      <c r="G1524" s="731" t="s">
        <v>4077</v>
      </c>
      <c r="H1524" s="1083">
        <v>42401</v>
      </c>
      <c r="I1524" s="1084">
        <v>42480</v>
      </c>
      <c r="J1524" s="957">
        <v>156.97</v>
      </c>
    </row>
    <row r="1525" spans="1:10" s="852" customFormat="1" outlineLevel="2">
      <c r="A1525" s="815" t="s">
        <v>647</v>
      </c>
      <c r="B1525" s="816" t="s">
        <v>7864</v>
      </c>
      <c r="C1525" s="729" t="s">
        <v>645</v>
      </c>
      <c r="D1525" s="460"/>
      <c r="E1525" s="878" t="s">
        <v>1909</v>
      </c>
      <c r="F1525" s="881" t="s">
        <v>3812</v>
      </c>
      <c r="G1525" s="731" t="s">
        <v>4075</v>
      </c>
      <c r="H1525" s="1083">
        <v>42401</v>
      </c>
      <c r="I1525" s="1084">
        <v>42480</v>
      </c>
      <c r="J1525" s="957">
        <v>20.56</v>
      </c>
    </row>
    <row r="1526" spans="1:10" s="852" customFormat="1" outlineLevel="2">
      <c r="A1526" s="815" t="s">
        <v>647</v>
      </c>
      <c r="B1526" s="816" t="s">
        <v>7864</v>
      </c>
      <c r="C1526" s="729" t="s">
        <v>645</v>
      </c>
      <c r="D1526" s="460"/>
      <c r="E1526" s="878" t="s">
        <v>1909</v>
      </c>
      <c r="F1526" s="881" t="s">
        <v>3209</v>
      </c>
      <c r="G1526" s="731" t="s">
        <v>4070</v>
      </c>
      <c r="H1526" s="1083">
        <v>42401</v>
      </c>
      <c r="I1526" s="1084">
        <v>42480</v>
      </c>
      <c r="J1526" s="957">
        <v>13.53</v>
      </c>
    </row>
    <row r="1527" spans="1:10" s="852" customFormat="1" outlineLevel="2">
      <c r="A1527" s="815" t="s">
        <v>647</v>
      </c>
      <c r="B1527" s="816" t="s">
        <v>7864</v>
      </c>
      <c r="C1527" s="729" t="s">
        <v>645</v>
      </c>
      <c r="D1527" s="460"/>
      <c r="E1527" s="878" t="s">
        <v>1909</v>
      </c>
      <c r="F1527" s="881" t="s">
        <v>3896</v>
      </c>
      <c r="G1527" s="731" t="s">
        <v>4076</v>
      </c>
      <c r="H1527" s="1083">
        <v>42401</v>
      </c>
      <c r="I1527" s="1084">
        <v>42480</v>
      </c>
      <c r="J1527" s="957">
        <v>20.02</v>
      </c>
    </row>
    <row r="1528" spans="1:10" s="852" customFormat="1" outlineLevel="2">
      <c r="A1528" s="815" t="s">
        <v>644</v>
      </c>
      <c r="B1528" s="816" t="s">
        <v>7865</v>
      </c>
      <c r="C1528" s="729" t="s">
        <v>645</v>
      </c>
      <c r="D1528" s="460"/>
      <c r="E1528" s="878" t="s">
        <v>1909</v>
      </c>
      <c r="F1528" s="881" t="s">
        <v>6281</v>
      </c>
      <c r="G1528" s="731" t="s">
        <v>4066</v>
      </c>
      <c r="H1528" s="1083">
        <v>42401</v>
      </c>
      <c r="I1528" s="1084">
        <v>42480</v>
      </c>
      <c r="J1528" s="957">
        <v>176.66</v>
      </c>
    </row>
    <row r="1529" spans="1:10" s="852" customFormat="1" outlineLevel="2">
      <c r="A1529" s="815" t="s">
        <v>644</v>
      </c>
      <c r="B1529" s="816" t="s">
        <v>7865</v>
      </c>
      <c r="C1529" s="729" t="s">
        <v>645</v>
      </c>
      <c r="D1529" s="460"/>
      <c r="E1529" s="878" t="s">
        <v>1909</v>
      </c>
      <c r="F1529" s="881" t="s">
        <v>2977</v>
      </c>
      <c r="G1529" s="731" t="s">
        <v>4068</v>
      </c>
      <c r="H1529" s="1083">
        <v>42401</v>
      </c>
      <c r="I1529" s="1084">
        <v>42480</v>
      </c>
      <c r="J1529" s="957">
        <v>1413.28</v>
      </c>
    </row>
    <row r="1530" spans="1:10" s="852" customFormat="1" ht="42.75" outlineLevel="2">
      <c r="A1530" s="815" t="s">
        <v>644</v>
      </c>
      <c r="B1530" s="816" t="s">
        <v>7865</v>
      </c>
      <c r="C1530" s="729" t="s">
        <v>645</v>
      </c>
      <c r="D1530" s="460"/>
      <c r="E1530" s="878" t="s">
        <v>1909</v>
      </c>
      <c r="F1530" s="881" t="s">
        <v>5035</v>
      </c>
      <c r="G1530" s="731" t="s">
        <v>4080</v>
      </c>
      <c r="H1530" s="1083">
        <v>42401</v>
      </c>
      <c r="I1530" s="1084">
        <v>42480</v>
      </c>
      <c r="J1530" s="957">
        <v>333.86</v>
      </c>
    </row>
    <row r="1531" spans="1:10" s="852" customFormat="1" ht="42.75" outlineLevel="2">
      <c r="A1531" s="815" t="s">
        <v>644</v>
      </c>
      <c r="B1531" s="816" t="s">
        <v>7865</v>
      </c>
      <c r="C1531" s="729" t="s">
        <v>645</v>
      </c>
      <c r="D1531" s="460"/>
      <c r="E1531" s="878" t="s">
        <v>1909</v>
      </c>
      <c r="F1531" s="881" t="s">
        <v>5035</v>
      </c>
      <c r="G1531" s="731" t="s">
        <v>4080</v>
      </c>
      <c r="H1531" s="1083">
        <v>42401</v>
      </c>
      <c r="I1531" s="1084">
        <v>42480</v>
      </c>
      <c r="J1531" s="957">
        <v>213.76</v>
      </c>
    </row>
    <row r="1532" spans="1:10" s="852" customFormat="1" ht="28.5" outlineLevel="2">
      <c r="A1532" s="815" t="s">
        <v>1001</v>
      </c>
      <c r="B1532" s="816" t="s">
        <v>7866</v>
      </c>
      <c r="C1532" s="729" t="s">
        <v>645</v>
      </c>
      <c r="D1532" s="460"/>
      <c r="E1532" s="878" t="s">
        <v>1909</v>
      </c>
      <c r="F1532" s="881" t="s">
        <v>4956</v>
      </c>
      <c r="G1532" s="731" t="s">
        <v>2833</v>
      </c>
      <c r="H1532" s="1083">
        <v>42401</v>
      </c>
      <c r="I1532" s="1084">
        <v>42480</v>
      </c>
      <c r="J1532" s="957">
        <v>141.62</v>
      </c>
    </row>
    <row r="1533" spans="1:10" s="852" customFormat="1" ht="28.5" outlineLevel="2">
      <c r="A1533" s="815" t="s">
        <v>1001</v>
      </c>
      <c r="B1533" s="816" t="s">
        <v>7866</v>
      </c>
      <c r="C1533" s="729" t="s">
        <v>645</v>
      </c>
      <c r="D1533" s="460"/>
      <c r="E1533" s="878" t="s">
        <v>1909</v>
      </c>
      <c r="F1533" s="881" t="s">
        <v>4903</v>
      </c>
      <c r="G1533" s="731" t="s">
        <v>2832</v>
      </c>
      <c r="H1533" s="1083">
        <v>42401</v>
      </c>
      <c r="I1533" s="1084">
        <v>42480</v>
      </c>
      <c r="J1533" s="957">
        <v>4.5199999999999996</v>
      </c>
    </row>
    <row r="1534" spans="1:10" s="852" customFormat="1" ht="28.5" outlineLevel="2">
      <c r="A1534" s="815" t="s">
        <v>1001</v>
      </c>
      <c r="B1534" s="816" t="s">
        <v>7866</v>
      </c>
      <c r="C1534" s="729" t="s">
        <v>645</v>
      </c>
      <c r="D1534" s="460"/>
      <c r="E1534" s="878" t="s">
        <v>1909</v>
      </c>
      <c r="F1534" s="881" t="s">
        <v>4853</v>
      </c>
      <c r="G1534" s="731" t="s">
        <v>2831</v>
      </c>
      <c r="H1534" s="1083">
        <v>42401</v>
      </c>
      <c r="I1534" s="1084">
        <v>42480</v>
      </c>
      <c r="J1534" s="957">
        <v>53.43</v>
      </c>
    </row>
    <row r="1535" spans="1:10" s="852" customFormat="1" ht="28.5" outlineLevel="2">
      <c r="A1535" s="815" t="s">
        <v>648</v>
      </c>
      <c r="B1535" s="816" t="s">
        <v>7863</v>
      </c>
      <c r="C1535" s="729" t="s">
        <v>645</v>
      </c>
      <c r="D1535" s="460"/>
      <c r="E1535" s="878" t="s">
        <v>1909</v>
      </c>
      <c r="F1535" s="881" t="s">
        <v>6280</v>
      </c>
      <c r="G1535" s="731" t="s">
        <v>4061</v>
      </c>
      <c r="H1535" s="1083">
        <v>42370</v>
      </c>
      <c r="I1535" s="1084">
        <v>42480</v>
      </c>
      <c r="J1535" s="957">
        <v>780.26</v>
      </c>
    </row>
    <row r="1536" spans="1:10" s="852" customFormat="1" ht="28.5" outlineLevel="2">
      <c r="A1536" s="815" t="s">
        <v>648</v>
      </c>
      <c r="B1536" s="816" t="s">
        <v>7863</v>
      </c>
      <c r="C1536" s="729" t="s">
        <v>645</v>
      </c>
      <c r="D1536" s="460"/>
      <c r="E1536" s="878" t="s">
        <v>1909</v>
      </c>
      <c r="F1536" s="881" t="s">
        <v>6280</v>
      </c>
      <c r="G1536" s="731" t="s">
        <v>4062</v>
      </c>
      <c r="H1536" s="1083">
        <v>42370</v>
      </c>
      <c r="I1536" s="1084">
        <v>42480</v>
      </c>
      <c r="J1536" s="957">
        <v>780.25</v>
      </c>
    </row>
    <row r="1537" spans="1:10" s="852" customFormat="1" ht="28.5" outlineLevel="2">
      <c r="A1537" s="815" t="s">
        <v>648</v>
      </c>
      <c r="B1537" s="816" t="s">
        <v>7863</v>
      </c>
      <c r="C1537" s="729" t="s">
        <v>645</v>
      </c>
      <c r="D1537" s="460"/>
      <c r="E1537" s="878" t="s">
        <v>1909</v>
      </c>
      <c r="F1537" s="881" t="s">
        <v>6280</v>
      </c>
      <c r="G1537" s="731" t="s">
        <v>4063</v>
      </c>
      <c r="H1537" s="1083">
        <v>42370</v>
      </c>
      <c r="I1537" s="1084">
        <v>42480</v>
      </c>
      <c r="J1537" s="957">
        <v>-780.26</v>
      </c>
    </row>
    <row r="1538" spans="1:10" s="852" customFormat="1" ht="28.5" outlineLevel="2">
      <c r="A1538" s="815" t="s">
        <v>647</v>
      </c>
      <c r="B1538" s="816" t="s">
        <v>7864</v>
      </c>
      <c r="C1538" s="729" t="s">
        <v>645</v>
      </c>
      <c r="D1538" s="460"/>
      <c r="E1538" s="878" t="s">
        <v>1909</v>
      </c>
      <c r="F1538" s="881" t="s">
        <v>2885</v>
      </c>
      <c r="G1538" s="731" t="s">
        <v>4064</v>
      </c>
      <c r="H1538" s="1083">
        <v>42370</v>
      </c>
      <c r="I1538" s="1084">
        <v>42480</v>
      </c>
      <c r="J1538" s="957">
        <v>-62.89</v>
      </c>
    </row>
    <row r="1539" spans="1:10" s="852" customFormat="1" ht="28.5" outlineLevel="2">
      <c r="A1539" s="815" t="s">
        <v>647</v>
      </c>
      <c r="B1539" s="816" t="s">
        <v>7864</v>
      </c>
      <c r="C1539" s="729" t="s">
        <v>645</v>
      </c>
      <c r="D1539" s="460"/>
      <c r="E1539" s="878" t="s">
        <v>1909</v>
      </c>
      <c r="F1539" s="881" t="s">
        <v>2885</v>
      </c>
      <c r="G1539" s="731" t="s">
        <v>4065</v>
      </c>
      <c r="H1539" s="1083">
        <v>42370</v>
      </c>
      <c r="I1539" s="1084">
        <v>42480</v>
      </c>
      <c r="J1539" s="957">
        <v>-62.89</v>
      </c>
    </row>
    <row r="1540" spans="1:10" s="852" customFormat="1" ht="28.5" outlineLevel="2">
      <c r="A1540" s="815" t="s">
        <v>647</v>
      </c>
      <c r="B1540" s="816" t="s">
        <v>7864</v>
      </c>
      <c r="C1540" s="729" t="s">
        <v>645</v>
      </c>
      <c r="D1540" s="460"/>
      <c r="E1540" s="878" t="s">
        <v>1909</v>
      </c>
      <c r="F1540" s="881" t="s">
        <v>2885</v>
      </c>
      <c r="G1540" s="731" t="s">
        <v>4067</v>
      </c>
      <c r="H1540" s="1083">
        <v>42370</v>
      </c>
      <c r="I1540" s="1084">
        <v>42480</v>
      </c>
      <c r="J1540" s="957">
        <v>62.89</v>
      </c>
    </row>
    <row r="1541" spans="1:10" s="852" customFormat="1" ht="28.5" outlineLevel="2">
      <c r="A1541" s="815" t="s">
        <v>647</v>
      </c>
      <c r="B1541" s="816" t="s">
        <v>7864</v>
      </c>
      <c r="C1541" s="729" t="s">
        <v>645</v>
      </c>
      <c r="D1541" s="460"/>
      <c r="E1541" s="878" t="s">
        <v>1909</v>
      </c>
      <c r="F1541" s="881" t="s">
        <v>2885</v>
      </c>
      <c r="G1541" s="731" t="s">
        <v>4069</v>
      </c>
      <c r="H1541" s="1083">
        <v>42370</v>
      </c>
      <c r="I1541" s="1084">
        <v>42480</v>
      </c>
      <c r="J1541" s="957">
        <v>62.89</v>
      </c>
    </row>
    <row r="1542" spans="1:10" s="852" customFormat="1" ht="28.5" outlineLevel="2">
      <c r="A1542" s="815" t="s">
        <v>647</v>
      </c>
      <c r="B1542" s="816" t="s">
        <v>7864</v>
      </c>
      <c r="C1542" s="729" t="s">
        <v>645</v>
      </c>
      <c r="D1542" s="460"/>
      <c r="E1542" s="878" t="s">
        <v>1909</v>
      </c>
      <c r="F1542" s="881" t="s">
        <v>2885</v>
      </c>
      <c r="G1542" s="731" t="s">
        <v>4071</v>
      </c>
      <c r="H1542" s="1083">
        <v>42370</v>
      </c>
      <c r="I1542" s="1084">
        <v>42480</v>
      </c>
      <c r="J1542" s="957">
        <v>62.89</v>
      </c>
    </row>
    <row r="1543" spans="1:10" s="852" customFormat="1" ht="28.5" outlineLevel="2">
      <c r="A1543" s="815" t="s">
        <v>647</v>
      </c>
      <c r="B1543" s="816" t="s">
        <v>7864</v>
      </c>
      <c r="C1543" s="729" t="s">
        <v>645</v>
      </c>
      <c r="D1543" s="460"/>
      <c r="E1543" s="878" t="s">
        <v>1909</v>
      </c>
      <c r="F1543" s="881" t="s">
        <v>3677</v>
      </c>
      <c r="G1543" s="731" t="s">
        <v>4072</v>
      </c>
      <c r="H1543" s="1083">
        <v>42370</v>
      </c>
      <c r="I1543" s="1084">
        <v>42480</v>
      </c>
      <c r="J1543" s="957">
        <v>-93.08</v>
      </c>
    </row>
    <row r="1544" spans="1:10" s="852" customFormat="1" ht="28.5" outlineLevel="2">
      <c r="A1544" s="815" t="s">
        <v>647</v>
      </c>
      <c r="B1544" s="816" t="s">
        <v>7864</v>
      </c>
      <c r="C1544" s="729" t="s">
        <v>645</v>
      </c>
      <c r="D1544" s="460"/>
      <c r="E1544" s="878" t="s">
        <v>1909</v>
      </c>
      <c r="F1544" s="881" t="s">
        <v>3677</v>
      </c>
      <c r="G1544" s="731" t="s">
        <v>4073</v>
      </c>
      <c r="H1544" s="1083">
        <v>42370</v>
      </c>
      <c r="I1544" s="1084">
        <v>42480</v>
      </c>
      <c r="J1544" s="957">
        <v>93.08</v>
      </c>
    </row>
    <row r="1545" spans="1:10" s="852" customFormat="1" ht="28.5" outlineLevel="2">
      <c r="A1545" s="815" t="s">
        <v>647</v>
      </c>
      <c r="B1545" s="816" t="s">
        <v>7864</v>
      </c>
      <c r="C1545" s="729" t="s">
        <v>645</v>
      </c>
      <c r="D1545" s="460"/>
      <c r="E1545" s="878" t="s">
        <v>1909</v>
      </c>
      <c r="F1545" s="881" t="s">
        <v>3677</v>
      </c>
      <c r="G1545" s="731" t="s">
        <v>4074</v>
      </c>
      <c r="H1545" s="1083">
        <v>42370</v>
      </c>
      <c r="I1545" s="1084">
        <v>42480</v>
      </c>
      <c r="J1545" s="957">
        <v>93.08</v>
      </c>
    </row>
    <row r="1546" spans="1:10" s="852" customFormat="1" ht="28.5" outlineLevel="2">
      <c r="A1546" s="815" t="s">
        <v>644</v>
      </c>
      <c r="B1546" s="816" t="s">
        <v>7865</v>
      </c>
      <c r="C1546" s="729" t="s">
        <v>645</v>
      </c>
      <c r="D1546" s="460"/>
      <c r="E1546" s="878" t="s">
        <v>1909</v>
      </c>
      <c r="F1546" s="881" t="s">
        <v>4647</v>
      </c>
      <c r="G1546" s="731" t="s">
        <v>4079</v>
      </c>
      <c r="H1546" s="1083">
        <v>42401</v>
      </c>
      <c r="I1546" s="1084">
        <v>42480</v>
      </c>
      <c r="J1546" s="957">
        <v>547.65</v>
      </c>
    </row>
    <row r="1547" spans="1:10" s="852" customFormat="1" ht="28.5" outlineLevel="2">
      <c r="A1547" s="815" t="s">
        <v>644</v>
      </c>
      <c r="B1547" s="816" t="s">
        <v>7865</v>
      </c>
      <c r="C1547" s="729" t="s">
        <v>645</v>
      </c>
      <c r="D1547" s="460"/>
      <c r="E1547" s="878" t="s">
        <v>1909</v>
      </c>
      <c r="F1547" s="881" t="s">
        <v>4640</v>
      </c>
      <c r="G1547" s="731" t="s">
        <v>4078</v>
      </c>
      <c r="H1547" s="1083">
        <v>42401</v>
      </c>
      <c r="I1547" s="1084">
        <v>42480</v>
      </c>
      <c r="J1547" s="957">
        <v>4381.18</v>
      </c>
    </row>
    <row r="1548" spans="1:10" s="852" customFormat="1" outlineLevel="2">
      <c r="A1548" s="815" t="s">
        <v>1777</v>
      </c>
      <c r="B1548" s="816" t="s">
        <v>7871</v>
      </c>
      <c r="C1548" s="729" t="s">
        <v>645</v>
      </c>
      <c r="D1548" s="460"/>
      <c r="E1548" s="878" t="s">
        <v>1752</v>
      </c>
      <c r="F1548" s="881" t="s">
        <v>1753</v>
      </c>
      <c r="G1548" s="731" t="s">
        <v>5531</v>
      </c>
      <c r="H1548" s="1083">
        <v>42430</v>
      </c>
      <c r="I1548" s="1084">
        <v>42461</v>
      </c>
      <c r="J1548" s="957">
        <v>887.3</v>
      </c>
    </row>
    <row r="1549" spans="1:10" s="852" customFormat="1" outlineLevel="2">
      <c r="A1549" s="815" t="s">
        <v>644</v>
      </c>
      <c r="B1549" s="816" t="s">
        <v>7865</v>
      </c>
      <c r="C1549" s="729" t="s">
        <v>645</v>
      </c>
      <c r="D1549" s="460"/>
      <c r="E1549" s="878" t="s">
        <v>447</v>
      </c>
      <c r="F1549" s="881" t="s">
        <v>1094</v>
      </c>
      <c r="G1549" s="731" t="s">
        <v>5859</v>
      </c>
      <c r="H1549" s="1083">
        <v>42430</v>
      </c>
      <c r="I1549" s="1084">
        <v>42489</v>
      </c>
      <c r="J1549" s="957">
        <v>76176.02</v>
      </c>
    </row>
    <row r="1550" spans="1:10" s="852" customFormat="1" outlineLevel="1">
      <c r="A1550" s="815"/>
      <c r="B1550" s="816" t="s">
        <v>258</v>
      </c>
      <c r="C1550" s="908" t="s">
        <v>645</v>
      </c>
      <c r="D1550" s="928" t="str">
        <f>VLOOKUP(C1550,$C$3691:$D$3771,2,FALSE)</f>
        <v>TOTAL POUPATEMPO  REGISTRO</v>
      </c>
      <c r="E1550" s="1085"/>
      <c r="F1550" s="929"/>
      <c r="G1550" s="910"/>
      <c r="H1550" s="1086"/>
      <c r="I1550" s="1087"/>
      <c r="J1550" s="930">
        <f>SUBTOTAL(9,J1491:J1549)</f>
        <v>148321.05000000002</v>
      </c>
    </row>
    <row r="1551" spans="1:10" s="852" customFormat="1" outlineLevel="2">
      <c r="A1551" s="815" t="s">
        <v>2230</v>
      </c>
      <c r="B1551" s="816" t="s">
        <v>7869</v>
      </c>
      <c r="C1551" s="729" t="s">
        <v>650</v>
      </c>
      <c r="D1551" s="460"/>
      <c r="E1551" s="878" t="s">
        <v>2221</v>
      </c>
      <c r="F1551" s="881" t="s">
        <v>863</v>
      </c>
      <c r="G1551" s="731" t="s">
        <v>5571</v>
      </c>
      <c r="H1551" s="1083">
        <v>42401</v>
      </c>
      <c r="I1551" s="1084">
        <v>42465</v>
      </c>
      <c r="J1551" s="957">
        <v>4051.04</v>
      </c>
    </row>
    <row r="1552" spans="1:10" s="852" customFormat="1" outlineLevel="2">
      <c r="A1552" s="815" t="s">
        <v>651</v>
      </c>
      <c r="B1552" s="816" t="s">
        <v>7865</v>
      </c>
      <c r="C1552" s="729" t="s">
        <v>650</v>
      </c>
      <c r="D1552" s="460"/>
      <c r="E1552" s="878" t="s">
        <v>533</v>
      </c>
      <c r="F1552" s="881" t="s">
        <v>1094</v>
      </c>
      <c r="G1552" s="731" t="s">
        <v>5766</v>
      </c>
      <c r="H1552" s="1083">
        <v>42430</v>
      </c>
      <c r="I1552" s="1084">
        <v>42489</v>
      </c>
      <c r="J1552" s="957">
        <v>46403</v>
      </c>
    </row>
    <row r="1553" spans="1:10" s="852" customFormat="1" outlineLevel="2">
      <c r="A1553" s="815" t="s">
        <v>651</v>
      </c>
      <c r="B1553" s="816" t="s">
        <v>7865</v>
      </c>
      <c r="C1553" s="729" t="s">
        <v>650</v>
      </c>
      <c r="D1553" s="460"/>
      <c r="E1553" s="878" t="s">
        <v>530</v>
      </c>
      <c r="F1553" s="881" t="s">
        <v>1094</v>
      </c>
      <c r="G1553" s="731" t="s">
        <v>5779</v>
      </c>
      <c r="H1553" s="1083">
        <v>42430</v>
      </c>
      <c r="I1553" s="1084">
        <v>42489</v>
      </c>
      <c r="J1553" s="957">
        <v>27841.8</v>
      </c>
    </row>
    <row r="1554" spans="1:10" s="852" customFormat="1" outlineLevel="2">
      <c r="A1554" s="815" t="s">
        <v>651</v>
      </c>
      <c r="B1554" s="816" t="s">
        <v>7865</v>
      </c>
      <c r="C1554" s="729" t="s">
        <v>650</v>
      </c>
      <c r="D1554" s="460"/>
      <c r="E1554" s="878" t="s">
        <v>542</v>
      </c>
      <c r="F1554" s="881" t="s">
        <v>1094</v>
      </c>
      <c r="G1554" s="731" t="s">
        <v>5796</v>
      </c>
      <c r="H1554" s="1083">
        <v>42430</v>
      </c>
      <c r="I1554" s="1084">
        <v>42489</v>
      </c>
      <c r="J1554" s="957">
        <v>18561.21</v>
      </c>
    </row>
    <row r="1555" spans="1:10" s="852" customFormat="1" outlineLevel="2">
      <c r="A1555" s="815" t="s">
        <v>651</v>
      </c>
      <c r="B1555" s="816" t="s">
        <v>7865</v>
      </c>
      <c r="C1555" s="729" t="s">
        <v>650</v>
      </c>
      <c r="D1555" s="460"/>
      <c r="E1555" s="878" t="s">
        <v>2336</v>
      </c>
      <c r="F1555" s="881" t="s">
        <v>6030</v>
      </c>
      <c r="G1555" s="731" t="s">
        <v>4084</v>
      </c>
      <c r="H1555" s="1083">
        <v>42401</v>
      </c>
      <c r="I1555" s="1084">
        <v>42480</v>
      </c>
      <c r="J1555" s="957">
        <v>6473.47</v>
      </c>
    </row>
    <row r="1556" spans="1:10" s="852" customFormat="1" outlineLevel="2">
      <c r="A1556" s="815" t="s">
        <v>651</v>
      </c>
      <c r="B1556" s="816" t="s">
        <v>7865</v>
      </c>
      <c r="C1556" s="729" t="s">
        <v>650</v>
      </c>
      <c r="D1556" s="460"/>
      <c r="E1556" s="878" t="s">
        <v>2336</v>
      </c>
      <c r="F1556" s="881" t="s">
        <v>3417</v>
      </c>
      <c r="G1556" s="731" t="s">
        <v>4085</v>
      </c>
      <c r="H1556" s="1083">
        <v>42401</v>
      </c>
      <c r="I1556" s="1084">
        <v>42480</v>
      </c>
      <c r="J1556" s="957">
        <v>2706.81</v>
      </c>
    </row>
    <row r="1557" spans="1:10" s="852" customFormat="1" outlineLevel="2">
      <c r="A1557" s="815" t="s">
        <v>651</v>
      </c>
      <c r="B1557" s="816" t="s">
        <v>7865</v>
      </c>
      <c r="C1557" s="729" t="s">
        <v>650</v>
      </c>
      <c r="D1557" s="460"/>
      <c r="E1557" s="878" t="s">
        <v>2336</v>
      </c>
      <c r="F1557" s="881" t="s">
        <v>3417</v>
      </c>
      <c r="G1557" s="731" t="s">
        <v>4085</v>
      </c>
      <c r="H1557" s="1083">
        <v>42401</v>
      </c>
      <c r="I1557" s="1084">
        <v>42480</v>
      </c>
      <c r="J1557" s="957">
        <v>1177.26</v>
      </c>
    </row>
    <row r="1558" spans="1:10" s="852" customFormat="1" outlineLevel="2">
      <c r="A1558" s="815" t="s">
        <v>651</v>
      </c>
      <c r="B1558" s="816" t="s">
        <v>7865</v>
      </c>
      <c r="C1558" s="729" t="s">
        <v>650</v>
      </c>
      <c r="D1558" s="460"/>
      <c r="E1558" s="878" t="s">
        <v>2336</v>
      </c>
      <c r="F1558" s="881" t="s">
        <v>6029</v>
      </c>
      <c r="G1558" s="731" t="s">
        <v>4083</v>
      </c>
      <c r="H1558" s="1083">
        <v>42401</v>
      </c>
      <c r="I1558" s="1084">
        <v>42480</v>
      </c>
      <c r="J1558" s="957">
        <v>2589.39</v>
      </c>
    </row>
    <row r="1559" spans="1:10" s="852" customFormat="1" outlineLevel="2">
      <c r="A1559" s="815" t="s">
        <v>1002</v>
      </c>
      <c r="B1559" s="816" t="s">
        <v>7866</v>
      </c>
      <c r="C1559" s="729" t="s">
        <v>650</v>
      </c>
      <c r="D1559" s="460"/>
      <c r="E1559" s="878" t="s">
        <v>2282</v>
      </c>
      <c r="F1559" s="881" t="s">
        <v>3974</v>
      </c>
      <c r="G1559" s="731" t="s">
        <v>2779</v>
      </c>
      <c r="H1559" s="1083">
        <v>42401</v>
      </c>
      <c r="I1559" s="1084">
        <v>42471</v>
      </c>
      <c r="J1559" s="957">
        <v>232.38</v>
      </c>
    </row>
    <row r="1560" spans="1:10" s="852" customFormat="1" outlineLevel="2">
      <c r="A1560" s="815" t="s">
        <v>1002</v>
      </c>
      <c r="B1560" s="816" t="s">
        <v>7866</v>
      </c>
      <c r="C1560" s="729" t="s">
        <v>650</v>
      </c>
      <c r="D1560" s="460"/>
      <c r="E1560" s="878" t="s">
        <v>2282</v>
      </c>
      <c r="F1560" s="881" t="s">
        <v>4081</v>
      </c>
      <c r="G1560" s="731" t="s">
        <v>2781</v>
      </c>
      <c r="H1560" s="1083">
        <v>42401</v>
      </c>
      <c r="I1560" s="1084">
        <v>42471</v>
      </c>
      <c r="J1560" s="957">
        <v>7.43</v>
      </c>
    </row>
    <row r="1561" spans="1:10" s="852" customFormat="1" outlineLevel="2">
      <c r="A1561" s="815" t="s">
        <v>1002</v>
      </c>
      <c r="B1561" s="816" t="s">
        <v>7866</v>
      </c>
      <c r="C1561" s="729" t="s">
        <v>650</v>
      </c>
      <c r="D1561" s="460"/>
      <c r="E1561" s="878" t="s">
        <v>2282</v>
      </c>
      <c r="F1561" s="881" t="s">
        <v>4165</v>
      </c>
      <c r="G1561" s="731" t="s">
        <v>2782</v>
      </c>
      <c r="H1561" s="1083">
        <v>42401</v>
      </c>
      <c r="I1561" s="1084">
        <v>42471</v>
      </c>
      <c r="J1561" s="957">
        <v>87.67</v>
      </c>
    </row>
    <row r="1562" spans="1:10" s="852" customFormat="1" outlineLevel="2">
      <c r="A1562" s="815" t="s">
        <v>651</v>
      </c>
      <c r="B1562" s="816" t="s">
        <v>7865</v>
      </c>
      <c r="C1562" s="729" t="s">
        <v>650</v>
      </c>
      <c r="D1562" s="460"/>
      <c r="E1562" s="878" t="s">
        <v>652</v>
      </c>
      <c r="F1562" s="881" t="s">
        <v>6180</v>
      </c>
      <c r="G1562" s="731" t="s">
        <v>4086</v>
      </c>
      <c r="H1562" s="1083">
        <v>42401</v>
      </c>
      <c r="I1562" s="1084">
        <v>42471</v>
      </c>
      <c r="J1562" s="957">
        <v>941.59</v>
      </c>
    </row>
    <row r="1563" spans="1:10" s="852" customFormat="1" outlineLevel="2">
      <c r="A1563" s="815" t="s">
        <v>651</v>
      </c>
      <c r="B1563" s="816" t="s">
        <v>7865</v>
      </c>
      <c r="C1563" s="729" t="s">
        <v>650</v>
      </c>
      <c r="D1563" s="460"/>
      <c r="E1563" s="878" t="s">
        <v>652</v>
      </c>
      <c r="F1563" s="881" t="s">
        <v>3419</v>
      </c>
      <c r="G1563" s="731" t="s">
        <v>4087</v>
      </c>
      <c r="H1563" s="1083">
        <v>42401</v>
      </c>
      <c r="I1563" s="1084">
        <v>42471</v>
      </c>
      <c r="J1563" s="957">
        <v>984.29</v>
      </c>
    </row>
    <row r="1564" spans="1:10" s="852" customFormat="1" outlineLevel="2">
      <c r="A1564" s="815" t="s">
        <v>651</v>
      </c>
      <c r="B1564" s="816" t="s">
        <v>7865</v>
      </c>
      <c r="C1564" s="729" t="s">
        <v>650</v>
      </c>
      <c r="D1564" s="460"/>
      <c r="E1564" s="878" t="s">
        <v>652</v>
      </c>
      <c r="F1564" s="881" t="s">
        <v>3419</v>
      </c>
      <c r="G1564" s="731" t="s">
        <v>4087</v>
      </c>
      <c r="H1564" s="1083">
        <v>42401</v>
      </c>
      <c r="I1564" s="1084">
        <v>42471</v>
      </c>
      <c r="J1564" s="957">
        <v>428.09</v>
      </c>
    </row>
    <row r="1565" spans="1:10" s="852" customFormat="1" outlineLevel="2">
      <c r="A1565" s="815" t="s">
        <v>651</v>
      </c>
      <c r="B1565" s="816" t="s">
        <v>7865</v>
      </c>
      <c r="C1565" s="729" t="s">
        <v>650</v>
      </c>
      <c r="D1565" s="460"/>
      <c r="E1565" s="878" t="s">
        <v>652</v>
      </c>
      <c r="F1565" s="881" t="s">
        <v>5382</v>
      </c>
      <c r="G1565" s="731" t="s">
        <v>4088</v>
      </c>
      <c r="H1565" s="1083">
        <v>42401</v>
      </c>
      <c r="I1565" s="1084">
        <v>42471</v>
      </c>
      <c r="J1565" s="957">
        <v>2354</v>
      </c>
    </row>
    <row r="1566" spans="1:10" s="852" customFormat="1" outlineLevel="2">
      <c r="A1566" s="815" t="s">
        <v>651</v>
      </c>
      <c r="B1566" s="816" t="s">
        <v>7865</v>
      </c>
      <c r="C1566" s="729" t="s">
        <v>650</v>
      </c>
      <c r="D1566" s="460"/>
      <c r="E1566" s="878" t="s">
        <v>1909</v>
      </c>
      <c r="F1566" s="881" t="s">
        <v>6283</v>
      </c>
      <c r="G1566" s="731" t="s">
        <v>4090</v>
      </c>
      <c r="H1566" s="1083">
        <v>42401</v>
      </c>
      <c r="I1566" s="1084">
        <v>42480</v>
      </c>
      <c r="J1566" s="957">
        <v>882.75</v>
      </c>
    </row>
    <row r="1567" spans="1:10" s="852" customFormat="1" outlineLevel="2">
      <c r="A1567" s="815" t="s">
        <v>1002</v>
      </c>
      <c r="B1567" s="816" t="s">
        <v>7866</v>
      </c>
      <c r="C1567" s="729" t="s">
        <v>650</v>
      </c>
      <c r="D1567" s="460"/>
      <c r="E1567" s="878" t="s">
        <v>1909</v>
      </c>
      <c r="F1567" s="881" t="s">
        <v>3935</v>
      </c>
      <c r="G1567" s="731" t="s">
        <v>2817</v>
      </c>
      <c r="H1567" s="1083">
        <v>42401</v>
      </c>
      <c r="I1567" s="1084">
        <v>42480</v>
      </c>
      <c r="J1567" s="957">
        <v>69.709999999999994</v>
      </c>
    </row>
    <row r="1568" spans="1:10" s="852" customFormat="1" outlineLevel="2">
      <c r="A1568" s="815" t="s">
        <v>1002</v>
      </c>
      <c r="B1568" s="816" t="s">
        <v>7866</v>
      </c>
      <c r="C1568" s="729" t="s">
        <v>650</v>
      </c>
      <c r="D1568" s="460"/>
      <c r="E1568" s="878" t="s">
        <v>1909</v>
      </c>
      <c r="F1568" s="881" t="s">
        <v>4027</v>
      </c>
      <c r="G1568" s="731" t="s">
        <v>2819</v>
      </c>
      <c r="H1568" s="1083">
        <v>42401</v>
      </c>
      <c r="I1568" s="1084">
        <v>42480</v>
      </c>
      <c r="J1568" s="957">
        <v>2.2200000000000002</v>
      </c>
    </row>
    <row r="1569" spans="1:10" s="852" customFormat="1" outlineLevel="2">
      <c r="A1569" s="815" t="s">
        <v>1002</v>
      </c>
      <c r="B1569" s="816" t="s">
        <v>7866</v>
      </c>
      <c r="C1569" s="729" t="s">
        <v>650</v>
      </c>
      <c r="D1569" s="460"/>
      <c r="E1569" s="878" t="s">
        <v>1909</v>
      </c>
      <c r="F1569" s="881" t="s">
        <v>4129</v>
      </c>
      <c r="G1569" s="731" t="s">
        <v>2821</v>
      </c>
      <c r="H1569" s="1083">
        <v>42401</v>
      </c>
      <c r="I1569" s="1084">
        <v>42480</v>
      </c>
      <c r="J1569" s="957">
        <v>26.3</v>
      </c>
    </row>
    <row r="1570" spans="1:10" s="852" customFormat="1" outlineLevel="2">
      <c r="A1570" s="815" t="s">
        <v>651</v>
      </c>
      <c r="B1570" s="816" t="s">
        <v>7865</v>
      </c>
      <c r="C1570" s="729" t="s">
        <v>650</v>
      </c>
      <c r="D1570" s="460"/>
      <c r="E1570" s="878" t="s">
        <v>1909</v>
      </c>
      <c r="F1570" s="881" t="s">
        <v>3415</v>
      </c>
      <c r="G1570" s="731" t="s">
        <v>4091</v>
      </c>
      <c r="H1570" s="1083">
        <v>42401</v>
      </c>
      <c r="I1570" s="1084">
        <v>42480</v>
      </c>
      <c r="J1570" s="957">
        <v>369.11</v>
      </c>
    </row>
    <row r="1571" spans="1:10" s="852" customFormat="1" outlineLevel="2">
      <c r="A1571" s="815" t="s">
        <v>651</v>
      </c>
      <c r="B1571" s="816" t="s">
        <v>7865</v>
      </c>
      <c r="C1571" s="729" t="s">
        <v>650</v>
      </c>
      <c r="D1571" s="460"/>
      <c r="E1571" s="878" t="s">
        <v>1909</v>
      </c>
      <c r="F1571" s="881" t="s">
        <v>3415</v>
      </c>
      <c r="G1571" s="731" t="s">
        <v>4091</v>
      </c>
      <c r="H1571" s="1083">
        <v>42401</v>
      </c>
      <c r="I1571" s="1084">
        <v>42480</v>
      </c>
      <c r="J1571" s="957">
        <v>160.53</v>
      </c>
    </row>
    <row r="1572" spans="1:10" s="852" customFormat="1" outlineLevel="2">
      <c r="A1572" s="815" t="s">
        <v>651</v>
      </c>
      <c r="B1572" s="816" t="s">
        <v>7865</v>
      </c>
      <c r="C1572" s="729" t="s">
        <v>650</v>
      </c>
      <c r="D1572" s="460"/>
      <c r="E1572" s="878" t="s">
        <v>1909</v>
      </c>
      <c r="F1572" s="881" t="s">
        <v>6282</v>
      </c>
      <c r="G1572" s="731" t="s">
        <v>4089</v>
      </c>
      <c r="H1572" s="1083">
        <v>42401</v>
      </c>
      <c r="I1572" s="1084">
        <v>42480</v>
      </c>
      <c r="J1572" s="957">
        <v>353.1</v>
      </c>
    </row>
    <row r="1573" spans="1:10" s="852" customFormat="1" ht="28.5" outlineLevel="2">
      <c r="A1573" s="815" t="s">
        <v>651</v>
      </c>
      <c r="B1573" s="816" t="s">
        <v>7865</v>
      </c>
      <c r="C1573" s="729" t="s">
        <v>650</v>
      </c>
      <c r="D1573" s="460"/>
      <c r="E1573" s="878" t="s">
        <v>1909</v>
      </c>
      <c r="F1573" s="881" t="s">
        <v>4663</v>
      </c>
      <c r="G1573" s="731" t="s">
        <v>4093</v>
      </c>
      <c r="H1573" s="1083">
        <v>42401</v>
      </c>
      <c r="I1573" s="1084">
        <v>42480</v>
      </c>
      <c r="J1573" s="957">
        <v>2736.52</v>
      </c>
    </row>
    <row r="1574" spans="1:10" s="852" customFormat="1" ht="28.5" outlineLevel="2">
      <c r="A1574" s="815" t="s">
        <v>1002</v>
      </c>
      <c r="B1574" s="816" t="s">
        <v>7866</v>
      </c>
      <c r="C1574" s="729" t="s">
        <v>650</v>
      </c>
      <c r="D1574" s="460"/>
      <c r="E1574" s="878" t="s">
        <v>1909</v>
      </c>
      <c r="F1574" s="881" t="s">
        <v>4956</v>
      </c>
      <c r="G1574" s="731" t="s">
        <v>2833</v>
      </c>
      <c r="H1574" s="1083">
        <v>42401</v>
      </c>
      <c r="I1574" s="1084">
        <v>42480</v>
      </c>
      <c r="J1574" s="957">
        <v>216.12</v>
      </c>
    </row>
    <row r="1575" spans="1:10" s="852" customFormat="1" ht="28.5" outlineLevel="2">
      <c r="A1575" s="815" t="s">
        <v>1002</v>
      </c>
      <c r="B1575" s="816" t="s">
        <v>7866</v>
      </c>
      <c r="C1575" s="729" t="s">
        <v>650</v>
      </c>
      <c r="D1575" s="460"/>
      <c r="E1575" s="878" t="s">
        <v>1909</v>
      </c>
      <c r="F1575" s="881" t="s">
        <v>4903</v>
      </c>
      <c r="G1575" s="731" t="s">
        <v>2832</v>
      </c>
      <c r="H1575" s="1083">
        <v>42401</v>
      </c>
      <c r="I1575" s="1084">
        <v>42480</v>
      </c>
      <c r="J1575" s="957">
        <v>6.91</v>
      </c>
    </row>
    <row r="1576" spans="1:10" s="852" customFormat="1" ht="28.5" outlineLevel="2">
      <c r="A1576" s="815" t="s">
        <v>1002</v>
      </c>
      <c r="B1576" s="816" t="s">
        <v>7866</v>
      </c>
      <c r="C1576" s="729" t="s">
        <v>650</v>
      </c>
      <c r="D1576" s="460"/>
      <c r="E1576" s="878" t="s">
        <v>1909</v>
      </c>
      <c r="F1576" s="881" t="s">
        <v>4853</v>
      </c>
      <c r="G1576" s="731" t="s">
        <v>2831</v>
      </c>
      <c r="H1576" s="1083">
        <v>42401</v>
      </c>
      <c r="I1576" s="1084">
        <v>42480</v>
      </c>
      <c r="J1576" s="957">
        <v>81.540000000000006</v>
      </c>
    </row>
    <row r="1577" spans="1:10" s="852" customFormat="1" ht="28.5" outlineLevel="2">
      <c r="A1577" s="815" t="s">
        <v>651</v>
      </c>
      <c r="B1577" s="816" t="s">
        <v>7865</v>
      </c>
      <c r="C1577" s="729" t="s">
        <v>650</v>
      </c>
      <c r="D1577" s="460"/>
      <c r="E1577" s="878" t="s">
        <v>1909</v>
      </c>
      <c r="F1577" s="881" t="s">
        <v>4627</v>
      </c>
      <c r="G1577" s="731" t="s">
        <v>4092</v>
      </c>
      <c r="H1577" s="1083">
        <v>42401</v>
      </c>
      <c r="I1577" s="1084">
        <v>42480</v>
      </c>
      <c r="J1577" s="957">
        <v>1144.24</v>
      </c>
    </row>
    <row r="1578" spans="1:10" s="852" customFormat="1" ht="28.5" outlineLevel="2">
      <c r="A1578" s="815" t="s">
        <v>651</v>
      </c>
      <c r="B1578" s="816" t="s">
        <v>7865</v>
      </c>
      <c r="C1578" s="729" t="s">
        <v>650</v>
      </c>
      <c r="D1578" s="460"/>
      <c r="E1578" s="878" t="s">
        <v>1909</v>
      </c>
      <c r="F1578" s="881" t="s">
        <v>4627</v>
      </c>
      <c r="G1578" s="731" t="s">
        <v>4092</v>
      </c>
      <c r="H1578" s="1083">
        <v>42401</v>
      </c>
      <c r="I1578" s="1084">
        <v>42480</v>
      </c>
      <c r="J1578" s="957">
        <v>497.66</v>
      </c>
    </row>
    <row r="1579" spans="1:10" s="852" customFormat="1" ht="28.5" outlineLevel="2">
      <c r="A1579" s="815" t="s">
        <v>651</v>
      </c>
      <c r="B1579" s="816" t="s">
        <v>7865</v>
      </c>
      <c r="C1579" s="729" t="s">
        <v>650</v>
      </c>
      <c r="D1579" s="460"/>
      <c r="E1579" s="878" t="s">
        <v>1909</v>
      </c>
      <c r="F1579" s="881" t="s">
        <v>5016</v>
      </c>
      <c r="G1579" s="731" t="s">
        <v>4094</v>
      </c>
      <c r="H1579" s="1083">
        <v>42401</v>
      </c>
      <c r="I1579" s="1084">
        <v>42480</v>
      </c>
      <c r="J1579" s="957">
        <v>1094.5999999999999</v>
      </c>
    </row>
    <row r="1580" spans="1:10" s="852" customFormat="1" outlineLevel="1">
      <c r="A1580" s="815"/>
      <c r="B1580" s="816" t="s">
        <v>258</v>
      </c>
      <c r="C1580" s="908" t="s">
        <v>650</v>
      </c>
      <c r="D1580" s="928" t="str">
        <f>VLOOKUP(C1580,$C$3691:$D$3771,2,FALSE)</f>
        <v>TOTAL POUPATEMPO  SÃO JOÃO DA BOA VISTA</v>
      </c>
      <c r="E1580" s="1085"/>
      <c r="F1580" s="929"/>
      <c r="G1580" s="910"/>
      <c r="H1580" s="1086"/>
      <c r="I1580" s="1087"/>
      <c r="J1580" s="930">
        <f>SUBTOTAL(9,J1551:J1579)</f>
        <v>122480.73999999999</v>
      </c>
    </row>
    <row r="1581" spans="1:10" s="852" customFormat="1" outlineLevel="2">
      <c r="A1581" s="815" t="s">
        <v>2249</v>
      </c>
      <c r="B1581" s="816" t="s">
        <v>7869</v>
      </c>
      <c r="C1581" s="729" t="s">
        <v>654</v>
      </c>
      <c r="D1581" s="460"/>
      <c r="E1581" s="878" t="s">
        <v>2221</v>
      </c>
      <c r="F1581" s="881" t="s">
        <v>863</v>
      </c>
      <c r="G1581" s="731" t="s">
        <v>5571</v>
      </c>
      <c r="H1581" s="1083">
        <v>42401</v>
      </c>
      <c r="I1581" s="1084">
        <v>42465</v>
      </c>
      <c r="J1581" s="957">
        <v>4051.04</v>
      </c>
    </row>
    <row r="1582" spans="1:10" s="852" customFormat="1" outlineLevel="2">
      <c r="A1582" s="815" t="s">
        <v>656</v>
      </c>
      <c r="B1582" s="816" t="s">
        <v>7865</v>
      </c>
      <c r="C1582" s="729" t="s">
        <v>654</v>
      </c>
      <c r="D1582" s="460"/>
      <c r="E1582" s="878" t="s">
        <v>533</v>
      </c>
      <c r="F1582" s="881" t="s">
        <v>1094</v>
      </c>
      <c r="G1582" s="731" t="s">
        <v>5773</v>
      </c>
      <c r="H1582" s="1083">
        <v>42430</v>
      </c>
      <c r="I1582" s="1084">
        <v>42489</v>
      </c>
      <c r="J1582" s="957">
        <v>222251.43</v>
      </c>
    </row>
    <row r="1583" spans="1:10" s="852" customFormat="1" outlineLevel="2">
      <c r="A1583" s="815" t="s">
        <v>6449</v>
      </c>
      <c r="B1583" s="816" t="s">
        <v>7863</v>
      </c>
      <c r="C1583" s="729" t="s">
        <v>654</v>
      </c>
      <c r="D1583" s="460"/>
      <c r="E1583" s="878" t="s">
        <v>483</v>
      </c>
      <c r="F1583" s="881" t="s">
        <v>2208</v>
      </c>
      <c r="G1583" s="731" t="str">
        <f>"16994"</f>
        <v>16994</v>
      </c>
      <c r="H1583" s="1083">
        <v>42401</v>
      </c>
      <c r="I1583" s="1084">
        <v>42473</v>
      </c>
      <c r="J1583" s="957">
        <v>12490.28</v>
      </c>
    </row>
    <row r="1584" spans="1:10" s="852" customFormat="1" outlineLevel="2">
      <c r="A1584" s="815" t="s">
        <v>656</v>
      </c>
      <c r="B1584" s="816" t="s">
        <v>7865</v>
      </c>
      <c r="C1584" s="729" t="s">
        <v>654</v>
      </c>
      <c r="D1584" s="460"/>
      <c r="E1584" s="878" t="s">
        <v>530</v>
      </c>
      <c r="F1584" s="881" t="s">
        <v>1094</v>
      </c>
      <c r="G1584" s="731" t="s">
        <v>5782</v>
      </c>
      <c r="H1584" s="1083">
        <v>42430</v>
      </c>
      <c r="I1584" s="1084">
        <v>42489</v>
      </c>
      <c r="J1584" s="957">
        <v>148167.63</v>
      </c>
    </row>
    <row r="1585" spans="1:10" s="852" customFormat="1" outlineLevel="2">
      <c r="A1585" s="815" t="s">
        <v>5937</v>
      </c>
      <c r="B1585" s="816" t="s">
        <v>7864</v>
      </c>
      <c r="C1585" s="729" t="s">
        <v>654</v>
      </c>
      <c r="D1585" s="460"/>
      <c r="E1585" s="878" t="s">
        <v>6470</v>
      </c>
      <c r="F1585" s="881" t="s">
        <v>434</v>
      </c>
      <c r="G1585" s="731" t="str">
        <f>"2618"</f>
        <v>2618</v>
      </c>
      <c r="H1585" s="1083">
        <v>42370</v>
      </c>
      <c r="I1585" s="1084">
        <v>42478</v>
      </c>
      <c r="J1585" s="957">
        <v>-2652.39</v>
      </c>
    </row>
    <row r="1586" spans="1:10" s="852" customFormat="1" outlineLevel="2">
      <c r="A1586" s="815" t="s">
        <v>5937</v>
      </c>
      <c r="B1586" s="816" t="s">
        <v>7864</v>
      </c>
      <c r="C1586" s="729" t="s">
        <v>654</v>
      </c>
      <c r="D1586" s="460"/>
      <c r="E1586" s="878" t="s">
        <v>6470</v>
      </c>
      <c r="F1586" s="881" t="s">
        <v>434</v>
      </c>
      <c r="G1586" s="731" t="str">
        <f>"2618"</f>
        <v>2618</v>
      </c>
      <c r="H1586" s="1083">
        <v>42370</v>
      </c>
      <c r="I1586" s="1084">
        <v>42478</v>
      </c>
      <c r="J1586" s="957">
        <v>2652.39</v>
      </c>
    </row>
    <row r="1587" spans="1:10" s="852" customFormat="1" outlineLevel="2">
      <c r="A1587" s="815" t="s">
        <v>5937</v>
      </c>
      <c r="B1587" s="816" t="s">
        <v>7864</v>
      </c>
      <c r="C1587" s="729" t="s">
        <v>654</v>
      </c>
      <c r="D1587" s="460"/>
      <c r="E1587" s="878" t="s">
        <v>6470</v>
      </c>
      <c r="F1587" s="881" t="s">
        <v>434</v>
      </c>
      <c r="G1587" s="731" t="str">
        <f>"2618"</f>
        <v>2618</v>
      </c>
      <c r="H1587" s="1083">
        <v>42370</v>
      </c>
      <c r="I1587" s="1084">
        <v>42478</v>
      </c>
      <c r="J1587" s="957">
        <v>2652.39</v>
      </c>
    </row>
    <row r="1588" spans="1:10" s="852" customFormat="1" outlineLevel="2">
      <c r="A1588" s="815" t="s">
        <v>5937</v>
      </c>
      <c r="B1588" s="816" t="s">
        <v>7864</v>
      </c>
      <c r="C1588" s="729" t="s">
        <v>654</v>
      </c>
      <c r="D1588" s="460"/>
      <c r="E1588" s="878" t="s">
        <v>6470</v>
      </c>
      <c r="F1588" s="881" t="s">
        <v>434</v>
      </c>
      <c r="G1588" s="731" t="str">
        <f>"2618"</f>
        <v>2618</v>
      </c>
      <c r="H1588" s="1083">
        <v>42370</v>
      </c>
      <c r="I1588" s="1084">
        <v>42478</v>
      </c>
      <c r="J1588" s="957">
        <v>-2652.39</v>
      </c>
    </row>
    <row r="1589" spans="1:10" s="852" customFormat="1" outlineLevel="2">
      <c r="A1589" s="815" t="s">
        <v>5937</v>
      </c>
      <c r="B1589" s="816" t="s">
        <v>7864</v>
      </c>
      <c r="C1589" s="729" t="s">
        <v>654</v>
      </c>
      <c r="D1589" s="460"/>
      <c r="E1589" s="878" t="s">
        <v>6470</v>
      </c>
      <c r="F1589" s="881" t="s">
        <v>434</v>
      </c>
      <c r="G1589" s="731" t="str">
        <f>"2618"</f>
        <v>2618</v>
      </c>
      <c r="H1589" s="1083">
        <v>42370</v>
      </c>
      <c r="I1589" s="1084">
        <v>42478</v>
      </c>
      <c r="J1589" s="957">
        <v>2652.39</v>
      </c>
    </row>
    <row r="1590" spans="1:10" s="852" customFormat="1" outlineLevel="2">
      <c r="A1590" s="815" t="s">
        <v>656</v>
      </c>
      <c r="B1590" s="816" t="s">
        <v>7865</v>
      </c>
      <c r="C1590" s="729" t="s">
        <v>654</v>
      </c>
      <c r="D1590" s="460"/>
      <c r="E1590" s="878" t="s">
        <v>2336</v>
      </c>
      <c r="F1590" s="881" t="s">
        <v>6031</v>
      </c>
      <c r="G1590" s="731" t="s">
        <v>4095</v>
      </c>
      <c r="H1590" s="1083">
        <v>42401</v>
      </c>
      <c r="I1590" s="1084">
        <v>42480</v>
      </c>
      <c r="J1590" s="957">
        <v>14156.14</v>
      </c>
    </row>
    <row r="1591" spans="1:10" s="852" customFormat="1" outlineLevel="2">
      <c r="A1591" s="815" t="s">
        <v>657</v>
      </c>
      <c r="B1591" s="816" t="s">
        <v>7863</v>
      </c>
      <c r="C1591" s="729" t="s">
        <v>654</v>
      </c>
      <c r="D1591" s="460"/>
      <c r="E1591" s="878" t="s">
        <v>2336</v>
      </c>
      <c r="F1591" s="881" t="s">
        <v>4428</v>
      </c>
      <c r="G1591" s="731" t="s">
        <v>4100</v>
      </c>
      <c r="H1591" s="1083">
        <v>42401</v>
      </c>
      <c r="I1591" s="1084">
        <v>42480</v>
      </c>
      <c r="J1591" s="957">
        <v>1688.91</v>
      </c>
    </row>
    <row r="1592" spans="1:10" s="852" customFormat="1" outlineLevel="2">
      <c r="A1592" s="815" t="s">
        <v>656</v>
      </c>
      <c r="B1592" s="816" t="s">
        <v>7865</v>
      </c>
      <c r="C1592" s="729" t="s">
        <v>654</v>
      </c>
      <c r="D1592" s="460"/>
      <c r="E1592" s="878" t="s">
        <v>2336</v>
      </c>
      <c r="F1592" s="881" t="s">
        <v>6032</v>
      </c>
      <c r="G1592" s="731" t="s">
        <v>4096</v>
      </c>
      <c r="H1592" s="1083">
        <v>42401</v>
      </c>
      <c r="I1592" s="1084">
        <v>42480</v>
      </c>
      <c r="J1592" s="957">
        <v>9437.43</v>
      </c>
    </row>
    <row r="1593" spans="1:10" s="852" customFormat="1" outlineLevel="2">
      <c r="A1593" s="815" t="s">
        <v>655</v>
      </c>
      <c r="B1593" s="816" t="s">
        <v>7864</v>
      </c>
      <c r="C1593" s="729" t="s">
        <v>654</v>
      </c>
      <c r="D1593" s="460"/>
      <c r="E1593" s="878" t="s">
        <v>2336</v>
      </c>
      <c r="F1593" s="881" t="s">
        <v>3818</v>
      </c>
      <c r="G1593" s="731" t="s">
        <v>4099</v>
      </c>
      <c r="H1593" s="1083">
        <v>42401</v>
      </c>
      <c r="I1593" s="1084">
        <v>42480</v>
      </c>
      <c r="J1593" s="957">
        <v>372.38</v>
      </c>
    </row>
    <row r="1594" spans="1:10" s="852" customFormat="1" outlineLevel="2">
      <c r="A1594" s="815" t="s">
        <v>655</v>
      </c>
      <c r="B1594" s="816" t="s">
        <v>7864</v>
      </c>
      <c r="C1594" s="729" t="s">
        <v>654</v>
      </c>
      <c r="D1594" s="460"/>
      <c r="E1594" s="878" t="s">
        <v>2336</v>
      </c>
      <c r="F1594" s="881" t="s">
        <v>3384</v>
      </c>
      <c r="G1594" s="731" t="s">
        <v>4098</v>
      </c>
      <c r="H1594" s="1083">
        <v>42401</v>
      </c>
      <c r="I1594" s="1084">
        <v>42480</v>
      </c>
      <c r="J1594" s="957">
        <v>244.99</v>
      </c>
    </row>
    <row r="1595" spans="1:10" s="852" customFormat="1" outlineLevel="2">
      <c r="A1595" s="815" t="s">
        <v>655</v>
      </c>
      <c r="B1595" s="816" t="s">
        <v>7864</v>
      </c>
      <c r="C1595" s="729" t="s">
        <v>654</v>
      </c>
      <c r="D1595" s="460"/>
      <c r="E1595" s="878" t="s">
        <v>2336</v>
      </c>
      <c r="F1595" s="881" t="s">
        <v>3109</v>
      </c>
      <c r="G1595" s="731" t="s">
        <v>4097</v>
      </c>
      <c r="H1595" s="1083">
        <v>42401</v>
      </c>
      <c r="I1595" s="1084">
        <v>42480</v>
      </c>
      <c r="J1595" s="957">
        <v>362.58</v>
      </c>
    </row>
    <row r="1596" spans="1:10" s="852" customFormat="1" outlineLevel="2">
      <c r="A1596" s="815" t="s">
        <v>5937</v>
      </c>
      <c r="B1596" s="816" t="s">
        <v>7864</v>
      </c>
      <c r="C1596" s="729" t="s">
        <v>654</v>
      </c>
      <c r="D1596" s="460"/>
      <c r="E1596" s="878" t="s">
        <v>2717</v>
      </c>
      <c r="F1596" s="881" t="s">
        <v>434</v>
      </c>
      <c r="G1596" s="731" t="str">
        <f>"3540"</f>
        <v>3540</v>
      </c>
      <c r="H1596" s="1083">
        <v>42401</v>
      </c>
      <c r="I1596" s="1084">
        <v>42467</v>
      </c>
      <c r="J1596" s="957">
        <v>1744.99</v>
      </c>
    </row>
    <row r="1597" spans="1:10" s="852" customFormat="1" outlineLevel="2">
      <c r="A1597" s="815" t="s">
        <v>5937</v>
      </c>
      <c r="B1597" s="816" t="s">
        <v>7864</v>
      </c>
      <c r="C1597" s="729" t="s">
        <v>654</v>
      </c>
      <c r="D1597" s="460"/>
      <c r="E1597" s="878" t="s">
        <v>409</v>
      </c>
      <c r="F1597" s="881" t="s">
        <v>434</v>
      </c>
      <c r="G1597" s="731" t="str">
        <f>"6697"</f>
        <v>6697</v>
      </c>
      <c r="H1597" s="1083">
        <v>42401</v>
      </c>
      <c r="I1597" s="1084">
        <v>42475</v>
      </c>
      <c r="J1597" s="957">
        <v>2582.6</v>
      </c>
    </row>
    <row r="1598" spans="1:10" s="852" customFormat="1" outlineLevel="2">
      <c r="A1598" s="815" t="s">
        <v>1023</v>
      </c>
      <c r="B1598" s="816" t="s">
        <v>7866</v>
      </c>
      <c r="C1598" s="729" t="s">
        <v>654</v>
      </c>
      <c r="D1598" s="460"/>
      <c r="E1598" s="878" t="s">
        <v>2282</v>
      </c>
      <c r="F1598" s="881" t="s">
        <v>3974</v>
      </c>
      <c r="G1598" s="731" t="s">
        <v>2779</v>
      </c>
      <c r="H1598" s="1083">
        <v>42401</v>
      </c>
      <c r="I1598" s="1084">
        <v>42471</v>
      </c>
      <c r="J1598" s="957">
        <v>725.98</v>
      </c>
    </row>
    <row r="1599" spans="1:10" s="852" customFormat="1" outlineLevel="2">
      <c r="A1599" s="815" t="s">
        <v>1023</v>
      </c>
      <c r="B1599" s="816" t="s">
        <v>7866</v>
      </c>
      <c r="C1599" s="729" t="s">
        <v>654</v>
      </c>
      <c r="D1599" s="460"/>
      <c r="E1599" s="878" t="s">
        <v>2282</v>
      </c>
      <c r="F1599" s="881" t="s">
        <v>4081</v>
      </c>
      <c r="G1599" s="731" t="s">
        <v>2781</v>
      </c>
      <c r="H1599" s="1083">
        <v>42401</v>
      </c>
      <c r="I1599" s="1084">
        <v>42471</v>
      </c>
      <c r="J1599" s="957">
        <v>23.21</v>
      </c>
    </row>
    <row r="1600" spans="1:10" s="852" customFormat="1" outlineLevel="2">
      <c r="A1600" s="815" t="s">
        <v>1023</v>
      </c>
      <c r="B1600" s="816" t="s">
        <v>7866</v>
      </c>
      <c r="C1600" s="729" t="s">
        <v>654</v>
      </c>
      <c r="D1600" s="460"/>
      <c r="E1600" s="878" t="s">
        <v>2282</v>
      </c>
      <c r="F1600" s="881" t="s">
        <v>4165</v>
      </c>
      <c r="G1600" s="731" t="s">
        <v>2782</v>
      </c>
      <c r="H1600" s="1083">
        <v>42401</v>
      </c>
      <c r="I1600" s="1084">
        <v>42471</v>
      </c>
      <c r="J1600" s="957">
        <v>273.91000000000003</v>
      </c>
    </row>
    <row r="1601" spans="1:10" s="852" customFormat="1" outlineLevel="2">
      <c r="A1601" s="815" t="s">
        <v>656</v>
      </c>
      <c r="B1601" s="816" t="s">
        <v>7865</v>
      </c>
      <c r="C1601" s="729" t="s">
        <v>654</v>
      </c>
      <c r="D1601" s="460"/>
      <c r="E1601" s="878" t="s">
        <v>2710</v>
      </c>
      <c r="F1601" s="881" t="s">
        <v>6097</v>
      </c>
      <c r="G1601" s="731" t="s">
        <v>4101</v>
      </c>
      <c r="H1601" s="1083">
        <v>42401</v>
      </c>
      <c r="I1601" s="1084">
        <v>42475</v>
      </c>
      <c r="J1601" s="957">
        <v>5147.68</v>
      </c>
    </row>
    <row r="1602" spans="1:10" s="852" customFormat="1" outlineLevel="2">
      <c r="A1602" s="815" t="s">
        <v>656</v>
      </c>
      <c r="B1602" s="816" t="s">
        <v>7865</v>
      </c>
      <c r="C1602" s="729" t="s">
        <v>654</v>
      </c>
      <c r="D1602" s="460"/>
      <c r="E1602" s="878" t="s">
        <v>2710</v>
      </c>
      <c r="F1602" s="881" t="s">
        <v>6098</v>
      </c>
      <c r="G1602" s="731" t="s">
        <v>4102</v>
      </c>
      <c r="H1602" s="1083">
        <v>42401</v>
      </c>
      <c r="I1602" s="1084">
        <v>42475</v>
      </c>
      <c r="J1602" s="957">
        <v>3431.79</v>
      </c>
    </row>
    <row r="1603" spans="1:10" s="852" customFormat="1" outlineLevel="2">
      <c r="A1603" s="815" t="s">
        <v>655</v>
      </c>
      <c r="B1603" s="816" t="s">
        <v>7864</v>
      </c>
      <c r="C1603" s="729" t="s">
        <v>654</v>
      </c>
      <c r="D1603" s="460"/>
      <c r="E1603" s="878" t="s">
        <v>2710</v>
      </c>
      <c r="F1603" s="881" t="s">
        <v>3110</v>
      </c>
      <c r="G1603" s="731" t="s">
        <v>4103</v>
      </c>
      <c r="H1603" s="1083">
        <v>42401</v>
      </c>
      <c r="I1603" s="1084">
        <v>42475</v>
      </c>
      <c r="J1603" s="957">
        <v>164.89</v>
      </c>
    </row>
    <row r="1604" spans="1:10" s="852" customFormat="1" outlineLevel="2">
      <c r="A1604" s="815" t="s">
        <v>655</v>
      </c>
      <c r="B1604" s="816" t="s">
        <v>7864</v>
      </c>
      <c r="C1604" s="729" t="s">
        <v>654</v>
      </c>
      <c r="D1604" s="460"/>
      <c r="E1604" s="878" t="s">
        <v>2710</v>
      </c>
      <c r="F1604" s="881" t="s">
        <v>3386</v>
      </c>
      <c r="G1604" s="731" t="s">
        <v>4104</v>
      </c>
      <c r="H1604" s="1083">
        <v>42401</v>
      </c>
      <c r="I1604" s="1084">
        <v>42475</v>
      </c>
      <c r="J1604" s="957">
        <v>111.36</v>
      </c>
    </row>
    <row r="1605" spans="1:10" s="852" customFormat="1" outlineLevel="2">
      <c r="A1605" s="815" t="s">
        <v>655</v>
      </c>
      <c r="B1605" s="816" t="s">
        <v>7864</v>
      </c>
      <c r="C1605" s="729" t="s">
        <v>654</v>
      </c>
      <c r="D1605" s="460"/>
      <c r="E1605" s="878" t="s">
        <v>2710</v>
      </c>
      <c r="F1605" s="881" t="s">
        <v>3819</v>
      </c>
      <c r="G1605" s="731" t="s">
        <v>4105</v>
      </c>
      <c r="H1605" s="1083">
        <v>42401</v>
      </c>
      <c r="I1605" s="1084">
        <v>42475</v>
      </c>
      <c r="J1605" s="957">
        <v>169.27</v>
      </c>
    </row>
    <row r="1606" spans="1:10" s="852" customFormat="1" outlineLevel="2">
      <c r="A1606" s="815" t="s">
        <v>657</v>
      </c>
      <c r="B1606" s="816" t="s">
        <v>7863</v>
      </c>
      <c r="C1606" s="729" t="s">
        <v>654</v>
      </c>
      <c r="D1606" s="460"/>
      <c r="E1606" s="878" t="s">
        <v>2710</v>
      </c>
      <c r="F1606" s="881" t="s">
        <v>4430</v>
      </c>
      <c r="G1606" s="731" t="s">
        <v>4106</v>
      </c>
      <c r="H1606" s="1083">
        <v>42401</v>
      </c>
      <c r="I1606" s="1084">
        <v>42475</v>
      </c>
      <c r="J1606" s="957">
        <v>307.08</v>
      </c>
    </row>
    <row r="1607" spans="1:10" s="852" customFormat="1" outlineLevel="2">
      <c r="A1607" s="815" t="s">
        <v>656</v>
      </c>
      <c r="B1607" s="816" t="s">
        <v>7865</v>
      </c>
      <c r="C1607" s="729" t="s">
        <v>654</v>
      </c>
      <c r="D1607" s="460"/>
      <c r="E1607" s="878" t="s">
        <v>1909</v>
      </c>
      <c r="F1607" s="881" t="s">
        <v>6285</v>
      </c>
      <c r="G1607" s="731" t="s">
        <v>4110</v>
      </c>
      <c r="H1607" s="1083">
        <v>42401</v>
      </c>
      <c r="I1607" s="1084">
        <v>42480</v>
      </c>
      <c r="J1607" s="957">
        <v>3860.77</v>
      </c>
    </row>
    <row r="1608" spans="1:10" s="852" customFormat="1" outlineLevel="2">
      <c r="A1608" s="815" t="s">
        <v>1023</v>
      </c>
      <c r="B1608" s="816" t="s">
        <v>7866</v>
      </c>
      <c r="C1608" s="729" t="s">
        <v>654</v>
      </c>
      <c r="D1608" s="460"/>
      <c r="E1608" s="878" t="s">
        <v>1909</v>
      </c>
      <c r="F1608" s="881" t="s">
        <v>3935</v>
      </c>
      <c r="G1608" s="731" t="s">
        <v>2817</v>
      </c>
      <c r="H1608" s="1083">
        <v>42401</v>
      </c>
      <c r="I1608" s="1084">
        <v>42480</v>
      </c>
      <c r="J1608" s="957">
        <v>217.79</v>
      </c>
    </row>
    <row r="1609" spans="1:10" s="852" customFormat="1" outlineLevel="2">
      <c r="A1609" s="815" t="s">
        <v>1023</v>
      </c>
      <c r="B1609" s="816" t="s">
        <v>7866</v>
      </c>
      <c r="C1609" s="729" t="s">
        <v>654</v>
      </c>
      <c r="D1609" s="460"/>
      <c r="E1609" s="878" t="s">
        <v>1909</v>
      </c>
      <c r="F1609" s="881" t="s">
        <v>4027</v>
      </c>
      <c r="G1609" s="731" t="s">
        <v>2819</v>
      </c>
      <c r="H1609" s="1083">
        <v>42401</v>
      </c>
      <c r="I1609" s="1084">
        <v>42480</v>
      </c>
      <c r="J1609" s="957">
        <v>6.96</v>
      </c>
    </row>
    <row r="1610" spans="1:10" s="852" customFormat="1" outlineLevel="2">
      <c r="A1610" s="815" t="s">
        <v>1023</v>
      </c>
      <c r="B1610" s="816" t="s">
        <v>7866</v>
      </c>
      <c r="C1610" s="729" t="s">
        <v>654</v>
      </c>
      <c r="D1610" s="460"/>
      <c r="E1610" s="878" t="s">
        <v>1909</v>
      </c>
      <c r="F1610" s="881" t="s">
        <v>4129</v>
      </c>
      <c r="G1610" s="731" t="s">
        <v>2821</v>
      </c>
      <c r="H1610" s="1083">
        <v>42401</v>
      </c>
      <c r="I1610" s="1084">
        <v>42480</v>
      </c>
      <c r="J1610" s="957">
        <v>82.17</v>
      </c>
    </row>
    <row r="1611" spans="1:10" s="852" customFormat="1" outlineLevel="2">
      <c r="A1611" s="815" t="s">
        <v>657</v>
      </c>
      <c r="B1611" s="816" t="s">
        <v>7863</v>
      </c>
      <c r="C1611" s="729" t="s">
        <v>654</v>
      </c>
      <c r="D1611" s="460"/>
      <c r="E1611" s="878" t="s">
        <v>1909</v>
      </c>
      <c r="F1611" s="881" t="s">
        <v>4427</v>
      </c>
      <c r="G1611" s="731" t="s">
        <v>4123</v>
      </c>
      <c r="H1611" s="1083">
        <v>42401</v>
      </c>
      <c r="I1611" s="1084">
        <v>42480</v>
      </c>
      <c r="J1611" s="957">
        <v>153.54</v>
      </c>
    </row>
    <row r="1612" spans="1:10" s="852" customFormat="1" outlineLevel="2">
      <c r="A1612" s="815" t="s">
        <v>656</v>
      </c>
      <c r="B1612" s="816" t="s">
        <v>7865</v>
      </c>
      <c r="C1612" s="729" t="s">
        <v>654</v>
      </c>
      <c r="D1612" s="460"/>
      <c r="E1612" s="878" t="s">
        <v>1909</v>
      </c>
      <c r="F1612" s="881" t="s">
        <v>6286</v>
      </c>
      <c r="G1612" s="731" t="s">
        <v>4111</v>
      </c>
      <c r="H1612" s="1083">
        <v>42401</v>
      </c>
      <c r="I1612" s="1084">
        <v>42480</v>
      </c>
      <c r="J1612" s="957">
        <v>2573.84</v>
      </c>
    </row>
    <row r="1613" spans="1:10" s="852" customFormat="1" outlineLevel="2">
      <c r="A1613" s="815" t="s">
        <v>655</v>
      </c>
      <c r="B1613" s="816" t="s">
        <v>7864</v>
      </c>
      <c r="C1613" s="729" t="s">
        <v>654</v>
      </c>
      <c r="D1613" s="460"/>
      <c r="E1613" s="878" t="s">
        <v>1909</v>
      </c>
      <c r="F1613" s="881" t="s">
        <v>3817</v>
      </c>
      <c r="G1613" s="731" t="s">
        <v>4122</v>
      </c>
      <c r="H1613" s="1083">
        <v>42401</v>
      </c>
      <c r="I1613" s="1084">
        <v>42480</v>
      </c>
      <c r="J1613" s="957">
        <v>33.85</v>
      </c>
    </row>
    <row r="1614" spans="1:10" s="852" customFormat="1" outlineLevel="2">
      <c r="A1614" s="815" t="s">
        <v>655</v>
      </c>
      <c r="B1614" s="816" t="s">
        <v>7864</v>
      </c>
      <c r="C1614" s="729" t="s">
        <v>654</v>
      </c>
      <c r="D1614" s="460"/>
      <c r="E1614" s="878" t="s">
        <v>1909</v>
      </c>
      <c r="F1614" s="881" t="s">
        <v>3383</v>
      </c>
      <c r="G1614" s="731" t="s">
        <v>4118</v>
      </c>
      <c r="H1614" s="1083">
        <v>42401</v>
      </c>
      <c r="I1614" s="1084">
        <v>42480</v>
      </c>
      <c r="J1614" s="957">
        <v>22.27</v>
      </c>
    </row>
    <row r="1615" spans="1:10" s="852" customFormat="1" outlineLevel="2">
      <c r="A1615" s="815" t="s">
        <v>655</v>
      </c>
      <c r="B1615" s="816" t="s">
        <v>7864</v>
      </c>
      <c r="C1615" s="729" t="s">
        <v>654</v>
      </c>
      <c r="D1615" s="460"/>
      <c r="E1615" s="878" t="s">
        <v>1909</v>
      </c>
      <c r="F1615" s="881" t="s">
        <v>3107</v>
      </c>
      <c r="G1615" s="731" t="s">
        <v>4116</v>
      </c>
      <c r="H1615" s="1083">
        <v>42401</v>
      </c>
      <c r="I1615" s="1084">
        <v>42480</v>
      </c>
      <c r="J1615" s="957">
        <v>32.96</v>
      </c>
    </row>
    <row r="1616" spans="1:10" s="852" customFormat="1" ht="28.5" outlineLevel="2">
      <c r="A1616" s="815" t="s">
        <v>656</v>
      </c>
      <c r="B1616" s="816" t="s">
        <v>7865</v>
      </c>
      <c r="C1616" s="729" t="s">
        <v>654</v>
      </c>
      <c r="D1616" s="460"/>
      <c r="E1616" s="878" t="s">
        <v>1909</v>
      </c>
      <c r="F1616" s="881" t="s">
        <v>4769</v>
      </c>
      <c r="G1616" s="731" t="s">
        <v>4125</v>
      </c>
      <c r="H1616" s="1083">
        <v>42401</v>
      </c>
      <c r="I1616" s="1084">
        <v>42480</v>
      </c>
      <c r="J1616" s="957">
        <v>11968.37</v>
      </c>
    </row>
    <row r="1617" spans="1:10" s="852" customFormat="1" ht="28.5" outlineLevel="2">
      <c r="A1617" s="815" t="s">
        <v>1023</v>
      </c>
      <c r="B1617" s="816" t="s">
        <v>7866</v>
      </c>
      <c r="C1617" s="729" t="s">
        <v>654</v>
      </c>
      <c r="D1617" s="460"/>
      <c r="E1617" s="878" t="s">
        <v>1909</v>
      </c>
      <c r="F1617" s="881" t="s">
        <v>4956</v>
      </c>
      <c r="G1617" s="731" t="s">
        <v>2833</v>
      </c>
      <c r="H1617" s="1083">
        <v>42401</v>
      </c>
      <c r="I1617" s="1084">
        <v>42480</v>
      </c>
      <c r="J1617" s="957">
        <v>675.16</v>
      </c>
    </row>
    <row r="1618" spans="1:10" s="852" customFormat="1" ht="28.5" outlineLevel="2">
      <c r="A1618" s="815" t="s">
        <v>1023</v>
      </c>
      <c r="B1618" s="816" t="s">
        <v>7866</v>
      </c>
      <c r="C1618" s="729" t="s">
        <v>654</v>
      </c>
      <c r="D1618" s="460"/>
      <c r="E1618" s="878" t="s">
        <v>1909</v>
      </c>
      <c r="F1618" s="881" t="s">
        <v>4903</v>
      </c>
      <c r="G1618" s="731" t="s">
        <v>2832</v>
      </c>
      <c r="H1618" s="1083">
        <v>42401</v>
      </c>
      <c r="I1618" s="1084">
        <v>42480</v>
      </c>
      <c r="J1618" s="957">
        <v>21.59</v>
      </c>
    </row>
    <row r="1619" spans="1:10" s="852" customFormat="1" ht="28.5" outlineLevel="2">
      <c r="A1619" s="815" t="s">
        <v>1023</v>
      </c>
      <c r="B1619" s="816" t="s">
        <v>7866</v>
      </c>
      <c r="C1619" s="729" t="s">
        <v>654</v>
      </c>
      <c r="D1619" s="460"/>
      <c r="E1619" s="878" t="s">
        <v>1909</v>
      </c>
      <c r="F1619" s="881" t="s">
        <v>4853</v>
      </c>
      <c r="G1619" s="731" t="s">
        <v>2831</v>
      </c>
      <c r="H1619" s="1083">
        <v>42401</v>
      </c>
      <c r="I1619" s="1084">
        <v>42480</v>
      </c>
      <c r="J1619" s="957">
        <v>254.73</v>
      </c>
    </row>
    <row r="1620" spans="1:10" s="852" customFormat="1" ht="28.5" outlineLevel="2">
      <c r="A1620" s="815" t="s">
        <v>657</v>
      </c>
      <c r="B1620" s="816" t="s">
        <v>7863</v>
      </c>
      <c r="C1620" s="729" t="s">
        <v>654</v>
      </c>
      <c r="D1620" s="460"/>
      <c r="E1620" s="878" t="s">
        <v>1909</v>
      </c>
      <c r="F1620" s="881" t="s">
        <v>6284</v>
      </c>
      <c r="G1620" s="731" t="s">
        <v>4107</v>
      </c>
      <c r="H1620" s="1083">
        <v>42370</v>
      </c>
      <c r="I1620" s="1084">
        <v>42480</v>
      </c>
      <c r="J1620" s="957">
        <v>763.19</v>
      </c>
    </row>
    <row r="1621" spans="1:10" s="852" customFormat="1" ht="28.5" outlineLevel="2">
      <c r="A1621" s="815" t="s">
        <v>657</v>
      </c>
      <c r="B1621" s="816" t="s">
        <v>7863</v>
      </c>
      <c r="C1621" s="729" t="s">
        <v>654</v>
      </c>
      <c r="D1621" s="460"/>
      <c r="E1621" s="878" t="s">
        <v>1909</v>
      </c>
      <c r="F1621" s="881" t="s">
        <v>6284</v>
      </c>
      <c r="G1621" s="731" t="s">
        <v>4108</v>
      </c>
      <c r="H1621" s="1083">
        <v>42370</v>
      </c>
      <c r="I1621" s="1084">
        <v>42480</v>
      </c>
      <c r="J1621" s="957">
        <v>763.19</v>
      </c>
    </row>
    <row r="1622" spans="1:10" s="852" customFormat="1" ht="28.5" outlineLevel="2">
      <c r="A1622" s="815" t="s">
        <v>657</v>
      </c>
      <c r="B1622" s="816" t="s">
        <v>7863</v>
      </c>
      <c r="C1622" s="729" t="s">
        <v>654</v>
      </c>
      <c r="D1622" s="460"/>
      <c r="E1622" s="878" t="s">
        <v>1909</v>
      </c>
      <c r="F1622" s="881" t="s">
        <v>6284</v>
      </c>
      <c r="G1622" s="731" t="s">
        <v>4109</v>
      </c>
      <c r="H1622" s="1083">
        <v>42370</v>
      </c>
      <c r="I1622" s="1084">
        <v>42480</v>
      </c>
      <c r="J1622" s="957">
        <v>-763.19</v>
      </c>
    </row>
    <row r="1623" spans="1:10" s="852" customFormat="1" ht="28.5" outlineLevel="2">
      <c r="A1623" s="815" t="s">
        <v>656</v>
      </c>
      <c r="B1623" s="816" t="s">
        <v>7865</v>
      </c>
      <c r="C1623" s="729" t="s">
        <v>654</v>
      </c>
      <c r="D1623" s="460"/>
      <c r="E1623" s="878" t="s">
        <v>1909</v>
      </c>
      <c r="F1623" s="881" t="s">
        <v>4589</v>
      </c>
      <c r="G1623" s="731" t="s">
        <v>4124</v>
      </c>
      <c r="H1623" s="1083">
        <v>42401</v>
      </c>
      <c r="I1623" s="1084">
        <v>42480</v>
      </c>
      <c r="J1623" s="957">
        <v>7978.92</v>
      </c>
    </row>
    <row r="1624" spans="1:10" s="852" customFormat="1" ht="28.5" outlineLevel="2">
      <c r="A1624" s="815" t="s">
        <v>655</v>
      </c>
      <c r="B1624" s="816" t="s">
        <v>7864</v>
      </c>
      <c r="C1624" s="729" t="s">
        <v>654</v>
      </c>
      <c r="D1624" s="460"/>
      <c r="E1624" s="878" t="s">
        <v>1909</v>
      </c>
      <c r="F1624" s="881" t="s">
        <v>2904</v>
      </c>
      <c r="G1624" s="731" t="s">
        <v>4112</v>
      </c>
      <c r="H1624" s="1083">
        <v>42370</v>
      </c>
      <c r="I1624" s="1084">
        <v>42480</v>
      </c>
      <c r="J1624" s="957">
        <v>-103.56</v>
      </c>
    </row>
    <row r="1625" spans="1:10" s="852" customFormat="1" ht="28.5" outlineLevel="2">
      <c r="A1625" s="815" t="s">
        <v>655</v>
      </c>
      <c r="B1625" s="816" t="s">
        <v>7864</v>
      </c>
      <c r="C1625" s="729" t="s">
        <v>654</v>
      </c>
      <c r="D1625" s="460"/>
      <c r="E1625" s="878" t="s">
        <v>1909</v>
      </c>
      <c r="F1625" s="881" t="s">
        <v>2904</v>
      </c>
      <c r="G1625" s="731" t="s">
        <v>4113</v>
      </c>
      <c r="H1625" s="1083">
        <v>42370</v>
      </c>
      <c r="I1625" s="1084">
        <v>42480</v>
      </c>
      <c r="J1625" s="957">
        <v>-103.57</v>
      </c>
    </row>
    <row r="1626" spans="1:10" s="852" customFormat="1" ht="28.5" outlineLevel="2">
      <c r="A1626" s="815" t="s">
        <v>655</v>
      </c>
      <c r="B1626" s="816" t="s">
        <v>7864</v>
      </c>
      <c r="C1626" s="729" t="s">
        <v>654</v>
      </c>
      <c r="D1626" s="460"/>
      <c r="E1626" s="878" t="s">
        <v>1909</v>
      </c>
      <c r="F1626" s="881" t="s">
        <v>2904</v>
      </c>
      <c r="G1626" s="731" t="s">
        <v>4114</v>
      </c>
      <c r="H1626" s="1083">
        <v>42370</v>
      </c>
      <c r="I1626" s="1084">
        <v>42480</v>
      </c>
      <c r="J1626" s="957">
        <v>103.57</v>
      </c>
    </row>
    <row r="1627" spans="1:10" s="852" customFormat="1" ht="28.5" outlineLevel="2">
      <c r="A1627" s="815" t="s">
        <v>655</v>
      </c>
      <c r="B1627" s="816" t="s">
        <v>7864</v>
      </c>
      <c r="C1627" s="729" t="s">
        <v>654</v>
      </c>
      <c r="D1627" s="460"/>
      <c r="E1627" s="878" t="s">
        <v>1909</v>
      </c>
      <c r="F1627" s="881" t="s">
        <v>2904</v>
      </c>
      <c r="G1627" s="731" t="s">
        <v>4115</v>
      </c>
      <c r="H1627" s="1083">
        <v>42370</v>
      </c>
      <c r="I1627" s="1084">
        <v>42480</v>
      </c>
      <c r="J1627" s="957">
        <v>103.56</v>
      </c>
    </row>
    <row r="1628" spans="1:10" s="852" customFormat="1" ht="28.5" outlineLevel="2">
      <c r="A1628" s="815" t="s">
        <v>655</v>
      </c>
      <c r="B1628" s="816" t="s">
        <v>7864</v>
      </c>
      <c r="C1628" s="729" t="s">
        <v>654</v>
      </c>
      <c r="D1628" s="460"/>
      <c r="E1628" s="878" t="s">
        <v>1909</v>
      </c>
      <c r="F1628" s="881" t="s">
        <v>2904</v>
      </c>
      <c r="G1628" s="731" t="s">
        <v>4117</v>
      </c>
      <c r="H1628" s="1083">
        <v>42370</v>
      </c>
      <c r="I1628" s="1084">
        <v>42480</v>
      </c>
      <c r="J1628" s="957">
        <v>103.56</v>
      </c>
    </row>
    <row r="1629" spans="1:10" s="852" customFormat="1" ht="28.5" outlineLevel="2">
      <c r="A1629" s="815" t="s">
        <v>655</v>
      </c>
      <c r="B1629" s="816" t="s">
        <v>7864</v>
      </c>
      <c r="C1629" s="729" t="s">
        <v>654</v>
      </c>
      <c r="D1629" s="460"/>
      <c r="E1629" s="878" t="s">
        <v>1909</v>
      </c>
      <c r="F1629" s="881" t="s">
        <v>3585</v>
      </c>
      <c r="G1629" s="731" t="s">
        <v>4119</v>
      </c>
      <c r="H1629" s="1083">
        <v>42370</v>
      </c>
      <c r="I1629" s="1084">
        <v>42480</v>
      </c>
      <c r="J1629" s="957">
        <v>-153.28</v>
      </c>
    </row>
    <row r="1630" spans="1:10" s="852" customFormat="1" ht="28.5" outlineLevel="2">
      <c r="A1630" s="815" t="s">
        <v>655</v>
      </c>
      <c r="B1630" s="816" t="s">
        <v>7864</v>
      </c>
      <c r="C1630" s="729" t="s">
        <v>654</v>
      </c>
      <c r="D1630" s="460"/>
      <c r="E1630" s="878" t="s">
        <v>1909</v>
      </c>
      <c r="F1630" s="881" t="s">
        <v>3585</v>
      </c>
      <c r="G1630" s="731" t="s">
        <v>4120</v>
      </c>
      <c r="H1630" s="1083">
        <v>42370</v>
      </c>
      <c r="I1630" s="1084">
        <v>42480</v>
      </c>
      <c r="J1630" s="957">
        <v>153.28</v>
      </c>
    </row>
    <row r="1631" spans="1:10" s="852" customFormat="1" ht="28.5" outlineLevel="2">
      <c r="A1631" s="815" t="s">
        <v>655</v>
      </c>
      <c r="B1631" s="816" t="s">
        <v>7864</v>
      </c>
      <c r="C1631" s="729" t="s">
        <v>654</v>
      </c>
      <c r="D1631" s="460"/>
      <c r="E1631" s="878" t="s">
        <v>1909</v>
      </c>
      <c r="F1631" s="881" t="s">
        <v>3585</v>
      </c>
      <c r="G1631" s="731" t="s">
        <v>4121</v>
      </c>
      <c r="H1631" s="1083">
        <v>42370</v>
      </c>
      <c r="I1631" s="1084">
        <v>42480</v>
      </c>
      <c r="J1631" s="957">
        <v>153.28</v>
      </c>
    </row>
    <row r="1632" spans="1:10" s="852" customFormat="1" outlineLevel="1">
      <c r="A1632" s="815"/>
      <c r="B1632" s="816" t="s">
        <v>258</v>
      </c>
      <c r="C1632" s="908" t="s">
        <v>654</v>
      </c>
      <c r="D1632" s="928" t="str">
        <f>VLOOKUP(C1632,$C$3691:$D$3771,2,FALSE)</f>
        <v>TOTAL POUPATEMPO  TABOÃO DA SERRA</v>
      </c>
      <c r="E1632" s="1085"/>
      <c r="F1632" s="929"/>
      <c r="G1632" s="910"/>
      <c r="H1632" s="1086"/>
      <c r="I1632" s="1087"/>
      <c r="J1632" s="930">
        <f>SUBTOTAL(9,J1581:J1631)</f>
        <v>459460.91</v>
      </c>
    </row>
    <row r="1633" spans="1:10" s="852" customFormat="1" outlineLevel="2">
      <c r="A1633" s="815" t="s">
        <v>2231</v>
      </c>
      <c r="B1633" s="816" t="s">
        <v>7869</v>
      </c>
      <c r="C1633" s="729" t="s">
        <v>659</v>
      </c>
      <c r="D1633" s="460"/>
      <c r="E1633" s="878" t="s">
        <v>2221</v>
      </c>
      <c r="F1633" s="881" t="s">
        <v>863</v>
      </c>
      <c r="G1633" s="731" t="s">
        <v>5571</v>
      </c>
      <c r="H1633" s="1083">
        <v>42401</v>
      </c>
      <c r="I1633" s="1084">
        <v>42465</v>
      </c>
      <c r="J1633" s="957">
        <v>4051.04</v>
      </c>
    </row>
    <row r="1634" spans="1:10" s="852" customFormat="1" outlineLevel="2">
      <c r="A1634" s="815" t="s">
        <v>1721</v>
      </c>
      <c r="B1634" s="816" t="s">
        <v>7872</v>
      </c>
      <c r="C1634" s="729" t="s">
        <v>659</v>
      </c>
      <c r="D1634" s="460"/>
      <c r="E1634" s="878" t="s">
        <v>1715</v>
      </c>
      <c r="F1634" s="881" t="s">
        <v>1696</v>
      </c>
      <c r="G1634" s="731" t="s">
        <v>5718</v>
      </c>
      <c r="H1634" s="1083">
        <v>42430</v>
      </c>
      <c r="I1634" s="1084">
        <v>42485</v>
      </c>
      <c r="J1634" s="957">
        <v>2252.69</v>
      </c>
    </row>
    <row r="1635" spans="1:10" s="852" customFormat="1" ht="28.5" outlineLevel="2">
      <c r="A1635" s="815" t="s">
        <v>660</v>
      </c>
      <c r="B1635" s="816" t="s">
        <v>7865</v>
      </c>
      <c r="C1635" s="729" t="s">
        <v>659</v>
      </c>
      <c r="D1635" s="460"/>
      <c r="E1635" s="878" t="s">
        <v>2336</v>
      </c>
      <c r="F1635" s="881" t="s">
        <v>6034</v>
      </c>
      <c r="G1635" s="731" t="s">
        <v>4127</v>
      </c>
      <c r="H1635" s="1083">
        <v>42401</v>
      </c>
      <c r="I1635" s="1084">
        <v>42480</v>
      </c>
      <c r="J1635" s="957">
        <v>3839.73</v>
      </c>
    </row>
    <row r="1636" spans="1:10" s="852" customFormat="1" ht="28.5" outlineLevel="2">
      <c r="A1636" s="815" t="s">
        <v>660</v>
      </c>
      <c r="B1636" s="816" t="s">
        <v>7865</v>
      </c>
      <c r="C1636" s="729" t="s">
        <v>659</v>
      </c>
      <c r="D1636" s="460"/>
      <c r="E1636" s="878" t="s">
        <v>2336</v>
      </c>
      <c r="F1636" s="881" t="s">
        <v>3278</v>
      </c>
      <c r="G1636" s="731" t="s">
        <v>4128</v>
      </c>
      <c r="H1636" s="1083">
        <v>42401</v>
      </c>
      <c r="I1636" s="1084">
        <v>42480</v>
      </c>
      <c r="J1636" s="957">
        <v>3840.88</v>
      </c>
    </row>
    <row r="1637" spans="1:10" s="852" customFormat="1" outlineLevel="2">
      <c r="A1637" s="815" t="s">
        <v>660</v>
      </c>
      <c r="B1637" s="816" t="s">
        <v>7865</v>
      </c>
      <c r="C1637" s="729" t="s">
        <v>659</v>
      </c>
      <c r="D1637" s="460"/>
      <c r="E1637" s="878" t="s">
        <v>2336</v>
      </c>
      <c r="F1637" s="881" t="s">
        <v>6033</v>
      </c>
      <c r="G1637" s="731" t="s">
        <v>4126</v>
      </c>
      <c r="H1637" s="1083">
        <v>42401</v>
      </c>
      <c r="I1637" s="1084">
        <v>42480</v>
      </c>
      <c r="J1637" s="957">
        <v>1221.73</v>
      </c>
    </row>
    <row r="1638" spans="1:10" s="852" customFormat="1" outlineLevel="2">
      <c r="A1638" s="815" t="s">
        <v>1003</v>
      </c>
      <c r="B1638" s="816" t="s">
        <v>7866</v>
      </c>
      <c r="C1638" s="729" t="s">
        <v>659</v>
      </c>
      <c r="D1638" s="460"/>
      <c r="E1638" s="878" t="s">
        <v>2282</v>
      </c>
      <c r="F1638" s="881" t="s">
        <v>3974</v>
      </c>
      <c r="G1638" s="731" t="s">
        <v>2779</v>
      </c>
      <c r="H1638" s="1083">
        <v>42401</v>
      </c>
      <c r="I1638" s="1084">
        <v>42471</v>
      </c>
      <c r="J1638" s="957">
        <v>271.58999999999997</v>
      </c>
    </row>
    <row r="1639" spans="1:10" s="852" customFormat="1" outlineLevel="2">
      <c r="A1639" s="815" t="s">
        <v>1003</v>
      </c>
      <c r="B1639" s="816" t="s">
        <v>7866</v>
      </c>
      <c r="C1639" s="729" t="s">
        <v>659</v>
      </c>
      <c r="D1639" s="460"/>
      <c r="E1639" s="878" t="s">
        <v>2282</v>
      </c>
      <c r="F1639" s="881" t="s">
        <v>4081</v>
      </c>
      <c r="G1639" s="731" t="s">
        <v>2781</v>
      </c>
      <c r="H1639" s="1083">
        <v>42401</v>
      </c>
      <c r="I1639" s="1084">
        <v>42471</v>
      </c>
      <c r="J1639" s="957">
        <v>8.68</v>
      </c>
    </row>
    <row r="1640" spans="1:10" s="852" customFormat="1" outlineLevel="2">
      <c r="A1640" s="815" t="s">
        <v>1003</v>
      </c>
      <c r="B1640" s="816" t="s">
        <v>7866</v>
      </c>
      <c r="C1640" s="729" t="s">
        <v>659</v>
      </c>
      <c r="D1640" s="460"/>
      <c r="E1640" s="878" t="s">
        <v>2282</v>
      </c>
      <c r="F1640" s="881" t="s">
        <v>4165</v>
      </c>
      <c r="G1640" s="731" t="s">
        <v>2782</v>
      </c>
      <c r="H1640" s="1083">
        <v>42401</v>
      </c>
      <c r="I1640" s="1084">
        <v>42471</v>
      </c>
      <c r="J1640" s="957">
        <v>102.47</v>
      </c>
    </row>
    <row r="1641" spans="1:10" s="852" customFormat="1" outlineLevel="2">
      <c r="A1641" s="815" t="s">
        <v>660</v>
      </c>
      <c r="B1641" s="816" t="s">
        <v>7865</v>
      </c>
      <c r="C1641" s="729" t="s">
        <v>659</v>
      </c>
      <c r="D1641" s="460"/>
      <c r="E1641" s="878" t="s">
        <v>2711</v>
      </c>
      <c r="F1641" s="881" t="s">
        <v>6192</v>
      </c>
      <c r="G1641" s="731" t="s">
        <v>4130</v>
      </c>
      <c r="H1641" s="1083">
        <v>42401</v>
      </c>
      <c r="I1641" s="1084">
        <v>42480</v>
      </c>
      <c r="J1641" s="957">
        <v>1213.8</v>
      </c>
    </row>
    <row r="1642" spans="1:10" s="852" customFormat="1" ht="28.5" outlineLevel="2">
      <c r="A1642" s="815" t="s">
        <v>660</v>
      </c>
      <c r="B1642" s="816" t="s">
        <v>7865</v>
      </c>
      <c r="C1642" s="729" t="s">
        <v>659</v>
      </c>
      <c r="D1642" s="460"/>
      <c r="E1642" s="878" t="s">
        <v>2711</v>
      </c>
      <c r="F1642" s="881" t="s">
        <v>6193</v>
      </c>
      <c r="G1642" s="731" t="s">
        <v>4131</v>
      </c>
      <c r="H1642" s="1083">
        <v>42401</v>
      </c>
      <c r="I1642" s="1084">
        <v>42480</v>
      </c>
      <c r="J1642" s="957">
        <v>1213.8</v>
      </c>
    </row>
    <row r="1643" spans="1:10" s="852" customFormat="1" ht="28.5" outlineLevel="2">
      <c r="A1643" s="815" t="s">
        <v>660</v>
      </c>
      <c r="B1643" s="816" t="s">
        <v>7865</v>
      </c>
      <c r="C1643" s="729" t="s">
        <v>659</v>
      </c>
      <c r="D1643" s="460"/>
      <c r="E1643" s="878" t="s">
        <v>2711</v>
      </c>
      <c r="F1643" s="881" t="s">
        <v>3280</v>
      </c>
      <c r="G1643" s="731" t="s">
        <v>4132</v>
      </c>
      <c r="H1643" s="1083">
        <v>42401</v>
      </c>
      <c r="I1643" s="1084">
        <v>42480</v>
      </c>
      <c r="J1643" s="957">
        <v>1214.1600000000001</v>
      </c>
    </row>
    <row r="1644" spans="1:10" s="852" customFormat="1" outlineLevel="2">
      <c r="A1644" s="815" t="s">
        <v>1003</v>
      </c>
      <c r="B1644" s="816" t="s">
        <v>7866</v>
      </c>
      <c r="C1644" s="729" t="s">
        <v>659</v>
      </c>
      <c r="D1644" s="460"/>
      <c r="E1644" s="878" t="s">
        <v>1909</v>
      </c>
      <c r="F1644" s="881" t="s">
        <v>3935</v>
      </c>
      <c r="G1644" s="731" t="s">
        <v>2817</v>
      </c>
      <c r="H1644" s="1083">
        <v>42401</v>
      </c>
      <c r="I1644" s="1084">
        <v>42480</v>
      </c>
      <c r="J1644" s="957">
        <v>81.47</v>
      </c>
    </row>
    <row r="1645" spans="1:10" s="852" customFormat="1" outlineLevel="2">
      <c r="A1645" s="815" t="s">
        <v>1003</v>
      </c>
      <c r="B1645" s="816" t="s">
        <v>7866</v>
      </c>
      <c r="C1645" s="729" t="s">
        <v>659</v>
      </c>
      <c r="D1645" s="460"/>
      <c r="E1645" s="878" t="s">
        <v>1909</v>
      </c>
      <c r="F1645" s="881" t="s">
        <v>4027</v>
      </c>
      <c r="G1645" s="731" t="s">
        <v>2819</v>
      </c>
      <c r="H1645" s="1083">
        <v>42401</v>
      </c>
      <c r="I1645" s="1084">
        <v>42480</v>
      </c>
      <c r="J1645" s="957">
        <v>2.6</v>
      </c>
    </row>
    <row r="1646" spans="1:10" s="852" customFormat="1" outlineLevel="2">
      <c r="A1646" s="815" t="s">
        <v>1003</v>
      </c>
      <c r="B1646" s="816" t="s">
        <v>7866</v>
      </c>
      <c r="C1646" s="729" t="s">
        <v>659</v>
      </c>
      <c r="D1646" s="460"/>
      <c r="E1646" s="878" t="s">
        <v>1909</v>
      </c>
      <c r="F1646" s="881" t="s">
        <v>4129</v>
      </c>
      <c r="G1646" s="731" t="s">
        <v>2821</v>
      </c>
      <c r="H1646" s="1083">
        <v>42401</v>
      </c>
      <c r="I1646" s="1084">
        <v>42480</v>
      </c>
      <c r="J1646" s="957">
        <v>30.74</v>
      </c>
    </row>
    <row r="1647" spans="1:10" s="852" customFormat="1" ht="28.5" outlineLevel="2">
      <c r="A1647" s="815" t="s">
        <v>660</v>
      </c>
      <c r="B1647" s="816" t="s">
        <v>7865</v>
      </c>
      <c r="C1647" s="729" t="s">
        <v>659</v>
      </c>
      <c r="D1647" s="460"/>
      <c r="E1647" s="878" t="s">
        <v>1909</v>
      </c>
      <c r="F1647" s="881" t="s">
        <v>6288</v>
      </c>
      <c r="G1647" s="731" t="s">
        <v>4134</v>
      </c>
      <c r="H1647" s="1083">
        <v>42401</v>
      </c>
      <c r="I1647" s="1084">
        <v>42480</v>
      </c>
      <c r="J1647" s="957">
        <v>606.9</v>
      </c>
    </row>
    <row r="1648" spans="1:10" s="852" customFormat="1" ht="28.5" outlineLevel="2">
      <c r="A1648" s="815" t="s">
        <v>660</v>
      </c>
      <c r="B1648" s="816" t="s">
        <v>7865</v>
      </c>
      <c r="C1648" s="729" t="s">
        <v>659</v>
      </c>
      <c r="D1648" s="460"/>
      <c r="E1648" s="878" t="s">
        <v>1909</v>
      </c>
      <c r="F1648" s="881" t="s">
        <v>3277</v>
      </c>
      <c r="G1648" s="731" t="s">
        <v>4135</v>
      </c>
      <c r="H1648" s="1083">
        <v>42401</v>
      </c>
      <c r="I1648" s="1084">
        <v>42480</v>
      </c>
      <c r="J1648" s="957">
        <v>607.08000000000004</v>
      </c>
    </row>
    <row r="1649" spans="1:10" s="852" customFormat="1" outlineLevel="2">
      <c r="A1649" s="815" t="s">
        <v>660</v>
      </c>
      <c r="B1649" s="816" t="s">
        <v>7865</v>
      </c>
      <c r="C1649" s="729" t="s">
        <v>659</v>
      </c>
      <c r="D1649" s="460"/>
      <c r="E1649" s="878" t="s">
        <v>1909</v>
      </c>
      <c r="F1649" s="881" t="s">
        <v>6287</v>
      </c>
      <c r="G1649" s="731" t="s">
        <v>4133</v>
      </c>
      <c r="H1649" s="1083">
        <v>42401</v>
      </c>
      <c r="I1649" s="1084">
        <v>42480</v>
      </c>
      <c r="J1649" s="957">
        <v>606.9</v>
      </c>
    </row>
    <row r="1650" spans="1:10" s="852" customFormat="1" ht="28.5" outlineLevel="2">
      <c r="A1650" s="815" t="s">
        <v>1003</v>
      </c>
      <c r="B1650" s="816" t="s">
        <v>7866</v>
      </c>
      <c r="C1650" s="729" t="s">
        <v>659</v>
      </c>
      <c r="D1650" s="460"/>
      <c r="E1650" s="878" t="s">
        <v>1909</v>
      </c>
      <c r="F1650" s="881" t="s">
        <v>4956</v>
      </c>
      <c r="G1650" s="731" t="s">
        <v>2833</v>
      </c>
      <c r="H1650" s="1083">
        <v>42401</v>
      </c>
      <c r="I1650" s="1084">
        <v>42480</v>
      </c>
      <c r="J1650" s="957">
        <v>252.57</v>
      </c>
    </row>
    <row r="1651" spans="1:10" s="852" customFormat="1" ht="28.5" outlineLevel="2">
      <c r="A1651" s="815" t="s">
        <v>1003</v>
      </c>
      <c r="B1651" s="816" t="s">
        <v>7866</v>
      </c>
      <c r="C1651" s="729" t="s">
        <v>659</v>
      </c>
      <c r="D1651" s="460"/>
      <c r="E1651" s="878" t="s">
        <v>1909</v>
      </c>
      <c r="F1651" s="881" t="s">
        <v>4903</v>
      </c>
      <c r="G1651" s="731" t="s">
        <v>2832</v>
      </c>
      <c r="H1651" s="1083">
        <v>42401</v>
      </c>
      <c r="I1651" s="1084">
        <v>42480</v>
      </c>
      <c r="J1651" s="957">
        <v>8.07</v>
      </c>
    </row>
    <row r="1652" spans="1:10" s="852" customFormat="1" ht="28.5" outlineLevel="2">
      <c r="A1652" s="815" t="s">
        <v>1003</v>
      </c>
      <c r="B1652" s="816" t="s">
        <v>7866</v>
      </c>
      <c r="C1652" s="729" t="s">
        <v>659</v>
      </c>
      <c r="D1652" s="460"/>
      <c r="E1652" s="878" t="s">
        <v>1909</v>
      </c>
      <c r="F1652" s="881" t="s">
        <v>4853</v>
      </c>
      <c r="G1652" s="731" t="s">
        <v>2831</v>
      </c>
      <c r="H1652" s="1083">
        <v>42401</v>
      </c>
      <c r="I1652" s="1084">
        <v>42480</v>
      </c>
      <c r="J1652" s="957">
        <v>95.29</v>
      </c>
    </row>
    <row r="1653" spans="1:10" s="852" customFormat="1" ht="28.5" outlineLevel="2">
      <c r="A1653" s="815" t="s">
        <v>660</v>
      </c>
      <c r="B1653" s="816" t="s">
        <v>7865</v>
      </c>
      <c r="C1653" s="729" t="s">
        <v>659</v>
      </c>
      <c r="D1653" s="460"/>
      <c r="E1653" s="878" t="s">
        <v>1909</v>
      </c>
      <c r="F1653" s="881" t="s">
        <v>4743</v>
      </c>
      <c r="G1653" s="731" t="s">
        <v>4137</v>
      </c>
      <c r="H1653" s="1083">
        <v>42401</v>
      </c>
      <c r="I1653" s="1084">
        <v>42480</v>
      </c>
      <c r="J1653" s="957">
        <v>1881.39</v>
      </c>
    </row>
    <row r="1654" spans="1:10" s="852" customFormat="1" ht="28.5" outlineLevel="2">
      <c r="A1654" s="815" t="s">
        <v>660</v>
      </c>
      <c r="B1654" s="816" t="s">
        <v>7865</v>
      </c>
      <c r="C1654" s="729" t="s">
        <v>659</v>
      </c>
      <c r="D1654" s="460"/>
      <c r="E1654" s="878" t="s">
        <v>1909</v>
      </c>
      <c r="F1654" s="881" t="s">
        <v>4723</v>
      </c>
      <c r="G1654" s="731" t="s">
        <v>4136</v>
      </c>
      <c r="H1654" s="1083">
        <v>42401</v>
      </c>
      <c r="I1654" s="1084">
        <v>42480</v>
      </c>
      <c r="J1654" s="957">
        <v>1881.95</v>
      </c>
    </row>
    <row r="1655" spans="1:10" s="852" customFormat="1" ht="28.5" outlineLevel="2">
      <c r="A1655" s="815" t="s">
        <v>660</v>
      </c>
      <c r="B1655" s="816" t="s">
        <v>7865</v>
      </c>
      <c r="C1655" s="729" t="s">
        <v>659</v>
      </c>
      <c r="D1655" s="460"/>
      <c r="E1655" s="878" t="s">
        <v>1909</v>
      </c>
      <c r="F1655" s="881" t="s">
        <v>4747</v>
      </c>
      <c r="G1655" s="731" t="s">
        <v>4138</v>
      </c>
      <c r="H1655" s="1083">
        <v>42401</v>
      </c>
      <c r="I1655" s="1084">
        <v>42480</v>
      </c>
      <c r="J1655" s="957">
        <v>1881.39</v>
      </c>
    </row>
    <row r="1656" spans="1:10" s="852" customFormat="1" outlineLevel="2">
      <c r="A1656" s="815" t="s">
        <v>1779</v>
      </c>
      <c r="B1656" s="816" t="s">
        <v>7871</v>
      </c>
      <c r="C1656" s="729" t="s">
        <v>659</v>
      </c>
      <c r="D1656" s="460"/>
      <c r="E1656" s="878" t="s">
        <v>1780</v>
      </c>
      <c r="F1656" s="881" t="s">
        <v>1753</v>
      </c>
      <c r="G1656" s="731" t="s">
        <v>5589</v>
      </c>
      <c r="H1656" s="1083">
        <v>42430</v>
      </c>
      <c r="I1656" s="1084">
        <v>42467</v>
      </c>
      <c r="J1656" s="957">
        <v>1012.97</v>
      </c>
    </row>
    <row r="1657" spans="1:10" s="852" customFormat="1" outlineLevel="2">
      <c r="A1657" s="815" t="s">
        <v>660</v>
      </c>
      <c r="B1657" s="816" t="s">
        <v>7865</v>
      </c>
      <c r="C1657" s="729" t="s">
        <v>659</v>
      </c>
      <c r="D1657" s="460"/>
      <c r="E1657" s="878" t="s">
        <v>493</v>
      </c>
      <c r="F1657" s="881" t="s">
        <v>1094</v>
      </c>
      <c r="G1657" s="731" t="s">
        <v>5838</v>
      </c>
      <c r="H1657" s="1083">
        <v>42430</v>
      </c>
      <c r="I1657" s="1084">
        <v>42489</v>
      </c>
      <c r="J1657" s="957">
        <v>32918.199999999997</v>
      </c>
    </row>
    <row r="1658" spans="1:10" s="852" customFormat="1" outlineLevel="2">
      <c r="A1658" s="815" t="s">
        <v>660</v>
      </c>
      <c r="B1658" s="816" t="s">
        <v>7865</v>
      </c>
      <c r="C1658" s="729" t="s">
        <v>659</v>
      </c>
      <c r="D1658" s="460"/>
      <c r="E1658" s="878" t="s">
        <v>488</v>
      </c>
      <c r="F1658" s="881" t="s">
        <v>1094</v>
      </c>
      <c r="G1658" s="731" t="s">
        <v>5851</v>
      </c>
      <c r="H1658" s="1083">
        <v>42430</v>
      </c>
      <c r="I1658" s="1084">
        <v>42489</v>
      </c>
      <c r="J1658" s="957">
        <v>32928.080000000002</v>
      </c>
    </row>
    <row r="1659" spans="1:10" s="852" customFormat="1" outlineLevel="2">
      <c r="A1659" s="815" t="s">
        <v>660</v>
      </c>
      <c r="B1659" s="816" t="s">
        <v>7865</v>
      </c>
      <c r="C1659" s="729" t="s">
        <v>659</v>
      </c>
      <c r="D1659" s="460"/>
      <c r="E1659" s="878" t="s">
        <v>589</v>
      </c>
      <c r="F1659" s="881" t="s">
        <v>1094</v>
      </c>
      <c r="G1659" s="731" t="s">
        <v>5872</v>
      </c>
      <c r="H1659" s="1083">
        <v>42430</v>
      </c>
      <c r="I1659" s="1084">
        <v>42489</v>
      </c>
      <c r="J1659" s="957">
        <v>35536.199999999997</v>
      </c>
    </row>
    <row r="1660" spans="1:10" s="852" customFormat="1" outlineLevel="1">
      <c r="A1660" s="815"/>
      <c r="B1660" s="816" t="s">
        <v>258</v>
      </c>
      <c r="C1660" s="908" t="s">
        <v>659</v>
      </c>
      <c r="D1660" s="928" t="str">
        <f>VLOOKUP(C1660,$C$3691:$D$3771,2,FALSE)</f>
        <v>TOTAL POUPATEMPO  VOTUPORANGA</v>
      </c>
      <c r="E1660" s="1085"/>
      <c r="F1660" s="929"/>
      <c r="G1660" s="910"/>
      <c r="H1660" s="1086"/>
      <c r="I1660" s="1087"/>
      <c r="J1660" s="930">
        <f>SUBTOTAL(9,J1633:J1659)</f>
        <v>129562.37000000001</v>
      </c>
    </row>
    <row r="1661" spans="1:10" s="852" customFormat="1" outlineLevel="2">
      <c r="A1661" s="815" t="s">
        <v>2250</v>
      </c>
      <c r="B1661" s="816" t="s">
        <v>7869</v>
      </c>
      <c r="C1661" s="729" t="s">
        <v>672</v>
      </c>
      <c r="D1661" s="460"/>
      <c r="E1661" s="878" t="s">
        <v>2221</v>
      </c>
      <c r="F1661" s="881" t="s">
        <v>863</v>
      </c>
      <c r="G1661" s="731" t="s">
        <v>5571</v>
      </c>
      <c r="H1661" s="1083">
        <v>42401</v>
      </c>
      <c r="I1661" s="1084">
        <v>42465</v>
      </c>
      <c r="J1661" s="957">
        <v>4051.04</v>
      </c>
    </row>
    <row r="1662" spans="1:10" s="852" customFormat="1" outlineLevel="2">
      <c r="A1662" s="815" t="s">
        <v>673</v>
      </c>
      <c r="B1662" s="816" t="s">
        <v>7865</v>
      </c>
      <c r="C1662" s="729" t="s">
        <v>672</v>
      </c>
      <c r="D1662" s="460"/>
      <c r="E1662" s="878" t="s">
        <v>533</v>
      </c>
      <c r="F1662" s="881" t="s">
        <v>1094</v>
      </c>
      <c r="G1662" s="731" t="s">
        <v>5769</v>
      </c>
      <c r="H1662" s="1083">
        <v>42430</v>
      </c>
      <c r="I1662" s="1084">
        <v>42489</v>
      </c>
      <c r="J1662" s="957">
        <v>179994.22</v>
      </c>
    </row>
    <row r="1663" spans="1:10" s="852" customFormat="1" outlineLevel="2">
      <c r="A1663" s="815" t="s">
        <v>673</v>
      </c>
      <c r="B1663" s="816" t="s">
        <v>7865</v>
      </c>
      <c r="C1663" s="729" t="s">
        <v>672</v>
      </c>
      <c r="D1663" s="460"/>
      <c r="E1663" s="878" t="s">
        <v>530</v>
      </c>
      <c r="F1663" s="881" t="s">
        <v>1094</v>
      </c>
      <c r="G1663" s="731" t="s">
        <v>5783</v>
      </c>
      <c r="H1663" s="1083">
        <v>42430</v>
      </c>
      <c r="I1663" s="1084">
        <v>42489</v>
      </c>
      <c r="J1663" s="957">
        <v>19999.349999999999</v>
      </c>
    </row>
    <row r="1664" spans="1:10" s="852" customFormat="1" outlineLevel="2">
      <c r="A1664" s="815" t="s">
        <v>673</v>
      </c>
      <c r="B1664" s="816" t="s">
        <v>7865</v>
      </c>
      <c r="C1664" s="729" t="s">
        <v>672</v>
      </c>
      <c r="D1664" s="460"/>
      <c r="E1664" s="878" t="s">
        <v>2336</v>
      </c>
      <c r="F1664" s="881" t="s">
        <v>6035</v>
      </c>
      <c r="G1664" s="731" t="s">
        <v>4139</v>
      </c>
      <c r="H1664" s="1083">
        <v>42401</v>
      </c>
      <c r="I1664" s="1084">
        <v>42480</v>
      </c>
      <c r="J1664" s="957">
        <v>25110.16</v>
      </c>
    </row>
    <row r="1665" spans="1:10" s="852" customFormat="1" outlineLevel="2">
      <c r="A1665" s="815" t="s">
        <v>673</v>
      </c>
      <c r="B1665" s="816" t="s">
        <v>7865</v>
      </c>
      <c r="C1665" s="729" t="s">
        <v>672</v>
      </c>
      <c r="D1665" s="460"/>
      <c r="E1665" s="878" t="s">
        <v>2336</v>
      </c>
      <c r="F1665" s="881" t="s">
        <v>6036</v>
      </c>
      <c r="G1665" s="731" t="s">
        <v>4140</v>
      </c>
      <c r="H1665" s="1083">
        <v>42401</v>
      </c>
      <c r="I1665" s="1084">
        <v>42480</v>
      </c>
      <c r="J1665" s="957">
        <v>2790.07</v>
      </c>
    </row>
    <row r="1666" spans="1:10" s="852" customFormat="1" outlineLevel="2">
      <c r="A1666" s="815" t="s">
        <v>1024</v>
      </c>
      <c r="B1666" s="816" t="s">
        <v>7866</v>
      </c>
      <c r="C1666" s="729" t="s">
        <v>672</v>
      </c>
      <c r="D1666" s="460"/>
      <c r="E1666" s="878" t="s">
        <v>2282</v>
      </c>
      <c r="F1666" s="881" t="s">
        <v>3974</v>
      </c>
      <c r="G1666" s="731" t="s">
        <v>2779</v>
      </c>
      <c r="H1666" s="1083">
        <v>42401</v>
      </c>
      <c r="I1666" s="1084">
        <v>42471</v>
      </c>
      <c r="J1666" s="957">
        <v>201.41</v>
      </c>
    </row>
    <row r="1667" spans="1:10" s="852" customFormat="1" outlineLevel="2">
      <c r="A1667" s="815" t="s">
        <v>1024</v>
      </c>
      <c r="B1667" s="816" t="s">
        <v>7866</v>
      </c>
      <c r="C1667" s="729" t="s">
        <v>672</v>
      </c>
      <c r="D1667" s="460"/>
      <c r="E1667" s="878" t="s">
        <v>2282</v>
      </c>
      <c r="F1667" s="881" t="s">
        <v>4081</v>
      </c>
      <c r="G1667" s="731" t="s">
        <v>2781</v>
      </c>
      <c r="H1667" s="1083">
        <v>42401</v>
      </c>
      <c r="I1667" s="1084">
        <v>42471</v>
      </c>
      <c r="J1667" s="957">
        <v>6.44</v>
      </c>
    </row>
    <row r="1668" spans="1:10" s="852" customFormat="1" outlineLevel="2">
      <c r="A1668" s="815" t="s">
        <v>1024</v>
      </c>
      <c r="B1668" s="816" t="s">
        <v>7866</v>
      </c>
      <c r="C1668" s="729" t="s">
        <v>672</v>
      </c>
      <c r="D1668" s="460"/>
      <c r="E1668" s="878" t="s">
        <v>2282</v>
      </c>
      <c r="F1668" s="881" t="s">
        <v>4165</v>
      </c>
      <c r="G1668" s="731" t="s">
        <v>2782</v>
      </c>
      <c r="H1668" s="1083">
        <v>42401</v>
      </c>
      <c r="I1668" s="1084">
        <v>42471</v>
      </c>
      <c r="J1668" s="957">
        <v>75.989999999999995</v>
      </c>
    </row>
    <row r="1669" spans="1:10" s="852" customFormat="1" outlineLevel="2">
      <c r="A1669" s="815" t="s">
        <v>673</v>
      </c>
      <c r="B1669" s="816" t="s">
        <v>7865</v>
      </c>
      <c r="C1669" s="729" t="s">
        <v>672</v>
      </c>
      <c r="D1669" s="460"/>
      <c r="E1669" s="878" t="s">
        <v>2712</v>
      </c>
      <c r="F1669" s="881" t="s">
        <v>6144</v>
      </c>
      <c r="G1669" s="731" t="s">
        <v>4141</v>
      </c>
      <c r="H1669" s="1083">
        <v>42401</v>
      </c>
      <c r="I1669" s="1084">
        <v>42475</v>
      </c>
      <c r="J1669" s="957">
        <v>9130.9599999999991</v>
      </c>
    </row>
    <row r="1670" spans="1:10" s="852" customFormat="1" outlineLevel="2">
      <c r="A1670" s="815" t="s">
        <v>673</v>
      </c>
      <c r="B1670" s="816" t="s">
        <v>7865</v>
      </c>
      <c r="C1670" s="729" t="s">
        <v>672</v>
      </c>
      <c r="D1670" s="460"/>
      <c r="E1670" s="878" t="s">
        <v>2712</v>
      </c>
      <c r="F1670" s="881" t="s">
        <v>6145</v>
      </c>
      <c r="G1670" s="731" t="s">
        <v>4142</v>
      </c>
      <c r="H1670" s="1083">
        <v>42401</v>
      </c>
      <c r="I1670" s="1084">
        <v>42475</v>
      </c>
      <c r="J1670" s="957">
        <v>1014.55</v>
      </c>
    </row>
    <row r="1671" spans="1:10" s="852" customFormat="1" outlineLevel="2">
      <c r="A1671" s="815" t="s">
        <v>673</v>
      </c>
      <c r="B1671" s="816" t="s">
        <v>7865</v>
      </c>
      <c r="C1671" s="729" t="s">
        <v>672</v>
      </c>
      <c r="D1671" s="460"/>
      <c r="E1671" s="878" t="s">
        <v>1909</v>
      </c>
      <c r="F1671" s="881" t="s">
        <v>6289</v>
      </c>
      <c r="G1671" s="731" t="s">
        <v>4143</v>
      </c>
      <c r="H1671" s="1083">
        <v>42401</v>
      </c>
      <c r="I1671" s="1084">
        <v>42480</v>
      </c>
      <c r="J1671" s="957">
        <v>3424.11</v>
      </c>
    </row>
    <row r="1672" spans="1:10" s="852" customFormat="1" outlineLevel="2">
      <c r="A1672" s="815" t="s">
        <v>1024</v>
      </c>
      <c r="B1672" s="816" t="s">
        <v>7866</v>
      </c>
      <c r="C1672" s="729" t="s">
        <v>672</v>
      </c>
      <c r="D1672" s="460"/>
      <c r="E1672" s="878" t="s">
        <v>1909</v>
      </c>
      <c r="F1672" s="881" t="s">
        <v>3935</v>
      </c>
      <c r="G1672" s="731" t="s">
        <v>2817</v>
      </c>
      <c r="H1672" s="1083">
        <v>42401</v>
      </c>
      <c r="I1672" s="1084">
        <v>42480</v>
      </c>
      <c r="J1672" s="957">
        <v>60.42</v>
      </c>
    </row>
    <row r="1673" spans="1:10" s="852" customFormat="1" outlineLevel="2">
      <c r="A1673" s="815" t="s">
        <v>1024</v>
      </c>
      <c r="B1673" s="816" t="s">
        <v>7866</v>
      </c>
      <c r="C1673" s="729" t="s">
        <v>672</v>
      </c>
      <c r="D1673" s="460"/>
      <c r="E1673" s="878" t="s">
        <v>1909</v>
      </c>
      <c r="F1673" s="881" t="s">
        <v>4027</v>
      </c>
      <c r="G1673" s="731" t="s">
        <v>2819</v>
      </c>
      <c r="H1673" s="1083">
        <v>42401</v>
      </c>
      <c r="I1673" s="1084">
        <v>42480</v>
      </c>
      <c r="J1673" s="957">
        <v>1.93</v>
      </c>
    </row>
    <row r="1674" spans="1:10" s="852" customFormat="1" outlineLevel="2">
      <c r="A1674" s="815" t="s">
        <v>1024</v>
      </c>
      <c r="B1674" s="816" t="s">
        <v>7866</v>
      </c>
      <c r="C1674" s="729" t="s">
        <v>672</v>
      </c>
      <c r="D1674" s="460"/>
      <c r="E1674" s="878" t="s">
        <v>1909</v>
      </c>
      <c r="F1674" s="881" t="s">
        <v>4129</v>
      </c>
      <c r="G1674" s="731" t="s">
        <v>2821</v>
      </c>
      <c r="H1674" s="1083">
        <v>42401</v>
      </c>
      <c r="I1674" s="1084">
        <v>42480</v>
      </c>
      <c r="J1674" s="957">
        <v>22.79</v>
      </c>
    </row>
    <row r="1675" spans="1:10" s="852" customFormat="1" outlineLevel="2">
      <c r="A1675" s="815" t="s">
        <v>673</v>
      </c>
      <c r="B1675" s="816" t="s">
        <v>7865</v>
      </c>
      <c r="C1675" s="729" t="s">
        <v>672</v>
      </c>
      <c r="D1675" s="460"/>
      <c r="E1675" s="878" t="s">
        <v>1909</v>
      </c>
      <c r="F1675" s="881" t="s">
        <v>6290</v>
      </c>
      <c r="G1675" s="731" t="s">
        <v>4144</v>
      </c>
      <c r="H1675" s="1083">
        <v>42401</v>
      </c>
      <c r="I1675" s="1084">
        <v>42480</v>
      </c>
      <c r="J1675" s="957">
        <v>380.46</v>
      </c>
    </row>
    <row r="1676" spans="1:10" s="852" customFormat="1" ht="28.5" outlineLevel="2">
      <c r="A1676" s="815" t="s">
        <v>673</v>
      </c>
      <c r="B1676" s="816" t="s">
        <v>7865</v>
      </c>
      <c r="C1676" s="729" t="s">
        <v>672</v>
      </c>
      <c r="D1676" s="460"/>
      <c r="E1676" s="878" t="s">
        <v>1909</v>
      </c>
      <c r="F1676" s="881" t="s">
        <v>4612</v>
      </c>
      <c r="G1676" s="731" t="s">
        <v>4146</v>
      </c>
      <c r="H1676" s="1083">
        <v>42401</v>
      </c>
      <c r="I1676" s="1084">
        <v>42480</v>
      </c>
      <c r="J1676" s="957">
        <v>10614.75</v>
      </c>
    </row>
    <row r="1677" spans="1:10" s="852" customFormat="1" ht="28.5" outlineLevel="2">
      <c r="A1677" s="815" t="s">
        <v>1024</v>
      </c>
      <c r="B1677" s="816" t="s">
        <v>7866</v>
      </c>
      <c r="C1677" s="729" t="s">
        <v>672</v>
      </c>
      <c r="D1677" s="460"/>
      <c r="E1677" s="878" t="s">
        <v>1909</v>
      </c>
      <c r="F1677" s="881" t="s">
        <v>4956</v>
      </c>
      <c r="G1677" s="731" t="s">
        <v>2833</v>
      </c>
      <c r="H1677" s="1083">
        <v>42401</v>
      </c>
      <c r="I1677" s="1084">
        <v>42480</v>
      </c>
      <c r="J1677" s="957">
        <v>187.31</v>
      </c>
    </row>
    <row r="1678" spans="1:10" s="852" customFormat="1" ht="28.5" outlineLevel="2">
      <c r="A1678" s="815" t="s">
        <v>1024</v>
      </c>
      <c r="B1678" s="816" t="s">
        <v>7866</v>
      </c>
      <c r="C1678" s="729" t="s">
        <v>672</v>
      </c>
      <c r="D1678" s="460"/>
      <c r="E1678" s="878" t="s">
        <v>1909</v>
      </c>
      <c r="F1678" s="881" t="s">
        <v>4903</v>
      </c>
      <c r="G1678" s="731" t="s">
        <v>2832</v>
      </c>
      <c r="H1678" s="1083">
        <v>42401</v>
      </c>
      <c r="I1678" s="1084">
        <v>42480</v>
      </c>
      <c r="J1678" s="957">
        <v>5.99</v>
      </c>
    </row>
    <row r="1679" spans="1:10" s="852" customFormat="1" ht="28.5" outlineLevel="2">
      <c r="A1679" s="815" t="s">
        <v>1024</v>
      </c>
      <c r="B1679" s="816" t="s">
        <v>7866</v>
      </c>
      <c r="C1679" s="729" t="s">
        <v>672</v>
      </c>
      <c r="D1679" s="460"/>
      <c r="E1679" s="878" t="s">
        <v>1909</v>
      </c>
      <c r="F1679" s="881" t="s">
        <v>4853</v>
      </c>
      <c r="G1679" s="731" t="s">
        <v>2831</v>
      </c>
      <c r="H1679" s="1083">
        <v>42401</v>
      </c>
      <c r="I1679" s="1084">
        <v>42480</v>
      </c>
      <c r="J1679" s="957">
        <v>70.67</v>
      </c>
    </row>
    <row r="1680" spans="1:10" s="852" customFormat="1" ht="28.5" outlineLevel="2">
      <c r="A1680" s="815" t="s">
        <v>673</v>
      </c>
      <c r="B1680" s="816" t="s">
        <v>7865</v>
      </c>
      <c r="C1680" s="729" t="s">
        <v>672</v>
      </c>
      <c r="D1680" s="460"/>
      <c r="E1680" s="878" t="s">
        <v>1909</v>
      </c>
      <c r="F1680" s="881" t="s">
        <v>4606</v>
      </c>
      <c r="G1680" s="731" t="s">
        <v>4145</v>
      </c>
      <c r="H1680" s="1083">
        <v>42401</v>
      </c>
      <c r="I1680" s="1084">
        <v>42480</v>
      </c>
      <c r="J1680" s="957">
        <v>1179.4100000000001</v>
      </c>
    </row>
    <row r="1681" spans="1:10" s="852" customFormat="1" outlineLevel="1">
      <c r="A1681" s="815"/>
      <c r="B1681" s="816" t="s">
        <v>258</v>
      </c>
      <c r="C1681" s="908" t="s">
        <v>672</v>
      </c>
      <c r="D1681" s="928" t="str">
        <f>VLOOKUP(C1681,$C$3691:$D$3771,2,FALSE)</f>
        <v>TOTAL POUPATEMPO  LIMEIRA</v>
      </c>
      <c r="E1681" s="1085"/>
      <c r="F1681" s="929"/>
      <c r="G1681" s="910"/>
      <c r="H1681" s="1086"/>
      <c r="I1681" s="1087"/>
      <c r="J1681" s="930">
        <f>SUBTOTAL(9,J1661:J1680)</f>
        <v>258322.03</v>
      </c>
    </row>
    <row r="1682" spans="1:10" s="852" customFormat="1" outlineLevel="2">
      <c r="A1682" s="815" t="s">
        <v>674</v>
      </c>
      <c r="B1682" s="816" t="s">
        <v>7865</v>
      </c>
      <c r="C1682" s="729" t="s">
        <v>675</v>
      </c>
      <c r="D1682" s="460"/>
      <c r="E1682" s="878" t="s">
        <v>560</v>
      </c>
      <c r="F1682" s="881" t="s">
        <v>1094</v>
      </c>
      <c r="G1682" s="731" t="s">
        <v>5760</v>
      </c>
      <c r="H1682" s="1083">
        <v>42430</v>
      </c>
      <c r="I1682" s="1084">
        <v>42489</v>
      </c>
      <c r="J1682" s="957">
        <v>60353.11</v>
      </c>
    </row>
    <row r="1683" spans="1:10" s="852" customFormat="1" outlineLevel="2">
      <c r="A1683" s="815" t="s">
        <v>2251</v>
      </c>
      <c r="B1683" s="816" t="s">
        <v>7869</v>
      </c>
      <c r="C1683" s="729" t="s">
        <v>675</v>
      </c>
      <c r="D1683" s="460"/>
      <c r="E1683" s="878" t="s">
        <v>2221</v>
      </c>
      <c r="F1683" s="881" t="s">
        <v>863</v>
      </c>
      <c r="G1683" s="731" t="s">
        <v>5571</v>
      </c>
      <c r="H1683" s="1083">
        <v>42401</v>
      </c>
      <c r="I1683" s="1084">
        <v>42465</v>
      </c>
      <c r="J1683" s="957">
        <v>4051.04</v>
      </c>
    </row>
    <row r="1684" spans="1:10" s="852" customFormat="1" outlineLevel="2">
      <c r="A1684" s="815" t="s">
        <v>1800</v>
      </c>
      <c r="B1684" s="816" t="s">
        <v>7871</v>
      </c>
      <c r="C1684" s="729" t="s">
        <v>675</v>
      </c>
      <c r="D1684" s="460"/>
      <c r="E1684" s="878" t="s">
        <v>1801</v>
      </c>
      <c r="F1684" s="881" t="s">
        <v>1753</v>
      </c>
      <c r="G1684" s="731" t="s">
        <v>5714</v>
      </c>
      <c r="H1684" s="1083">
        <v>42430</v>
      </c>
      <c r="I1684" s="1084">
        <v>42485</v>
      </c>
      <c r="J1684" s="957">
        <v>139.9</v>
      </c>
    </row>
    <row r="1685" spans="1:10" s="852" customFormat="1" ht="28.5" outlineLevel="2">
      <c r="A1685" s="815" t="s">
        <v>674</v>
      </c>
      <c r="B1685" s="816" t="s">
        <v>7865</v>
      </c>
      <c r="C1685" s="729" t="s">
        <v>675</v>
      </c>
      <c r="D1685" s="460"/>
      <c r="E1685" s="878" t="s">
        <v>2336</v>
      </c>
      <c r="F1685" s="881" t="s">
        <v>5150</v>
      </c>
      <c r="G1685" s="731" t="s">
        <v>4148</v>
      </c>
      <c r="H1685" s="1083">
        <v>42430</v>
      </c>
      <c r="I1685" s="1084">
        <v>42480</v>
      </c>
      <c r="J1685" s="957">
        <v>3730.21</v>
      </c>
    </row>
    <row r="1686" spans="1:10" s="852" customFormat="1" outlineLevel="2">
      <c r="A1686" s="815" t="s">
        <v>674</v>
      </c>
      <c r="B1686" s="816" t="s">
        <v>7865</v>
      </c>
      <c r="C1686" s="729" t="s">
        <v>675</v>
      </c>
      <c r="D1686" s="460"/>
      <c r="E1686" s="878" t="s">
        <v>2336</v>
      </c>
      <c r="F1686" s="881" t="s">
        <v>6037</v>
      </c>
      <c r="G1686" s="731" t="s">
        <v>4147</v>
      </c>
      <c r="H1686" s="1083">
        <v>42401</v>
      </c>
      <c r="I1686" s="1084">
        <v>42480</v>
      </c>
      <c r="J1686" s="957">
        <v>3730.21</v>
      </c>
    </row>
    <row r="1687" spans="1:10" s="852" customFormat="1" outlineLevel="2">
      <c r="A1687" s="815" t="s">
        <v>1025</v>
      </c>
      <c r="B1687" s="816" t="s">
        <v>7866</v>
      </c>
      <c r="C1687" s="729" t="s">
        <v>675</v>
      </c>
      <c r="D1687" s="460"/>
      <c r="E1687" s="878" t="s">
        <v>2282</v>
      </c>
      <c r="F1687" s="881" t="s">
        <v>3974</v>
      </c>
      <c r="G1687" s="731" t="s">
        <v>2779</v>
      </c>
      <c r="H1687" s="1083">
        <v>42401</v>
      </c>
      <c r="I1687" s="1084">
        <v>42471</v>
      </c>
      <c r="J1687" s="957">
        <v>197</v>
      </c>
    </row>
    <row r="1688" spans="1:10" s="852" customFormat="1" outlineLevel="2">
      <c r="A1688" s="815" t="s">
        <v>1025</v>
      </c>
      <c r="B1688" s="816" t="s">
        <v>7866</v>
      </c>
      <c r="C1688" s="729" t="s">
        <v>675</v>
      </c>
      <c r="D1688" s="460"/>
      <c r="E1688" s="878" t="s">
        <v>2282</v>
      </c>
      <c r="F1688" s="881" t="s">
        <v>4081</v>
      </c>
      <c r="G1688" s="731" t="s">
        <v>2781</v>
      </c>
      <c r="H1688" s="1083">
        <v>42401</v>
      </c>
      <c r="I1688" s="1084">
        <v>42471</v>
      </c>
      <c r="J1688" s="957">
        <v>6.29</v>
      </c>
    </row>
    <row r="1689" spans="1:10" s="852" customFormat="1" outlineLevel="2">
      <c r="A1689" s="815" t="s">
        <v>1025</v>
      </c>
      <c r="B1689" s="816" t="s">
        <v>7866</v>
      </c>
      <c r="C1689" s="729" t="s">
        <v>675</v>
      </c>
      <c r="D1689" s="460"/>
      <c r="E1689" s="878" t="s">
        <v>2282</v>
      </c>
      <c r="F1689" s="881" t="s">
        <v>4165</v>
      </c>
      <c r="G1689" s="731" t="s">
        <v>2782</v>
      </c>
      <c r="H1689" s="1083">
        <v>42401</v>
      </c>
      <c r="I1689" s="1084">
        <v>42471</v>
      </c>
      <c r="J1689" s="957">
        <v>74.319999999999993</v>
      </c>
    </row>
    <row r="1690" spans="1:10" s="852" customFormat="1" outlineLevel="2">
      <c r="A1690" s="815" t="s">
        <v>674</v>
      </c>
      <c r="B1690" s="816" t="s">
        <v>7865</v>
      </c>
      <c r="C1690" s="729" t="s">
        <v>675</v>
      </c>
      <c r="D1690" s="460"/>
      <c r="E1690" s="878" t="s">
        <v>2713</v>
      </c>
      <c r="F1690" s="881" t="s">
        <v>6158</v>
      </c>
      <c r="G1690" s="731" t="s">
        <v>4149</v>
      </c>
      <c r="H1690" s="1083">
        <v>42401</v>
      </c>
      <c r="I1690" s="1084">
        <v>42475</v>
      </c>
      <c r="J1690" s="957">
        <v>2116.13</v>
      </c>
    </row>
    <row r="1691" spans="1:10" s="852" customFormat="1" ht="28.5" outlineLevel="2">
      <c r="A1691" s="815" t="s">
        <v>674</v>
      </c>
      <c r="B1691" s="816" t="s">
        <v>7865</v>
      </c>
      <c r="C1691" s="729" t="s">
        <v>675</v>
      </c>
      <c r="D1691" s="460"/>
      <c r="E1691" s="878" t="s">
        <v>2713</v>
      </c>
      <c r="F1691" s="881" t="s">
        <v>5151</v>
      </c>
      <c r="G1691" s="731" t="s">
        <v>4150</v>
      </c>
      <c r="H1691" s="1083">
        <v>42430</v>
      </c>
      <c r="I1691" s="1084">
        <v>42475</v>
      </c>
      <c r="J1691" s="957">
        <v>2116.13</v>
      </c>
    </row>
    <row r="1692" spans="1:10" s="852" customFormat="1" ht="28.5" outlineLevel="2">
      <c r="A1692" s="815" t="s">
        <v>674</v>
      </c>
      <c r="B1692" s="816" t="s">
        <v>7865</v>
      </c>
      <c r="C1692" s="729" t="s">
        <v>675</v>
      </c>
      <c r="D1692" s="460"/>
      <c r="E1692" s="878" t="s">
        <v>1909</v>
      </c>
      <c r="F1692" s="881" t="s">
        <v>5149</v>
      </c>
      <c r="G1692" s="731" t="s">
        <v>4154</v>
      </c>
      <c r="H1692" s="1083">
        <v>42430</v>
      </c>
      <c r="I1692" s="1084">
        <v>42480</v>
      </c>
      <c r="J1692" s="957">
        <v>1058.06</v>
      </c>
    </row>
    <row r="1693" spans="1:10" s="852" customFormat="1" outlineLevel="2">
      <c r="A1693" s="815" t="s">
        <v>1025</v>
      </c>
      <c r="B1693" s="816" t="s">
        <v>7866</v>
      </c>
      <c r="C1693" s="729" t="s">
        <v>675</v>
      </c>
      <c r="D1693" s="460"/>
      <c r="E1693" s="878" t="s">
        <v>1909</v>
      </c>
      <c r="F1693" s="881" t="s">
        <v>3935</v>
      </c>
      <c r="G1693" s="731" t="s">
        <v>2817</v>
      </c>
      <c r="H1693" s="1083">
        <v>42401</v>
      </c>
      <c r="I1693" s="1084">
        <v>42480</v>
      </c>
      <c r="J1693" s="957">
        <v>59.1</v>
      </c>
    </row>
    <row r="1694" spans="1:10" s="852" customFormat="1" outlineLevel="2">
      <c r="A1694" s="815" t="s">
        <v>1025</v>
      </c>
      <c r="B1694" s="816" t="s">
        <v>7866</v>
      </c>
      <c r="C1694" s="729" t="s">
        <v>675</v>
      </c>
      <c r="D1694" s="460"/>
      <c r="E1694" s="878" t="s">
        <v>1909</v>
      </c>
      <c r="F1694" s="881" t="s">
        <v>4027</v>
      </c>
      <c r="G1694" s="731" t="s">
        <v>2819</v>
      </c>
      <c r="H1694" s="1083">
        <v>42401</v>
      </c>
      <c r="I1694" s="1084">
        <v>42480</v>
      </c>
      <c r="J1694" s="957">
        <v>1.88</v>
      </c>
    </row>
    <row r="1695" spans="1:10" s="852" customFormat="1" outlineLevel="2">
      <c r="A1695" s="815" t="s">
        <v>1025</v>
      </c>
      <c r="B1695" s="816" t="s">
        <v>7866</v>
      </c>
      <c r="C1695" s="729" t="s">
        <v>675</v>
      </c>
      <c r="D1695" s="460"/>
      <c r="E1695" s="878" t="s">
        <v>1909</v>
      </c>
      <c r="F1695" s="881" t="s">
        <v>4129</v>
      </c>
      <c r="G1695" s="731" t="s">
        <v>2821</v>
      </c>
      <c r="H1695" s="1083">
        <v>42401</v>
      </c>
      <c r="I1695" s="1084">
        <v>42480</v>
      </c>
      <c r="J1695" s="957">
        <v>22.29</v>
      </c>
    </row>
    <row r="1696" spans="1:10" s="852" customFormat="1" outlineLevel="2">
      <c r="A1696" s="815" t="s">
        <v>674</v>
      </c>
      <c r="B1696" s="816" t="s">
        <v>7865</v>
      </c>
      <c r="C1696" s="729" t="s">
        <v>675</v>
      </c>
      <c r="D1696" s="460"/>
      <c r="E1696" s="878" t="s">
        <v>1909</v>
      </c>
      <c r="F1696" s="881" t="s">
        <v>6291</v>
      </c>
      <c r="G1696" s="731" t="s">
        <v>4151</v>
      </c>
      <c r="H1696" s="1083">
        <v>42401</v>
      </c>
      <c r="I1696" s="1084">
        <v>42480</v>
      </c>
      <c r="J1696" s="957">
        <v>1058.06</v>
      </c>
    </row>
    <row r="1697" spans="1:10" s="852" customFormat="1" ht="42.75" outlineLevel="2">
      <c r="A1697" s="815" t="s">
        <v>674</v>
      </c>
      <c r="B1697" s="816" t="s">
        <v>7865</v>
      </c>
      <c r="C1697" s="729" t="s">
        <v>675</v>
      </c>
      <c r="D1697" s="460"/>
      <c r="E1697" s="878" t="s">
        <v>1909</v>
      </c>
      <c r="F1697" s="881" t="s">
        <v>4598</v>
      </c>
      <c r="G1697" s="731" t="s">
        <v>4152</v>
      </c>
      <c r="H1697" s="1083">
        <v>42401</v>
      </c>
      <c r="I1697" s="1084">
        <v>42480</v>
      </c>
      <c r="J1697" s="957">
        <v>3279.99</v>
      </c>
    </row>
    <row r="1698" spans="1:10" s="852" customFormat="1" ht="28.5" outlineLevel="2">
      <c r="A1698" s="815" t="s">
        <v>1025</v>
      </c>
      <c r="B1698" s="816" t="s">
        <v>7866</v>
      </c>
      <c r="C1698" s="729" t="s">
        <v>675</v>
      </c>
      <c r="D1698" s="460"/>
      <c r="E1698" s="878" t="s">
        <v>1909</v>
      </c>
      <c r="F1698" s="881" t="s">
        <v>4956</v>
      </c>
      <c r="G1698" s="731" t="s">
        <v>2833</v>
      </c>
      <c r="H1698" s="1083">
        <v>42401</v>
      </c>
      <c r="I1698" s="1084">
        <v>42480</v>
      </c>
      <c r="J1698" s="957">
        <v>183.21</v>
      </c>
    </row>
    <row r="1699" spans="1:10" s="852" customFormat="1" ht="28.5" outlineLevel="2">
      <c r="A1699" s="815" t="s">
        <v>1025</v>
      </c>
      <c r="B1699" s="816" t="s">
        <v>7866</v>
      </c>
      <c r="C1699" s="729" t="s">
        <v>675</v>
      </c>
      <c r="D1699" s="460"/>
      <c r="E1699" s="878" t="s">
        <v>1909</v>
      </c>
      <c r="F1699" s="881" t="s">
        <v>4903</v>
      </c>
      <c r="G1699" s="731" t="s">
        <v>2832</v>
      </c>
      <c r="H1699" s="1083">
        <v>42401</v>
      </c>
      <c r="I1699" s="1084">
        <v>42480</v>
      </c>
      <c r="J1699" s="957">
        <v>5.85</v>
      </c>
    </row>
    <row r="1700" spans="1:10" s="852" customFormat="1" ht="28.5" outlineLevel="2">
      <c r="A1700" s="815" t="s">
        <v>1025</v>
      </c>
      <c r="B1700" s="816" t="s">
        <v>7866</v>
      </c>
      <c r="C1700" s="729" t="s">
        <v>675</v>
      </c>
      <c r="D1700" s="460"/>
      <c r="E1700" s="878" t="s">
        <v>1909</v>
      </c>
      <c r="F1700" s="881" t="s">
        <v>4853</v>
      </c>
      <c r="G1700" s="731" t="s">
        <v>2831</v>
      </c>
      <c r="H1700" s="1083">
        <v>42401</v>
      </c>
      <c r="I1700" s="1084">
        <v>42480</v>
      </c>
      <c r="J1700" s="957">
        <v>69.12</v>
      </c>
    </row>
    <row r="1701" spans="1:10" s="852" customFormat="1" ht="28.5" outlineLevel="2">
      <c r="A1701" s="815" t="s">
        <v>674</v>
      </c>
      <c r="B1701" s="816" t="s">
        <v>7865</v>
      </c>
      <c r="C1701" s="729" t="s">
        <v>675</v>
      </c>
      <c r="D1701" s="460"/>
      <c r="E1701" s="878" t="s">
        <v>1909</v>
      </c>
      <c r="F1701" s="881" t="s">
        <v>4601</v>
      </c>
      <c r="G1701" s="731" t="s">
        <v>4153</v>
      </c>
      <c r="H1701" s="1083">
        <v>42401</v>
      </c>
      <c r="I1701" s="1084">
        <v>42480</v>
      </c>
      <c r="J1701" s="957">
        <v>3279.99</v>
      </c>
    </row>
    <row r="1702" spans="1:10" s="852" customFormat="1" outlineLevel="2">
      <c r="A1702" s="815" t="s">
        <v>674</v>
      </c>
      <c r="B1702" s="816" t="s">
        <v>7865</v>
      </c>
      <c r="C1702" s="729" t="s">
        <v>675</v>
      </c>
      <c r="D1702" s="460"/>
      <c r="E1702" s="878" t="s">
        <v>447</v>
      </c>
      <c r="F1702" s="881" t="s">
        <v>1094</v>
      </c>
      <c r="G1702" s="731" t="s">
        <v>5868</v>
      </c>
      <c r="H1702" s="1083">
        <v>42430</v>
      </c>
      <c r="I1702" s="1084">
        <v>42489</v>
      </c>
      <c r="J1702" s="957">
        <v>60353.11</v>
      </c>
    </row>
    <row r="1703" spans="1:10" s="852" customFormat="1" outlineLevel="1">
      <c r="A1703" s="815"/>
      <c r="B1703" s="816" t="s">
        <v>258</v>
      </c>
      <c r="C1703" s="908" t="s">
        <v>675</v>
      </c>
      <c r="D1703" s="928" t="str">
        <f>VLOOKUP(C1703,$C$3691:$D$3771,2,FALSE)</f>
        <v>TOTAL POUPATEMPO  PENÁPOLIS</v>
      </c>
      <c r="E1703" s="1085"/>
      <c r="F1703" s="929"/>
      <c r="G1703" s="910"/>
      <c r="H1703" s="1086"/>
      <c r="I1703" s="1087"/>
      <c r="J1703" s="930">
        <f>SUBTOTAL(9,J1682:J1702)</f>
        <v>145885.00000000006</v>
      </c>
    </row>
    <row r="1704" spans="1:10" s="852" customFormat="1" outlineLevel="2">
      <c r="A1704" s="815" t="s">
        <v>2293</v>
      </c>
      <c r="B1704" s="816" t="s">
        <v>7865</v>
      </c>
      <c r="C1704" s="729" t="s">
        <v>931</v>
      </c>
      <c r="D1704" s="460"/>
      <c r="E1704" s="878" t="s">
        <v>560</v>
      </c>
      <c r="F1704" s="881" t="s">
        <v>1094</v>
      </c>
      <c r="G1704" s="731" t="s">
        <v>5761</v>
      </c>
      <c r="H1704" s="1083">
        <v>42430</v>
      </c>
      <c r="I1704" s="1084">
        <v>42489</v>
      </c>
      <c r="J1704" s="957">
        <v>80058.080000000002</v>
      </c>
    </row>
    <row r="1705" spans="1:10" s="852" customFormat="1" outlineLevel="2">
      <c r="A1705" s="815" t="s">
        <v>2581</v>
      </c>
      <c r="B1705" s="816" t="s">
        <v>7872</v>
      </c>
      <c r="C1705" s="729" t="s">
        <v>931</v>
      </c>
      <c r="D1705" s="460"/>
      <c r="E1705" s="878" t="s">
        <v>1699</v>
      </c>
      <c r="F1705" s="881" t="s">
        <v>1696</v>
      </c>
      <c r="G1705" s="731" t="s">
        <v>5591</v>
      </c>
      <c r="H1705" s="1083">
        <v>42430</v>
      </c>
      <c r="I1705" s="1084">
        <v>42468</v>
      </c>
      <c r="J1705" s="957">
        <v>11261.14</v>
      </c>
    </row>
    <row r="1706" spans="1:10" s="852" customFormat="1" ht="28.5" outlineLevel="2">
      <c r="A1706" s="815" t="s">
        <v>6480</v>
      </c>
      <c r="B1706" s="816" t="s">
        <v>7870</v>
      </c>
      <c r="C1706" s="729" t="s">
        <v>931</v>
      </c>
      <c r="D1706" s="460"/>
      <c r="E1706" s="878" t="s">
        <v>1599</v>
      </c>
      <c r="F1706" s="881" t="s">
        <v>426</v>
      </c>
      <c r="G1706" s="731" t="s">
        <v>5708</v>
      </c>
      <c r="H1706" s="1083">
        <v>42401</v>
      </c>
      <c r="I1706" s="1084">
        <v>42482</v>
      </c>
      <c r="J1706" s="957">
        <v>-1.53</v>
      </c>
    </row>
    <row r="1707" spans="1:10" s="852" customFormat="1" outlineLevel="2">
      <c r="A1707" s="815" t="s">
        <v>6480</v>
      </c>
      <c r="B1707" s="816" t="s">
        <v>7870</v>
      </c>
      <c r="C1707" s="729" t="s">
        <v>931</v>
      </c>
      <c r="D1707" s="460"/>
      <c r="E1707" s="878" t="s">
        <v>1599</v>
      </c>
      <c r="F1707" s="881" t="s">
        <v>2274</v>
      </c>
      <c r="G1707" s="731" t="s">
        <v>5709</v>
      </c>
      <c r="H1707" s="1083">
        <v>42401</v>
      </c>
      <c r="I1707" s="1084">
        <v>42482</v>
      </c>
      <c r="J1707" s="957">
        <v>27.05</v>
      </c>
    </row>
    <row r="1708" spans="1:10" s="852" customFormat="1" ht="28.5" outlineLevel="2">
      <c r="A1708" s="815" t="s">
        <v>2293</v>
      </c>
      <c r="B1708" s="816" t="s">
        <v>7865</v>
      </c>
      <c r="C1708" s="729" t="s">
        <v>931</v>
      </c>
      <c r="D1708" s="460"/>
      <c r="E1708" s="878" t="s">
        <v>2336</v>
      </c>
      <c r="F1708" s="881" t="s">
        <v>5146</v>
      </c>
      <c r="G1708" s="731" t="s">
        <v>4156</v>
      </c>
      <c r="H1708" s="1083">
        <v>42430</v>
      </c>
      <c r="I1708" s="1084">
        <v>42480</v>
      </c>
      <c r="J1708" s="957">
        <v>4784.25</v>
      </c>
    </row>
    <row r="1709" spans="1:10" s="852" customFormat="1" outlineLevel="2">
      <c r="A1709" s="815" t="s">
        <v>2293</v>
      </c>
      <c r="B1709" s="816" t="s">
        <v>7865</v>
      </c>
      <c r="C1709" s="729" t="s">
        <v>931</v>
      </c>
      <c r="D1709" s="460"/>
      <c r="E1709" s="878" t="s">
        <v>2336</v>
      </c>
      <c r="F1709" s="881" t="s">
        <v>6038</v>
      </c>
      <c r="G1709" s="731" t="s">
        <v>4155</v>
      </c>
      <c r="H1709" s="1083">
        <v>42401</v>
      </c>
      <c r="I1709" s="1084">
        <v>42480</v>
      </c>
      <c r="J1709" s="957">
        <v>4784.25</v>
      </c>
    </row>
    <row r="1710" spans="1:10" s="852" customFormat="1" outlineLevel="2">
      <c r="A1710" s="815" t="s">
        <v>2254</v>
      </c>
      <c r="B1710" s="816" t="s">
        <v>7866</v>
      </c>
      <c r="C1710" s="729" t="s">
        <v>931</v>
      </c>
      <c r="D1710" s="460"/>
      <c r="E1710" s="878" t="s">
        <v>2282</v>
      </c>
      <c r="F1710" s="881" t="s">
        <v>3974</v>
      </c>
      <c r="G1710" s="731" t="s">
        <v>2779</v>
      </c>
      <c r="H1710" s="1083">
        <v>42401</v>
      </c>
      <c r="I1710" s="1084">
        <v>42471</v>
      </c>
      <c r="J1710" s="957">
        <v>391.7</v>
      </c>
    </row>
    <row r="1711" spans="1:10" s="852" customFormat="1" outlineLevel="2">
      <c r="A1711" s="815" t="s">
        <v>2254</v>
      </c>
      <c r="B1711" s="816" t="s">
        <v>7866</v>
      </c>
      <c r="C1711" s="729" t="s">
        <v>931</v>
      </c>
      <c r="D1711" s="460"/>
      <c r="E1711" s="878" t="s">
        <v>2282</v>
      </c>
      <c r="F1711" s="881" t="s">
        <v>4081</v>
      </c>
      <c r="G1711" s="731" t="s">
        <v>2781</v>
      </c>
      <c r="H1711" s="1083">
        <v>42401</v>
      </c>
      <c r="I1711" s="1084">
        <v>42471</v>
      </c>
      <c r="J1711" s="957">
        <v>12.52</v>
      </c>
    </row>
    <row r="1712" spans="1:10" s="852" customFormat="1" outlineLevel="2">
      <c r="A1712" s="815" t="s">
        <v>2254</v>
      </c>
      <c r="B1712" s="816" t="s">
        <v>7866</v>
      </c>
      <c r="C1712" s="729" t="s">
        <v>931</v>
      </c>
      <c r="D1712" s="460"/>
      <c r="E1712" s="878" t="s">
        <v>2282</v>
      </c>
      <c r="F1712" s="881" t="s">
        <v>4165</v>
      </c>
      <c r="G1712" s="731" t="s">
        <v>2782</v>
      </c>
      <c r="H1712" s="1083">
        <v>42401</v>
      </c>
      <c r="I1712" s="1084">
        <v>42471</v>
      </c>
      <c r="J1712" s="957">
        <v>147.78</v>
      </c>
    </row>
    <row r="1713" spans="1:10" s="852" customFormat="1" outlineLevel="2">
      <c r="A1713" s="815" t="s">
        <v>2293</v>
      </c>
      <c r="B1713" s="816" t="s">
        <v>7865</v>
      </c>
      <c r="C1713" s="729" t="s">
        <v>931</v>
      </c>
      <c r="D1713" s="460"/>
      <c r="E1713" s="878" t="s">
        <v>2714</v>
      </c>
      <c r="F1713" s="881" t="s">
        <v>6183</v>
      </c>
      <c r="G1713" s="731" t="s">
        <v>4157</v>
      </c>
      <c r="H1713" s="1083">
        <v>42401</v>
      </c>
      <c r="I1713" s="1084">
        <v>42480</v>
      </c>
      <c r="J1713" s="957">
        <v>1847.41</v>
      </c>
    </row>
    <row r="1714" spans="1:10" s="852" customFormat="1" ht="28.5" outlineLevel="2">
      <c r="A1714" s="815" t="s">
        <v>2293</v>
      </c>
      <c r="B1714" s="816" t="s">
        <v>7865</v>
      </c>
      <c r="C1714" s="729" t="s">
        <v>931</v>
      </c>
      <c r="D1714" s="460"/>
      <c r="E1714" s="878" t="s">
        <v>2714</v>
      </c>
      <c r="F1714" s="881" t="s">
        <v>5148</v>
      </c>
      <c r="G1714" s="731" t="s">
        <v>4158</v>
      </c>
      <c r="H1714" s="1083">
        <v>42430</v>
      </c>
      <c r="I1714" s="1084">
        <v>42480</v>
      </c>
      <c r="J1714" s="957">
        <v>1847.41</v>
      </c>
    </row>
    <row r="1715" spans="1:10" s="852" customFormat="1" ht="28.5" outlineLevel="2">
      <c r="A1715" s="815" t="s">
        <v>2293</v>
      </c>
      <c r="B1715" s="816" t="s">
        <v>7865</v>
      </c>
      <c r="C1715" s="729" t="s">
        <v>931</v>
      </c>
      <c r="D1715" s="460"/>
      <c r="E1715" s="878" t="s">
        <v>1909</v>
      </c>
      <c r="F1715" s="881" t="s">
        <v>5144</v>
      </c>
      <c r="G1715" s="731" t="s">
        <v>4162</v>
      </c>
      <c r="H1715" s="1083">
        <v>42430</v>
      </c>
      <c r="I1715" s="1084">
        <v>42480</v>
      </c>
      <c r="J1715" s="957">
        <v>923.71</v>
      </c>
    </row>
    <row r="1716" spans="1:10" s="852" customFormat="1" outlineLevel="2">
      <c r="A1716" s="815" t="s">
        <v>2254</v>
      </c>
      <c r="B1716" s="816" t="s">
        <v>7866</v>
      </c>
      <c r="C1716" s="729" t="s">
        <v>931</v>
      </c>
      <c r="D1716" s="460"/>
      <c r="E1716" s="878" t="s">
        <v>1909</v>
      </c>
      <c r="F1716" s="881" t="s">
        <v>3935</v>
      </c>
      <c r="G1716" s="731" t="s">
        <v>2817</v>
      </c>
      <c r="H1716" s="1083">
        <v>42401</v>
      </c>
      <c r="I1716" s="1084">
        <v>42480</v>
      </c>
      <c r="J1716" s="957">
        <v>117.51</v>
      </c>
    </row>
    <row r="1717" spans="1:10" s="852" customFormat="1" outlineLevel="2">
      <c r="A1717" s="815" t="s">
        <v>2254</v>
      </c>
      <c r="B1717" s="816" t="s">
        <v>7866</v>
      </c>
      <c r="C1717" s="729" t="s">
        <v>931</v>
      </c>
      <c r="D1717" s="460"/>
      <c r="E1717" s="878" t="s">
        <v>1909</v>
      </c>
      <c r="F1717" s="881" t="s">
        <v>4027</v>
      </c>
      <c r="G1717" s="731" t="s">
        <v>2819</v>
      </c>
      <c r="H1717" s="1083">
        <v>42401</v>
      </c>
      <c r="I1717" s="1084">
        <v>42480</v>
      </c>
      <c r="J1717" s="957">
        <v>3.75</v>
      </c>
    </row>
    <row r="1718" spans="1:10" s="852" customFormat="1" outlineLevel="2">
      <c r="A1718" s="815" t="s">
        <v>2254</v>
      </c>
      <c r="B1718" s="816" t="s">
        <v>7866</v>
      </c>
      <c r="C1718" s="729" t="s">
        <v>931</v>
      </c>
      <c r="D1718" s="460"/>
      <c r="E1718" s="878" t="s">
        <v>1909</v>
      </c>
      <c r="F1718" s="881" t="s">
        <v>4129</v>
      </c>
      <c r="G1718" s="731" t="s">
        <v>2821</v>
      </c>
      <c r="H1718" s="1083">
        <v>42401</v>
      </c>
      <c r="I1718" s="1084">
        <v>42480</v>
      </c>
      <c r="J1718" s="957">
        <v>44.33</v>
      </c>
    </row>
    <row r="1719" spans="1:10" s="852" customFormat="1" outlineLevel="2">
      <c r="A1719" s="815" t="s">
        <v>2293</v>
      </c>
      <c r="B1719" s="816" t="s">
        <v>7865</v>
      </c>
      <c r="C1719" s="729" t="s">
        <v>931</v>
      </c>
      <c r="D1719" s="460"/>
      <c r="E1719" s="878" t="s">
        <v>1909</v>
      </c>
      <c r="F1719" s="881" t="s">
        <v>6292</v>
      </c>
      <c r="G1719" s="731" t="s">
        <v>4159</v>
      </c>
      <c r="H1719" s="1083">
        <v>42401</v>
      </c>
      <c r="I1719" s="1084">
        <v>42480</v>
      </c>
      <c r="J1719" s="957">
        <v>1385.56</v>
      </c>
    </row>
    <row r="1720" spans="1:10" s="852" customFormat="1" ht="42.75" outlineLevel="2">
      <c r="A1720" s="815" t="s">
        <v>2293</v>
      </c>
      <c r="B1720" s="816" t="s">
        <v>7865</v>
      </c>
      <c r="C1720" s="729" t="s">
        <v>931</v>
      </c>
      <c r="D1720" s="460"/>
      <c r="E1720" s="878" t="s">
        <v>1909</v>
      </c>
      <c r="F1720" s="881" t="s">
        <v>5014</v>
      </c>
      <c r="G1720" s="731" t="s">
        <v>4161</v>
      </c>
      <c r="H1720" s="1083">
        <v>42401</v>
      </c>
      <c r="I1720" s="1084">
        <v>42480</v>
      </c>
      <c r="J1720" s="957">
        <v>4295.2299999999996</v>
      </c>
    </row>
    <row r="1721" spans="1:10" s="852" customFormat="1" ht="28.5" outlineLevel="2">
      <c r="A1721" s="815" t="s">
        <v>2254</v>
      </c>
      <c r="B1721" s="816" t="s">
        <v>7866</v>
      </c>
      <c r="C1721" s="729" t="s">
        <v>931</v>
      </c>
      <c r="D1721" s="460"/>
      <c r="E1721" s="878" t="s">
        <v>1909</v>
      </c>
      <c r="F1721" s="881" t="s">
        <v>4956</v>
      </c>
      <c r="G1721" s="731" t="s">
        <v>2833</v>
      </c>
      <c r="H1721" s="1083">
        <v>42401</v>
      </c>
      <c r="I1721" s="1084">
        <v>42480</v>
      </c>
      <c r="J1721" s="957">
        <v>364.28</v>
      </c>
    </row>
    <row r="1722" spans="1:10" s="852" customFormat="1" ht="28.5" outlineLevel="2">
      <c r="A1722" s="815" t="s">
        <v>2254</v>
      </c>
      <c r="B1722" s="816" t="s">
        <v>7866</v>
      </c>
      <c r="C1722" s="729" t="s">
        <v>931</v>
      </c>
      <c r="D1722" s="460"/>
      <c r="E1722" s="878" t="s">
        <v>1909</v>
      </c>
      <c r="F1722" s="881" t="s">
        <v>4903</v>
      </c>
      <c r="G1722" s="731" t="s">
        <v>2832</v>
      </c>
      <c r="H1722" s="1083">
        <v>42401</v>
      </c>
      <c r="I1722" s="1084">
        <v>42480</v>
      </c>
      <c r="J1722" s="957">
        <v>11.64</v>
      </c>
    </row>
    <row r="1723" spans="1:10" s="852" customFormat="1" ht="28.5" outlineLevel="2">
      <c r="A1723" s="815" t="s">
        <v>2254</v>
      </c>
      <c r="B1723" s="816" t="s">
        <v>7866</v>
      </c>
      <c r="C1723" s="729" t="s">
        <v>931</v>
      </c>
      <c r="D1723" s="460"/>
      <c r="E1723" s="878" t="s">
        <v>1909</v>
      </c>
      <c r="F1723" s="881" t="s">
        <v>4853</v>
      </c>
      <c r="G1723" s="731" t="s">
        <v>2831</v>
      </c>
      <c r="H1723" s="1083">
        <v>42401</v>
      </c>
      <c r="I1723" s="1084">
        <v>42480</v>
      </c>
      <c r="J1723" s="957">
        <v>137.44</v>
      </c>
    </row>
    <row r="1724" spans="1:10" s="852" customFormat="1" ht="28.5" outlineLevel="2">
      <c r="A1724" s="815" t="s">
        <v>2293</v>
      </c>
      <c r="B1724" s="816" t="s">
        <v>7865</v>
      </c>
      <c r="C1724" s="729" t="s">
        <v>931</v>
      </c>
      <c r="D1724" s="460"/>
      <c r="E1724" s="878" t="s">
        <v>1909</v>
      </c>
      <c r="F1724" s="881" t="s">
        <v>4599</v>
      </c>
      <c r="G1724" s="731" t="s">
        <v>4160</v>
      </c>
      <c r="H1724" s="1083">
        <v>42401</v>
      </c>
      <c r="I1724" s="1084">
        <v>42480</v>
      </c>
      <c r="J1724" s="957">
        <v>4295.2299999999996</v>
      </c>
    </row>
    <row r="1725" spans="1:10" s="852" customFormat="1" outlineLevel="2">
      <c r="A1725" s="815" t="s">
        <v>2290</v>
      </c>
      <c r="B1725" s="816" t="s">
        <v>7871</v>
      </c>
      <c r="C1725" s="729" t="s">
        <v>931</v>
      </c>
      <c r="D1725" s="460"/>
      <c r="E1725" s="878" t="s">
        <v>2291</v>
      </c>
      <c r="F1725" s="881" t="s">
        <v>1753</v>
      </c>
      <c r="G1725" s="731" t="s">
        <v>5612</v>
      </c>
      <c r="H1725" s="1083">
        <v>42430</v>
      </c>
      <c r="I1725" s="1084">
        <v>42471</v>
      </c>
      <c r="J1725" s="957">
        <v>468.25</v>
      </c>
    </row>
    <row r="1726" spans="1:10" s="852" customFormat="1" outlineLevel="2">
      <c r="A1726" s="815" t="s">
        <v>2293</v>
      </c>
      <c r="B1726" s="816" t="s">
        <v>7865</v>
      </c>
      <c r="C1726" s="729" t="s">
        <v>931</v>
      </c>
      <c r="D1726" s="460"/>
      <c r="E1726" s="878" t="s">
        <v>447</v>
      </c>
      <c r="F1726" s="881" t="s">
        <v>1094</v>
      </c>
      <c r="G1726" s="731" t="s">
        <v>5867</v>
      </c>
      <c r="H1726" s="1083">
        <v>42430</v>
      </c>
      <c r="I1726" s="1084">
        <v>42489</v>
      </c>
      <c r="J1726" s="957">
        <v>80058.080000000002</v>
      </c>
    </row>
    <row r="1727" spans="1:10" s="852" customFormat="1" outlineLevel="1">
      <c r="A1727" s="815"/>
      <c r="B1727" s="816" t="s">
        <v>258</v>
      </c>
      <c r="C1727" s="908" t="s">
        <v>931</v>
      </c>
      <c r="D1727" s="928" t="str">
        <f>VLOOKUP(C1727,$C$3691:$D$3771,2,FALSE)</f>
        <v>TOTAL POUPATEMPO  SERTÃOZINHO</v>
      </c>
      <c r="E1727" s="1085"/>
      <c r="F1727" s="929"/>
      <c r="G1727" s="910"/>
      <c r="H1727" s="1086"/>
      <c r="I1727" s="1087"/>
      <c r="J1727" s="930">
        <f>SUBTOTAL(9,J1704:J1726)</f>
        <v>197265.07</v>
      </c>
    </row>
    <row r="1728" spans="1:10" s="852" customFormat="1" ht="28.5" outlineLevel="2">
      <c r="A1728" s="815" t="s">
        <v>2292</v>
      </c>
      <c r="B1728" s="816" t="s">
        <v>7865</v>
      </c>
      <c r="C1728" s="729" t="s">
        <v>678</v>
      </c>
      <c r="D1728" s="460"/>
      <c r="E1728" s="878" t="s">
        <v>2336</v>
      </c>
      <c r="F1728" s="881" t="s">
        <v>6040</v>
      </c>
      <c r="G1728" s="731" t="s">
        <v>4164</v>
      </c>
      <c r="H1728" s="1083">
        <v>42401</v>
      </c>
      <c r="I1728" s="1084">
        <v>42480</v>
      </c>
      <c r="J1728" s="957">
        <v>10658.07</v>
      </c>
    </row>
    <row r="1729" spans="1:10" s="852" customFormat="1" ht="28.5" outlineLevel="2">
      <c r="A1729" s="815" t="s">
        <v>2292</v>
      </c>
      <c r="B1729" s="816" t="s">
        <v>7865</v>
      </c>
      <c r="C1729" s="729" t="s">
        <v>678</v>
      </c>
      <c r="D1729" s="460"/>
      <c r="E1729" s="878" t="s">
        <v>2336</v>
      </c>
      <c r="F1729" s="881" t="s">
        <v>3205</v>
      </c>
      <c r="G1729" s="731" t="s">
        <v>4166</v>
      </c>
      <c r="H1729" s="1083">
        <v>42401</v>
      </c>
      <c r="I1729" s="1084">
        <v>42480</v>
      </c>
      <c r="J1729" s="957">
        <v>10658.07</v>
      </c>
    </row>
    <row r="1730" spans="1:10" s="852" customFormat="1" outlineLevel="2">
      <c r="A1730" s="815" t="s">
        <v>2292</v>
      </c>
      <c r="B1730" s="816" t="s">
        <v>7865</v>
      </c>
      <c r="C1730" s="729" t="s">
        <v>678</v>
      </c>
      <c r="D1730" s="460"/>
      <c r="E1730" s="878" t="s">
        <v>2336</v>
      </c>
      <c r="F1730" s="881" t="s">
        <v>6039</v>
      </c>
      <c r="G1730" s="731" t="s">
        <v>4163</v>
      </c>
      <c r="H1730" s="1083">
        <v>42401</v>
      </c>
      <c r="I1730" s="1084">
        <v>42480</v>
      </c>
      <c r="J1730" s="957">
        <v>3392.22</v>
      </c>
    </row>
    <row r="1731" spans="1:10" s="852" customFormat="1" outlineLevel="2">
      <c r="A1731" s="815" t="s">
        <v>1026</v>
      </c>
      <c r="B1731" s="816" t="s">
        <v>7866</v>
      </c>
      <c r="C1731" s="729" t="s">
        <v>678</v>
      </c>
      <c r="D1731" s="460"/>
      <c r="E1731" s="878" t="s">
        <v>2282</v>
      </c>
      <c r="F1731" s="881" t="s">
        <v>3974</v>
      </c>
      <c r="G1731" s="731" t="s">
        <v>2779</v>
      </c>
      <c r="H1731" s="1083">
        <v>42401</v>
      </c>
      <c r="I1731" s="1084">
        <v>42471</v>
      </c>
      <c r="J1731" s="957">
        <v>469.91</v>
      </c>
    </row>
    <row r="1732" spans="1:10" s="852" customFormat="1" outlineLevel="2">
      <c r="A1732" s="815" t="s">
        <v>1026</v>
      </c>
      <c r="B1732" s="816" t="s">
        <v>7866</v>
      </c>
      <c r="C1732" s="729" t="s">
        <v>678</v>
      </c>
      <c r="D1732" s="460"/>
      <c r="E1732" s="878" t="s">
        <v>2282</v>
      </c>
      <c r="F1732" s="881" t="s">
        <v>4081</v>
      </c>
      <c r="G1732" s="731" t="s">
        <v>2781</v>
      </c>
      <c r="H1732" s="1083">
        <v>42401</v>
      </c>
      <c r="I1732" s="1084">
        <v>42471</v>
      </c>
      <c r="J1732" s="957">
        <v>15.02</v>
      </c>
    </row>
    <row r="1733" spans="1:10" s="852" customFormat="1" outlineLevel="2">
      <c r="A1733" s="815" t="s">
        <v>1026</v>
      </c>
      <c r="B1733" s="816" t="s">
        <v>7866</v>
      </c>
      <c r="C1733" s="729" t="s">
        <v>678</v>
      </c>
      <c r="D1733" s="460"/>
      <c r="E1733" s="878" t="s">
        <v>2282</v>
      </c>
      <c r="F1733" s="881" t="s">
        <v>4165</v>
      </c>
      <c r="G1733" s="731" t="s">
        <v>2782</v>
      </c>
      <c r="H1733" s="1083">
        <v>42401</v>
      </c>
      <c r="I1733" s="1084">
        <v>42471</v>
      </c>
      <c r="J1733" s="957">
        <v>177.29</v>
      </c>
    </row>
    <row r="1734" spans="1:10" s="852" customFormat="1" ht="28.5" outlineLevel="2">
      <c r="A1734" s="815" t="s">
        <v>2292</v>
      </c>
      <c r="B1734" s="816" t="s">
        <v>7865</v>
      </c>
      <c r="C1734" s="729" t="s">
        <v>678</v>
      </c>
      <c r="D1734" s="460"/>
      <c r="E1734" s="878" t="s">
        <v>2715</v>
      </c>
      <c r="F1734" s="881" t="s">
        <v>6138</v>
      </c>
      <c r="G1734" s="731" t="s">
        <v>4167</v>
      </c>
      <c r="H1734" s="1083">
        <v>42401</v>
      </c>
      <c r="I1734" s="1084">
        <v>42475</v>
      </c>
      <c r="J1734" s="957">
        <v>2345.39</v>
      </c>
    </row>
    <row r="1735" spans="1:10" s="852" customFormat="1" ht="28.5" outlineLevel="2">
      <c r="A1735" s="815" t="s">
        <v>2292</v>
      </c>
      <c r="B1735" s="816" t="s">
        <v>7865</v>
      </c>
      <c r="C1735" s="729" t="s">
        <v>678</v>
      </c>
      <c r="D1735" s="460"/>
      <c r="E1735" s="878" t="s">
        <v>2715</v>
      </c>
      <c r="F1735" s="881" t="s">
        <v>3207</v>
      </c>
      <c r="G1735" s="731" t="s">
        <v>4168</v>
      </c>
      <c r="H1735" s="1083">
        <v>42401</v>
      </c>
      <c r="I1735" s="1084">
        <v>42475</v>
      </c>
      <c r="J1735" s="957">
        <v>2345.4</v>
      </c>
    </row>
    <row r="1736" spans="1:10" s="852" customFormat="1" outlineLevel="2">
      <c r="A1736" s="815" t="s">
        <v>2292</v>
      </c>
      <c r="B1736" s="816" t="s">
        <v>7865</v>
      </c>
      <c r="C1736" s="729" t="s">
        <v>678</v>
      </c>
      <c r="D1736" s="460"/>
      <c r="E1736" s="878" t="s">
        <v>2715</v>
      </c>
      <c r="F1736" s="881" t="s">
        <v>5488</v>
      </c>
      <c r="G1736" s="731" t="s">
        <v>4169</v>
      </c>
      <c r="H1736" s="1083">
        <v>42401</v>
      </c>
      <c r="I1736" s="1084">
        <v>42475</v>
      </c>
      <c r="J1736" s="957">
        <v>2346.11</v>
      </c>
    </row>
    <row r="1737" spans="1:10" s="852" customFormat="1" outlineLevel="2">
      <c r="A1737" s="815" t="s">
        <v>1026</v>
      </c>
      <c r="B1737" s="816" t="s">
        <v>7866</v>
      </c>
      <c r="C1737" s="729" t="s">
        <v>678</v>
      </c>
      <c r="D1737" s="460"/>
      <c r="E1737" s="878" t="s">
        <v>1909</v>
      </c>
      <c r="F1737" s="881" t="s">
        <v>3935</v>
      </c>
      <c r="G1737" s="731" t="s">
        <v>2817</v>
      </c>
      <c r="H1737" s="1083">
        <v>42401</v>
      </c>
      <c r="I1737" s="1084">
        <v>42480</v>
      </c>
      <c r="J1737" s="957">
        <v>140.97</v>
      </c>
    </row>
    <row r="1738" spans="1:10" s="852" customFormat="1" outlineLevel="2">
      <c r="A1738" s="815" t="s">
        <v>1026</v>
      </c>
      <c r="B1738" s="816" t="s">
        <v>7866</v>
      </c>
      <c r="C1738" s="729" t="s">
        <v>678</v>
      </c>
      <c r="D1738" s="460"/>
      <c r="E1738" s="878" t="s">
        <v>1909</v>
      </c>
      <c r="F1738" s="881" t="s">
        <v>4027</v>
      </c>
      <c r="G1738" s="731" t="s">
        <v>2819</v>
      </c>
      <c r="H1738" s="1083">
        <v>42401</v>
      </c>
      <c r="I1738" s="1084">
        <v>42480</v>
      </c>
      <c r="J1738" s="957">
        <v>4.5</v>
      </c>
    </row>
    <row r="1739" spans="1:10" s="852" customFormat="1" outlineLevel="2">
      <c r="A1739" s="815" t="s">
        <v>1026</v>
      </c>
      <c r="B1739" s="816" t="s">
        <v>7866</v>
      </c>
      <c r="C1739" s="729" t="s">
        <v>678</v>
      </c>
      <c r="D1739" s="460"/>
      <c r="E1739" s="878" t="s">
        <v>1909</v>
      </c>
      <c r="F1739" s="881" t="s">
        <v>4129</v>
      </c>
      <c r="G1739" s="731" t="s">
        <v>2821</v>
      </c>
      <c r="H1739" s="1083">
        <v>42401</v>
      </c>
      <c r="I1739" s="1084">
        <v>42480</v>
      </c>
      <c r="J1739" s="957">
        <v>53.18</v>
      </c>
    </row>
    <row r="1740" spans="1:10" s="852" customFormat="1" ht="28.5" outlineLevel="2">
      <c r="A1740" s="815" t="s">
        <v>2292</v>
      </c>
      <c r="B1740" s="816" t="s">
        <v>7865</v>
      </c>
      <c r="C1740" s="729" t="s">
        <v>678</v>
      </c>
      <c r="D1740" s="460"/>
      <c r="E1740" s="878" t="s">
        <v>1909</v>
      </c>
      <c r="F1740" s="881" t="s">
        <v>6294</v>
      </c>
      <c r="G1740" s="731" t="s">
        <v>4171</v>
      </c>
      <c r="H1740" s="1083">
        <v>42401</v>
      </c>
      <c r="I1740" s="1084">
        <v>42480</v>
      </c>
      <c r="J1740" s="957">
        <v>1759.05</v>
      </c>
    </row>
    <row r="1741" spans="1:10" s="852" customFormat="1" ht="28.5" outlineLevel="2">
      <c r="A1741" s="815" t="s">
        <v>2292</v>
      </c>
      <c r="B1741" s="816" t="s">
        <v>7865</v>
      </c>
      <c r="C1741" s="729" t="s">
        <v>678</v>
      </c>
      <c r="D1741" s="460"/>
      <c r="E1741" s="878" t="s">
        <v>1909</v>
      </c>
      <c r="F1741" s="881" t="s">
        <v>6295</v>
      </c>
      <c r="G1741" s="731" t="s">
        <v>4172</v>
      </c>
      <c r="H1741" s="1083">
        <v>42401</v>
      </c>
      <c r="I1741" s="1084">
        <v>42480</v>
      </c>
      <c r="J1741" s="957">
        <v>1759.05</v>
      </c>
    </row>
    <row r="1742" spans="1:10" s="852" customFormat="1" outlineLevel="2">
      <c r="A1742" s="815" t="s">
        <v>2292</v>
      </c>
      <c r="B1742" s="816" t="s">
        <v>7865</v>
      </c>
      <c r="C1742" s="729" t="s">
        <v>678</v>
      </c>
      <c r="D1742" s="460"/>
      <c r="E1742" s="878" t="s">
        <v>1909</v>
      </c>
      <c r="F1742" s="881" t="s">
        <v>6293</v>
      </c>
      <c r="G1742" s="731" t="s">
        <v>4170</v>
      </c>
      <c r="H1742" s="1083">
        <v>42401</v>
      </c>
      <c r="I1742" s="1084">
        <v>42480</v>
      </c>
      <c r="J1742" s="957">
        <v>1759.58</v>
      </c>
    </row>
    <row r="1743" spans="1:10" s="852" customFormat="1" ht="28.5" outlineLevel="2">
      <c r="A1743" s="815" t="s">
        <v>1026</v>
      </c>
      <c r="B1743" s="816" t="s">
        <v>7866</v>
      </c>
      <c r="C1743" s="729" t="s">
        <v>678</v>
      </c>
      <c r="D1743" s="460"/>
      <c r="E1743" s="878" t="s">
        <v>1909</v>
      </c>
      <c r="F1743" s="881" t="s">
        <v>4956</v>
      </c>
      <c r="G1743" s="731" t="s">
        <v>2833</v>
      </c>
      <c r="H1743" s="1083">
        <v>42401</v>
      </c>
      <c r="I1743" s="1084">
        <v>42480</v>
      </c>
      <c r="J1743" s="957">
        <v>437.02</v>
      </c>
    </row>
    <row r="1744" spans="1:10" s="852" customFormat="1" ht="28.5" outlineLevel="2">
      <c r="A1744" s="815" t="s">
        <v>1026</v>
      </c>
      <c r="B1744" s="816" t="s">
        <v>7866</v>
      </c>
      <c r="C1744" s="729" t="s">
        <v>678</v>
      </c>
      <c r="D1744" s="460"/>
      <c r="E1744" s="878" t="s">
        <v>1909</v>
      </c>
      <c r="F1744" s="881" t="s">
        <v>4903</v>
      </c>
      <c r="G1744" s="731" t="s">
        <v>2832</v>
      </c>
      <c r="H1744" s="1083">
        <v>42401</v>
      </c>
      <c r="I1744" s="1084">
        <v>42480</v>
      </c>
      <c r="J1744" s="957">
        <v>13.97</v>
      </c>
    </row>
    <row r="1745" spans="1:10" s="852" customFormat="1" ht="28.5" outlineLevel="2">
      <c r="A1745" s="815" t="s">
        <v>1026</v>
      </c>
      <c r="B1745" s="816" t="s">
        <v>7866</v>
      </c>
      <c r="C1745" s="729" t="s">
        <v>678</v>
      </c>
      <c r="D1745" s="460"/>
      <c r="E1745" s="878" t="s">
        <v>1909</v>
      </c>
      <c r="F1745" s="881" t="s">
        <v>4853</v>
      </c>
      <c r="G1745" s="731" t="s">
        <v>2831</v>
      </c>
      <c r="H1745" s="1083">
        <v>42401</v>
      </c>
      <c r="I1745" s="1084">
        <v>42480</v>
      </c>
      <c r="J1745" s="957">
        <v>164.88</v>
      </c>
    </row>
    <row r="1746" spans="1:10" s="852" customFormat="1" ht="28.5" outlineLevel="2">
      <c r="A1746" s="815" t="s">
        <v>2292</v>
      </c>
      <c r="B1746" s="816" t="s">
        <v>7865</v>
      </c>
      <c r="C1746" s="729" t="s">
        <v>678</v>
      </c>
      <c r="D1746" s="460"/>
      <c r="E1746" s="878" t="s">
        <v>1909</v>
      </c>
      <c r="F1746" s="881" t="s">
        <v>4608</v>
      </c>
      <c r="G1746" s="731" t="s">
        <v>4173</v>
      </c>
      <c r="H1746" s="1083">
        <v>42401</v>
      </c>
      <c r="I1746" s="1084">
        <v>42480</v>
      </c>
      <c r="J1746" s="957">
        <v>5453.05</v>
      </c>
    </row>
    <row r="1747" spans="1:10" s="852" customFormat="1" ht="28.5" outlineLevel="2">
      <c r="A1747" s="815" t="s">
        <v>2292</v>
      </c>
      <c r="B1747" s="816" t="s">
        <v>7865</v>
      </c>
      <c r="C1747" s="729" t="s">
        <v>678</v>
      </c>
      <c r="D1747" s="460"/>
      <c r="E1747" s="878" t="s">
        <v>1909</v>
      </c>
      <c r="F1747" s="881" t="s">
        <v>4680</v>
      </c>
      <c r="G1747" s="731" t="s">
        <v>4174</v>
      </c>
      <c r="H1747" s="1083">
        <v>42401</v>
      </c>
      <c r="I1747" s="1084">
        <v>42480</v>
      </c>
      <c r="J1747" s="957">
        <v>5453.06</v>
      </c>
    </row>
    <row r="1748" spans="1:10" s="852" customFormat="1" ht="28.5" outlineLevel="2">
      <c r="A1748" s="815" t="s">
        <v>2292</v>
      </c>
      <c r="B1748" s="816" t="s">
        <v>7865</v>
      </c>
      <c r="C1748" s="729" t="s">
        <v>678</v>
      </c>
      <c r="D1748" s="460"/>
      <c r="E1748" s="878" t="s">
        <v>1909</v>
      </c>
      <c r="F1748" s="881" t="s">
        <v>4771</v>
      </c>
      <c r="G1748" s="731" t="s">
        <v>4175</v>
      </c>
      <c r="H1748" s="1083">
        <v>42401</v>
      </c>
      <c r="I1748" s="1084">
        <v>42480</v>
      </c>
      <c r="J1748" s="957">
        <v>5454.69</v>
      </c>
    </row>
    <row r="1749" spans="1:10" s="852" customFormat="1" outlineLevel="2">
      <c r="A1749" s="815" t="s">
        <v>2292</v>
      </c>
      <c r="B1749" s="816" t="s">
        <v>7865</v>
      </c>
      <c r="C1749" s="729" t="s">
        <v>678</v>
      </c>
      <c r="D1749" s="460"/>
      <c r="E1749" s="878" t="s">
        <v>493</v>
      </c>
      <c r="F1749" s="881" t="s">
        <v>1094</v>
      </c>
      <c r="G1749" s="731" t="s">
        <v>5840</v>
      </c>
      <c r="H1749" s="1083">
        <v>42430</v>
      </c>
      <c r="I1749" s="1084">
        <v>42489</v>
      </c>
      <c r="J1749" s="957">
        <v>97054.38</v>
      </c>
    </row>
    <row r="1750" spans="1:10" s="852" customFormat="1" outlineLevel="2">
      <c r="A1750" s="815" t="s">
        <v>2292</v>
      </c>
      <c r="B1750" s="816" t="s">
        <v>7865</v>
      </c>
      <c r="C1750" s="729" t="s">
        <v>678</v>
      </c>
      <c r="D1750" s="460"/>
      <c r="E1750" s="878" t="s">
        <v>488</v>
      </c>
      <c r="F1750" s="881" t="s">
        <v>1094</v>
      </c>
      <c r="G1750" s="731" t="s">
        <v>5856</v>
      </c>
      <c r="H1750" s="1083">
        <v>42430</v>
      </c>
      <c r="I1750" s="1084">
        <v>42489</v>
      </c>
      <c r="J1750" s="957">
        <v>97054.37</v>
      </c>
    </row>
    <row r="1751" spans="1:10" s="852" customFormat="1" outlineLevel="2">
      <c r="A1751" s="815" t="s">
        <v>2292</v>
      </c>
      <c r="B1751" s="816" t="s">
        <v>7865</v>
      </c>
      <c r="C1751" s="729" t="s">
        <v>678</v>
      </c>
      <c r="D1751" s="460"/>
      <c r="E1751" s="878" t="s">
        <v>589</v>
      </c>
      <c r="F1751" s="881" t="s">
        <v>1094</v>
      </c>
      <c r="G1751" s="731" t="s">
        <v>5876</v>
      </c>
      <c r="H1751" s="1083">
        <v>42430</v>
      </c>
      <c r="I1751" s="1084">
        <v>42489</v>
      </c>
      <c r="J1751" s="957">
        <v>104352.54</v>
      </c>
    </row>
    <row r="1752" spans="1:10" s="852" customFormat="1" outlineLevel="1">
      <c r="A1752" s="815"/>
      <c r="B1752" s="816" t="s">
        <v>258</v>
      </c>
      <c r="C1752" s="908" t="s">
        <v>678</v>
      </c>
      <c r="D1752" s="928" t="str">
        <f>VLOOKUP(C1752,$C$3691:$D$3771,2,FALSE)</f>
        <v>TOTAL POUPATEMPO  ITAQUAQUECETUBA</v>
      </c>
      <c r="E1752" s="1085"/>
      <c r="F1752" s="929"/>
      <c r="G1752" s="910"/>
      <c r="H1752" s="1086"/>
      <c r="I1752" s="1087"/>
      <c r="J1752" s="930">
        <f>SUBTOTAL(9,J1728:J1751)</f>
        <v>353321.77</v>
      </c>
    </row>
    <row r="1753" spans="1:10" s="852" customFormat="1" ht="28.5" outlineLevel="2">
      <c r="A1753" s="815" t="s">
        <v>681</v>
      </c>
      <c r="B1753" s="816" t="s">
        <v>7865</v>
      </c>
      <c r="C1753" s="729" t="s">
        <v>680</v>
      </c>
      <c r="D1753" s="460"/>
      <c r="E1753" s="878" t="s">
        <v>2336</v>
      </c>
      <c r="F1753" s="881" t="s">
        <v>6041</v>
      </c>
      <c r="G1753" s="731" t="s">
        <v>4176</v>
      </c>
      <c r="H1753" s="1083">
        <v>42401</v>
      </c>
      <c r="I1753" s="1084">
        <v>42480</v>
      </c>
      <c r="J1753" s="957">
        <v>3610.42</v>
      </c>
    </row>
    <row r="1754" spans="1:10" s="852" customFormat="1" ht="28.5" outlineLevel="2">
      <c r="A1754" s="815" t="s">
        <v>681</v>
      </c>
      <c r="B1754" s="816" t="s">
        <v>7865</v>
      </c>
      <c r="C1754" s="729" t="s">
        <v>680</v>
      </c>
      <c r="D1754" s="460"/>
      <c r="E1754" s="878" t="s">
        <v>2336</v>
      </c>
      <c r="F1754" s="881" t="s">
        <v>3194</v>
      </c>
      <c r="G1754" s="731" t="s">
        <v>4178</v>
      </c>
      <c r="H1754" s="1083">
        <v>42401</v>
      </c>
      <c r="I1754" s="1084">
        <v>42480</v>
      </c>
      <c r="J1754" s="957">
        <v>3609.34</v>
      </c>
    </row>
    <row r="1755" spans="1:10" s="852" customFormat="1" outlineLevel="2">
      <c r="A1755" s="815" t="s">
        <v>681</v>
      </c>
      <c r="B1755" s="816" t="s">
        <v>7865</v>
      </c>
      <c r="C1755" s="729" t="s">
        <v>680</v>
      </c>
      <c r="D1755" s="460"/>
      <c r="E1755" s="878" t="s">
        <v>2336</v>
      </c>
      <c r="F1755" s="881" t="s">
        <v>6042</v>
      </c>
      <c r="G1755" s="731" t="s">
        <v>4177</v>
      </c>
      <c r="H1755" s="1083">
        <v>42401</v>
      </c>
      <c r="I1755" s="1084">
        <v>42480</v>
      </c>
      <c r="J1755" s="957">
        <v>1148.42</v>
      </c>
    </row>
    <row r="1756" spans="1:10" s="852" customFormat="1" ht="28.5" outlineLevel="2">
      <c r="A1756" s="815" t="s">
        <v>681</v>
      </c>
      <c r="B1756" s="816" t="s">
        <v>7865</v>
      </c>
      <c r="C1756" s="729" t="s">
        <v>680</v>
      </c>
      <c r="D1756" s="460"/>
      <c r="E1756" s="878" t="s">
        <v>2282</v>
      </c>
      <c r="F1756" s="881" t="s">
        <v>6092</v>
      </c>
      <c r="G1756" s="731" t="s">
        <v>4179</v>
      </c>
      <c r="H1756" s="1083">
        <v>42401</v>
      </c>
      <c r="I1756" s="1084">
        <v>42471</v>
      </c>
      <c r="J1756" s="957">
        <v>2521.7199999999998</v>
      </c>
    </row>
    <row r="1757" spans="1:10" s="852" customFormat="1" outlineLevel="2">
      <c r="A1757" s="815" t="s">
        <v>681</v>
      </c>
      <c r="B1757" s="816" t="s">
        <v>7865</v>
      </c>
      <c r="C1757" s="729" t="s">
        <v>680</v>
      </c>
      <c r="D1757" s="460"/>
      <c r="E1757" s="878" t="s">
        <v>2282</v>
      </c>
      <c r="F1757" s="881" t="s">
        <v>6093</v>
      </c>
      <c r="G1757" s="731" t="s">
        <v>4180</v>
      </c>
      <c r="H1757" s="1083">
        <v>42401</v>
      </c>
      <c r="I1757" s="1084">
        <v>42471</v>
      </c>
      <c r="J1757" s="957">
        <v>2520.9699999999998</v>
      </c>
    </row>
    <row r="1758" spans="1:10" s="852" customFormat="1" ht="28.5" outlineLevel="2">
      <c r="A1758" s="815" t="s">
        <v>681</v>
      </c>
      <c r="B1758" s="816" t="s">
        <v>7865</v>
      </c>
      <c r="C1758" s="729" t="s">
        <v>680</v>
      </c>
      <c r="D1758" s="460"/>
      <c r="E1758" s="878" t="s">
        <v>2282</v>
      </c>
      <c r="F1758" s="881" t="s">
        <v>3196</v>
      </c>
      <c r="G1758" s="731" t="s">
        <v>4181</v>
      </c>
      <c r="H1758" s="1083">
        <v>42401</v>
      </c>
      <c r="I1758" s="1084">
        <v>42471</v>
      </c>
      <c r="J1758" s="957">
        <v>2520.9699999999998</v>
      </c>
    </row>
    <row r="1759" spans="1:10" s="852" customFormat="1" outlineLevel="2">
      <c r="A1759" s="815" t="s">
        <v>974</v>
      </c>
      <c r="B1759" s="816" t="s">
        <v>7866</v>
      </c>
      <c r="C1759" s="729" t="s">
        <v>680</v>
      </c>
      <c r="D1759" s="460"/>
      <c r="E1759" s="878" t="s">
        <v>2282</v>
      </c>
      <c r="F1759" s="881" t="s">
        <v>3974</v>
      </c>
      <c r="G1759" s="731" t="s">
        <v>2779</v>
      </c>
      <c r="H1759" s="1083">
        <v>42401</v>
      </c>
      <c r="I1759" s="1084">
        <v>42471</v>
      </c>
      <c r="J1759" s="957">
        <v>52.59</v>
      </c>
    </row>
    <row r="1760" spans="1:10" s="852" customFormat="1" outlineLevel="2">
      <c r="A1760" s="815" t="s">
        <v>974</v>
      </c>
      <c r="B1760" s="816" t="s">
        <v>7866</v>
      </c>
      <c r="C1760" s="729" t="s">
        <v>680</v>
      </c>
      <c r="D1760" s="460"/>
      <c r="E1760" s="878" t="s">
        <v>2282</v>
      </c>
      <c r="F1760" s="881" t="s">
        <v>4081</v>
      </c>
      <c r="G1760" s="731" t="s">
        <v>2781</v>
      </c>
      <c r="H1760" s="1083">
        <v>42401</v>
      </c>
      <c r="I1760" s="1084">
        <v>42471</v>
      </c>
      <c r="J1760" s="957">
        <v>1.68</v>
      </c>
    </row>
    <row r="1761" spans="1:10" s="852" customFormat="1" outlineLevel="2">
      <c r="A1761" s="815" t="s">
        <v>974</v>
      </c>
      <c r="B1761" s="816" t="s">
        <v>7866</v>
      </c>
      <c r="C1761" s="729" t="s">
        <v>680</v>
      </c>
      <c r="D1761" s="460"/>
      <c r="E1761" s="878" t="s">
        <v>2282</v>
      </c>
      <c r="F1761" s="881" t="s">
        <v>4165</v>
      </c>
      <c r="G1761" s="731" t="s">
        <v>2782</v>
      </c>
      <c r="H1761" s="1083">
        <v>42401</v>
      </c>
      <c r="I1761" s="1084">
        <v>42471</v>
      </c>
      <c r="J1761" s="957">
        <v>19.34</v>
      </c>
    </row>
    <row r="1762" spans="1:10" s="852" customFormat="1" outlineLevel="2">
      <c r="A1762" s="815" t="s">
        <v>974</v>
      </c>
      <c r="B1762" s="816" t="s">
        <v>7866</v>
      </c>
      <c r="C1762" s="729" t="s">
        <v>680</v>
      </c>
      <c r="D1762" s="460"/>
      <c r="E1762" s="878" t="s">
        <v>1909</v>
      </c>
      <c r="F1762" s="881" t="s">
        <v>3935</v>
      </c>
      <c r="G1762" s="731" t="s">
        <v>2817</v>
      </c>
      <c r="H1762" s="1083">
        <v>42401</v>
      </c>
      <c r="I1762" s="1084">
        <v>42480</v>
      </c>
      <c r="J1762" s="957">
        <v>15.77</v>
      </c>
    </row>
    <row r="1763" spans="1:10" s="852" customFormat="1" outlineLevel="2">
      <c r="A1763" s="815" t="s">
        <v>974</v>
      </c>
      <c r="B1763" s="816" t="s">
        <v>7866</v>
      </c>
      <c r="C1763" s="729" t="s">
        <v>680</v>
      </c>
      <c r="D1763" s="460"/>
      <c r="E1763" s="878" t="s">
        <v>1909</v>
      </c>
      <c r="F1763" s="881" t="s">
        <v>4027</v>
      </c>
      <c r="G1763" s="731" t="s">
        <v>2819</v>
      </c>
      <c r="H1763" s="1083">
        <v>42401</v>
      </c>
      <c r="I1763" s="1084">
        <v>42480</v>
      </c>
      <c r="J1763" s="957">
        <v>0.5</v>
      </c>
    </row>
    <row r="1764" spans="1:10" s="852" customFormat="1" outlineLevel="2">
      <c r="A1764" s="815" t="s">
        <v>974</v>
      </c>
      <c r="B1764" s="816" t="s">
        <v>7866</v>
      </c>
      <c r="C1764" s="729" t="s">
        <v>680</v>
      </c>
      <c r="D1764" s="460"/>
      <c r="E1764" s="878" t="s">
        <v>1909</v>
      </c>
      <c r="F1764" s="881" t="s">
        <v>4129</v>
      </c>
      <c r="G1764" s="731" t="s">
        <v>2821</v>
      </c>
      <c r="H1764" s="1083">
        <v>42401</v>
      </c>
      <c r="I1764" s="1084">
        <v>42480</v>
      </c>
      <c r="J1764" s="957">
        <v>5.8</v>
      </c>
    </row>
    <row r="1765" spans="1:10" s="852" customFormat="1" ht="28.5" outlineLevel="2">
      <c r="A1765" s="815" t="s">
        <v>681</v>
      </c>
      <c r="B1765" s="816" t="s">
        <v>7865</v>
      </c>
      <c r="C1765" s="729" t="s">
        <v>680</v>
      </c>
      <c r="D1765" s="460"/>
      <c r="E1765" s="878" t="s">
        <v>1909</v>
      </c>
      <c r="F1765" s="881" t="s">
        <v>6296</v>
      </c>
      <c r="G1765" s="731" t="s">
        <v>4182</v>
      </c>
      <c r="H1765" s="1083">
        <v>42401</v>
      </c>
      <c r="I1765" s="1084">
        <v>42480</v>
      </c>
      <c r="J1765" s="957">
        <v>1891.29</v>
      </c>
    </row>
    <row r="1766" spans="1:10" s="852" customFormat="1" ht="28.5" outlineLevel="2">
      <c r="A1766" s="815" t="s">
        <v>681</v>
      </c>
      <c r="B1766" s="816" t="s">
        <v>7865</v>
      </c>
      <c r="C1766" s="729" t="s">
        <v>680</v>
      </c>
      <c r="D1766" s="460"/>
      <c r="E1766" s="878" t="s">
        <v>1909</v>
      </c>
      <c r="F1766" s="881" t="s">
        <v>3193</v>
      </c>
      <c r="G1766" s="731" t="s">
        <v>4184</v>
      </c>
      <c r="H1766" s="1083">
        <v>42401</v>
      </c>
      <c r="I1766" s="1084">
        <v>42480</v>
      </c>
      <c r="J1766" s="957">
        <v>1890.73</v>
      </c>
    </row>
    <row r="1767" spans="1:10" s="852" customFormat="1" outlineLevel="2">
      <c r="A1767" s="815" t="s">
        <v>681</v>
      </c>
      <c r="B1767" s="816" t="s">
        <v>7865</v>
      </c>
      <c r="C1767" s="729" t="s">
        <v>680</v>
      </c>
      <c r="D1767" s="460"/>
      <c r="E1767" s="878" t="s">
        <v>1909</v>
      </c>
      <c r="F1767" s="881" t="s">
        <v>6297</v>
      </c>
      <c r="G1767" s="731" t="s">
        <v>4183</v>
      </c>
      <c r="H1767" s="1083">
        <v>42401</v>
      </c>
      <c r="I1767" s="1084">
        <v>42480</v>
      </c>
      <c r="J1767" s="957">
        <v>1890.73</v>
      </c>
    </row>
    <row r="1768" spans="1:10" s="852" customFormat="1" ht="28.5" outlineLevel="2">
      <c r="A1768" s="815" t="s">
        <v>974</v>
      </c>
      <c r="B1768" s="816" t="s">
        <v>7866</v>
      </c>
      <c r="C1768" s="729" t="s">
        <v>680</v>
      </c>
      <c r="D1768" s="460"/>
      <c r="E1768" s="878" t="s">
        <v>1909</v>
      </c>
      <c r="F1768" s="881" t="s">
        <v>4956</v>
      </c>
      <c r="G1768" s="731" t="s">
        <v>2833</v>
      </c>
      <c r="H1768" s="1083">
        <v>42401</v>
      </c>
      <c r="I1768" s="1084">
        <v>42480</v>
      </c>
      <c r="J1768" s="957">
        <v>48.91</v>
      </c>
    </row>
    <row r="1769" spans="1:10" s="852" customFormat="1" ht="28.5" outlineLevel="2">
      <c r="A1769" s="815" t="s">
        <v>974</v>
      </c>
      <c r="B1769" s="816" t="s">
        <v>7866</v>
      </c>
      <c r="C1769" s="729" t="s">
        <v>680</v>
      </c>
      <c r="D1769" s="460"/>
      <c r="E1769" s="878" t="s">
        <v>1909</v>
      </c>
      <c r="F1769" s="881" t="s">
        <v>4903</v>
      </c>
      <c r="G1769" s="731" t="s">
        <v>2832</v>
      </c>
      <c r="H1769" s="1083">
        <v>42401</v>
      </c>
      <c r="I1769" s="1084">
        <v>42480</v>
      </c>
      <c r="J1769" s="957">
        <v>1.56</v>
      </c>
    </row>
    <row r="1770" spans="1:10" s="852" customFormat="1" ht="28.5" outlineLevel="2">
      <c r="A1770" s="815" t="s">
        <v>974</v>
      </c>
      <c r="B1770" s="816" t="s">
        <v>7866</v>
      </c>
      <c r="C1770" s="729" t="s">
        <v>680</v>
      </c>
      <c r="D1770" s="460"/>
      <c r="E1770" s="878" t="s">
        <v>1909</v>
      </c>
      <c r="F1770" s="881" t="s">
        <v>4853</v>
      </c>
      <c r="G1770" s="731" t="s">
        <v>2831</v>
      </c>
      <c r="H1770" s="1083">
        <v>42401</v>
      </c>
      <c r="I1770" s="1084">
        <v>42480</v>
      </c>
      <c r="J1770" s="957">
        <v>17.98</v>
      </c>
    </row>
    <row r="1771" spans="1:10" s="852" customFormat="1" ht="28.5" outlineLevel="2">
      <c r="A1771" s="815" t="s">
        <v>681</v>
      </c>
      <c r="B1771" s="816" t="s">
        <v>7865</v>
      </c>
      <c r="C1771" s="729" t="s">
        <v>680</v>
      </c>
      <c r="D1771" s="460"/>
      <c r="E1771" s="878" t="s">
        <v>1909</v>
      </c>
      <c r="F1771" s="881" t="s">
        <v>4849</v>
      </c>
      <c r="G1771" s="731" t="s">
        <v>4187</v>
      </c>
      <c r="H1771" s="1083">
        <v>42401</v>
      </c>
      <c r="I1771" s="1084">
        <v>42480</v>
      </c>
      <c r="J1771" s="957">
        <v>5863.02</v>
      </c>
    </row>
    <row r="1772" spans="1:10" s="852" customFormat="1" ht="28.5" outlineLevel="2">
      <c r="A1772" s="815" t="s">
        <v>681</v>
      </c>
      <c r="B1772" s="816" t="s">
        <v>7865</v>
      </c>
      <c r="C1772" s="729" t="s">
        <v>680</v>
      </c>
      <c r="D1772" s="460"/>
      <c r="E1772" s="878" t="s">
        <v>1909</v>
      </c>
      <c r="F1772" s="881" t="s">
        <v>4726</v>
      </c>
      <c r="G1772" s="731" t="s">
        <v>4185</v>
      </c>
      <c r="H1772" s="1083">
        <v>42401</v>
      </c>
      <c r="I1772" s="1084">
        <v>42480</v>
      </c>
      <c r="J1772" s="957">
        <v>5861.26</v>
      </c>
    </row>
    <row r="1773" spans="1:10" s="852" customFormat="1" ht="28.5" outlineLevel="2">
      <c r="A1773" s="815" t="s">
        <v>681</v>
      </c>
      <c r="B1773" s="816" t="s">
        <v>7865</v>
      </c>
      <c r="C1773" s="729" t="s">
        <v>680</v>
      </c>
      <c r="D1773" s="460"/>
      <c r="E1773" s="878" t="s">
        <v>1909</v>
      </c>
      <c r="F1773" s="881" t="s">
        <v>4745</v>
      </c>
      <c r="G1773" s="731" t="s">
        <v>4186</v>
      </c>
      <c r="H1773" s="1083">
        <v>42401</v>
      </c>
      <c r="I1773" s="1084">
        <v>42480</v>
      </c>
      <c r="J1773" s="957">
        <v>5861.26</v>
      </c>
    </row>
    <row r="1774" spans="1:10" s="852" customFormat="1" outlineLevel="2">
      <c r="A1774" s="815" t="s">
        <v>681</v>
      </c>
      <c r="B1774" s="816" t="s">
        <v>7865</v>
      </c>
      <c r="C1774" s="729" t="s">
        <v>680</v>
      </c>
      <c r="D1774" s="460"/>
      <c r="E1774" s="878" t="s">
        <v>493</v>
      </c>
      <c r="F1774" s="881" t="s">
        <v>1094</v>
      </c>
      <c r="G1774" s="731" t="s">
        <v>5834</v>
      </c>
      <c r="H1774" s="1083">
        <v>42430</v>
      </c>
      <c r="I1774" s="1084">
        <v>42489</v>
      </c>
      <c r="J1774" s="957">
        <v>112199.88</v>
      </c>
    </row>
    <row r="1775" spans="1:10" s="852" customFormat="1" outlineLevel="2">
      <c r="A1775" s="815" t="s">
        <v>681</v>
      </c>
      <c r="B1775" s="816" t="s">
        <v>7865</v>
      </c>
      <c r="C1775" s="729" t="s">
        <v>680</v>
      </c>
      <c r="D1775" s="460"/>
      <c r="E1775" s="878" t="s">
        <v>488</v>
      </c>
      <c r="F1775" s="881" t="s">
        <v>1094</v>
      </c>
      <c r="G1775" s="731" t="s">
        <v>5852</v>
      </c>
      <c r="H1775" s="1083">
        <v>42430</v>
      </c>
      <c r="I1775" s="1084">
        <v>42489</v>
      </c>
      <c r="J1775" s="957">
        <v>112166.21</v>
      </c>
    </row>
    <row r="1776" spans="1:10" s="852" customFormat="1" outlineLevel="2">
      <c r="A1776" s="815" t="s">
        <v>681</v>
      </c>
      <c r="B1776" s="816" t="s">
        <v>7865</v>
      </c>
      <c r="C1776" s="729" t="s">
        <v>680</v>
      </c>
      <c r="D1776" s="460"/>
      <c r="E1776" s="878" t="s">
        <v>589</v>
      </c>
      <c r="F1776" s="881" t="s">
        <v>1094</v>
      </c>
      <c r="G1776" s="731" t="s">
        <v>5873</v>
      </c>
      <c r="H1776" s="1083">
        <v>42430</v>
      </c>
      <c r="I1776" s="1084">
        <v>42489</v>
      </c>
      <c r="J1776" s="957">
        <v>114627.12</v>
      </c>
    </row>
    <row r="1777" spans="1:10" s="852" customFormat="1" outlineLevel="1">
      <c r="A1777" s="815"/>
      <c r="B1777" s="816" t="s">
        <v>258</v>
      </c>
      <c r="C1777" s="908" t="s">
        <v>680</v>
      </c>
      <c r="D1777" s="928" t="str">
        <f>VLOOKUP(C1777,$C$3691:$D$3771,2,FALSE)</f>
        <v>TOTAL POUPATEMPO  MÓVEL GRANDE SÃO PAULO</v>
      </c>
      <c r="E1777" s="1085"/>
      <c r="F1777" s="929"/>
      <c r="G1777" s="910"/>
      <c r="H1777" s="1086"/>
      <c r="I1777" s="1087"/>
      <c r="J1777" s="930">
        <f>SUBTOTAL(9,J1753:J1776)</f>
        <v>378347.47000000003</v>
      </c>
    </row>
    <row r="1778" spans="1:10" s="852" customFormat="1" outlineLevel="2">
      <c r="A1778" s="815" t="s">
        <v>1067</v>
      </c>
      <c r="B1778" s="816" t="s">
        <v>7874</v>
      </c>
      <c r="C1778" s="729" t="s">
        <v>449</v>
      </c>
      <c r="D1778" s="460"/>
      <c r="E1778" s="878" t="s">
        <v>1068</v>
      </c>
      <c r="F1778" s="881" t="s">
        <v>406</v>
      </c>
      <c r="G1778" s="731" t="s">
        <v>5736</v>
      </c>
      <c r="H1778" s="1083">
        <v>42430</v>
      </c>
      <c r="I1778" s="1084">
        <v>42488</v>
      </c>
      <c r="J1778" s="957">
        <v>2131.5</v>
      </c>
    </row>
    <row r="1779" spans="1:10" s="852" customFormat="1" outlineLevel="2">
      <c r="A1779" s="815" t="s">
        <v>1624</v>
      </c>
      <c r="B1779" s="816" t="s">
        <v>7875</v>
      </c>
      <c r="C1779" s="729" t="s">
        <v>449</v>
      </c>
      <c r="D1779" s="460"/>
      <c r="E1779" s="878" t="s">
        <v>1613</v>
      </c>
      <c r="F1779" s="881" t="s">
        <v>1614</v>
      </c>
      <c r="G1779" s="731" t="s">
        <v>5535</v>
      </c>
      <c r="H1779" s="1083">
        <v>42401</v>
      </c>
      <c r="I1779" s="1084">
        <v>42464</v>
      </c>
      <c r="J1779" s="957">
        <v>3875.54</v>
      </c>
    </row>
    <row r="1780" spans="1:10" s="852" customFormat="1" ht="28.5" outlineLevel="2">
      <c r="A1780" s="815" t="s">
        <v>1409</v>
      </c>
      <c r="B1780" s="816" t="s">
        <v>7876</v>
      </c>
      <c r="C1780" s="729" t="s">
        <v>449</v>
      </c>
      <c r="D1780" s="460"/>
      <c r="E1780" s="878" t="s">
        <v>1410</v>
      </c>
      <c r="F1780" s="881" t="s">
        <v>1424</v>
      </c>
      <c r="G1780" s="731" t="s">
        <v>5525</v>
      </c>
      <c r="H1780" s="1083">
        <v>42430</v>
      </c>
      <c r="I1780" s="1084">
        <v>42461</v>
      </c>
      <c r="J1780" s="957">
        <v>1558</v>
      </c>
    </row>
    <row r="1781" spans="1:10" s="852" customFormat="1" ht="28.5" outlineLevel="2">
      <c r="A1781" s="815" t="s">
        <v>1423</v>
      </c>
      <c r="B1781" s="816" t="s">
        <v>7876</v>
      </c>
      <c r="C1781" s="729" t="s">
        <v>449</v>
      </c>
      <c r="D1781" s="460"/>
      <c r="E1781" s="878" t="s">
        <v>1410</v>
      </c>
      <c r="F1781" s="881" t="s">
        <v>1424</v>
      </c>
      <c r="G1781" s="731" t="s">
        <v>5525</v>
      </c>
      <c r="H1781" s="1083">
        <v>42430</v>
      </c>
      <c r="I1781" s="1084">
        <v>42461</v>
      </c>
      <c r="J1781" s="957">
        <v>868.4</v>
      </c>
    </row>
    <row r="1782" spans="1:10" s="852" customFormat="1" ht="28.5" outlineLevel="2">
      <c r="A1782" s="815" t="s">
        <v>1427</v>
      </c>
      <c r="B1782" s="816" t="s">
        <v>7876</v>
      </c>
      <c r="C1782" s="729" t="s">
        <v>449</v>
      </c>
      <c r="D1782" s="460"/>
      <c r="E1782" s="878" t="s">
        <v>1410</v>
      </c>
      <c r="F1782" s="881" t="s">
        <v>1424</v>
      </c>
      <c r="G1782" s="731" t="s">
        <v>5525</v>
      </c>
      <c r="H1782" s="1083">
        <v>42430</v>
      </c>
      <c r="I1782" s="1084">
        <v>42461</v>
      </c>
      <c r="J1782" s="957">
        <v>1617.6</v>
      </c>
    </row>
    <row r="1783" spans="1:10" s="852" customFormat="1" outlineLevel="2">
      <c r="A1783" s="815" t="s">
        <v>682</v>
      </c>
      <c r="B1783" s="816" t="s">
        <v>7877</v>
      </c>
      <c r="C1783" s="729" t="s">
        <v>449</v>
      </c>
      <c r="D1783" s="460"/>
      <c r="E1783" s="878" t="s">
        <v>683</v>
      </c>
      <c r="F1783" s="881" t="s">
        <v>1071</v>
      </c>
      <c r="G1783" s="731" t="s">
        <v>5548</v>
      </c>
      <c r="H1783" s="1083">
        <v>42430</v>
      </c>
      <c r="I1783" s="1084">
        <v>42464</v>
      </c>
      <c r="J1783" s="957">
        <v>3876.13</v>
      </c>
    </row>
    <row r="1784" spans="1:10" s="852" customFormat="1" outlineLevel="2">
      <c r="A1784" s="815" t="s">
        <v>682</v>
      </c>
      <c r="B1784" s="816" t="s">
        <v>7877</v>
      </c>
      <c r="C1784" s="729" t="s">
        <v>449</v>
      </c>
      <c r="D1784" s="460"/>
      <c r="E1784" s="878" t="s">
        <v>683</v>
      </c>
      <c r="F1784" s="881" t="s">
        <v>1071</v>
      </c>
      <c r="G1784" s="731" t="s">
        <v>5550</v>
      </c>
      <c r="H1784" s="1083">
        <v>42430</v>
      </c>
      <c r="I1784" s="1084">
        <v>42464</v>
      </c>
      <c r="J1784" s="957">
        <v>3111.28</v>
      </c>
    </row>
    <row r="1785" spans="1:10" s="852" customFormat="1" outlineLevel="2">
      <c r="A1785" s="815" t="s">
        <v>5695</v>
      </c>
      <c r="B1785" s="816" t="s">
        <v>6991</v>
      </c>
      <c r="C1785" s="729" t="s">
        <v>449</v>
      </c>
      <c r="D1785" s="460"/>
      <c r="E1785" s="878" t="s">
        <v>5696</v>
      </c>
      <c r="F1785" s="881" t="s">
        <v>435</v>
      </c>
      <c r="G1785" s="731" t="s">
        <v>5697</v>
      </c>
      <c r="H1785" s="1083">
        <v>42430</v>
      </c>
      <c r="I1785" s="1084">
        <v>42480</v>
      </c>
      <c r="J1785" s="957">
        <v>475</v>
      </c>
    </row>
    <row r="1786" spans="1:10" s="852" customFormat="1" outlineLevel="2">
      <c r="A1786" s="815" t="s">
        <v>6421</v>
      </c>
      <c r="B1786" s="816" t="s">
        <v>7878</v>
      </c>
      <c r="C1786" s="729" t="s">
        <v>449</v>
      </c>
      <c r="D1786" s="460"/>
      <c r="E1786" s="878" t="s">
        <v>546</v>
      </c>
      <c r="F1786" s="881" t="s">
        <v>6486</v>
      </c>
      <c r="G1786" s="731" t="s">
        <v>6486</v>
      </c>
      <c r="H1786" s="1083">
        <v>42401</v>
      </c>
      <c r="I1786" s="1084">
        <v>42485</v>
      </c>
      <c r="J1786" s="957">
        <v>1.61</v>
      </c>
    </row>
    <row r="1787" spans="1:10" s="852" customFormat="1" outlineLevel="2">
      <c r="A1787" s="815" t="s">
        <v>6421</v>
      </c>
      <c r="B1787" s="816" t="s">
        <v>7878</v>
      </c>
      <c r="C1787" s="729" t="s">
        <v>449</v>
      </c>
      <c r="D1787" s="460"/>
      <c r="E1787" s="878" t="s">
        <v>624</v>
      </c>
      <c r="F1787" s="881" t="s">
        <v>6454</v>
      </c>
      <c r="G1787" s="731" t="s">
        <v>6454</v>
      </c>
      <c r="H1787" s="1083">
        <v>42401</v>
      </c>
      <c r="I1787" s="1084">
        <v>42475</v>
      </c>
      <c r="J1787" s="957">
        <v>1.5</v>
      </c>
    </row>
    <row r="1788" spans="1:10" s="852" customFormat="1" outlineLevel="2">
      <c r="A1788" s="815" t="s">
        <v>2345</v>
      </c>
      <c r="B1788" s="816" t="s">
        <v>7873</v>
      </c>
      <c r="C1788" s="729" t="s">
        <v>449</v>
      </c>
      <c r="D1788" s="460"/>
      <c r="E1788" s="878" t="s">
        <v>2705</v>
      </c>
      <c r="F1788" s="881" t="s">
        <v>3888</v>
      </c>
      <c r="G1788" s="731" t="s">
        <v>4188</v>
      </c>
      <c r="H1788" s="1083">
        <v>42430</v>
      </c>
      <c r="I1788" s="1084">
        <v>42480</v>
      </c>
      <c r="J1788" s="957">
        <v>11</v>
      </c>
    </row>
    <row r="1789" spans="1:10" s="852" customFormat="1" outlineLevel="2">
      <c r="A1789" s="815" t="s">
        <v>6421</v>
      </c>
      <c r="B1789" s="816" t="s">
        <v>7878</v>
      </c>
      <c r="C1789" s="729" t="s">
        <v>449</v>
      </c>
      <c r="D1789" s="460"/>
      <c r="E1789" s="878" t="s">
        <v>6422</v>
      </c>
      <c r="F1789" s="881" t="e">
        <f>VLOOKUP(B1789,'[13]plano contabil'!C431:'[13]plano contabil'!E1924,3,FALSE)</f>
        <v>#REF!</v>
      </c>
      <c r="G1789" s="731" t="s">
        <v>6423</v>
      </c>
      <c r="H1789" s="1083">
        <v>42401</v>
      </c>
      <c r="I1789" s="1084">
        <v>42471</v>
      </c>
      <c r="J1789" s="957">
        <v>1.25</v>
      </c>
    </row>
    <row r="1790" spans="1:10" s="852" customFormat="1" outlineLevel="2">
      <c r="A1790" s="815" t="s">
        <v>451</v>
      </c>
      <c r="B1790" s="816" t="s">
        <v>7877</v>
      </c>
      <c r="C1790" s="729" t="s">
        <v>449</v>
      </c>
      <c r="D1790" s="460"/>
      <c r="E1790" s="878" t="s">
        <v>452</v>
      </c>
      <c r="F1790" s="881" t="s">
        <v>1071</v>
      </c>
      <c r="G1790" s="731" t="s">
        <v>5594</v>
      </c>
      <c r="H1790" s="1083">
        <v>42401</v>
      </c>
      <c r="I1790" s="1084">
        <v>42468</v>
      </c>
      <c r="J1790" s="957">
        <v>12674.48</v>
      </c>
    </row>
    <row r="1791" spans="1:10" s="852" customFormat="1" outlineLevel="2">
      <c r="A1791" s="815" t="s">
        <v>682</v>
      </c>
      <c r="B1791" s="816" t="s">
        <v>7877</v>
      </c>
      <c r="C1791" s="729" t="s">
        <v>449</v>
      </c>
      <c r="D1791" s="460"/>
      <c r="E1791" s="878" t="s">
        <v>1909</v>
      </c>
      <c r="F1791" s="881" t="s">
        <v>4531</v>
      </c>
      <c r="G1791" s="731" t="s">
        <v>4203</v>
      </c>
      <c r="H1791" s="1083">
        <v>42430</v>
      </c>
      <c r="I1791" s="1084">
        <v>42480</v>
      </c>
      <c r="J1791" s="957">
        <v>61.95</v>
      </c>
    </row>
    <row r="1792" spans="1:10" s="852" customFormat="1" outlineLevel="2">
      <c r="A1792" s="815" t="s">
        <v>682</v>
      </c>
      <c r="B1792" s="816" t="s">
        <v>7877</v>
      </c>
      <c r="C1792" s="729" t="s">
        <v>449</v>
      </c>
      <c r="D1792" s="460"/>
      <c r="E1792" s="878" t="s">
        <v>1909</v>
      </c>
      <c r="F1792" s="881" t="s">
        <v>4533</v>
      </c>
      <c r="G1792" s="731" t="s">
        <v>4204</v>
      </c>
      <c r="H1792" s="1083">
        <v>42430</v>
      </c>
      <c r="I1792" s="1084">
        <v>42480</v>
      </c>
      <c r="J1792" s="957">
        <v>49.73</v>
      </c>
    </row>
    <row r="1793" spans="1:10" s="852" customFormat="1" outlineLevel="2">
      <c r="A1793" s="815" t="s">
        <v>451</v>
      </c>
      <c r="B1793" s="816" t="s">
        <v>7877</v>
      </c>
      <c r="C1793" s="729" t="s">
        <v>449</v>
      </c>
      <c r="D1793" s="460"/>
      <c r="E1793" s="878" t="s">
        <v>1909</v>
      </c>
      <c r="F1793" s="881" t="s">
        <v>5332</v>
      </c>
      <c r="G1793" s="731" t="s">
        <v>4206</v>
      </c>
      <c r="H1793" s="1083">
        <v>42401</v>
      </c>
      <c r="I1793" s="1084">
        <v>42480</v>
      </c>
      <c r="J1793" s="957">
        <v>190.12</v>
      </c>
    </row>
    <row r="1794" spans="1:10" s="852" customFormat="1" ht="28.5" outlineLevel="2">
      <c r="A1794" s="815" t="s">
        <v>682</v>
      </c>
      <c r="B1794" s="816" t="s">
        <v>7877</v>
      </c>
      <c r="C1794" s="729" t="s">
        <v>449</v>
      </c>
      <c r="D1794" s="460"/>
      <c r="E1794" s="878" t="s">
        <v>1909</v>
      </c>
      <c r="F1794" s="881" t="s">
        <v>6299</v>
      </c>
      <c r="G1794" s="731" t="s">
        <v>4190</v>
      </c>
      <c r="H1794" s="1083">
        <v>42370</v>
      </c>
      <c r="I1794" s="1084">
        <v>42480</v>
      </c>
      <c r="J1794" s="957">
        <v>203.49</v>
      </c>
    </row>
    <row r="1795" spans="1:10" s="852" customFormat="1" ht="28.5" outlineLevel="2">
      <c r="A1795" s="815" t="s">
        <v>682</v>
      </c>
      <c r="B1795" s="816" t="s">
        <v>7877</v>
      </c>
      <c r="C1795" s="729" t="s">
        <v>449</v>
      </c>
      <c r="D1795" s="460"/>
      <c r="E1795" s="878" t="s">
        <v>1909</v>
      </c>
      <c r="F1795" s="881" t="s">
        <v>6299</v>
      </c>
      <c r="G1795" s="731" t="s">
        <v>4193</v>
      </c>
      <c r="H1795" s="1083">
        <v>42370</v>
      </c>
      <c r="I1795" s="1084">
        <v>42480</v>
      </c>
      <c r="J1795" s="957">
        <v>203.49</v>
      </c>
    </row>
    <row r="1796" spans="1:10" s="852" customFormat="1" ht="28.5" outlineLevel="2">
      <c r="A1796" s="815" t="s">
        <v>682</v>
      </c>
      <c r="B1796" s="816" t="s">
        <v>7877</v>
      </c>
      <c r="C1796" s="729" t="s">
        <v>449</v>
      </c>
      <c r="D1796" s="460"/>
      <c r="E1796" s="878" t="s">
        <v>1909</v>
      </c>
      <c r="F1796" s="881" t="s">
        <v>6299</v>
      </c>
      <c r="G1796" s="731" t="s">
        <v>4196</v>
      </c>
      <c r="H1796" s="1083">
        <v>42370</v>
      </c>
      <c r="I1796" s="1084">
        <v>42480</v>
      </c>
      <c r="J1796" s="957">
        <v>-203.49</v>
      </c>
    </row>
    <row r="1797" spans="1:10" s="852" customFormat="1" ht="28.5" outlineLevel="2">
      <c r="A1797" s="815" t="s">
        <v>682</v>
      </c>
      <c r="B1797" s="816" t="s">
        <v>7877</v>
      </c>
      <c r="C1797" s="729" t="s">
        <v>449</v>
      </c>
      <c r="D1797" s="460"/>
      <c r="E1797" s="878" t="s">
        <v>1909</v>
      </c>
      <c r="F1797" s="881" t="s">
        <v>6298</v>
      </c>
      <c r="G1797" s="731" t="s">
        <v>4189</v>
      </c>
      <c r="H1797" s="1083">
        <v>42370</v>
      </c>
      <c r="I1797" s="1084">
        <v>42480</v>
      </c>
      <c r="J1797" s="957">
        <v>582.54</v>
      </c>
    </row>
    <row r="1798" spans="1:10" s="852" customFormat="1" ht="28.5" outlineLevel="2">
      <c r="A1798" s="815" t="s">
        <v>682</v>
      </c>
      <c r="B1798" s="816" t="s">
        <v>7877</v>
      </c>
      <c r="C1798" s="729" t="s">
        <v>449</v>
      </c>
      <c r="D1798" s="460"/>
      <c r="E1798" s="878" t="s">
        <v>1909</v>
      </c>
      <c r="F1798" s="881" t="s">
        <v>6298</v>
      </c>
      <c r="G1798" s="731" t="s">
        <v>4192</v>
      </c>
      <c r="H1798" s="1083">
        <v>42370</v>
      </c>
      <c r="I1798" s="1084">
        <v>42480</v>
      </c>
      <c r="J1798" s="957">
        <v>582.54</v>
      </c>
    </row>
    <row r="1799" spans="1:10" s="852" customFormat="1" ht="28.5" outlineLevel="2">
      <c r="A1799" s="815" t="s">
        <v>682</v>
      </c>
      <c r="B1799" s="816" t="s">
        <v>7877</v>
      </c>
      <c r="C1799" s="729" t="s">
        <v>449</v>
      </c>
      <c r="D1799" s="460"/>
      <c r="E1799" s="878" t="s">
        <v>1909</v>
      </c>
      <c r="F1799" s="881" t="s">
        <v>6298</v>
      </c>
      <c r="G1799" s="731" t="s">
        <v>4195</v>
      </c>
      <c r="H1799" s="1083">
        <v>42370</v>
      </c>
      <c r="I1799" s="1084">
        <v>42480</v>
      </c>
      <c r="J1799" s="957">
        <v>-582.54</v>
      </c>
    </row>
    <row r="1800" spans="1:10" s="852" customFormat="1" ht="28.5" outlineLevel="2">
      <c r="A1800" s="815" t="s">
        <v>2345</v>
      </c>
      <c r="B1800" s="816" t="s">
        <v>7873</v>
      </c>
      <c r="C1800" s="729" t="s">
        <v>449</v>
      </c>
      <c r="D1800" s="460"/>
      <c r="E1800" s="878" t="s">
        <v>1909</v>
      </c>
      <c r="F1800" s="881" t="s">
        <v>6300</v>
      </c>
      <c r="G1800" s="731" t="s">
        <v>4191</v>
      </c>
      <c r="H1800" s="1083">
        <v>42401</v>
      </c>
      <c r="I1800" s="1084">
        <v>42480</v>
      </c>
      <c r="J1800" s="957">
        <v>25.58</v>
      </c>
    </row>
    <row r="1801" spans="1:10" s="852" customFormat="1" ht="28.5" outlineLevel="2">
      <c r="A1801" s="815" t="s">
        <v>2345</v>
      </c>
      <c r="B1801" s="816" t="s">
        <v>7873</v>
      </c>
      <c r="C1801" s="729" t="s">
        <v>449</v>
      </c>
      <c r="D1801" s="460"/>
      <c r="E1801" s="878" t="s">
        <v>1909</v>
      </c>
      <c r="F1801" s="881" t="s">
        <v>6300</v>
      </c>
      <c r="G1801" s="731" t="s">
        <v>4194</v>
      </c>
      <c r="H1801" s="1083">
        <v>42401</v>
      </c>
      <c r="I1801" s="1084">
        <v>42480</v>
      </c>
      <c r="J1801" s="957">
        <v>25.58</v>
      </c>
    </row>
    <row r="1802" spans="1:10" s="852" customFormat="1" ht="28.5" outlineLevel="2">
      <c r="A1802" s="815" t="s">
        <v>2345</v>
      </c>
      <c r="B1802" s="816" t="s">
        <v>7873</v>
      </c>
      <c r="C1802" s="729" t="s">
        <v>449</v>
      </c>
      <c r="D1802" s="460"/>
      <c r="E1802" s="878" t="s">
        <v>1909</v>
      </c>
      <c r="F1802" s="881" t="s">
        <v>6300</v>
      </c>
      <c r="G1802" s="731" t="s">
        <v>4197</v>
      </c>
      <c r="H1802" s="1083">
        <v>42401</v>
      </c>
      <c r="I1802" s="1084">
        <v>42480</v>
      </c>
      <c r="J1802" s="957">
        <v>-25.58</v>
      </c>
    </row>
    <row r="1803" spans="1:10" s="852" customFormat="1" ht="28.5" outlineLevel="2">
      <c r="A1803" s="815" t="s">
        <v>2345</v>
      </c>
      <c r="B1803" s="816" t="s">
        <v>7873</v>
      </c>
      <c r="C1803" s="729" t="s">
        <v>449</v>
      </c>
      <c r="D1803" s="460"/>
      <c r="E1803" s="878" t="s">
        <v>1909</v>
      </c>
      <c r="F1803" s="881" t="s">
        <v>5009</v>
      </c>
      <c r="G1803" s="731" t="s">
        <v>4205</v>
      </c>
      <c r="H1803" s="1083">
        <v>42430</v>
      </c>
      <c r="I1803" s="1084">
        <v>42480</v>
      </c>
      <c r="J1803" s="957">
        <v>25.58</v>
      </c>
    </row>
    <row r="1804" spans="1:10" s="852" customFormat="1" ht="28.5" outlineLevel="2">
      <c r="A1804" s="815" t="s">
        <v>451</v>
      </c>
      <c r="B1804" s="816" t="s">
        <v>7877</v>
      </c>
      <c r="C1804" s="729" t="s">
        <v>449</v>
      </c>
      <c r="D1804" s="460"/>
      <c r="E1804" s="878" t="s">
        <v>1909</v>
      </c>
      <c r="F1804" s="881" t="s">
        <v>6302</v>
      </c>
      <c r="G1804" s="731" t="s">
        <v>4199</v>
      </c>
      <c r="H1804" s="1083">
        <v>42401</v>
      </c>
      <c r="I1804" s="1084">
        <v>42480</v>
      </c>
      <c r="J1804" s="957">
        <v>660.36</v>
      </c>
    </row>
    <row r="1805" spans="1:10" s="852" customFormat="1" ht="28.5" outlineLevel="2">
      <c r="A1805" s="815" t="s">
        <v>451</v>
      </c>
      <c r="B1805" s="816" t="s">
        <v>7877</v>
      </c>
      <c r="C1805" s="729" t="s">
        <v>449</v>
      </c>
      <c r="D1805" s="460"/>
      <c r="E1805" s="878" t="s">
        <v>1909</v>
      </c>
      <c r="F1805" s="881" t="s">
        <v>6304</v>
      </c>
      <c r="G1805" s="731" t="s">
        <v>4201</v>
      </c>
      <c r="H1805" s="1083">
        <v>42370</v>
      </c>
      <c r="I1805" s="1084">
        <v>42480</v>
      </c>
      <c r="J1805" s="957">
        <v>270.68</v>
      </c>
    </row>
    <row r="1806" spans="1:10" s="852" customFormat="1" ht="28.5" outlineLevel="2">
      <c r="A1806" s="815" t="s">
        <v>451</v>
      </c>
      <c r="B1806" s="816" t="s">
        <v>7877</v>
      </c>
      <c r="C1806" s="729" t="s">
        <v>449</v>
      </c>
      <c r="D1806" s="460"/>
      <c r="E1806" s="878" t="s">
        <v>1909</v>
      </c>
      <c r="F1806" s="881" t="s">
        <v>6303</v>
      </c>
      <c r="G1806" s="731" t="s">
        <v>4200</v>
      </c>
      <c r="H1806" s="1083">
        <v>42370</v>
      </c>
      <c r="I1806" s="1084">
        <v>42480</v>
      </c>
      <c r="J1806" s="957">
        <v>473.64</v>
      </c>
    </row>
    <row r="1807" spans="1:10" s="852" customFormat="1" ht="28.5" outlineLevel="2">
      <c r="A1807" s="815" t="s">
        <v>451</v>
      </c>
      <c r="B1807" s="816" t="s">
        <v>7877</v>
      </c>
      <c r="C1807" s="729" t="s">
        <v>449</v>
      </c>
      <c r="D1807" s="460"/>
      <c r="E1807" s="878" t="s">
        <v>1909</v>
      </c>
      <c r="F1807" s="881" t="s">
        <v>6301</v>
      </c>
      <c r="G1807" s="731" t="s">
        <v>4198</v>
      </c>
      <c r="H1807" s="1083">
        <v>42401</v>
      </c>
      <c r="I1807" s="1084">
        <v>42480</v>
      </c>
      <c r="J1807" s="957">
        <v>650.84</v>
      </c>
    </row>
    <row r="1808" spans="1:10" s="852" customFormat="1" outlineLevel="2">
      <c r="A1808" s="849" t="s">
        <v>1827</v>
      </c>
      <c r="B1808" s="816" t="s">
        <v>7879</v>
      </c>
      <c r="C1808" s="571" t="s">
        <v>449</v>
      </c>
      <c r="D1808" s="474"/>
      <c r="E1808" s="474" t="s">
        <v>120</v>
      </c>
      <c r="F1808" s="475" t="s">
        <v>121</v>
      </c>
      <c r="G1808" s="539" t="s">
        <v>122</v>
      </c>
      <c r="H1808" s="822">
        <v>42461</v>
      </c>
      <c r="I1808" s="574">
        <v>42489</v>
      </c>
      <c r="J1808" s="835">
        <v>25.1</v>
      </c>
    </row>
    <row r="1809" spans="1:10" s="852" customFormat="1" ht="28.5" outlineLevel="2">
      <c r="A1809" s="815" t="s">
        <v>451</v>
      </c>
      <c r="B1809" s="816" t="s">
        <v>7877</v>
      </c>
      <c r="C1809" s="729" t="s">
        <v>449</v>
      </c>
      <c r="D1809" s="460"/>
      <c r="E1809" s="878" t="s">
        <v>1909</v>
      </c>
      <c r="F1809" s="881" t="s">
        <v>6305</v>
      </c>
      <c r="G1809" s="731" t="s">
        <v>4202</v>
      </c>
      <c r="H1809" s="1083">
        <v>42370</v>
      </c>
      <c r="I1809" s="1084">
        <v>42480</v>
      </c>
      <c r="J1809" s="957">
        <v>604.11</v>
      </c>
    </row>
    <row r="1810" spans="1:10" s="852" customFormat="1" ht="28.5" outlineLevel="2">
      <c r="A1810" s="815" t="s">
        <v>5747</v>
      </c>
      <c r="B1810" s="816" t="s">
        <v>7876</v>
      </c>
      <c r="C1810" s="729" t="s">
        <v>449</v>
      </c>
      <c r="D1810" s="460"/>
      <c r="E1810" s="878" t="s">
        <v>5748</v>
      </c>
      <c r="F1810" s="881" t="s">
        <v>2484</v>
      </c>
      <c r="G1810" s="731" t="s">
        <v>5749</v>
      </c>
      <c r="H1810" s="1083">
        <v>42461</v>
      </c>
      <c r="I1810" s="1084">
        <v>42488</v>
      </c>
      <c r="J1810" s="957">
        <v>212.8</v>
      </c>
    </row>
    <row r="1811" spans="1:10" s="852" customFormat="1" ht="28.5" outlineLevel="2">
      <c r="A1811" s="815" t="s">
        <v>5613</v>
      </c>
      <c r="B1811" s="816" t="s">
        <v>7880</v>
      </c>
      <c r="C1811" s="729" t="s">
        <v>449</v>
      </c>
      <c r="D1811" s="460"/>
      <c r="E1811" s="878" t="s">
        <v>438</v>
      </c>
      <c r="F1811" s="881" t="s">
        <v>2294</v>
      </c>
      <c r="G1811" s="731" t="s">
        <v>5614</v>
      </c>
      <c r="H1811" s="1083">
        <v>42461</v>
      </c>
      <c r="I1811" s="1084">
        <v>42471</v>
      </c>
      <c r="J1811" s="957">
        <v>14.48</v>
      </c>
    </row>
    <row r="1812" spans="1:10" s="852" customFormat="1" ht="28.5" outlineLevel="2">
      <c r="A1812" s="815" t="s">
        <v>2345</v>
      </c>
      <c r="B1812" s="816" t="s">
        <v>7873</v>
      </c>
      <c r="C1812" s="729" t="s">
        <v>449</v>
      </c>
      <c r="D1812" s="460"/>
      <c r="E1812" s="878" t="s">
        <v>438</v>
      </c>
      <c r="F1812" s="881" t="s">
        <v>2406</v>
      </c>
      <c r="G1812" s="731" t="s">
        <v>5869</v>
      </c>
      <c r="H1812" s="1083">
        <v>42461</v>
      </c>
      <c r="I1812" s="1084">
        <v>42489</v>
      </c>
      <c r="J1812" s="957">
        <v>11</v>
      </c>
    </row>
    <row r="1813" spans="1:10" s="852" customFormat="1" outlineLevel="1">
      <c r="A1813" s="815"/>
      <c r="B1813" s="816" t="s">
        <v>258</v>
      </c>
      <c r="C1813" s="908" t="s">
        <v>449</v>
      </c>
      <c r="D1813" s="928" t="str">
        <f>VLOOKUP(C1813,$C$3691:$D$3771,2,FALSE)</f>
        <v>TOTAL POUPATEMPO  SUPERINTENDÊNCIA</v>
      </c>
      <c r="E1813" s="1085"/>
      <c r="F1813" s="929"/>
      <c r="G1813" s="910"/>
      <c r="H1813" s="1086"/>
      <c r="I1813" s="1087"/>
      <c r="J1813" s="930">
        <f>SUBTOTAL(9,J1778:J1812)</f>
        <v>34265.290000000008</v>
      </c>
    </row>
    <row r="1814" spans="1:10" s="852" customFormat="1" outlineLevel="2">
      <c r="A1814" s="815" t="s">
        <v>5894</v>
      </c>
      <c r="B1814" s="816" t="s">
        <v>7881</v>
      </c>
      <c r="C1814" s="729" t="s">
        <v>454</v>
      </c>
      <c r="D1814" s="460"/>
      <c r="E1814" s="878" t="s">
        <v>695</v>
      </c>
      <c r="F1814" s="881" t="s">
        <v>943</v>
      </c>
      <c r="G1814" s="731" t="s">
        <v>5518</v>
      </c>
      <c r="H1814" s="1083">
        <v>42401</v>
      </c>
      <c r="I1814" s="1084">
        <v>42461</v>
      </c>
      <c r="J1814" s="957">
        <v>127</v>
      </c>
    </row>
    <row r="1815" spans="1:10" s="852" customFormat="1" outlineLevel="2">
      <c r="A1815" s="815" t="s">
        <v>5920</v>
      </c>
      <c r="B1815" s="816" t="s">
        <v>7882</v>
      </c>
      <c r="C1815" s="729" t="s">
        <v>454</v>
      </c>
      <c r="D1815" s="460"/>
      <c r="E1815" s="878" t="s">
        <v>721</v>
      </c>
      <c r="F1815" s="881" t="s">
        <v>1030</v>
      </c>
      <c r="G1815" s="731" t="str">
        <f>"2030"</f>
        <v>2030</v>
      </c>
      <c r="H1815" s="1083">
        <v>42401</v>
      </c>
      <c r="I1815" s="1084">
        <v>42466</v>
      </c>
      <c r="J1815" s="957">
        <v>220956.92</v>
      </c>
    </row>
    <row r="1816" spans="1:10" s="852" customFormat="1" outlineLevel="2">
      <c r="A1816" s="815" t="s">
        <v>5921</v>
      </c>
      <c r="B1816" s="816" t="s">
        <v>7883</v>
      </c>
      <c r="C1816" s="729" t="s">
        <v>454</v>
      </c>
      <c r="D1816" s="460"/>
      <c r="E1816" s="878" t="s">
        <v>721</v>
      </c>
      <c r="F1816" s="881" t="s">
        <v>1030</v>
      </c>
      <c r="G1816" s="731" t="str">
        <f>"2030"</f>
        <v>2030</v>
      </c>
      <c r="H1816" s="1083">
        <v>42401</v>
      </c>
      <c r="I1816" s="1084">
        <v>42466</v>
      </c>
      <c r="J1816" s="957">
        <v>29460.92</v>
      </c>
    </row>
    <row r="1817" spans="1:10" s="852" customFormat="1" outlineLevel="2">
      <c r="A1817" s="815" t="s">
        <v>1645</v>
      </c>
      <c r="B1817" s="816" t="s">
        <v>7884</v>
      </c>
      <c r="C1817" s="729" t="s">
        <v>454</v>
      </c>
      <c r="D1817" s="460"/>
      <c r="E1817" s="878" t="s">
        <v>1641</v>
      </c>
      <c r="F1817" s="881" t="s">
        <v>1634</v>
      </c>
      <c r="G1817" s="731" t="s">
        <v>5640</v>
      </c>
      <c r="H1817" s="1083">
        <v>42461</v>
      </c>
      <c r="I1817" s="1084">
        <v>42475</v>
      </c>
      <c r="J1817" s="957">
        <v>26.67</v>
      </c>
    </row>
    <row r="1818" spans="1:10" s="852" customFormat="1" outlineLevel="2">
      <c r="A1818" s="815" t="s">
        <v>693</v>
      </c>
      <c r="B1818" s="816" t="s">
        <v>7877</v>
      </c>
      <c r="C1818" s="729" t="s">
        <v>454</v>
      </c>
      <c r="D1818" s="460"/>
      <c r="E1818" s="878" t="s">
        <v>683</v>
      </c>
      <c r="F1818" s="881" t="s">
        <v>1071</v>
      </c>
      <c r="G1818" s="731" t="s">
        <v>5546</v>
      </c>
      <c r="H1818" s="1083">
        <v>42430</v>
      </c>
      <c r="I1818" s="1084">
        <v>42464</v>
      </c>
      <c r="J1818" s="957">
        <v>16425.72</v>
      </c>
    </row>
    <row r="1819" spans="1:10" s="852" customFormat="1" outlineLevel="2">
      <c r="A1819" s="815" t="s">
        <v>1816</v>
      </c>
      <c r="B1819" s="816" t="s">
        <v>2518</v>
      </c>
      <c r="C1819" s="729" t="s">
        <v>454</v>
      </c>
      <c r="D1819" s="460"/>
      <c r="E1819" s="878" t="s">
        <v>5650</v>
      </c>
      <c r="F1819" s="881" t="s">
        <v>439</v>
      </c>
      <c r="G1819" s="731" t="s">
        <v>5651</v>
      </c>
      <c r="H1819" s="1083">
        <v>42430</v>
      </c>
      <c r="I1819" s="1084">
        <v>42475</v>
      </c>
      <c r="J1819" s="957">
        <v>230</v>
      </c>
    </row>
    <row r="1820" spans="1:10" s="852" customFormat="1" outlineLevel="2">
      <c r="A1820" s="815" t="s">
        <v>5939</v>
      </c>
      <c r="B1820" s="816" t="s">
        <v>7864</v>
      </c>
      <c r="C1820" s="729" t="s">
        <v>454</v>
      </c>
      <c r="D1820" s="460"/>
      <c r="E1820" s="878" t="s">
        <v>6470</v>
      </c>
      <c r="F1820" s="881" t="s">
        <v>434</v>
      </c>
      <c r="G1820" s="731" t="str">
        <f>"2621"</f>
        <v>2621</v>
      </c>
      <c r="H1820" s="1083">
        <v>42370</v>
      </c>
      <c r="I1820" s="1084">
        <v>42478</v>
      </c>
      <c r="J1820" s="957">
        <v>-5909.56</v>
      </c>
    </row>
    <row r="1821" spans="1:10" s="852" customFormat="1" outlineLevel="2">
      <c r="A1821" s="815" t="s">
        <v>5939</v>
      </c>
      <c r="B1821" s="816" t="s">
        <v>7864</v>
      </c>
      <c r="C1821" s="729" t="s">
        <v>454</v>
      </c>
      <c r="D1821" s="460"/>
      <c r="E1821" s="878" t="s">
        <v>6470</v>
      </c>
      <c r="F1821" s="881" t="s">
        <v>434</v>
      </c>
      <c r="G1821" s="731" t="str">
        <f>"2621"</f>
        <v>2621</v>
      </c>
      <c r="H1821" s="1083">
        <v>42370</v>
      </c>
      <c r="I1821" s="1084">
        <v>42478</v>
      </c>
      <c r="J1821" s="957">
        <v>5909.56</v>
      </c>
    </row>
    <row r="1822" spans="1:10" s="852" customFormat="1" outlineLevel="2">
      <c r="A1822" s="815" t="s">
        <v>5939</v>
      </c>
      <c r="B1822" s="816" t="s">
        <v>7864</v>
      </c>
      <c r="C1822" s="729" t="s">
        <v>454</v>
      </c>
      <c r="D1822" s="460"/>
      <c r="E1822" s="878" t="s">
        <v>6470</v>
      </c>
      <c r="F1822" s="881" t="s">
        <v>434</v>
      </c>
      <c r="G1822" s="731" t="str">
        <f>"2621"</f>
        <v>2621</v>
      </c>
      <c r="H1822" s="1083">
        <v>42370</v>
      </c>
      <c r="I1822" s="1084">
        <v>42478</v>
      </c>
      <c r="J1822" s="957">
        <v>5909.56</v>
      </c>
    </row>
    <row r="1823" spans="1:10" s="852" customFormat="1" outlineLevel="2">
      <c r="A1823" s="815" t="s">
        <v>5939</v>
      </c>
      <c r="B1823" s="816" t="s">
        <v>7864</v>
      </c>
      <c r="C1823" s="729" t="s">
        <v>454</v>
      </c>
      <c r="D1823" s="460"/>
      <c r="E1823" s="878" t="s">
        <v>6470</v>
      </c>
      <c r="F1823" s="881" t="s">
        <v>434</v>
      </c>
      <c r="G1823" s="731" t="str">
        <f>"2621"</f>
        <v>2621</v>
      </c>
      <c r="H1823" s="1083">
        <v>42370</v>
      </c>
      <c r="I1823" s="1084">
        <v>42478</v>
      </c>
      <c r="J1823" s="957">
        <v>5909.56</v>
      </c>
    </row>
    <row r="1824" spans="1:10" s="852" customFormat="1" outlineLevel="2">
      <c r="A1824" s="815" t="s">
        <v>5939</v>
      </c>
      <c r="B1824" s="816" t="s">
        <v>7864</v>
      </c>
      <c r="C1824" s="729" t="s">
        <v>454</v>
      </c>
      <c r="D1824" s="460"/>
      <c r="E1824" s="878" t="s">
        <v>6470</v>
      </c>
      <c r="F1824" s="881" t="s">
        <v>434</v>
      </c>
      <c r="G1824" s="731" t="str">
        <f>"2621"</f>
        <v>2621</v>
      </c>
      <c r="H1824" s="1083">
        <v>42370</v>
      </c>
      <c r="I1824" s="1084">
        <v>42478</v>
      </c>
      <c r="J1824" s="957">
        <v>-5909.56</v>
      </c>
    </row>
    <row r="1825" spans="1:10" s="852" customFormat="1" ht="28.5" outlineLevel="2">
      <c r="A1825" s="815" t="s">
        <v>2584</v>
      </c>
      <c r="B1825" s="816" t="s">
        <v>7883</v>
      </c>
      <c r="C1825" s="729" t="s">
        <v>454</v>
      </c>
      <c r="D1825" s="460"/>
      <c r="E1825" s="878" t="s">
        <v>2336</v>
      </c>
      <c r="F1825" s="881" t="s">
        <v>5184</v>
      </c>
      <c r="G1825" s="731" t="s">
        <v>4212</v>
      </c>
      <c r="H1825" s="1083">
        <v>42401</v>
      </c>
      <c r="I1825" s="1084">
        <v>42480</v>
      </c>
      <c r="J1825" s="957">
        <v>3103</v>
      </c>
    </row>
    <row r="1826" spans="1:10" s="852" customFormat="1" ht="28.5" outlineLevel="2">
      <c r="A1826" s="815" t="s">
        <v>2585</v>
      </c>
      <c r="B1826" s="816" t="s">
        <v>7882</v>
      </c>
      <c r="C1826" s="729" t="s">
        <v>454</v>
      </c>
      <c r="D1826" s="460"/>
      <c r="E1826" s="878" t="s">
        <v>2336</v>
      </c>
      <c r="F1826" s="881" t="s">
        <v>5184</v>
      </c>
      <c r="G1826" s="731" t="s">
        <v>4212</v>
      </c>
      <c r="H1826" s="1083">
        <v>42401</v>
      </c>
      <c r="I1826" s="1084">
        <v>42480</v>
      </c>
      <c r="J1826" s="957">
        <v>23272.6</v>
      </c>
    </row>
    <row r="1827" spans="1:10" s="852" customFormat="1" outlineLevel="2">
      <c r="A1827" s="815" t="s">
        <v>692</v>
      </c>
      <c r="B1827" s="816" t="s">
        <v>7864</v>
      </c>
      <c r="C1827" s="729" t="s">
        <v>454</v>
      </c>
      <c r="D1827" s="460"/>
      <c r="E1827" s="878" t="s">
        <v>2336</v>
      </c>
      <c r="F1827" s="881" t="s">
        <v>3742</v>
      </c>
      <c r="G1827" s="731" t="s">
        <v>4209</v>
      </c>
      <c r="H1827" s="1083">
        <v>42401</v>
      </c>
      <c r="I1827" s="1084">
        <v>42480</v>
      </c>
      <c r="J1827" s="957">
        <v>799.08</v>
      </c>
    </row>
    <row r="1828" spans="1:10" s="852" customFormat="1" outlineLevel="2">
      <c r="A1828" s="815" t="s">
        <v>692</v>
      </c>
      <c r="B1828" s="816" t="s">
        <v>7864</v>
      </c>
      <c r="C1828" s="729" t="s">
        <v>454</v>
      </c>
      <c r="D1828" s="460"/>
      <c r="E1828" s="878" t="s">
        <v>2336</v>
      </c>
      <c r="F1828" s="881" t="s">
        <v>3393</v>
      </c>
      <c r="G1828" s="731" t="s">
        <v>4208</v>
      </c>
      <c r="H1828" s="1083">
        <v>42401</v>
      </c>
      <c r="I1828" s="1084">
        <v>42480</v>
      </c>
      <c r="J1828" s="957">
        <v>525.71</v>
      </c>
    </row>
    <row r="1829" spans="1:10" s="852" customFormat="1" outlineLevel="2">
      <c r="A1829" s="815" t="s">
        <v>692</v>
      </c>
      <c r="B1829" s="816" t="s">
        <v>7864</v>
      </c>
      <c r="C1829" s="729" t="s">
        <v>454</v>
      </c>
      <c r="D1829" s="460"/>
      <c r="E1829" s="878" t="s">
        <v>2336</v>
      </c>
      <c r="F1829" s="881" t="s">
        <v>3199</v>
      </c>
      <c r="G1829" s="731" t="s">
        <v>4207</v>
      </c>
      <c r="H1829" s="1083">
        <v>42401</v>
      </c>
      <c r="I1829" s="1084">
        <v>42480</v>
      </c>
      <c r="J1829" s="957">
        <v>778.05</v>
      </c>
    </row>
    <row r="1830" spans="1:10" s="852" customFormat="1" outlineLevel="2">
      <c r="A1830" s="815" t="s">
        <v>685</v>
      </c>
      <c r="B1830" s="816" t="s">
        <v>7885</v>
      </c>
      <c r="C1830" s="729" t="s">
        <v>454</v>
      </c>
      <c r="D1830" s="460"/>
      <c r="E1830" s="878" t="s">
        <v>2336</v>
      </c>
      <c r="F1830" s="881" t="s">
        <v>4283</v>
      </c>
      <c r="G1830" s="731" t="s">
        <v>4211</v>
      </c>
      <c r="H1830" s="1083">
        <v>42401</v>
      </c>
      <c r="I1830" s="1084">
        <v>42480</v>
      </c>
      <c r="J1830" s="957">
        <v>618.41</v>
      </c>
    </row>
    <row r="1831" spans="1:10" s="852" customFormat="1" outlineLevel="2">
      <c r="A1831" s="815" t="s">
        <v>687</v>
      </c>
      <c r="B1831" s="816" t="s">
        <v>7863</v>
      </c>
      <c r="C1831" s="729" t="s">
        <v>454</v>
      </c>
      <c r="D1831" s="460"/>
      <c r="E1831" s="878" t="s">
        <v>2336</v>
      </c>
      <c r="F1831" s="881" t="s">
        <v>3825</v>
      </c>
      <c r="G1831" s="731" t="s">
        <v>4210</v>
      </c>
      <c r="H1831" s="1083">
        <v>42401</v>
      </c>
      <c r="I1831" s="1084">
        <v>42480</v>
      </c>
      <c r="J1831" s="957">
        <v>4179.6000000000004</v>
      </c>
    </row>
    <row r="1832" spans="1:10" s="852" customFormat="1" outlineLevel="2">
      <c r="A1832" s="815" t="s">
        <v>5939</v>
      </c>
      <c r="B1832" s="816" t="s">
        <v>7864</v>
      </c>
      <c r="C1832" s="729" t="s">
        <v>454</v>
      </c>
      <c r="D1832" s="460"/>
      <c r="E1832" s="878" t="s">
        <v>2717</v>
      </c>
      <c r="F1832" s="881" t="s">
        <v>434</v>
      </c>
      <c r="G1832" s="731" t="str">
        <f>"3543"</f>
        <v>3543</v>
      </c>
      <c r="H1832" s="1083">
        <v>42401</v>
      </c>
      <c r="I1832" s="1084">
        <v>42467</v>
      </c>
      <c r="J1832" s="957">
        <v>3887.87</v>
      </c>
    </row>
    <row r="1833" spans="1:10" s="852" customFormat="1" outlineLevel="2">
      <c r="A1833" s="815" t="s">
        <v>5939</v>
      </c>
      <c r="B1833" s="816" t="s">
        <v>7864</v>
      </c>
      <c r="C1833" s="729" t="s">
        <v>454</v>
      </c>
      <c r="D1833" s="460"/>
      <c r="E1833" s="878" t="s">
        <v>409</v>
      </c>
      <c r="F1833" s="881" t="s">
        <v>434</v>
      </c>
      <c r="G1833" s="731" t="str">
        <f>"6700"</f>
        <v>6700</v>
      </c>
      <c r="H1833" s="1083">
        <v>42401</v>
      </c>
      <c r="I1833" s="1084">
        <v>42475</v>
      </c>
      <c r="J1833" s="957">
        <v>5754.05</v>
      </c>
    </row>
    <row r="1834" spans="1:10" s="852" customFormat="1" outlineLevel="2">
      <c r="A1834" s="815" t="s">
        <v>1292</v>
      </c>
      <c r="B1834" s="816" t="s">
        <v>7873</v>
      </c>
      <c r="C1834" s="729" t="s">
        <v>454</v>
      </c>
      <c r="D1834" s="460"/>
      <c r="E1834" s="878" t="s">
        <v>420</v>
      </c>
      <c r="F1834" s="881" t="s">
        <v>431</v>
      </c>
      <c r="G1834" s="731" t="s">
        <v>5694</v>
      </c>
      <c r="H1834" s="1083">
        <v>42430</v>
      </c>
      <c r="I1834" s="1084">
        <v>42480</v>
      </c>
      <c r="J1834" s="957">
        <v>10.9</v>
      </c>
    </row>
    <row r="1835" spans="1:10" s="852" customFormat="1" outlineLevel="2">
      <c r="A1835" s="815" t="s">
        <v>1292</v>
      </c>
      <c r="B1835" s="816" t="s">
        <v>7873</v>
      </c>
      <c r="C1835" s="729" t="s">
        <v>454</v>
      </c>
      <c r="D1835" s="460"/>
      <c r="E1835" s="878" t="s">
        <v>420</v>
      </c>
      <c r="F1835" s="881" t="s">
        <v>431</v>
      </c>
      <c r="G1835" s="731" t="s">
        <v>5724</v>
      </c>
      <c r="H1835" s="1083">
        <v>42461</v>
      </c>
      <c r="I1835" s="1084">
        <v>42486</v>
      </c>
      <c r="J1835" s="957">
        <v>156</v>
      </c>
    </row>
    <row r="1836" spans="1:10" s="852" customFormat="1" outlineLevel="2">
      <c r="A1836" s="815" t="s">
        <v>2730</v>
      </c>
      <c r="B1836" s="816" t="s">
        <v>7886</v>
      </c>
      <c r="C1836" s="729" t="s">
        <v>454</v>
      </c>
      <c r="D1836" s="460"/>
      <c r="E1836" s="878" t="s">
        <v>2306</v>
      </c>
      <c r="F1836" s="881" t="s">
        <v>2743</v>
      </c>
      <c r="G1836" s="731">
        <v>1282724</v>
      </c>
      <c r="H1836" s="1083">
        <v>42461</v>
      </c>
      <c r="I1836" s="1084">
        <v>42489</v>
      </c>
      <c r="J1836" s="957">
        <v>32.92</v>
      </c>
    </row>
    <row r="1837" spans="1:10" s="852" customFormat="1" outlineLevel="2">
      <c r="A1837" s="815" t="s">
        <v>2729</v>
      </c>
      <c r="B1837" s="816" t="s">
        <v>7887</v>
      </c>
      <c r="C1837" s="729" t="s">
        <v>454</v>
      </c>
      <c r="D1837" s="460"/>
      <c r="E1837" s="878" t="s">
        <v>2306</v>
      </c>
      <c r="F1837" s="881" t="s">
        <v>2742</v>
      </c>
      <c r="G1837" s="731">
        <v>1282718</v>
      </c>
      <c r="H1837" s="1083">
        <v>42461</v>
      </c>
      <c r="I1837" s="1084">
        <v>42489</v>
      </c>
      <c r="J1837" s="957">
        <v>659.87</v>
      </c>
    </row>
    <row r="1838" spans="1:10" s="852" customFormat="1" outlineLevel="2">
      <c r="A1838" s="815" t="s">
        <v>692</v>
      </c>
      <c r="B1838" s="816" t="s">
        <v>7864</v>
      </c>
      <c r="C1838" s="729" t="s">
        <v>454</v>
      </c>
      <c r="D1838" s="460"/>
      <c r="E1838" s="878" t="s">
        <v>2282</v>
      </c>
      <c r="F1838" s="881" t="s">
        <v>3200</v>
      </c>
      <c r="G1838" s="731" t="s">
        <v>4213</v>
      </c>
      <c r="H1838" s="1083">
        <v>42401</v>
      </c>
      <c r="I1838" s="1084">
        <v>42471</v>
      </c>
      <c r="J1838" s="957">
        <v>141.46</v>
      </c>
    </row>
    <row r="1839" spans="1:10" s="852" customFormat="1" outlineLevel="2">
      <c r="A1839" s="815" t="s">
        <v>692</v>
      </c>
      <c r="B1839" s="816" t="s">
        <v>7864</v>
      </c>
      <c r="C1839" s="729" t="s">
        <v>454</v>
      </c>
      <c r="D1839" s="460"/>
      <c r="E1839" s="878" t="s">
        <v>2282</v>
      </c>
      <c r="F1839" s="881" t="s">
        <v>3394</v>
      </c>
      <c r="G1839" s="731" t="s">
        <v>4214</v>
      </c>
      <c r="H1839" s="1083">
        <v>42401</v>
      </c>
      <c r="I1839" s="1084">
        <v>42471</v>
      </c>
      <c r="J1839" s="957">
        <v>95.58</v>
      </c>
    </row>
    <row r="1840" spans="1:10" s="852" customFormat="1" outlineLevel="2">
      <c r="A1840" s="815" t="s">
        <v>692</v>
      </c>
      <c r="B1840" s="816" t="s">
        <v>7864</v>
      </c>
      <c r="C1840" s="729" t="s">
        <v>454</v>
      </c>
      <c r="D1840" s="460"/>
      <c r="E1840" s="878" t="s">
        <v>2282</v>
      </c>
      <c r="F1840" s="881" t="s">
        <v>3744</v>
      </c>
      <c r="G1840" s="731" t="s">
        <v>4215</v>
      </c>
      <c r="H1840" s="1083">
        <v>42401</v>
      </c>
      <c r="I1840" s="1084">
        <v>42471</v>
      </c>
      <c r="J1840" s="957">
        <v>145.29</v>
      </c>
    </row>
    <row r="1841" spans="1:10" s="852" customFormat="1" outlineLevel="2">
      <c r="A1841" s="815" t="s">
        <v>687</v>
      </c>
      <c r="B1841" s="816" t="s">
        <v>7863</v>
      </c>
      <c r="C1841" s="729" t="s">
        <v>454</v>
      </c>
      <c r="D1841" s="460"/>
      <c r="E1841" s="878" t="s">
        <v>2282</v>
      </c>
      <c r="F1841" s="881" t="s">
        <v>3827</v>
      </c>
      <c r="G1841" s="731" t="s">
        <v>4216</v>
      </c>
      <c r="H1841" s="1083">
        <v>42401</v>
      </c>
      <c r="I1841" s="1084">
        <v>42471</v>
      </c>
      <c r="J1841" s="957">
        <v>759.93</v>
      </c>
    </row>
    <row r="1842" spans="1:10" s="852" customFormat="1" outlineLevel="2">
      <c r="A1842" s="815" t="s">
        <v>956</v>
      </c>
      <c r="B1842" s="816" t="s">
        <v>7866</v>
      </c>
      <c r="C1842" s="729" t="s">
        <v>454</v>
      </c>
      <c r="D1842" s="460"/>
      <c r="E1842" s="878" t="s">
        <v>2282</v>
      </c>
      <c r="F1842" s="881" t="s">
        <v>3974</v>
      </c>
      <c r="G1842" s="731" t="s">
        <v>2779</v>
      </c>
      <c r="H1842" s="1083">
        <v>42401</v>
      </c>
      <c r="I1842" s="1084">
        <v>42471</v>
      </c>
      <c r="J1842" s="957">
        <v>673.4</v>
      </c>
    </row>
    <row r="1843" spans="1:10" s="852" customFormat="1" outlineLevel="2">
      <c r="A1843" s="815" t="s">
        <v>956</v>
      </c>
      <c r="B1843" s="816" t="s">
        <v>7866</v>
      </c>
      <c r="C1843" s="729" t="s">
        <v>454</v>
      </c>
      <c r="D1843" s="460"/>
      <c r="E1843" s="878" t="s">
        <v>2282</v>
      </c>
      <c r="F1843" s="881" t="s">
        <v>4081</v>
      </c>
      <c r="G1843" s="731" t="s">
        <v>2781</v>
      </c>
      <c r="H1843" s="1083">
        <v>42401</v>
      </c>
      <c r="I1843" s="1084">
        <v>42471</v>
      </c>
      <c r="J1843" s="957">
        <v>21.53</v>
      </c>
    </row>
    <row r="1844" spans="1:10" s="852" customFormat="1" outlineLevel="2">
      <c r="A1844" s="815" t="s">
        <v>956</v>
      </c>
      <c r="B1844" s="816" t="s">
        <v>7866</v>
      </c>
      <c r="C1844" s="729" t="s">
        <v>454</v>
      </c>
      <c r="D1844" s="460"/>
      <c r="E1844" s="878" t="s">
        <v>2282</v>
      </c>
      <c r="F1844" s="881" t="s">
        <v>4165</v>
      </c>
      <c r="G1844" s="731" t="s">
        <v>2782</v>
      </c>
      <c r="H1844" s="1083">
        <v>42401</v>
      </c>
      <c r="I1844" s="1084">
        <v>42471</v>
      </c>
      <c r="J1844" s="957">
        <v>254.07</v>
      </c>
    </row>
    <row r="1845" spans="1:10" s="852" customFormat="1" outlineLevel="2">
      <c r="A1845" s="815" t="s">
        <v>685</v>
      </c>
      <c r="B1845" s="816" t="s">
        <v>7885</v>
      </c>
      <c r="C1845" s="729" t="s">
        <v>454</v>
      </c>
      <c r="D1845" s="460"/>
      <c r="E1845" s="878" t="s">
        <v>2282</v>
      </c>
      <c r="F1845" s="881" t="s">
        <v>4285</v>
      </c>
      <c r="G1845" s="731" t="s">
        <v>4219</v>
      </c>
      <c r="H1845" s="1083">
        <v>42401</v>
      </c>
      <c r="I1845" s="1084">
        <v>42471</v>
      </c>
      <c r="J1845" s="957">
        <v>747.39</v>
      </c>
    </row>
    <row r="1846" spans="1:10" s="852" customFormat="1" ht="28.5" outlineLevel="2">
      <c r="A1846" s="815" t="s">
        <v>453</v>
      </c>
      <c r="B1846" s="816" t="s">
        <v>7864</v>
      </c>
      <c r="C1846" s="729" t="s">
        <v>454</v>
      </c>
      <c r="D1846" s="460"/>
      <c r="E1846" s="878" t="s">
        <v>2282</v>
      </c>
      <c r="F1846" s="881" t="s">
        <v>5129</v>
      </c>
      <c r="G1846" s="731" t="s">
        <v>4221</v>
      </c>
      <c r="H1846" s="1083">
        <v>42430</v>
      </c>
      <c r="I1846" s="1084">
        <v>42471</v>
      </c>
      <c r="J1846" s="957">
        <v>40</v>
      </c>
    </row>
    <row r="1847" spans="1:10" s="852" customFormat="1" ht="28.5" outlineLevel="2">
      <c r="A1847" s="815" t="s">
        <v>2584</v>
      </c>
      <c r="B1847" s="816" t="s">
        <v>7883</v>
      </c>
      <c r="C1847" s="729" t="s">
        <v>454</v>
      </c>
      <c r="D1847" s="460"/>
      <c r="E1847" s="878" t="s">
        <v>2282</v>
      </c>
      <c r="F1847" s="881" t="s">
        <v>5187</v>
      </c>
      <c r="G1847" s="731" t="s">
        <v>4222</v>
      </c>
      <c r="H1847" s="1083">
        <v>42401</v>
      </c>
      <c r="I1847" s="1084">
        <v>42471</v>
      </c>
      <c r="J1847" s="957">
        <v>705.22</v>
      </c>
    </row>
    <row r="1848" spans="1:10" s="852" customFormat="1" ht="28.5" outlineLevel="2">
      <c r="A1848" s="815" t="s">
        <v>2585</v>
      </c>
      <c r="B1848" s="816" t="s">
        <v>7882</v>
      </c>
      <c r="C1848" s="729" t="s">
        <v>454</v>
      </c>
      <c r="D1848" s="460"/>
      <c r="E1848" s="878" t="s">
        <v>2282</v>
      </c>
      <c r="F1848" s="881" t="s">
        <v>5187</v>
      </c>
      <c r="G1848" s="731" t="s">
        <v>4222</v>
      </c>
      <c r="H1848" s="1083">
        <v>42401</v>
      </c>
      <c r="I1848" s="1084">
        <v>42471</v>
      </c>
      <c r="J1848" s="957">
        <v>5289.21</v>
      </c>
    </row>
    <row r="1849" spans="1:10" s="852" customFormat="1" outlineLevel="2">
      <c r="A1849" s="815" t="s">
        <v>2265</v>
      </c>
      <c r="B1849" s="816" t="s">
        <v>7888</v>
      </c>
      <c r="C1849" s="729" t="s">
        <v>454</v>
      </c>
      <c r="D1849" s="460"/>
      <c r="E1849" s="878" t="s">
        <v>2710</v>
      </c>
      <c r="F1849" s="881" t="s">
        <v>4555</v>
      </c>
      <c r="G1849" s="731" t="s">
        <v>4223</v>
      </c>
      <c r="H1849" s="1083">
        <v>42401</v>
      </c>
      <c r="I1849" s="1084">
        <v>42475</v>
      </c>
      <c r="J1849" s="957">
        <v>8.76</v>
      </c>
    </row>
    <row r="1850" spans="1:10" s="852" customFormat="1" outlineLevel="2">
      <c r="A1850" s="815" t="s">
        <v>453</v>
      </c>
      <c r="B1850" s="816" t="s">
        <v>7864</v>
      </c>
      <c r="C1850" s="729" t="s">
        <v>454</v>
      </c>
      <c r="D1850" s="460"/>
      <c r="E1850" s="878" t="s">
        <v>455</v>
      </c>
      <c r="F1850" s="881" t="s">
        <v>434</v>
      </c>
      <c r="G1850" s="731" t="s">
        <v>6493</v>
      </c>
      <c r="H1850" s="1083">
        <v>42430</v>
      </c>
      <c r="I1850" s="1084">
        <v>42489</v>
      </c>
      <c r="J1850" s="957">
        <v>760</v>
      </c>
    </row>
    <row r="1851" spans="1:10" s="852" customFormat="1" ht="28.5" outlineLevel="2">
      <c r="A1851" s="815" t="s">
        <v>2584</v>
      </c>
      <c r="B1851" s="816" t="s">
        <v>7883</v>
      </c>
      <c r="C1851" s="729" t="s">
        <v>454</v>
      </c>
      <c r="D1851" s="460"/>
      <c r="E1851" s="878" t="s">
        <v>1909</v>
      </c>
      <c r="F1851" s="881" t="s">
        <v>5181</v>
      </c>
      <c r="G1851" s="731" t="s">
        <v>4267</v>
      </c>
      <c r="H1851" s="1083">
        <v>42401</v>
      </c>
      <c r="I1851" s="1084">
        <v>42480</v>
      </c>
      <c r="J1851" s="957">
        <v>352.61</v>
      </c>
    </row>
    <row r="1852" spans="1:10" s="852" customFormat="1" ht="28.5" outlineLevel="2">
      <c r="A1852" s="815" t="s">
        <v>2585</v>
      </c>
      <c r="B1852" s="816" t="s">
        <v>7882</v>
      </c>
      <c r="C1852" s="729" t="s">
        <v>454</v>
      </c>
      <c r="D1852" s="460"/>
      <c r="E1852" s="878" t="s">
        <v>1909</v>
      </c>
      <c r="F1852" s="881" t="s">
        <v>5181</v>
      </c>
      <c r="G1852" s="731" t="s">
        <v>4267</v>
      </c>
      <c r="H1852" s="1083">
        <v>42401</v>
      </c>
      <c r="I1852" s="1084">
        <v>42480</v>
      </c>
      <c r="J1852" s="957">
        <v>2644.6</v>
      </c>
    </row>
    <row r="1853" spans="1:10" s="852" customFormat="1" outlineLevel="2">
      <c r="A1853" s="815" t="s">
        <v>956</v>
      </c>
      <c r="B1853" s="816" t="s">
        <v>7866</v>
      </c>
      <c r="C1853" s="729" t="s">
        <v>454</v>
      </c>
      <c r="D1853" s="460"/>
      <c r="E1853" s="878" t="s">
        <v>1909</v>
      </c>
      <c r="F1853" s="881" t="s">
        <v>3935</v>
      </c>
      <c r="G1853" s="731" t="s">
        <v>2817</v>
      </c>
      <c r="H1853" s="1083">
        <v>42401</v>
      </c>
      <c r="I1853" s="1084">
        <v>42480</v>
      </c>
      <c r="J1853" s="957">
        <v>202.02</v>
      </c>
    </row>
    <row r="1854" spans="1:10" s="852" customFormat="1" outlineLevel="2">
      <c r="A1854" s="815" t="s">
        <v>956</v>
      </c>
      <c r="B1854" s="816" t="s">
        <v>7866</v>
      </c>
      <c r="C1854" s="729" t="s">
        <v>454</v>
      </c>
      <c r="D1854" s="460"/>
      <c r="E1854" s="878" t="s">
        <v>1909</v>
      </c>
      <c r="F1854" s="881" t="s">
        <v>4027</v>
      </c>
      <c r="G1854" s="731" t="s">
        <v>2819</v>
      </c>
      <c r="H1854" s="1083">
        <v>42401</v>
      </c>
      <c r="I1854" s="1084">
        <v>42480</v>
      </c>
      <c r="J1854" s="957">
        <v>6.46</v>
      </c>
    </row>
    <row r="1855" spans="1:10" s="852" customFormat="1" outlineLevel="2">
      <c r="A1855" s="815" t="s">
        <v>956</v>
      </c>
      <c r="B1855" s="816" t="s">
        <v>7866</v>
      </c>
      <c r="C1855" s="729" t="s">
        <v>454</v>
      </c>
      <c r="D1855" s="460"/>
      <c r="E1855" s="878" t="s">
        <v>1909</v>
      </c>
      <c r="F1855" s="881" t="s">
        <v>4129</v>
      </c>
      <c r="G1855" s="731" t="s">
        <v>2821</v>
      </c>
      <c r="H1855" s="1083">
        <v>42401</v>
      </c>
      <c r="I1855" s="1084">
        <v>42480</v>
      </c>
      <c r="J1855" s="957">
        <v>76.22</v>
      </c>
    </row>
    <row r="1856" spans="1:10" s="852" customFormat="1" outlineLevel="2">
      <c r="A1856" s="815" t="s">
        <v>2265</v>
      </c>
      <c r="B1856" s="816" t="s">
        <v>7888</v>
      </c>
      <c r="C1856" s="729" t="s">
        <v>454</v>
      </c>
      <c r="D1856" s="460"/>
      <c r="E1856" s="878" t="s">
        <v>1909</v>
      </c>
      <c r="F1856" s="881" t="s">
        <v>4544</v>
      </c>
      <c r="G1856" s="731" t="s">
        <v>4260</v>
      </c>
      <c r="H1856" s="1083">
        <v>42401</v>
      </c>
      <c r="I1856" s="1084">
        <v>42480</v>
      </c>
      <c r="J1856" s="957">
        <v>6.57</v>
      </c>
    </row>
    <row r="1857" spans="1:10" s="852" customFormat="1" outlineLevel="2">
      <c r="A1857" s="815" t="s">
        <v>693</v>
      </c>
      <c r="B1857" s="816" t="s">
        <v>7877</v>
      </c>
      <c r="C1857" s="729" t="s">
        <v>454</v>
      </c>
      <c r="D1857" s="460"/>
      <c r="E1857" s="878" t="s">
        <v>1909</v>
      </c>
      <c r="F1857" s="881" t="s">
        <v>5210</v>
      </c>
      <c r="G1857" s="731" t="s">
        <v>4270</v>
      </c>
      <c r="H1857" s="1083">
        <v>42430</v>
      </c>
      <c r="I1857" s="1084">
        <v>42480</v>
      </c>
      <c r="J1857" s="957">
        <v>262.52999999999997</v>
      </c>
    </row>
    <row r="1858" spans="1:10" s="852" customFormat="1" outlineLevel="2">
      <c r="A1858" s="815" t="s">
        <v>692</v>
      </c>
      <c r="B1858" s="816" t="s">
        <v>7864</v>
      </c>
      <c r="C1858" s="729" t="s">
        <v>454</v>
      </c>
      <c r="D1858" s="460"/>
      <c r="E1858" s="878" t="s">
        <v>1909</v>
      </c>
      <c r="F1858" s="881" t="s">
        <v>3740</v>
      </c>
      <c r="G1858" s="731" t="s">
        <v>4257</v>
      </c>
      <c r="H1858" s="1083">
        <v>42401</v>
      </c>
      <c r="I1858" s="1084">
        <v>42480</v>
      </c>
      <c r="J1858" s="957">
        <v>72.64</v>
      </c>
    </row>
    <row r="1859" spans="1:10" s="852" customFormat="1" outlineLevel="2">
      <c r="A1859" s="815" t="s">
        <v>692</v>
      </c>
      <c r="B1859" s="816" t="s">
        <v>7864</v>
      </c>
      <c r="C1859" s="729" t="s">
        <v>454</v>
      </c>
      <c r="D1859" s="460"/>
      <c r="E1859" s="878" t="s">
        <v>1909</v>
      </c>
      <c r="F1859" s="881" t="s">
        <v>3392</v>
      </c>
      <c r="G1859" s="731" t="s">
        <v>4251</v>
      </c>
      <c r="H1859" s="1083">
        <v>42401</v>
      </c>
      <c r="I1859" s="1084">
        <v>42480</v>
      </c>
      <c r="J1859" s="957">
        <v>47.79</v>
      </c>
    </row>
    <row r="1860" spans="1:10" s="852" customFormat="1" outlineLevel="2">
      <c r="A1860" s="815" t="s">
        <v>692</v>
      </c>
      <c r="B1860" s="816" t="s">
        <v>7864</v>
      </c>
      <c r="C1860" s="729" t="s">
        <v>454</v>
      </c>
      <c r="D1860" s="460"/>
      <c r="E1860" s="878" t="s">
        <v>1909</v>
      </c>
      <c r="F1860" s="881" t="s">
        <v>3198</v>
      </c>
      <c r="G1860" s="731" t="s">
        <v>4246</v>
      </c>
      <c r="H1860" s="1083">
        <v>42401</v>
      </c>
      <c r="I1860" s="1084">
        <v>42480</v>
      </c>
      <c r="J1860" s="957">
        <v>70.73</v>
      </c>
    </row>
    <row r="1861" spans="1:10" s="852" customFormat="1" ht="28.5" outlineLevel="2">
      <c r="A1861" s="815" t="s">
        <v>694</v>
      </c>
      <c r="B1861" s="816" t="s">
        <v>7881</v>
      </c>
      <c r="C1861" s="729" t="s">
        <v>454</v>
      </c>
      <c r="D1861" s="460"/>
      <c r="E1861" s="878" t="s">
        <v>1909</v>
      </c>
      <c r="F1861" s="881" t="s">
        <v>6306</v>
      </c>
      <c r="G1861" s="731" t="s">
        <v>4225</v>
      </c>
      <c r="H1861" s="1083">
        <v>42370</v>
      </c>
      <c r="I1861" s="1084">
        <v>42480</v>
      </c>
      <c r="J1861" s="957">
        <v>6.19</v>
      </c>
    </row>
    <row r="1862" spans="1:10" s="852" customFormat="1" ht="28.5" outlineLevel="2">
      <c r="A1862" s="815" t="s">
        <v>2584</v>
      </c>
      <c r="B1862" s="816" t="s">
        <v>7883</v>
      </c>
      <c r="C1862" s="729" t="s">
        <v>454</v>
      </c>
      <c r="D1862" s="460"/>
      <c r="E1862" s="878" t="s">
        <v>1909</v>
      </c>
      <c r="F1862" s="881" t="s">
        <v>6309</v>
      </c>
      <c r="G1862" s="731" t="s">
        <v>4233</v>
      </c>
      <c r="H1862" s="1083">
        <v>42370</v>
      </c>
      <c r="I1862" s="1084">
        <v>42480</v>
      </c>
      <c r="J1862" s="957">
        <v>108.36</v>
      </c>
    </row>
    <row r="1863" spans="1:10" s="852" customFormat="1" ht="28.5" outlineLevel="2">
      <c r="A1863" s="815" t="s">
        <v>2585</v>
      </c>
      <c r="B1863" s="816" t="s">
        <v>7882</v>
      </c>
      <c r="C1863" s="729" t="s">
        <v>454</v>
      </c>
      <c r="D1863" s="460"/>
      <c r="E1863" s="878" t="s">
        <v>1909</v>
      </c>
      <c r="F1863" s="881" t="s">
        <v>6309</v>
      </c>
      <c r="G1863" s="731" t="s">
        <v>4233</v>
      </c>
      <c r="H1863" s="1083">
        <v>42370</v>
      </c>
      <c r="I1863" s="1084">
        <v>42480</v>
      </c>
      <c r="J1863" s="957">
        <v>812.75</v>
      </c>
    </row>
    <row r="1864" spans="1:10" s="852" customFormat="1" ht="28.5" outlineLevel="2">
      <c r="A1864" s="815" t="s">
        <v>956</v>
      </c>
      <c r="B1864" s="816" t="s">
        <v>7866</v>
      </c>
      <c r="C1864" s="729" t="s">
        <v>454</v>
      </c>
      <c r="D1864" s="460"/>
      <c r="E1864" s="878" t="s">
        <v>1909</v>
      </c>
      <c r="F1864" s="881" t="s">
        <v>4956</v>
      </c>
      <c r="G1864" s="731" t="s">
        <v>2833</v>
      </c>
      <c r="H1864" s="1083">
        <v>42401</v>
      </c>
      <c r="I1864" s="1084">
        <v>42480</v>
      </c>
      <c r="J1864" s="957">
        <v>626.26</v>
      </c>
    </row>
    <row r="1865" spans="1:10" s="852" customFormat="1" ht="28.5" outlineLevel="2">
      <c r="A1865" s="815" t="s">
        <v>956</v>
      </c>
      <c r="B1865" s="816" t="s">
        <v>7866</v>
      </c>
      <c r="C1865" s="729" t="s">
        <v>454</v>
      </c>
      <c r="D1865" s="460"/>
      <c r="E1865" s="878" t="s">
        <v>1909</v>
      </c>
      <c r="F1865" s="881" t="s">
        <v>4903</v>
      </c>
      <c r="G1865" s="731" t="s">
        <v>2832</v>
      </c>
      <c r="H1865" s="1083">
        <v>42401</v>
      </c>
      <c r="I1865" s="1084">
        <v>42480</v>
      </c>
      <c r="J1865" s="957">
        <v>20.02</v>
      </c>
    </row>
    <row r="1866" spans="1:10" s="852" customFormat="1" ht="28.5" outlineLevel="2">
      <c r="A1866" s="815" t="s">
        <v>956</v>
      </c>
      <c r="B1866" s="816" t="s">
        <v>7866</v>
      </c>
      <c r="C1866" s="729" t="s">
        <v>454</v>
      </c>
      <c r="D1866" s="460"/>
      <c r="E1866" s="878" t="s">
        <v>1909</v>
      </c>
      <c r="F1866" s="881" t="s">
        <v>4853</v>
      </c>
      <c r="G1866" s="731" t="s">
        <v>2831</v>
      </c>
      <c r="H1866" s="1083">
        <v>42401</v>
      </c>
      <c r="I1866" s="1084">
        <v>42480</v>
      </c>
      <c r="J1866" s="957">
        <v>236.28</v>
      </c>
    </row>
    <row r="1867" spans="1:10" s="852" customFormat="1" ht="28.5" outlineLevel="2">
      <c r="A1867" s="815" t="s">
        <v>2265</v>
      </c>
      <c r="B1867" s="816" t="s">
        <v>7888</v>
      </c>
      <c r="C1867" s="729" t="s">
        <v>454</v>
      </c>
      <c r="D1867" s="460"/>
      <c r="E1867" s="878" t="s">
        <v>1909</v>
      </c>
      <c r="F1867" s="881" t="s">
        <v>6310</v>
      </c>
      <c r="G1867" s="731" t="s">
        <v>4234</v>
      </c>
      <c r="H1867" s="1083">
        <v>42370</v>
      </c>
      <c r="I1867" s="1084">
        <v>42480</v>
      </c>
      <c r="J1867" s="957">
        <v>19.899999999999999</v>
      </c>
    </row>
    <row r="1868" spans="1:10" s="852" customFormat="1" ht="28.5" outlineLevel="2">
      <c r="A1868" s="815" t="s">
        <v>2265</v>
      </c>
      <c r="B1868" s="816" t="s">
        <v>7888</v>
      </c>
      <c r="C1868" s="729" t="s">
        <v>454</v>
      </c>
      <c r="D1868" s="460"/>
      <c r="E1868" s="878" t="s">
        <v>1909</v>
      </c>
      <c r="F1868" s="881" t="s">
        <v>6310</v>
      </c>
      <c r="G1868" s="731" t="s">
        <v>4235</v>
      </c>
      <c r="H1868" s="1083">
        <v>42370</v>
      </c>
      <c r="I1868" s="1084">
        <v>42480</v>
      </c>
      <c r="J1868" s="957">
        <v>23.42</v>
      </c>
    </row>
    <row r="1869" spans="1:10" s="852" customFormat="1" ht="28.5" outlineLevel="2">
      <c r="A1869" s="815" t="s">
        <v>2265</v>
      </c>
      <c r="B1869" s="816" t="s">
        <v>7888</v>
      </c>
      <c r="C1869" s="729" t="s">
        <v>454</v>
      </c>
      <c r="D1869" s="460"/>
      <c r="E1869" s="878" t="s">
        <v>1909</v>
      </c>
      <c r="F1869" s="881" t="s">
        <v>4694</v>
      </c>
      <c r="G1869" s="731" t="s">
        <v>4262</v>
      </c>
      <c r="H1869" s="1083">
        <v>42401</v>
      </c>
      <c r="I1869" s="1084">
        <v>42480</v>
      </c>
      <c r="J1869" s="957">
        <v>9.34</v>
      </c>
    </row>
    <row r="1870" spans="1:10" s="852" customFormat="1" ht="28.5" outlineLevel="2">
      <c r="A1870" s="815" t="s">
        <v>2265</v>
      </c>
      <c r="B1870" s="816" t="s">
        <v>7888</v>
      </c>
      <c r="C1870" s="729" t="s">
        <v>454</v>
      </c>
      <c r="D1870" s="460"/>
      <c r="E1870" s="878" t="s">
        <v>1909</v>
      </c>
      <c r="F1870" s="881" t="s">
        <v>4694</v>
      </c>
      <c r="G1870" s="731" t="s">
        <v>4264</v>
      </c>
      <c r="H1870" s="1083">
        <v>42401</v>
      </c>
      <c r="I1870" s="1084">
        <v>42480</v>
      </c>
      <c r="J1870" s="957">
        <v>11.01</v>
      </c>
    </row>
    <row r="1871" spans="1:10" s="852" customFormat="1" ht="28.5" outlineLevel="2">
      <c r="A1871" s="815" t="s">
        <v>693</v>
      </c>
      <c r="B1871" s="816" t="s">
        <v>7877</v>
      </c>
      <c r="C1871" s="729" t="s">
        <v>454</v>
      </c>
      <c r="D1871" s="460"/>
      <c r="E1871" s="878" t="s">
        <v>1909</v>
      </c>
      <c r="F1871" s="881" t="s">
        <v>6307</v>
      </c>
      <c r="G1871" s="731" t="s">
        <v>4227</v>
      </c>
      <c r="H1871" s="1083">
        <v>42370</v>
      </c>
      <c r="I1871" s="1084">
        <v>42480</v>
      </c>
      <c r="J1871" s="957">
        <v>839.61</v>
      </c>
    </row>
    <row r="1872" spans="1:10" s="852" customFormat="1" ht="28.5" outlineLevel="2">
      <c r="A1872" s="815" t="s">
        <v>693</v>
      </c>
      <c r="B1872" s="816" t="s">
        <v>7877</v>
      </c>
      <c r="C1872" s="729" t="s">
        <v>454</v>
      </c>
      <c r="D1872" s="460"/>
      <c r="E1872" s="878" t="s">
        <v>1909</v>
      </c>
      <c r="F1872" s="881" t="s">
        <v>6307</v>
      </c>
      <c r="G1872" s="731" t="s">
        <v>4229</v>
      </c>
      <c r="H1872" s="1083">
        <v>42370</v>
      </c>
      <c r="I1872" s="1084">
        <v>42480</v>
      </c>
      <c r="J1872" s="957">
        <v>839.61</v>
      </c>
    </row>
    <row r="1873" spans="1:10" s="852" customFormat="1" ht="28.5" outlineLevel="2">
      <c r="A1873" s="815" t="s">
        <v>693</v>
      </c>
      <c r="B1873" s="816" t="s">
        <v>7877</v>
      </c>
      <c r="C1873" s="729" t="s">
        <v>454</v>
      </c>
      <c r="D1873" s="460"/>
      <c r="E1873" s="878" t="s">
        <v>1909</v>
      </c>
      <c r="F1873" s="881" t="s">
        <v>6307</v>
      </c>
      <c r="G1873" s="731" t="s">
        <v>4230</v>
      </c>
      <c r="H1873" s="1083">
        <v>42370</v>
      </c>
      <c r="I1873" s="1084">
        <v>42480</v>
      </c>
      <c r="J1873" s="957">
        <v>-839.61</v>
      </c>
    </row>
    <row r="1874" spans="1:10" s="852" customFormat="1" ht="28.5" outlineLevel="2">
      <c r="A1874" s="815" t="s">
        <v>692</v>
      </c>
      <c r="B1874" s="816" t="s">
        <v>7864</v>
      </c>
      <c r="C1874" s="729" t="s">
        <v>454</v>
      </c>
      <c r="D1874" s="460"/>
      <c r="E1874" s="878" t="s">
        <v>1909</v>
      </c>
      <c r="F1874" s="881" t="s">
        <v>2886</v>
      </c>
      <c r="G1874" s="731" t="s">
        <v>4236</v>
      </c>
      <c r="H1874" s="1083">
        <v>42370</v>
      </c>
      <c r="I1874" s="1084">
        <v>42480</v>
      </c>
      <c r="J1874" s="957">
        <v>-222.23</v>
      </c>
    </row>
    <row r="1875" spans="1:10" s="852" customFormat="1" ht="28.5" outlineLevel="2">
      <c r="A1875" s="815" t="s">
        <v>692</v>
      </c>
      <c r="B1875" s="816" t="s">
        <v>7864</v>
      </c>
      <c r="C1875" s="729" t="s">
        <v>454</v>
      </c>
      <c r="D1875" s="460"/>
      <c r="E1875" s="878" t="s">
        <v>1909</v>
      </c>
      <c r="F1875" s="881" t="s">
        <v>2886</v>
      </c>
      <c r="G1875" s="731" t="s">
        <v>4237</v>
      </c>
      <c r="H1875" s="1083">
        <v>42370</v>
      </c>
      <c r="I1875" s="1084">
        <v>42480</v>
      </c>
      <c r="J1875" s="957">
        <v>-222.23</v>
      </c>
    </row>
    <row r="1876" spans="1:10" s="852" customFormat="1" ht="28.5" outlineLevel="2">
      <c r="A1876" s="815" t="s">
        <v>692</v>
      </c>
      <c r="B1876" s="816" t="s">
        <v>7864</v>
      </c>
      <c r="C1876" s="729" t="s">
        <v>454</v>
      </c>
      <c r="D1876" s="460"/>
      <c r="E1876" s="878" t="s">
        <v>1909</v>
      </c>
      <c r="F1876" s="881" t="s">
        <v>2886</v>
      </c>
      <c r="G1876" s="731" t="s">
        <v>4240</v>
      </c>
      <c r="H1876" s="1083">
        <v>42370</v>
      </c>
      <c r="I1876" s="1084">
        <v>42480</v>
      </c>
      <c r="J1876" s="957">
        <v>222.23</v>
      </c>
    </row>
    <row r="1877" spans="1:10" s="852" customFormat="1" ht="28.5" outlineLevel="2">
      <c r="A1877" s="815" t="s">
        <v>692</v>
      </c>
      <c r="B1877" s="816" t="s">
        <v>7864</v>
      </c>
      <c r="C1877" s="729" t="s">
        <v>454</v>
      </c>
      <c r="D1877" s="460"/>
      <c r="E1877" s="878" t="s">
        <v>1909</v>
      </c>
      <c r="F1877" s="881" t="s">
        <v>2886</v>
      </c>
      <c r="G1877" s="731" t="s">
        <v>4242</v>
      </c>
      <c r="H1877" s="1083">
        <v>42370</v>
      </c>
      <c r="I1877" s="1084">
        <v>42480</v>
      </c>
      <c r="J1877" s="957">
        <v>222.23</v>
      </c>
    </row>
    <row r="1878" spans="1:10" s="852" customFormat="1" ht="28.5" outlineLevel="2">
      <c r="A1878" s="815" t="s">
        <v>692</v>
      </c>
      <c r="B1878" s="816" t="s">
        <v>7864</v>
      </c>
      <c r="C1878" s="729" t="s">
        <v>454</v>
      </c>
      <c r="D1878" s="460"/>
      <c r="E1878" s="878" t="s">
        <v>1909</v>
      </c>
      <c r="F1878" s="881" t="s">
        <v>2886</v>
      </c>
      <c r="G1878" s="731" t="s">
        <v>4248</v>
      </c>
      <c r="H1878" s="1083">
        <v>42370</v>
      </c>
      <c r="I1878" s="1084">
        <v>42480</v>
      </c>
      <c r="J1878" s="957">
        <v>222.23</v>
      </c>
    </row>
    <row r="1879" spans="1:10" s="852" customFormat="1" ht="28.5" outlineLevel="2">
      <c r="A1879" s="815" t="s">
        <v>692</v>
      </c>
      <c r="B1879" s="816" t="s">
        <v>7864</v>
      </c>
      <c r="C1879" s="729" t="s">
        <v>454</v>
      </c>
      <c r="D1879" s="460"/>
      <c r="E1879" s="878" t="s">
        <v>1909</v>
      </c>
      <c r="F1879" s="881" t="s">
        <v>3577</v>
      </c>
      <c r="G1879" s="731" t="s">
        <v>4253</v>
      </c>
      <c r="H1879" s="1083">
        <v>42370</v>
      </c>
      <c r="I1879" s="1084">
        <v>42480</v>
      </c>
      <c r="J1879" s="957">
        <v>-328.9</v>
      </c>
    </row>
    <row r="1880" spans="1:10" s="852" customFormat="1" ht="28.5" outlineLevel="2">
      <c r="A1880" s="815" t="s">
        <v>692</v>
      </c>
      <c r="B1880" s="816" t="s">
        <v>7864</v>
      </c>
      <c r="C1880" s="729" t="s">
        <v>454</v>
      </c>
      <c r="D1880" s="460"/>
      <c r="E1880" s="878" t="s">
        <v>1909</v>
      </c>
      <c r="F1880" s="881" t="s">
        <v>3577</v>
      </c>
      <c r="G1880" s="731" t="s">
        <v>4255</v>
      </c>
      <c r="H1880" s="1083">
        <v>42370</v>
      </c>
      <c r="I1880" s="1084">
        <v>42480</v>
      </c>
      <c r="J1880" s="957">
        <v>328.9</v>
      </c>
    </row>
    <row r="1881" spans="1:10" s="852" customFormat="1" ht="28.5" outlineLevel="2">
      <c r="A1881" s="815" t="s">
        <v>692</v>
      </c>
      <c r="B1881" s="816" t="s">
        <v>7864</v>
      </c>
      <c r="C1881" s="729" t="s">
        <v>454</v>
      </c>
      <c r="D1881" s="460"/>
      <c r="E1881" s="878" t="s">
        <v>1909</v>
      </c>
      <c r="F1881" s="881" t="s">
        <v>3577</v>
      </c>
      <c r="G1881" s="731" t="s">
        <v>4259</v>
      </c>
      <c r="H1881" s="1083">
        <v>42370</v>
      </c>
      <c r="I1881" s="1084">
        <v>42480</v>
      </c>
      <c r="J1881" s="957">
        <v>328.9</v>
      </c>
    </row>
    <row r="1882" spans="1:10" s="852" customFormat="1" ht="28.5" outlineLevel="2">
      <c r="A1882" s="815" t="s">
        <v>690</v>
      </c>
      <c r="B1882" s="816" t="s">
        <v>7883</v>
      </c>
      <c r="C1882" s="729" t="s">
        <v>454</v>
      </c>
      <c r="D1882" s="460"/>
      <c r="E1882" s="878" t="s">
        <v>1909</v>
      </c>
      <c r="F1882" s="881" t="s">
        <v>2918</v>
      </c>
      <c r="G1882" s="731" t="s">
        <v>4238</v>
      </c>
      <c r="H1882" s="1083">
        <v>42309</v>
      </c>
      <c r="I1882" s="1084">
        <v>42480</v>
      </c>
      <c r="J1882" s="957">
        <v>-433.77</v>
      </c>
    </row>
    <row r="1883" spans="1:10" s="852" customFormat="1" ht="28.5" outlineLevel="2">
      <c r="A1883" s="815" t="s">
        <v>691</v>
      </c>
      <c r="B1883" s="816" t="s">
        <v>7882</v>
      </c>
      <c r="C1883" s="729" t="s">
        <v>454</v>
      </c>
      <c r="D1883" s="460"/>
      <c r="E1883" s="878" t="s">
        <v>1909</v>
      </c>
      <c r="F1883" s="881" t="s">
        <v>2918</v>
      </c>
      <c r="G1883" s="731" t="s">
        <v>4238</v>
      </c>
      <c r="H1883" s="1083">
        <v>42309</v>
      </c>
      <c r="I1883" s="1084">
        <v>42480</v>
      </c>
      <c r="J1883" s="957">
        <v>-805.57</v>
      </c>
    </row>
    <row r="1884" spans="1:10" s="852" customFormat="1" ht="28.5" outlineLevel="2">
      <c r="A1884" s="815" t="s">
        <v>690</v>
      </c>
      <c r="B1884" s="816" t="s">
        <v>7883</v>
      </c>
      <c r="C1884" s="729" t="s">
        <v>454</v>
      </c>
      <c r="D1884" s="460"/>
      <c r="E1884" s="878" t="s">
        <v>1909</v>
      </c>
      <c r="F1884" s="881" t="s">
        <v>2918</v>
      </c>
      <c r="G1884" s="731" t="s">
        <v>4239</v>
      </c>
      <c r="H1884" s="1083">
        <v>42309</v>
      </c>
      <c r="I1884" s="1084">
        <v>42480</v>
      </c>
      <c r="J1884" s="957">
        <v>-433.77</v>
      </c>
    </row>
    <row r="1885" spans="1:10" s="852" customFormat="1" ht="28.5" outlineLevel="2">
      <c r="A1885" s="815" t="s">
        <v>691</v>
      </c>
      <c r="B1885" s="816" t="s">
        <v>7882</v>
      </c>
      <c r="C1885" s="729" t="s">
        <v>454</v>
      </c>
      <c r="D1885" s="460"/>
      <c r="E1885" s="878" t="s">
        <v>1909</v>
      </c>
      <c r="F1885" s="881" t="s">
        <v>2918</v>
      </c>
      <c r="G1885" s="731" t="s">
        <v>4239</v>
      </c>
      <c r="H1885" s="1083">
        <v>42309</v>
      </c>
      <c r="I1885" s="1084">
        <v>42480</v>
      </c>
      <c r="J1885" s="957">
        <v>-805.57</v>
      </c>
    </row>
    <row r="1886" spans="1:10" s="852" customFormat="1" ht="28.5" outlineLevel="2">
      <c r="A1886" s="815" t="s">
        <v>690</v>
      </c>
      <c r="B1886" s="816" t="s">
        <v>7883</v>
      </c>
      <c r="C1886" s="729" t="s">
        <v>454</v>
      </c>
      <c r="D1886" s="460"/>
      <c r="E1886" s="878" t="s">
        <v>1909</v>
      </c>
      <c r="F1886" s="881" t="s">
        <v>2918</v>
      </c>
      <c r="G1886" s="731" t="s">
        <v>4241</v>
      </c>
      <c r="H1886" s="1083">
        <v>42309</v>
      </c>
      <c r="I1886" s="1084">
        <v>42480</v>
      </c>
      <c r="J1886" s="957">
        <v>433.77</v>
      </c>
    </row>
    <row r="1887" spans="1:10" s="852" customFormat="1" ht="28.5" outlineLevel="2">
      <c r="A1887" s="815" t="s">
        <v>691</v>
      </c>
      <c r="B1887" s="816" t="s">
        <v>7882</v>
      </c>
      <c r="C1887" s="729" t="s">
        <v>454</v>
      </c>
      <c r="D1887" s="460"/>
      <c r="E1887" s="878" t="s">
        <v>1909</v>
      </c>
      <c r="F1887" s="881" t="s">
        <v>2918</v>
      </c>
      <c r="G1887" s="731" t="s">
        <v>4241</v>
      </c>
      <c r="H1887" s="1083">
        <v>42309</v>
      </c>
      <c r="I1887" s="1084">
        <v>42480</v>
      </c>
      <c r="J1887" s="957">
        <v>805.57</v>
      </c>
    </row>
    <row r="1888" spans="1:10" s="852" customFormat="1" ht="28.5" outlineLevel="2">
      <c r="A1888" s="815" t="s">
        <v>690</v>
      </c>
      <c r="B1888" s="816" t="s">
        <v>7883</v>
      </c>
      <c r="C1888" s="729" t="s">
        <v>454</v>
      </c>
      <c r="D1888" s="460"/>
      <c r="E1888" s="878" t="s">
        <v>1909</v>
      </c>
      <c r="F1888" s="881" t="s">
        <v>2918</v>
      </c>
      <c r="G1888" s="731" t="s">
        <v>4243</v>
      </c>
      <c r="H1888" s="1083">
        <v>42309</v>
      </c>
      <c r="I1888" s="1084">
        <v>42480</v>
      </c>
      <c r="J1888" s="957">
        <v>433.77</v>
      </c>
    </row>
    <row r="1889" spans="1:10" s="852" customFormat="1" ht="28.5" outlineLevel="2">
      <c r="A1889" s="815" t="s">
        <v>691</v>
      </c>
      <c r="B1889" s="816" t="s">
        <v>7882</v>
      </c>
      <c r="C1889" s="729" t="s">
        <v>454</v>
      </c>
      <c r="D1889" s="460"/>
      <c r="E1889" s="878" t="s">
        <v>1909</v>
      </c>
      <c r="F1889" s="881" t="s">
        <v>2918</v>
      </c>
      <c r="G1889" s="731" t="s">
        <v>4243</v>
      </c>
      <c r="H1889" s="1083">
        <v>42309</v>
      </c>
      <c r="I1889" s="1084">
        <v>42480</v>
      </c>
      <c r="J1889" s="957">
        <v>805.57</v>
      </c>
    </row>
    <row r="1890" spans="1:10" s="852" customFormat="1" ht="28.5" outlineLevel="2">
      <c r="A1890" s="815" t="s">
        <v>690</v>
      </c>
      <c r="B1890" s="816" t="s">
        <v>7883</v>
      </c>
      <c r="C1890" s="729" t="s">
        <v>454</v>
      </c>
      <c r="D1890" s="460"/>
      <c r="E1890" s="878" t="s">
        <v>1909</v>
      </c>
      <c r="F1890" s="881" t="s">
        <v>2918</v>
      </c>
      <c r="G1890" s="731" t="s">
        <v>4249</v>
      </c>
      <c r="H1890" s="1083">
        <v>42309</v>
      </c>
      <c r="I1890" s="1084">
        <v>42480</v>
      </c>
      <c r="J1890" s="957">
        <v>433.77</v>
      </c>
    </row>
    <row r="1891" spans="1:10" s="852" customFormat="1" ht="28.5" outlineLevel="2">
      <c r="A1891" s="815" t="s">
        <v>691</v>
      </c>
      <c r="B1891" s="816" t="s">
        <v>7882</v>
      </c>
      <c r="C1891" s="729" t="s">
        <v>454</v>
      </c>
      <c r="D1891" s="460"/>
      <c r="E1891" s="878" t="s">
        <v>1909</v>
      </c>
      <c r="F1891" s="881" t="s">
        <v>2918</v>
      </c>
      <c r="G1891" s="731" t="s">
        <v>4249</v>
      </c>
      <c r="H1891" s="1083">
        <v>42309</v>
      </c>
      <c r="I1891" s="1084">
        <v>42480</v>
      </c>
      <c r="J1891" s="957">
        <v>805.57</v>
      </c>
    </row>
    <row r="1892" spans="1:10" s="852" customFormat="1" ht="28.5" outlineLevel="2">
      <c r="A1892" s="815" t="s">
        <v>690</v>
      </c>
      <c r="B1892" s="816" t="s">
        <v>7883</v>
      </c>
      <c r="C1892" s="729" t="s">
        <v>454</v>
      </c>
      <c r="D1892" s="460"/>
      <c r="E1892" s="878" t="s">
        <v>1909</v>
      </c>
      <c r="F1892" s="881" t="s">
        <v>6308</v>
      </c>
      <c r="G1892" s="731" t="s">
        <v>4231</v>
      </c>
      <c r="H1892" s="1083">
        <v>42370</v>
      </c>
      <c r="I1892" s="1084">
        <v>42480</v>
      </c>
      <c r="J1892" s="957">
        <v>4289.8900000000003</v>
      </c>
    </row>
    <row r="1893" spans="1:10" s="852" customFormat="1" ht="28.5" outlineLevel="2">
      <c r="A1893" s="815" t="s">
        <v>691</v>
      </c>
      <c r="B1893" s="816" t="s">
        <v>7882</v>
      </c>
      <c r="C1893" s="729" t="s">
        <v>454</v>
      </c>
      <c r="D1893" s="460"/>
      <c r="E1893" s="878" t="s">
        <v>1909</v>
      </c>
      <c r="F1893" s="881" t="s">
        <v>6308</v>
      </c>
      <c r="G1893" s="731" t="s">
        <v>4231</v>
      </c>
      <c r="H1893" s="1083">
        <v>42370</v>
      </c>
      <c r="I1893" s="1084">
        <v>42480</v>
      </c>
      <c r="J1893" s="957">
        <v>7966.93</v>
      </c>
    </row>
    <row r="1894" spans="1:10" s="852" customFormat="1" outlineLevel="2">
      <c r="A1894" s="815" t="s">
        <v>2296</v>
      </c>
      <c r="B1894" s="816" t="s">
        <v>7873</v>
      </c>
      <c r="C1894" s="729" t="s">
        <v>454</v>
      </c>
      <c r="D1894" s="460"/>
      <c r="E1894" s="878" t="s">
        <v>441</v>
      </c>
      <c r="F1894" s="881" t="s">
        <v>2299</v>
      </c>
      <c r="G1894" s="731" t="s">
        <v>5661</v>
      </c>
      <c r="H1894" s="1083">
        <v>42430</v>
      </c>
      <c r="I1894" s="1084">
        <v>42475</v>
      </c>
      <c r="J1894" s="957">
        <v>312.23</v>
      </c>
    </row>
    <row r="1895" spans="1:10" s="852" customFormat="1" outlineLevel="2">
      <c r="A1895" s="815" t="s">
        <v>687</v>
      </c>
      <c r="B1895" s="816" t="s">
        <v>7863</v>
      </c>
      <c r="C1895" s="729" t="s">
        <v>454</v>
      </c>
      <c r="D1895" s="460"/>
      <c r="E1895" s="878" t="s">
        <v>688</v>
      </c>
      <c r="F1895" s="881" t="s">
        <v>2208</v>
      </c>
      <c r="G1895" s="731" t="s">
        <v>5615</v>
      </c>
      <c r="H1895" s="1083">
        <v>42401</v>
      </c>
      <c r="I1895" s="1084">
        <v>42471</v>
      </c>
      <c r="J1895" s="957">
        <v>33056.85</v>
      </c>
    </row>
    <row r="1896" spans="1:10" s="852" customFormat="1" outlineLevel="1">
      <c r="A1896" s="815"/>
      <c r="B1896" s="816" t="s">
        <v>258</v>
      </c>
      <c r="C1896" s="908" t="s">
        <v>454</v>
      </c>
      <c r="D1896" s="928" t="str">
        <f>VLOOKUP(C1896,$C$3691:$D$3771,2,FALSE)</f>
        <v>TOTAL POUPATEMPO  LUZ</v>
      </c>
      <c r="E1896" s="1085"/>
      <c r="F1896" s="929"/>
      <c r="G1896" s="910"/>
      <c r="H1896" s="1086"/>
      <c r="I1896" s="1087"/>
      <c r="J1896" s="930">
        <f>SUBTOTAL(9,J1814:J1895)</f>
        <v>380428.37000000011</v>
      </c>
    </row>
    <row r="1897" spans="1:10" s="852" customFormat="1" outlineLevel="2">
      <c r="A1897" s="815" t="s">
        <v>5898</v>
      </c>
      <c r="B1897" s="816" t="s">
        <v>7881</v>
      </c>
      <c r="C1897" s="729" t="s">
        <v>456</v>
      </c>
      <c r="D1897" s="460"/>
      <c r="E1897" s="878" t="s">
        <v>695</v>
      </c>
      <c r="F1897" s="881" t="s">
        <v>943</v>
      </c>
      <c r="G1897" s="731" t="s">
        <v>5518</v>
      </c>
      <c r="H1897" s="1083">
        <v>42401</v>
      </c>
      <c r="I1897" s="1084">
        <v>42461</v>
      </c>
      <c r="J1897" s="957">
        <v>127</v>
      </c>
    </row>
    <row r="1898" spans="1:10" s="852" customFormat="1" outlineLevel="2">
      <c r="A1898" s="815" t="s">
        <v>5903</v>
      </c>
      <c r="B1898" s="816" t="s">
        <v>7889</v>
      </c>
      <c r="C1898" s="729" t="s">
        <v>456</v>
      </c>
      <c r="D1898" s="460"/>
      <c r="E1898" s="878" t="s">
        <v>2258</v>
      </c>
      <c r="F1898" s="881" t="s">
        <v>404</v>
      </c>
      <c r="G1898" s="731" t="str">
        <f>"160"</f>
        <v>160</v>
      </c>
      <c r="H1898" s="1083">
        <v>42401</v>
      </c>
      <c r="I1898" s="1084">
        <v>42461</v>
      </c>
      <c r="J1898" s="957">
        <v>2954.26</v>
      </c>
    </row>
    <row r="1899" spans="1:10" s="852" customFormat="1" outlineLevel="2">
      <c r="A1899" s="815" t="s">
        <v>1698</v>
      </c>
      <c r="B1899" s="816" t="s">
        <v>7872</v>
      </c>
      <c r="C1899" s="729" t="s">
        <v>456</v>
      </c>
      <c r="D1899" s="460"/>
      <c r="E1899" s="878" t="s">
        <v>1699</v>
      </c>
      <c r="F1899" s="881" t="s">
        <v>1696</v>
      </c>
      <c r="G1899" s="731" t="s">
        <v>5713</v>
      </c>
      <c r="H1899" s="1083">
        <v>42430</v>
      </c>
      <c r="I1899" s="1084">
        <v>42485</v>
      </c>
      <c r="J1899" s="957">
        <v>26150.2</v>
      </c>
    </row>
    <row r="1900" spans="1:10" s="852" customFormat="1" outlineLevel="2">
      <c r="A1900" s="815" t="s">
        <v>5908</v>
      </c>
      <c r="B1900" s="816" t="s">
        <v>7883</v>
      </c>
      <c r="C1900" s="729" t="s">
        <v>456</v>
      </c>
      <c r="D1900" s="460"/>
      <c r="E1900" s="878" t="s">
        <v>5907</v>
      </c>
      <c r="F1900" s="881" t="s">
        <v>1041</v>
      </c>
      <c r="G1900" s="731">
        <v>5911</v>
      </c>
      <c r="H1900" s="1083">
        <v>42401</v>
      </c>
      <c r="I1900" s="1084">
        <v>42461</v>
      </c>
      <c r="J1900" s="957">
        <v>50611.14</v>
      </c>
    </row>
    <row r="1901" spans="1:10" s="852" customFormat="1" outlineLevel="2">
      <c r="A1901" s="815" t="s">
        <v>5910</v>
      </c>
      <c r="B1901" s="816" t="s">
        <v>7882</v>
      </c>
      <c r="C1901" s="729" t="s">
        <v>456</v>
      </c>
      <c r="D1901" s="460"/>
      <c r="E1901" s="878" t="s">
        <v>5907</v>
      </c>
      <c r="F1901" s="881" t="s">
        <v>1041</v>
      </c>
      <c r="G1901" s="731">
        <v>5911</v>
      </c>
      <c r="H1901" s="1083">
        <v>42401</v>
      </c>
      <c r="I1901" s="1084">
        <v>42461</v>
      </c>
      <c r="J1901" s="957">
        <v>374522.44</v>
      </c>
    </row>
    <row r="1902" spans="1:10" s="852" customFormat="1" ht="42.75" outlineLevel="2">
      <c r="A1902" s="815" t="s">
        <v>1235</v>
      </c>
      <c r="B1902" s="816" t="s">
        <v>7868</v>
      </c>
      <c r="C1902" s="729" t="s">
        <v>456</v>
      </c>
      <c r="D1902" s="460"/>
      <c r="E1902" s="878" t="s">
        <v>1236</v>
      </c>
      <c r="F1902" s="881" t="s">
        <v>1233</v>
      </c>
      <c r="G1902" s="731" t="s">
        <v>5634</v>
      </c>
      <c r="H1902" s="1083">
        <v>42430</v>
      </c>
      <c r="I1902" s="1084">
        <v>42474</v>
      </c>
      <c r="J1902" s="957">
        <v>47656.6</v>
      </c>
    </row>
    <row r="1903" spans="1:10" s="852" customFormat="1" outlineLevel="2">
      <c r="A1903" s="815" t="s">
        <v>5965</v>
      </c>
      <c r="B1903" s="816" t="s">
        <v>7869</v>
      </c>
      <c r="C1903" s="729" t="s">
        <v>456</v>
      </c>
      <c r="D1903" s="460"/>
      <c r="E1903" s="878" t="s">
        <v>5966</v>
      </c>
      <c r="F1903" s="881" t="s">
        <v>2280</v>
      </c>
      <c r="G1903" s="731" t="str">
        <f>"3363"</f>
        <v>3363</v>
      </c>
      <c r="H1903" s="1083"/>
      <c r="I1903" s="1084">
        <v>42467</v>
      </c>
      <c r="J1903" s="957">
        <v>349.64</v>
      </c>
    </row>
    <row r="1904" spans="1:10" s="852" customFormat="1" outlineLevel="2">
      <c r="A1904" s="815" t="s">
        <v>5965</v>
      </c>
      <c r="B1904" s="816" t="s">
        <v>7869</v>
      </c>
      <c r="C1904" s="729" t="s">
        <v>456</v>
      </c>
      <c r="D1904" s="460"/>
      <c r="E1904" s="878" t="s">
        <v>5966</v>
      </c>
      <c r="F1904" s="881" t="s">
        <v>2280</v>
      </c>
      <c r="G1904" s="731" t="str">
        <f>"3363"</f>
        <v>3363</v>
      </c>
      <c r="H1904" s="1083"/>
      <c r="I1904" s="1084">
        <v>42467</v>
      </c>
      <c r="J1904" s="957">
        <v>349.64</v>
      </c>
    </row>
    <row r="1905" spans="1:10" s="852" customFormat="1" outlineLevel="2">
      <c r="A1905" s="815" t="s">
        <v>707</v>
      </c>
      <c r="B1905" s="816" t="s">
        <v>7890</v>
      </c>
      <c r="C1905" s="729" t="s">
        <v>456</v>
      </c>
      <c r="D1905" s="460"/>
      <c r="E1905" s="878" t="s">
        <v>708</v>
      </c>
      <c r="F1905" s="881" t="s">
        <v>1357</v>
      </c>
      <c r="G1905" s="731" t="s">
        <v>5574</v>
      </c>
      <c r="H1905" s="1083">
        <v>42401</v>
      </c>
      <c r="I1905" s="1084">
        <v>42465</v>
      </c>
      <c r="J1905" s="957">
        <v>625.45000000000005</v>
      </c>
    </row>
    <row r="1906" spans="1:10" s="852" customFormat="1" outlineLevel="2">
      <c r="A1906" s="815" t="s">
        <v>2514</v>
      </c>
      <c r="B1906" s="816" t="s">
        <v>7891</v>
      </c>
      <c r="C1906" s="729" t="s">
        <v>456</v>
      </c>
      <c r="D1906" s="460"/>
      <c r="E1906" s="878" t="s">
        <v>708</v>
      </c>
      <c r="F1906" s="881" t="s">
        <v>1357</v>
      </c>
      <c r="G1906" s="731" t="s">
        <v>5643</v>
      </c>
      <c r="H1906" s="1083">
        <v>42430</v>
      </c>
      <c r="I1906" s="1084">
        <v>42475</v>
      </c>
      <c r="J1906" s="957">
        <v>2665.32</v>
      </c>
    </row>
    <row r="1907" spans="1:10" s="852" customFormat="1" outlineLevel="2">
      <c r="A1907" s="815" t="s">
        <v>6488</v>
      </c>
      <c r="B1907" s="816" t="s">
        <v>7873</v>
      </c>
      <c r="C1907" s="729" t="s">
        <v>456</v>
      </c>
      <c r="D1907" s="460"/>
      <c r="E1907" s="878" t="s">
        <v>421</v>
      </c>
      <c r="F1907" s="881" t="s">
        <v>431</v>
      </c>
      <c r="G1907" s="731" t="s">
        <v>5730</v>
      </c>
      <c r="H1907" s="1083">
        <v>42430</v>
      </c>
      <c r="I1907" s="1084">
        <v>42487</v>
      </c>
      <c r="J1907" s="957">
        <v>89.98</v>
      </c>
    </row>
    <row r="1908" spans="1:10" s="852" customFormat="1" outlineLevel="2">
      <c r="A1908" s="815" t="s">
        <v>6488</v>
      </c>
      <c r="B1908" s="816" t="s">
        <v>7873</v>
      </c>
      <c r="C1908" s="729" t="s">
        <v>456</v>
      </c>
      <c r="D1908" s="460"/>
      <c r="E1908" s="878" t="s">
        <v>421</v>
      </c>
      <c r="F1908" s="881" t="s">
        <v>431</v>
      </c>
      <c r="G1908" s="731" t="s">
        <v>5730</v>
      </c>
      <c r="H1908" s="1083">
        <v>42430</v>
      </c>
      <c r="I1908" s="1084">
        <v>42487</v>
      </c>
      <c r="J1908" s="957">
        <v>28</v>
      </c>
    </row>
    <row r="1909" spans="1:10" s="852" customFormat="1" outlineLevel="2">
      <c r="A1909" s="815" t="s">
        <v>6488</v>
      </c>
      <c r="B1909" s="816" t="s">
        <v>7873</v>
      </c>
      <c r="C1909" s="729" t="s">
        <v>456</v>
      </c>
      <c r="D1909" s="460"/>
      <c r="E1909" s="878" t="s">
        <v>421</v>
      </c>
      <c r="F1909" s="881" t="s">
        <v>431</v>
      </c>
      <c r="G1909" s="731" t="s">
        <v>5730</v>
      </c>
      <c r="H1909" s="1083">
        <v>42430</v>
      </c>
      <c r="I1909" s="1084">
        <v>42487</v>
      </c>
      <c r="J1909" s="957">
        <v>7.9</v>
      </c>
    </row>
    <row r="1910" spans="1:10" s="852" customFormat="1" outlineLevel="2">
      <c r="A1910" s="815" t="s">
        <v>6488</v>
      </c>
      <c r="B1910" s="816" t="s">
        <v>7873</v>
      </c>
      <c r="C1910" s="729" t="s">
        <v>456</v>
      </c>
      <c r="D1910" s="460"/>
      <c r="E1910" s="878" t="s">
        <v>421</v>
      </c>
      <c r="F1910" s="881" t="s">
        <v>431</v>
      </c>
      <c r="G1910" s="731" t="s">
        <v>5730</v>
      </c>
      <c r="H1910" s="1083">
        <v>42430</v>
      </c>
      <c r="I1910" s="1084">
        <v>42487</v>
      </c>
      <c r="J1910" s="957">
        <v>24</v>
      </c>
    </row>
    <row r="1911" spans="1:10" s="852" customFormat="1" outlineLevel="2">
      <c r="A1911" s="815" t="s">
        <v>6488</v>
      </c>
      <c r="B1911" s="816" t="s">
        <v>7873</v>
      </c>
      <c r="C1911" s="729" t="s">
        <v>456</v>
      </c>
      <c r="D1911" s="460"/>
      <c r="E1911" s="878" t="s">
        <v>421</v>
      </c>
      <c r="F1911" s="881" t="s">
        <v>431</v>
      </c>
      <c r="G1911" s="731" t="s">
        <v>5730</v>
      </c>
      <c r="H1911" s="1083">
        <v>42430</v>
      </c>
      <c r="I1911" s="1084">
        <v>42487</v>
      </c>
      <c r="J1911" s="957">
        <v>28</v>
      </c>
    </row>
    <row r="1912" spans="1:10" s="852" customFormat="1" outlineLevel="2">
      <c r="A1912" s="815" t="s">
        <v>6488</v>
      </c>
      <c r="B1912" s="816" t="s">
        <v>7873</v>
      </c>
      <c r="C1912" s="729" t="s">
        <v>456</v>
      </c>
      <c r="D1912" s="460"/>
      <c r="E1912" s="878" t="s">
        <v>421</v>
      </c>
      <c r="F1912" s="881" t="s">
        <v>431</v>
      </c>
      <c r="G1912" s="731" t="s">
        <v>5730</v>
      </c>
      <c r="H1912" s="1083">
        <v>42430</v>
      </c>
      <c r="I1912" s="1084">
        <v>42487</v>
      </c>
      <c r="J1912" s="957">
        <v>6.76</v>
      </c>
    </row>
    <row r="1913" spans="1:10" s="852" customFormat="1" outlineLevel="2">
      <c r="A1913" s="815" t="s">
        <v>6488</v>
      </c>
      <c r="B1913" s="816" t="s">
        <v>7873</v>
      </c>
      <c r="C1913" s="729" t="s">
        <v>456</v>
      </c>
      <c r="D1913" s="460"/>
      <c r="E1913" s="878" t="s">
        <v>421</v>
      </c>
      <c r="F1913" s="881" t="s">
        <v>431</v>
      </c>
      <c r="G1913" s="731" t="s">
        <v>5730</v>
      </c>
      <c r="H1913" s="1083">
        <v>42430</v>
      </c>
      <c r="I1913" s="1084">
        <v>42487</v>
      </c>
      <c r="J1913" s="957">
        <v>8.9</v>
      </c>
    </row>
    <row r="1914" spans="1:10" s="852" customFormat="1" ht="28.5" outlineLevel="2">
      <c r="A1914" s="815" t="s">
        <v>5644</v>
      </c>
      <c r="B1914" s="816" t="s">
        <v>7867</v>
      </c>
      <c r="C1914" s="729" t="s">
        <v>456</v>
      </c>
      <c r="D1914" s="460"/>
      <c r="E1914" s="878" t="s">
        <v>5645</v>
      </c>
      <c r="F1914" s="881" t="s">
        <v>1044</v>
      </c>
      <c r="G1914" s="731" t="s">
        <v>5646</v>
      </c>
      <c r="H1914" s="1083">
        <v>42461</v>
      </c>
      <c r="I1914" s="1084">
        <v>42475</v>
      </c>
      <c r="J1914" s="957">
        <v>222501.2</v>
      </c>
    </row>
    <row r="1915" spans="1:10" s="852" customFormat="1" ht="28.5" outlineLevel="2">
      <c r="A1915" s="815" t="s">
        <v>5527</v>
      </c>
      <c r="B1915" s="816" t="s">
        <v>7876</v>
      </c>
      <c r="C1915" s="729" t="s">
        <v>456</v>
      </c>
      <c r="D1915" s="460"/>
      <c r="E1915" s="878" t="s">
        <v>1410</v>
      </c>
      <c r="F1915" s="881" t="s">
        <v>1424</v>
      </c>
      <c r="G1915" s="731" t="s">
        <v>5525</v>
      </c>
      <c r="H1915" s="1083">
        <v>42430</v>
      </c>
      <c r="I1915" s="1084">
        <v>42461</v>
      </c>
      <c r="J1915" s="957">
        <v>488.96</v>
      </c>
    </row>
    <row r="1916" spans="1:10" s="852" customFormat="1" ht="28.5" outlineLevel="2">
      <c r="A1916" s="815" t="s">
        <v>5528</v>
      </c>
      <c r="B1916" s="816" t="s">
        <v>7876</v>
      </c>
      <c r="C1916" s="729" t="s">
        <v>456</v>
      </c>
      <c r="D1916" s="460"/>
      <c r="E1916" s="878" t="s">
        <v>1410</v>
      </c>
      <c r="F1916" s="881" t="s">
        <v>1424</v>
      </c>
      <c r="G1916" s="731" t="s">
        <v>5525</v>
      </c>
      <c r="H1916" s="1083">
        <v>42430</v>
      </c>
      <c r="I1916" s="1084">
        <v>42461</v>
      </c>
      <c r="J1916" s="957">
        <v>917.2</v>
      </c>
    </row>
    <row r="1917" spans="1:10" s="852" customFormat="1" ht="28.5" outlineLevel="2">
      <c r="A1917" s="815" t="s">
        <v>6479</v>
      </c>
      <c r="B1917" s="816" t="s">
        <v>7870</v>
      </c>
      <c r="C1917" s="729" t="s">
        <v>456</v>
      </c>
      <c r="D1917" s="460"/>
      <c r="E1917" s="878" t="s">
        <v>1599</v>
      </c>
      <c r="F1917" s="881" t="s">
        <v>426</v>
      </c>
      <c r="G1917" s="731" t="s">
        <v>5708</v>
      </c>
      <c r="H1917" s="1083">
        <v>42401</v>
      </c>
      <c r="I1917" s="1084">
        <v>42482</v>
      </c>
      <c r="J1917" s="957">
        <v>-1.84</v>
      </c>
    </row>
    <row r="1918" spans="1:10" s="852" customFormat="1" outlineLevel="2">
      <c r="A1918" s="815" t="s">
        <v>6479</v>
      </c>
      <c r="B1918" s="816" t="s">
        <v>7870</v>
      </c>
      <c r="C1918" s="729" t="s">
        <v>456</v>
      </c>
      <c r="D1918" s="460"/>
      <c r="E1918" s="878" t="s">
        <v>1599</v>
      </c>
      <c r="F1918" s="881" t="s">
        <v>2274</v>
      </c>
      <c r="G1918" s="731" t="s">
        <v>5709</v>
      </c>
      <c r="H1918" s="1083">
        <v>42401</v>
      </c>
      <c r="I1918" s="1084">
        <v>42482</v>
      </c>
      <c r="J1918" s="957">
        <v>32.380000000000003</v>
      </c>
    </row>
    <row r="1919" spans="1:10" s="852" customFormat="1" outlineLevel="2">
      <c r="A1919" s="815" t="s">
        <v>699</v>
      </c>
      <c r="B1919" s="816" t="s">
        <v>7877</v>
      </c>
      <c r="C1919" s="729" t="s">
        <v>456</v>
      </c>
      <c r="D1919" s="460"/>
      <c r="E1919" s="878" t="s">
        <v>683</v>
      </c>
      <c r="F1919" s="881" t="s">
        <v>1071</v>
      </c>
      <c r="G1919" s="731" t="s">
        <v>5544</v>
      </c>
      <c r="H1919" s="1083">
        <v>42430</v>
      </c>
      <c r="I1919" s="1084">
        <v>42464</v>
      </c>
      <c r="J1919" s="957">
        <v>16222.56</v>
      </c>
    </row>
    <row r="1920" spans="1:10" s="852" customFormat="1" outlineLevel="2">
      <c r="A1920" s="815" t="s">
        <v>5928</v>
      </c>
      <c r="B1920" s="816" t="s">
        <v>7864</v>
      </c>
      <c r="C1920" s="729" t="s">
        <v>456</v>
      </c>
      <c r="D1920" s="460"/>
      <c r="E1920" s="878" t="s">
        <v>6470</v>
      </c>
      <c r="F1920" s="881" t="s">
        <v>434</v>
      </c>
      <c r="G1920" s="731" t="str">
        <f>"2659"</f>
        <v>2659</v>
      </c>
      <c r="H1920" s="1083">
        <v>42370</v>
      </c>
      <c r="I1920" s="1084">
        <v>42478</v>
      </c>
      <c r="J1920" s="957">
        <v>695.6</v>
      </c>
    </row>
    <row r="1921" spans="1:10" s="852" customFormat="1" outlineLevel="2">
      <c r="A1921" s="815" t="s">
        <v>5928</v>
      </c>
      <c r="B1921" s="816" t="s">
        <v>7864</v>
      </c>
      <c r="C1921" s="729" t="s">
        <v>456</v>
      </c>
      <c r="D1921" s="460"/>
      <c r="E1921" s="878" t="s">
        <v>6470</v>
      </c>
      <c r="F1921" s="881" t="s">
        <v>434</v>
      </c>
      <c r="G1921" s="731" t="str">
        <f>"2659"</f>
        <v>2659</v>
      </c>
      <c r="H1921" s="1083">
        <v>42370</v>
      </c>
      <c r="I1921" s="1084">
        <v>42478</v>
      </c>
      <c r="J1921" s="957">
        <v>-695.6</v>
      </c>
    </row>
    <row r="1922" spans="1:10" s="852" customFormat="1" outlineLevel="2">
      <c r="A1922" s="815" t="s">
        <v>5928</v>
      </c>
      <c r="B1922" s="816" t="s">
        <v>7864</v>
      </c>
      <c r="C1922" s="729" t="s">
        <v>456</v>
      </c>
      <c r="D1922" s="460"/>
      <c r="E1922" s="878" t="s">
        <v>6470</v>
      </c>
      <c r="F1922" s="881" t="s">
        <v>434</v>
      </c>
      <c r="G1922" s="731" t="str">
        <f>"2659"</f>
        <v>2659</v>
      </c>
      <c r="H1922" s="1083">
        <v>42370</v>
      </c>
      <c r="I1922" s="1084">
        <v>42478</v>
      </c>
      <c r="J1922" s="957">
        <v>695.6</v>
      </c>
    </row>
    <row r="1923" spans="1:10" s="852" customFormat="1" outlineLevel="2">
      <c r="A1923" s="815" t="s">
        <v>5928</v>
      </c>
      <c r="B1923" s="816" t="s">
        <v>7864</v>
      </c>
      <c r="C1923" s="729" t="s">
        <v>456</v>
      </c>
      <c r="D1923" s="460"/>
      <c r="E1923" s="878" t="s">
        <v>6470</v>
      </c>
      <c r="F1923" s="881" t="s">
        <v>434</v>
      </c>
      <c r="G1923" s="731" t="str">
        <f>"2659"</f>
        <v>2659</v>
      </c>
      <c r="H1923" s="1083">
        <v>42370</v>
      </c>
      <c r="I1923" s="1084">
        <v>42478</v>
      </c>
      <c r="J1923" s="957">
        <v>695.6</v>
      </c>
    </row>
    <row r="1924" spans="1:10" s="852" customFormat="1" outlineLevel="2">
      <c r="A1924" s="815" t="s">
        <v>5928</v>
      </c>
      <c r="B1924" s="816" t="s">
        <v>7864</v>
      </c>
      <c r="C1924" s="729" t="s">
        <v>456</v>
      </c>
      <c r="D1924" s="460"/>
      <c r="E1924" s="878" t="s">
        <v>6470</v>
      </c>
      <c r="F1924" s="881" t="s">
        <v>434</v>
      </c>
      <c r="G1924" s="731" t="str">
        <f>"2659"</f>
        <v>2659</v>
      </c>
      <c r="H1924" s="1083">
        <v>42370</v>
      </c>
      <c r="I1924" s="1084">
        <v>42478</v>
      </c>
      <c r="J1924" s="957">
        <v>-695.6</v>
      </c>
    </row>
    <row r="1925" spans="1:10" s="852" customFormat="1" outlineLevel="2">
      <c r="A1925" s="815" t="s">
        <v>5928</v>
      </c>
      <c r="B1925" s="816" t="s">
        <v>7864</v>
      </c>
      <c r="C1925" s="729" t="s">
        <v>456</v>
      </c>
      <c r="D1925" s="460"/>
      <c r="E1925" s="878" t="s">
        <v>6470</v>
      </c>
      <c r="F1925" s="881" t="s">
        <v>434</v>
      </c>
      <c r="G1925" s="731" t="str">
        <f>"2660"</f>
        <v>2660</v>
      </c>
      <c r="H1925" s="1083">
        <v>42370</v>
      </c>
      <c r="I1925" s="1084">
        <v>42478</v>
      </c>
      <c r="J1925" s="957">
        <v>5735.44</v>
      </c>
    </row>
    <row r="1926" spans="1:10" s="852" customFormat="1" outlineLevel="2">
      <c r="A1926" s="815" t="s">
        <v>5928</v>
      </c>
      <c r="B1926" s="816" t="s">
        <v>7864</v>
      </c>
      <c r="C1926" s="729" t="s">
        <v>456</v>
      </c>
      <c r="D1926" s="460"/>
      <c r="E1926" s="878" t="s">
        <v>6470</v>
      </c>
      <c r="F1926" s="881" t="s">
        <v>434</v>
      </c>
      <c r="G1926" s="731" t="str">
        <f>"2660"</f>
        <v>2660</v>
      </c>
      <c r="H1926" s="1083">
        <v>42370</v>
      </c>
      <c r="I1926" s="1084">
        <v>42478</v>
      </c>
      <c r="J1926" s="957">
        <v>-5735.44</v>
      </c>
    </row>
    <row r="1927" spans="1:10" s="852" customFormat="1" outlineLevel="2">
      <c r="A1927" s="815" t="s">
        <v>5928</v>
      </c>
      <c r="B1927" s="816" t="s">
        <v>7864</v>
      </c>
      <c r="C1927" s="729" t="s">
        <v>456</v>
      </c>
      <c r="D1927" s="460"/>
      <c r="E1927" s="878" t="s">
        <v>6470</v>
      </c>
      <c r="F1927" s="881" t="s">
        <v>434</v>
      </c>
      <c r="G1927" s="731" t="str">
        <f>"2660"</f>
        <v>2660</v>
      </c>
      <c r="H1927" s="1083">
        <v>42370</v>
      </c>
      <c r="I1927" s="1084">
        <v>42478</v>
      </c>
      <c r="J1927" s="957">
        <v>5735.44</v>
      </c>
    </row>
    <row r="1928" spans="1:10" s="852" customFormat="1" outlineLevel="2">
      <c r="A1928" s="815" t="s">
        <v>5928</v>
      </c>
      <c r="B1928" s="816" t="s">
        <v>7864</v>
      </c>
      <c r="C1928" s="729" t="s">
        <v>456</v>
      </c>
      <c r="D1928" s="460"/>
      <c r="E1928" s="878" t="s">
        <v>6470</v>
      </c>
      <c r="F1928" s="881" t="s">
        <v>434</v>
      </c>
      <c r="G1928" s="731" t="str">
        <f>"2660"</f>
        <v>2660</v>
      </c>
      <c r="H1928" s="1083">
        <v>42370</v>
      </c>
      <c r="I1928" s="1084">
        <v>42478</v>
      </c>
      <c r="J1928" s="957">
        <v>5735.44</v>
      </c>
    </row>
    <row r="1929" spans="1:10" s="852" customFormat="1" outlineLevel="2">
      <c r="A1929" s="815" t="s">
        <v>5928</v>
      </c>
      <c r="B1929" s="816" t="s">
        <v>7864</v>
      </c>
      <c r="C1929" s="729" t="s">
        <v>456</v>
      </c>
      <c r="D1929" s="460"/>
      <c r="E1929" s="878" t="s">
        <v>6470</v>
      </c>
      <c r="F1929" s="881" t="s">
        <v>434</v>
      </c>
      <c r="G1929" s="731" t="str">
        <f>"2660"</f>
        <v>2660</v>
      </c>
      <c r="H1929" s="1083">
        <v>42370</v>
      </c>
      <c r="I1929" s="1084">
        <v>42478</v>
      </c>
      <c r="J1929" s="957">
        <v>-5735.44</v>
      </c>
    </row>
    <row r="1930" spans="1:10" s="852" customFormat="1" outlineLevel="2">
      <c r="A1930" s="815" t="s">
        <v>701</v>
      </c>
      <c r="B1930" s="816" t="s">
        <v>7882</v>
      </c>
      <c r="C1930" s="729" t="s">
        <v>456</v>
      </c>
      <c r="D1930" s="460"/>
      <c r="E1930" s="878" t="s">
        <v>2336</v>
      </c>
      <c r="F1930" s="881" t="s">
        <v>4303</v>
      </c>
      <c r="G1930" s="731" t="s">
        <v>4276</v>
      </c>
      <c r="H1930" s="1083">
        <v>42401</v>
      </c>
      <c r="I1930" s="1084">
        <v>42480</v>
      </c>
      <c r="J1930" s="957">
        <v>52247.89</v>
      </c>
    </row>
    <row r="1931" spans="1:10" s="852" customFormat="1" outlineLevel="2">
      <c r="A1931" s="815" t="s">
        <v>703</v>
      </c>
      <c r="B1931" s="816" t="s">
        <v>7883</v>
      </c>
      <c r="C1931" s="729" t="s">
        <v>456</v>
      </c>
      <c r="D1931" s="460"/>
      <c r="E1931" s="878" t="s">
        <v>2336</v>
      </c>
      <c r="F1931" s="881" t="s">
        <v>4303</v>
      </c>
      <c r="G1931" s="731" t="s">
        <v>4276</v>
      </c>
      <c r="H1931" s="1083">
        <v>42401</v>
      </c>
      <c r="I1931" s="1084">
        <v>42480</v>
      </c>
      <c r="J1931" s="957">
        <v>7060.52</v>
      </c>
    </row>
    <row r="1932" spans="1:10" s="852" customFormat="1" outlineLevel="2">
      <c r="A1932" s="815" t="s">
        <v>698</v>
      </c>
      <c r="B1932" s="816" t="s">
        <v>7864</v>
      </c>
      <c r="C1932" s="729" t="s">
        <v>456</v>
      </c>
      <c r="D1932" s="460"/>
      <c r="E1932" s="878" t="s">
        <v>2336</v>
      </c>
      <c r="F1932" s="881" t="s">
        <v>6043</v>
      </c>
      <c r="G1932" s="731" t="s">
        <v>4271</v>
      </c>
      <c r="H1932" s="1083">
        <v>42401</v>
      </c>
      <c r="I1932" s="1084">
        <v>42480</v>
      </c>
      <c r="J1932" s="957">
        <v>810.41</v>
      </c>
    </row>
    <row r="1933" spans="1:10" s="852" customFormat="1" outlineLevel="2">
      <c r="A1933" s="815" t="s">
        <v>698</v>
      </c>
      <c r="B1933" s="816" t="s">
        <v>7864</v>
      </c>
      <c r="C1933" s="729" t="s">
        <v>456</v>
      </c>
      <c r="D1933" s="460"/>
      <c r="E1933" s="878" t="s">
        <v>2336</v>
      </c>
      <c r="F1933" s="881" t="s">
        <v>4467</v>
      </c>
      <c r="G1933" s="731" t="s">
        <v>4282</v>
      </c>
      <c r="H1933" s="1083">
        <v>42401</v>
      </c>
      <c r="I1933" s="1084">
        <v>42480</v>
      </c>
      <c r="J1933" s="957">
        <v>91.8</v>
      </c>
    </row>
    <row r="1934" spans="1:10" s="852" customFormat="1" outlineLevel="2">
      <c r="A1934" s="815" t="s">
        <v>698</v>
      </c>
      <c r="B1934" s="816" t="s">
        <v>7864</v>
      </c>
      <c r="C1934" s="729" t="s">
        <v>456</v>
      </c>
      <c r="D1934" s="460"/>
      <c r="E1934" s="878" t="s">
        <v>2336</v>
      </c>
      <c r="F1934" s="881" t="s">
        <v>3634</v>
      </c>
      <c r="G1934" s="731" t="s">
        <v>4274</v>
      </c>
      <c r="H1934" s="1083">
        <v>42401</v>
      </c>
      <c r="I1934" s="1084">
        <v>42480</v>
      </c>
      <c r="J1934" s="957">
        <v>533.16999999999996</v>
      </c>
    </row>
    <row r="1935" spans="1:10" s="852" customFormat="1" outlineLevel="2">
      <c r="A1935" s="815" t="s">
        <v>698</v>
      </c>
      <c r="B1935" s="816" t="s">
        <v>7864</v>
      </c>
      <c r="C1935" s="729" t="s">
        <v>456</v>
      </c>
      <c r="D1935" s="460"/>
      <c r="E1935" s="878" t="s">
        <v>2336</v>
      </c>
      <c r="F1935" s="881" t="s">
        <v>4485</v>
      </c>
      <c r="G1935" s="731" t="s">
        <v>4284</v>
      </c>
      <c r="H1935" s="1083">
        <v>42430</v>
      </c>
      <c r="I1935" s="1084">
        <v>42480</v>
      </c>
      <c r="J1935" s="957">
        <v>60.4</v>
      </c>
    </row>
    <row r="1936" spans="1:10" s="852" customFormat="1" outlineLevel="2">
      <c r="A1936" s="815" t="s">
        <v>698</v>
      </c>
      <c r="B1936" s="816" t="s">
        <v>7864</v>
      </c>
      <c r="C1936" s="729" t="s">
        <v>456</v>
      </c>
      <c r="D1936" s="460"/>
      <c r="E1936" s="878" t="s">
        <v>2336</v>
      </c>
      <c r="F1936" s="881" t="s">
        <v>3179</v>
      </c>
      <c r="G1936" s="731" t="s">
        <v>4273</v>
      </c>
      <c r="H1936" s="1083">
        <v>42401</v>
      </c>
      <c r="I1936" s="1084">
        <v>42480</v>
      </c>
      <c r="J1936" s="957">
        <v>789.09</v>
      </c>
    </row>
    <row r="1937" spans="1:10" s="852" customFormat="1" outlineLevel="2">
      <c r="A1937" s="815" t="s">
        <v>698</v>
      </c>
      <c r="B1937" s="816" t="s">
        <v>7864</v>
      </c>
      <c r="C1937" s="729" t="s">
        <v>456</v>
      </c>
      <c r="D1937" s="460"/>
      <c r="E1937" s="878" t="s">
        <v>2336</v>
      </c>
      <c r="F1937" s="881" t="s">
        <v>4563</v>
      </c>
      <c r="G1937" s="731" t="s">
        <v>4286</v>
      </c>
      <c r="H1937" s="1083">
        <v>42401</v>
      </c>
      <c r="I1937" s="1084">
        <v>42480</v>
      </c>
      <c r="J1937" s="957">
        <v>89.38</v>
      </c>
    </row>
    <row r="1938" spans="1:10" s="852" customFormat="1" outlineLevel="2">
      <c r="A1938" s="815" t="s">
        <v>704</v>
      </c>
      <c r="B1938" s="816" t="s">
        <v>7863</v>
      </c>
      <c r="C1938" s="729" t="s">
        <v>456</v>
      </c>
      <c r="D1938" s="460"/>
      <c r="E1938" s="878" t="s">
        <v>2336</v>
      </c>
      <c r="F1938" s="881" t="s">
        <v>6044</v>
      </c>
      <c r="G1938" s="731" t="s">
        <v>4272</v>
      </c>
      <c r="H1938" s="1083">
        <v>42401</v>
      </c>
      <c r="I1938" s="1084">
        <v>42480</v>
      </c>
      <c r="J1938" s="957">
        <v>4940.1400000000003</v>
      </c>
    </row>
    <row r="1939" spans="1:10" s="852" customFormat="1" outlineLevel="2">
      <c r="A1939" s="815" t="s">
        <v>4278</v>
      </c>
      <c r="B1939" s="816" t="s">
        <v>7885</v>
      </c>
      <c r="C1939" s="729" t="s">
        <v>456</v>
      </c>
      <c r="D1939" s="460"/>
      <c r="E1939" s="878" t="s">
        <v>2336</v>
      </c>
      <c r="F1939" s="881" t="s">
        <v>4307</v>
      </c>
      <c r="G1939" s="731" t="s">
        <v>4280</v>
      </c>
      <c r="H1939" s="1083">
        <v>42401</v>
      </c>
      <c r="I1939" s="1084">
        <v>42480</v>
      </c>
      <c r="J1939" s="957">
        <v>466.82</v>
      </c>
    </row>
    <row r="1940" spans="1:10" s="852" customFormat="1" outlineLevel="2">
      <c r="A1940" s="815" t="s">
        <v>5928</v>
      </c>
      <c r="B1940" s="816" t="s">
        <v>7864</v>
      </c>
      <c r="C1940" s="729" t="s">
        <v>456</v>
      </c>
      <c r="D1940" s="460"/>
      <c r="E1940" s="878" t="s">
        <v>2717</v>
      </c>
      <c r="F1940" s="881" t="s">
        <v>434</v>
      </c>
      <c r="G1940" s="731" t="str">
        <f>"3525"</f>
        <v>3525</v>
      </c>
      <c r="H1940" s="1083">
        <v>42401</v>
      </c>
      <c r="I1940" s="1084">
        <v>42467</v>
      </c>
      <c r="J1940" s="957">
        <v>3797.59</v>
      </c>
    </row>
    <row r="1941" spans="1:10" s="852" customFormat="1" outlineLevel="2">
      <c r="A1941" s="815" t="s">
        <v>698</v>
      </c>
      <c r="B1941" s="816" t="s">
        <v>7864</v>
      </c>
      <c r="C1941" s="729" t="s">
        <v>456</v>
      </c>
      <c r="D1941" s="460"/>
      <c r="E1941" s="878" t="s">
        <v>407</v>
      </c>
      <c r="F1941" s="881" t="s">
        <v>434</v>
      </c>
      <c r="G1941" s="731" t="s">
        <v>5710</v>
      </c>
      <c r="H1941" s="1083">
        <v>42430</v>
      </c>
      <c r="I1941" s="1084">
        <v>42482</v>
      </c>
      <c r="J1941" s="957">
        <v>457.63</v>
      </c>
    </row>
    <row r="1942" spans="1:10" s="852" customFormat="1" outlineLevel="2">
      <c r="A1942" s="815" t="s">
        <v>1298</v>
      </c>
      <c r="B1942" s="816" t="s">
        <v>7873</v>
      </c>
      <c r="C1942" s="729" t="s">
        <v>456</v>
      </c>
      <c r="D1942" s="460"/>
      <c r="E1942" s="878" t="s">
        <v>5798</v>
      </c>
      <c r="F1942" s="881" t="s">
        <v>431</v>
      </c>
      <c r="G1942" s="731" t="s">
        <v>5799</v>
      </c>
      <c r="H1942" s="1083">
        <v>42430</v>
      </c>
      <c r="I1942" s="1084">
        <v>42489</v>
      </c>
      <c r="J1942" s="957">
        <v>1500</v>
      </c>
    </row>
    <row r="1943" spans="1:10" s="852" customFormat="1" outlineLevel="2">
      <c r="A1943" s="815" t="s">
        <v>5928</v>
      </c>
      <c r="B1943" s="816" t="s">
        <v>7864</v>
      </c>
      <c r="C1943" s="729" t="s">
        <v>456</v>
      </c>
      <c r="D1943" s="460"/>
      <c r="E1943" s="878" t="s">
        <v>409</v>
      </c>
      <c r="F1943" s="881" t="s">
        <v>434</v>
      </c>
      <c r="G1943" s="731" t="str">
        <f>"6681"</f>
        <v>6681</v>
      </c>
      <c r="H1943" s="1083">
        <v>42401</v>
      </c>
      <c r="I1943" s="1084">
        <v>42475</v>
      </c>
      <c r="J1943" s="957">
        <v>5620.43</v>
      </c>
    </row>
    <row r="1944" spans="1:10" s="852" customFormat="1" outlineLevel="2">
      <c r="A1944" s="815" t="s">
        <v>698</v>
      </c>
      <c r="B1944" s="816" t="s">
        <v>7864</v>
      </c>
      <c r="C1944" s="729" t="s">
        <v>456</v>
      </c>
      <c r="D1944" s="460"/>
      <c r="E1944" s="878" t="s">
        <v>409</v>
      </c>
      <c r="F1944" s="881" t="s">
        <v>434</v>
      </c>
      <c r="G1944" s="731" t="s">
        <v>5720</v>
      </c>
      <c r="H1944" s="1083">
        <v>42401</v>
      </c>
      <c r="I1944" s="1084">
        <v>42485</v>
      </c>
      <c r="J1944" s="957">
        <v>677.3</v>
      </c>
    </row>
    <row r="1945" spans="1:10" s="852" customFormat="1" outlineLevel="2">
      <c r="A1945" s="815" t="s">
        <v>2731</v>
      </c>
      <c r="B1945" s="816" t="s">
        <v>7887</v>
      </c>
      <c r="C1945" s="729" t="s">
        <v>456</v>
      </c>
      <c r="D1945" s="460"/>
      <c r="E1945" s="878" t="s">
        <v>2306</v>
      </c>
      <c r="F1945" s="881" t="s">
        <v>2742</v>
      </c>
      <c r="G1945" s="731">
        <v>1282410</v>
      </c>
      <c r="H1945" s="1083">
        <v>42461</v>
      </c>
      <c r="I1945" s="1084">
        <v>42489</v>
      </c>
      <c r="J1945" s="957">
        <v>659.87</v>
      </c>
    </row>
    <row r="1946" spans="1:10" s="852" customFormat="1" ht="42.75" outlineLevel="2">
      <c r="A1946" s="815" t="s">
        <v>1235</v>
      </c>
      <c r="B1946" s="816" t="s">
        <v>7868</v>
      </c>
      <c r="C1946" s="729" t="s">
        <v>456</v>
      </c>
      <c r="D1946" s="460"/>
      <c r="E1946" s="878" t="s">
        <v>1238</v>
      </c>
      <c r="F1946" s="881" t="s">
        <v>1233</v>
      </c>
      <c r="G1946" s="731" t="s">
        <v>5610</v>
      </c>
      <c r="H1946" s="1083">
        <v>42430</v>
      </c>
      <c r="I1946" s="1084">
        <v>42471</v>
      </c>
      <c r="J1946" s="957">
        <v>71484.899999999994</v>
      </c>
    </row>
    <row r="1947" spans="1:10" s="852" customFormat="1" outlineLevel="2">
      <c r="A1947" s="815" t="s">
        <v>957</v>
      </c>
      <c r="B1947" s="816" t="s">
        <v>7866</v>
      </c>
      <c r="C1947" s="729" t="s">
        <v>456</v>
      </c>
      <c r="D1947" s="460"/>
      <c r="E1947" s="878" t="s">
        <v>2282</v>
      </c>
      <c r="F1947" s="881" t="s">
        <v>3974</v>
      </c>
      <c r="G1947" s="731" t="s">
        <v>2779</v>
      </c>
      <c r="H1947" s="1083">
        <v>42401</v>
      </c>
      <c r="I1947" s="1084">
        <v>42471</v>
      </c>
      <c r="J1947" s="957">
        <v>1480.25</v>
      </c>
    </row>
    <row r="1948" spans="1:10" s="852" customFormat="1" outlineLevel="2">
      <c r="A1948" s="815" t="s">
        <v>957</v>
      </c>
      <c r="B1948" s="816" t="s">
        <v>7866</v>
      </c>
      <c r="C1948" s="729" t="s">
        <v>456</v>
      </c>
      <c r="D1948" s="460"/>
      <c r="E1948" s="878" t="s">
        <v>2282</v>
      </c>
      <c r="F1948" s="881" t="s">
        <v>4081</v>
      </c>
      <c r="G1948" s="731" t="s">
        <v>2781</v>
      </c>
      <c r="H1948" s="1083">
        <v>42401</v>
      </c>
      <c r="I1948" s="1084">
        <v>42471</v>
      </c>
      <c r="J1948" s="957">
        <v>47.33</v>
      </c>
    </row>
    <row r="1949" spans="1:10" s="852" customFormat="1" outlineLevel="2">
      <c r="A1949" s="815" t="s">
        <v>957</v>
      </c>
      <c r="B1949" s="816" t="s">
        <v>7866</v>
      </c>
      <c r="C1949" s="729" t="s">
        <v>456</v>
      </c>
      <c r="D1949" s="460"/>
      <c r="E1949" s="878" t="s">
        <v>2282</v>
      </c>
      <c r="F1949" s="881" t="s">
        <v>4165</v>
      </c>
      <c r="G1949" s="731" t="s">
        <v>2782</v>
      </c>
      <c r="H1949" s="1083">
        <v>42401</v>
      </c>
      <c r="I1949" s="1084">
        <v>42471</v>
      </c>
      <c r="J1949" s="957">
        <v>558.49</v>
      </c>
    </row>
    <row r="1950" spans="1:10" s="852" customFormat="1" outlineLevel="2">
      <c r="A1950" s="815" t="s">
        <v>2266</v>
      </c>
      <c r="B1950" s="816" t="s">
        <v>7888</v>
      </c>
      <c r="C1950" s="729" t="s">
        <v>456</v>
      </c>
      <c r="D1950" s="460"/>
      <c r="E1950" s="878" t="s">
        <v>2710</v>
      </c>
      <c r="F1950" s="881" t="s">
        <v>4555</v>
      </c>
      <c r="G1950" s="731" t="s">
        <v>4223</v>
      </c>
      <c r="H1950" s="1083">
        <v>42401</v>
      </c>
      <c r="I1950" s="1084">
        <v>42475</v>
      </c>
      <c r="J1950" s="957">
        <v>33.450000000000003</v>
      </c>
    </row>
    <row r="1951" spans="1:10" s="852" customFormat="1" outlineLevel="2">
      <c r="A1951" s="815" t="s">
        <v>698</v>
      </c>
      <c r="B1951" s="816" t="s">
        <v>7864</v>
      </c>
      <c r="C1951" s="729" t="s">
        <v>456</v>
      </c>
      <c r="D1951" s="460"/>
      <c r="E1951" s="878" t="s">
        <v>2346</v>
      </c>
      <c r="F1951" s="881" t="s">
        <v>6114</v>
      </c>
      <c r="G1951" s="731" t="s">
        <v>4292</v>
      </c>
      <c r="H1951" s="1083">
        <v>42401</v>
      </c>
      <c r="I1951" s="1084">
        <v>42471</v>
      </c>
      <c r="J1951" s="957">
        <v>368.37</v>
      </c>
    </row>
    <row r="1952" spans="1:10" s="852" customFormat="1" outlineLevel="2">
      <c r="A1952" s="815" t="s">
        <v>704</v>
      </c>
      <c r="B1952" s="816" t="s">
        <v>7863</v>
      </c>
      <c r="C1952" s="729" t="s">
        <v>456</v>
      </c>
      <c r="D1952" s="460"/>
      <c r="E1952" s="878" t="s">
        <v>2346</v>
      </c>
      <c r="F1952" s="881" t="s">
        <v>6115</v>
      </c>
      <c r="G1952" s="731" t="s">
        <v>4293</v>
      </c>
      <c r="H1952" s="1083">
        <v>42401</v>
      </c>
      <c r="I1952" s="1084">
        <v>42471</v>
      </c>
      <c r="J1952" s="957">
        <v>2245.5100000000002</v>
      </c>
    </row>
    <row r="1953" spans="1:10" s="852" customFormat="1" outlineLevel="2">
      <c r="A1953" s="815" t="s">
        <v>698</v>
      </c>
      <c r="B1953" s="816" t="s">
        <v>7864</v>
      </c>
      <c r="C1953" s="729" t="s">
        <v>456</v>
      </c>
      <c r="D1953" s="460"/>
      <c r="E1953" s="878" t="s">
        <v>2346</v>
      </c>
      <c r="F1953" s="881" t="s">
        <v>3181</v>
      </c>
      <c r="G1953" s="731" t="s">
        <v>4295</v>
      </c>
      <c r="H1953" s="1083">
        <v>42401</v>
      </c>
      <c r="I1953" s="1084">
        <v>42471</v>
      </c>
      <c r="J1953" s="957">
        <v>358.68</v>
      </c>
    </row>
    <row r="1954" spans="1:10" s="852" customFormat="1" outlineLevel="2">
      <c r="A1954" s="815" t="s">
        <v>698</v>
      </c>
      <c r="B1954" s="816" t="s">
        <v>7864</v>
      </c>
      <c r="C1954" s="729" t="s">
        <v>456</v>
      </c>
      <c r="D1954" s="460"/>
      <c r="E1954" s="878" t="s">
        <v>2346</v>
      </c>
      <c r="F1954" s="881" t="s">
        <v>3636</v>
      </c>
      <c r="G1954" s="731" t="s">
        <v>4296</v>
      </c>
      <c r="H1954" s="1083">
        <v>42401</v>
      </c>
      <c r="I1954" s="1084">
        <v>42471</v>
      </c>
      <c r="J1954" s="957">
        <v>242.35</v>
      </c>
    </row>
    <row r="1955" spans="1:10" s="852" customFormat="1" ht="28.5" outlineLevel="2">
      <c r="A1955" s="815" t="s">
        <v>2259</v>
      </c>
      <c r="B1955" s="816" t="s">
        <v>7889</v>
      </c>
      <c r="C1955" s="729" t="s">
        <v>456</v>
      </c>
      <c r="D1955" s="460"/>
      <c r="E1955" s="878" t="s">
        <v>2346</v>
      </c>
      <c r="F1955" s="881" t="s">
        <v>3831</v>
      </c>
      <c r="G1955" s="731" t="s">
        <v>4298</v>
      </c>
      <c r="H1955" s="1083">
        <v>42401</v>
      </c>
      <c r="I1955" s="1084">
        <v>42471</v>
      </c>
      <c r="J1955" s="957">
        <v>166.25</v>
      </c>
    </row>
    <row r="1956" spans="1:10" s="852" customFormat="1" outlineLevel="2">
      <c r="A1956" s="815" t="s">
        <v>2514</v>
      </c>
      <c r="B1956" s="816" t="s">
        <v>7891</v>
      </c>
      <c r="C1956" s="729" t="s">
        <v>456</v>
      </c>
      <c r="D1956" s="460"/>
      <c r="E1956" s="878" t="s">
        <v>2346</v>
      </c>
      <c r="F1956" s="881" t="s">
        <v>3887</v>
      </c>
      <c r="G1956" s="731" t="s">
        <v>4299</v>
      </c>
      <c r="H1956" s="1083">
        <v>42430</v>
      </c>
      <c r="I1956" s="1084">
        <v>42471</v>
      </c>
      <c r="J1956" s="957">
        <v>147.5</v>
      </c>
    </row>
    <row r="1957" spans="1:10" s="852" customFormat="1" outlineLevel="2">
      <c r="A1957" s="815" t="s">
        <v>4278</v>
      </c>
      <c r="B1957" s="816" t="s">
        <v>7885</v>
      </c>
      <c r="C1957" s="729" t="s">
        <v>456</v>
      </c>
      <c r="D1957" s="460"/>
      <c r="E1957" s="878" t="s">
        <v>2346</v>
      </c>
      <c r="F1957" s="881" t="s">
        <v>4309</v>
      </c>
      <c r="G1957" s="731" t="s">
        <v>4301</v>
      </c>
      <c r="H1957" s="1083">
        <v>42401</v>
      </c>
      <c r="I1957" s="1084">
        <v>42471</v>
      </c>
      <c r="J1957" s="957">
        <v>564.19000000000005</v>
      </c>
    </row>
    <row r="1958" spans="1:10" s="852" customFormat="1" outlineLevel="2">
      <c r="A1958" s="815" t="s">
        <v>701</v>
      </c>
      <c r="B1958" s="816" t="s">
        <v>7882</v>
      </c>
      <c r="C1958" s="729" t="s">
        <v>456</v>
      </c>
      <c r="D1958" s="460"/>
      <c r="E1958" s="878" t="s">
        <v>2346</v>
      </c>
      <c r="F1958" s="881" t="s">
        <v>5357</v>
      </c>
      <c r="G1958" s="731" t="s">
        <v>4302</v>
      </c>
      <c r="H1958" s="1083">
        <v>42401</v>
      </c>
      <c r="I1958" s="1084">
        <v>42471</v>
      </c>
      <c r="J1958" s="957">
        <v>18999.16</v>
      </c>
    </row>
    <row r="1959" spans="1:10" s="852" customFormat="1" outlineLevel="2">
      <c r="A1959" s="815" t="s">
        <v>703</v>
      </c>
      <c r="B1959" s="816" t="s">
        <v>7883</v>
      </c>
      <c r="C1959" s="729" t="s">
        <v>456</v>
      </c>
      <c r="D1959" s="460"/>
      <c r="E1959" s="878" t="s">
        <v>2346</v>
      </c>
      <c r="F1959" s="881" t="s">
        <v>5357</v>
      </c>
      <c r="G1959" s="731" t="s">
        <v>4302</v>
      </c>
      <c r="H1959" s="1083">
        <v>42401</v>
      </c>
      <c r="I1959" s="1084">
        <v>42471</v>
      </c>
      <c r="J1959" s="957">
        <v>2567.4499999999998</v>
      </c>
    </row>
    <row r="1960" spans="1:10" s="852" customFormat="1" outlineLevel="2">
      <c r="A1960" s="815" t="s">
        <v>707</v>
      </c>
      <c r="B1960" s="816" t="s">
        <v>7890</v>
      </c>
      <c r="C1960" s="729" t="s">
        <v>456</v>
      </c>
      <c r="D1960" s="460"/>
      <c r="E1960" s="878" t="s">
        <v>2346</v>
      </c>
      <c r="F1960" s="881" t="s">
        <v>6425</v>
      </c>
      <c r="G1960" s="731" t="s">
        <v>6424</v>
      </c>
      <c r="H1960" s="1083">
        <v>42401</v>
      </c>
      <c r="I1960" s="1084">
        <v>42471</v>
      </c>
      <c r="J1960" s="957">
        <v>35</v>
      </c>
    </row>
    <row r="1961" spans="1:10" s="852" customFormat="1" ht="28.5" outlineLevel="2">
      <c r="A1961" s="815" t="s">
        <v>2259</v>
      </c>
      <c r="B1961" s="816" t="s">
        <v>7889</v>
      </c>
      <c r="C1961" s="729" t="s">
        <v>456</v>
      </c>
      <c r="D1961" s="460"/>
      <c r="E1961" s="878" t="s">
        <v>2346</v>
      </c>
      <c r="F1961" s="881" t="s">
        <v>6427</v>
      </c>
      <c r="G1961" s="731" t="s">
        <v>6426</v>
      </c>
      <c r="H1961" s="1083">
        <v>42401</v>
      </c>
      <c r="I1961" s="1084">
        <v>42471</v>
      </c>
      <c r="J1961" s="957">
        <v>5</v>
      </c>
    </row>
    <row r="1962" spans="1:10" s="852" customFormat="1" outlineLevel="2">
      <c r="A1962" s="815" t="s">
        <v>704</v>
      </c>
      <c r="B1962" s="816" t="s">
        <v>7863</v>
      </c>
      <c r="C1962" s="729" t="s">
        <v>456</v>
      </c>
      <c r="D1962" s="460"/>
      <c r="E1962" s="878" t="s">
        <v>523</v>
      </c>
      <c r="F1962" s="881" t="s">
        <v>2208</v>
      </c>
      <c r="G1962" s="731" t="s">
        <v>5564</v>
      </c>
      <c r="H1962" s="1083">
        <v>42401</v>
      </c>
      <c r="I1962" s="1084">
        <v>42464</v>
      </c>
      <c r="J1962" s="957">
        <v>35187.29</v>
      </c>
    </row>
    <row r="1963" spans="1:10" s="852" customFormat="1" outlineLevel="2">
      <c r="A1963" s="815" t="s">
        <v>957</v>
      </c>
      <c r="B1963" s="816" t="s">
        <v>7866</v>
      </c>
      <c r="C1963" s="729" t="s">
        <v>456</v>
      </c>
      <c r="D1963" s="460"/>
      <c r="E1963" s="878" t="s">
        <v>1909</v>
      </c>
      <c r="F1963" s="881" t="s">
        <v>3935</v>
      </c>
      <c r="G1963" s="731" t="s">
        <v>2817</v>
      </c>
      <c r="H1963" s="1083">
        <v>42401</v>
      </c>
      <c r="I1963" s="1084">
        <v>42480</v>
      </c>
      <c r="J1963" s="957">
        <v>444.07</v>
      </c>
    </row>
    <row r="1964" spans="1:10" s="852" customFormat="1" outlineLevel="2">
      <c r="A1964" s="815" t="s">
        <v>957</v>
      </c>
      <c r="B1964" s="816" t="s">
        <v>7866</v>
      </c>
      <c r="C1964" s="729" t="s">
        <v>456</v>
      </c>
      <c r="D1964" s="460"/>
      <c r="E1964" s="878" t="s">
        <v>1909</v>
      </c>
      <c r="F1964" s="881" t="s">
        <v>4027</v>
      </c>
      <c r="G1964" s="731" t="s">
        <v>2819</v>
      </c>
      <c r="H1964" s="1083">
        <v>42401</v>
      </c>
      <c r="I1964" s="1084">
        <v>42480</v>
      </c>
      <c r="J1964" s="957">
        <v>14.2</v>
      </c>
    </row>
    <row r="1965" spans="1:10" s="852" customFormat="1" outlineLevel="2">
      <c r="A1965" s="815" t="s">
        <v>957</v>
      </c>
      <c r="B1965" s="816" t="s">
        <v>7866</v>
      </c>
      <c r="C1965" s="729" t="s">
        <v>456</v>
      </c>
      <c r="D1965" s="460"/>
      <c r="E1965" s="878" t="s">
        <v>1909</v>
      </c>
      <c r="F1965" s="881" t="s">
        <v>4129</v>
      </c>
      <c r="G1965" s="731" t="s">
        <v>2821</v>
      </c>
      <c r="H1965" s="1083">
        <v>42401</v>
      </c>
      <c r="I1965" s="1084">
        <v>42480</v>
      </c>
      <c r="J1965" s="957">
        <v>167.54</v>
      </c>
    </row>
    <row r="1966" spans="1:10" s="852" customFormat="1" ht="28.5" outlineLevel="2">
      <c r="A1966" s="815" t="s">
        <v>2259</v>
      </c>
      <c r="B1966" s="816" t="s">
        <v>7889</v>
      </c>
      <c r="C1966" s="729" t="s">
        <v>456</v>
      </c>
      <c r="D1966" s="460"/>
      <c r="E1966" s="878" t="s">
        <v>1909</v>
      </c>
      <c r="F1966" s="881" t="s">
        <v>3829</v>
      </c>
      <c r="G1966" s="731" t="s">
        <v>4362</v>
      </c>
      <c r="H1966" s="1083">
        <v>42401</v>
      </c>
      <c r="I1966" s="1084">
        <v>42480</v>
      </c>
      <c r="J1966" s="957">
        <v>49.88</v>
      </c>
    </row>
    <row r="1967" spans="1:10" s="852" customFormat="1" ht="28.5" outlineLevel="2">
      <c r="A1967" s="815" t="s">
        <v>2259</v>
      </c>
      <c r="B1967" s="816" t="s">
        <v>7889</v>
      </c>
      <c r="C1967" s="729" t="s">
        <v>456</v>
      </c>
      <c r="D1967" s="460"/>
      <c r="E1967" s="878" t="s">
        <v>1909</v>
      </c>
      <c r="F1967" s="881" t="s">
        <v>5503</v>
      </c>
      <c r="G1967" s="731" t="s">
        <v>4382</v>
      </c>
      <c r="H1967" s="1083">
        <v>42401</v>
      </c>
      <c r="I1967" s="1084">
        <v>42480</v>
      </c>
      <c r="J1967" s="957">
        <v>1.5</v>
      </c>
    </row>
    <row r="1968" spans="1:10" s="852" customFormat="1" outlineLevel="2">
      <c r="A1968" s="815" t="s">
        <v>2266</v>
      </c>
      <c r="B1968" s="816" t="s">
        <v>7888</v>
      </c>
      <c r="C1968" s="729" t="s">
        <v>456</v>
      </c>
      <c r="D1968" s="460"/>
      <c r="E1968" s="878" t="s">
        <v>1909</v>
      </c>
      <c r="F1968" s="881" t="s">
        <v>4544</v>
      </c>
      <c r="G1968" s="731" t="s">
        <v>4260</v>
      </c>
      <c r="H1968" s="1083">
        <v>42401</v>
      </c>
      <c r="I1968" s="1084">
        <v>42480</v>
      </c>
      <c r="J1968" s="957">
        <v>25.08</v>
      </c>
    </row>
    <row r="1969" spans="1:10" s="852" customFormat="1" outlineLevel="2">
      <c r="A1969" s="815" t="s">
        <v>701</v>
      </c>
      <c r="B1969" s="816" t="s">
        <v>7882</v>
      </c>
      <c r="C1969" s="729" t="s">
        <v>456</v>
      </c>
      <c r="D1969" s="460"/>
      <c r="E1969" s="878" t="s">
        <v>1909</v>
      </c>
      <c r="F1969" s="881" t="s">
        <v>4300</v>
      </c>
      <c r="G1969" s="731" t="s">
        <v>4366</v>
      </c>
      <c r="H1969" s="1083">
        <v>42401</v>
      </c>
      <c r="I1969" s="1084">
        <v>42480</v>
      </c>
      <c r="J1969" s="957">
        <v>7124.71</v>
      </c>
    </row>
    <row r="1970" spans="1:10" s="852" customFormat="1" outlineLevel="2">
      <c r="A1970" s="815" t="s">
        <v>703</v>
      </c>
      <c r="B1970" s="816" t="s">
        <v>7883</v>
      </c>
      <c r="C1970" s="729" t="s">
        <v>456</v>
      </c>
      <c r="D1970" s="460"/>
      <c r="E1970" s="878" t="s">
        <v>1909</v>
      </c>
      <c r="F1970" s="881" t="s">
        <v>4300</v>
      </c>
      <c r="G1970" s="731" t="s">
        <v>4366</v>
      </c>
      <c r="H1970" s="1083">
        <v>42401</v>
      </c>
      <c r="I1970" s="1084">
        <v>42480</v>
      </c>
      <c r="J1970" s="957">
        <v>962.79</v>
      </c>
    </row>
    <row r="1971" spans="1:10" s="852" customFormat="1" ht="28.5" outlineLevel="2">
      <c r="A1971" s="815" t="s">
        <v>707</v>
      </c>
      <c r="B1971" s="816" t="s">
        <v>7890</v>
      </c>
      <c r="C1971" s="729" t="s">
        <v>456</v>
      </c>
      <c r="D1971" s="460"/>
      <c r="E1971" s="878" t="s">
        <v>1909</v>
      </c>
      <c r="F1971" s="881" t="s">
        <v>5443</v>
      </c>
      <c r="G1971" s="731" t="s">
        <v>4381</v>
      </c>
      <c r="H1971" s="1083">
        <v>42430</v>
      </c>
      <c r="I1971" s="1084">
        <v>42480</v>
      </c>
      <c r="J1971" s="957">
        <v>7</v>
      </c>
    </row>
    <row r="1972" spans="1:10" s="852" customFormat="1" outlineLevel="2">
      <c r="A1972" s="815" t="s">
        <v>699</v>
      </c>
      <c r="B1972" s="816" t="s">
        <v>7877</v>
      </c>
      <c r="C1972" s="729" t="s">
        <v>456</v>
      </c>
      <c r="D1972" s="460"/>
      <c r="E1972" s="878" t="s">
        <v>1909</v>
      </c>
      <c r="F1972" s="881" t="s">
        <v>4529</v>
      </c>
      <c r="G1972" s="731" t="s">
        <v>4373</v>
      </c>
      <c r="H1972" s="1083">
        <v>42430</v>
      </c>
      <c r="I1972" s="1084">
        <v>42480</v>
      </c>
      <c r="J1972" s="957">
        <v>259.27999999999997</v>
      </c>
    </row>
    <row r="1973" spans="1:10" s="852" customFormat="1" outlineLevel="2">
      <c r="A1973" s="815" t="s">
        <v>698</v>
      </c>
      <c r="B1973" s="816" t="s">
        <v>7864</v>
      </c>
      <c r="C1973" s="729" t="s">
        <v>456</v>
      </c>
      <c r="D1973" s="460"/>
      <c r="E1973" s="878" t="s">
        <v>1909</v>
      </c>
      <c r="F1973" s="881" t="s">
        <v>6316</v>
      </c>
      <c r="G1973" s="731" t="s">
        <v>4325</v>
      </c>
      <c r="H1973" s="1083">
        <v>42401</v>
      </c>
      <c r="I1973" s="1084">
        <v>42480</v>
      </c>
      <c r="J1973" s="957">
        <v>73.67</v>
      </c>
    </row>
    <row r="1974" spans="1:10" s="852" customFormat="1" outlineLevel="2">
      <c r="A1974" s="815" t="s">
        <v>698</v>
      </c>
      <c r="B1974" s="816" t="s">
        <v>7864</v>
      </c>
      <c r="C1974" s="729" t="s">
        <v>456</v>
      </c>
      <c r="D1974" s="460"/>
      <c r="E1974" s="878" t="s">
        <v>1909</v>
      </c>
      <c r="F1974" s="881" t="s">
        <v>4465</v>
      </c>
      <c r="G1974" s="731" t="s">
        <v>4369</v>
      </c>
      <c r="H1974" s="1083">
        <v>42401</v>
      </c>
      <c r="I1974" s="1084">
        <v>42480</v>
      </c>
      <c r="J1974" s="957">
        <v>8.35</v>
      </c>
    </row>
    <row r="1975" spans="1:10" s="852" customFormat="1" outlineLevel="2">
      <c r="A1975" s="815" t="s">
        <v>698</v>
      </c>
      <c r="B1975" s="816" t="s">
        <v>7864</v>
      </c>
      <c r="C1975" s="729" t="s">
        <v>456</v>
      </c>
      <c r="D1975" s="460"/>
      <c r="E1975" s="878" t="s">
        <v>1909</v>
      </c>
      <c r="F1975" s="881" t="s">
        <v>3633</v>
      </c>
      <c r="G1975" s="731" t="s">
        <v>4353</v>
      </c>
      <c r="H1975" s="1083">
        <v>42401</v>
      </c>
      <c r="I1975" s="1084">
        <v>42480</v>
      </c>
      <c r="J1975" s="957">
        <v>48.47</v>
      </c>
    </row>
    <row r="1976" spans="1:10" s="852" customFormat="1" outlineLevel="2">
      <c r="A1976" s="815" t="s">
        <v>698</v>
      </c>
      <c r="B1976" s="816" t="s">
        <v>7864</v>
      </c>
      <c r="C1976" s="729" t="s">
        <v>456</v>
      </c>
      <c r="D1976" s="460"/>
      <c r="E1976" s="878" t="s">
        <v>1909</v>
      </c>
      <c r="F1976" s="881" t="s">
        <v>4483</v>
      </c>
      <c r="G1976" s="731" t="s">
        <v>4371</v>
      </c>
      <c r="H1976" s="1083">
        <v>42430</v>
      </c>
      <c r="I1976" s="1084">
        <v>42480</v>
      </c>
      <c r="J1976" s="957">
        <v>5.49</v>
      </c>
    </row>
    <row r="1977" spans="1:10" s="852" customFormat="1" outlineLevel="2">
      <c r="A1977" s="815" t="s">
        <v>698</v>
      </c>
      <c r="B1977" s="816" t="s">
        <v>7864</v>
      </c>
      <c r="C1977" s="729" t="s">
        <v>456</v>
      </c>
      <c r="D1977" s="460"/>
      <c r="E1977" s="878" t="s">
        <v>1909</v>
      </c>
      <c r="F1977" s="881" t="s">
        <v>6315</v>
      </c>
      <c r="G1977" s="731" t="s">
        <v>4324</v>
      </c>
      <c r="H1977" s="1083">
        <v>42309</v>
      </c>
      <c r="I1977" s="1084">
        <v>42480</v>
      </c>
      <c r="J1977" s="957">
        <v>8.1300000000000008</v>
      </c>
    </row>
    <row r="1978" spans="1:10" s="852" customFormat="1" outlineLevel="2">
      <c r="A1978" s="815" t="s">
        <v>698</v>
      </c>
      <c r="B1978" s="816" t="s">
        <v>7864</v>
      </c>
      <c r="C1978" s="729" t="s">
        <v>456</v>
      </c>
      <c r="D1978" s="460"/>
      <c r="E1978" s="878" t="s">
        <v>1909</v>
      </c>
      <c r="F1978" s="881" t="s">
        <v>3177</v>
      </c>
      <c r="G1978" s="731" t="s">
        <v>4349</v>
      </c>
      <c r="H1978" s="1083">
        <v>42401</v>
      </c>
      <c r="I1978" s="1084">
        <v>42480</v>
      </c>
      <c r="J1978" s="957">
        <v>71.739999999999995</v>
      </c>
    </row>
    <row r="1979" spans="1:10" s="852" customFormat="1" outlineLevel="2">
      <c r="A1979" s="815" t="s">
        <v>698</v>
      </c>
      <c r="B1979" s="816" t="s">
        <v>7864</v>
      </c>
      <c r="C1979" s="729" t="s">
        <v>456</v>
      </c>
      <c r="D1979" s="460"/>
      <c r="E1979" s="878" t="s">
        <v>1909</v>
      </c>
      <c r="F1979" s="881" t="s">
        <v>4561</v>
      </c>
      <c r="G1979" s="731" t="s">
        <v>4374</v>
      </c>
      <c r="H1979" s="1083">
        <v>42401</v>
      </c>
      <c r="I1979" s="1084">
        <v>42480</v>
      </c>
      <c r="J1979" s="957">
        <v>8.1300000000000008</v>
      </c>
    </row>
    <row r="1980" spans="1:10" s="852" customFormat="1" outlineLevel="2">
      <c r="A1980" s="815" t="s">
        <v>704</v>
      </c>
      <c r="B1980" s="816" t="s">
        <v>7863</v>
      </c>
      <c r="C1980" s="729" t="s">
        <v>456</v>
      </c>
      <c r="D1980" s="460"/>
      <c r="E1980" s="878" t="s">
        <v>1909</v>
      </c>
      <c r="F1980" s="881" t="s">
        <v>6318</v>
      </c>
      <c r="G1980" s="731" t="s">
        <v>4336</v>
      </c>
      <c r="H1980" s="1083">
        <v>42401</v>
      </c>
      <c r="I1980" s="1084">
        <v>42480</v>
      </c>
      <c r="J1980" s="957">
        <v>449.1</v>
      </c>
    </row>
    <row r="1981" spans="1:10" s="852" customFormat="1" outlineLevel="2">
      <c r="A1981" s="815" t="s">
        <v>705</v>
      </c>
      <c r="B1981" s="816" t="s">
        <v>7890</v>
      </c>
      <c r="C1981" s="729" t="s">
        <v>456</v>
      </c>
      <c r="D1981" s="460"/>
      <c r="E1981" s="878" t="s">
        <v>1909</v>
      </c>
      <c r="F1981" s="881" t="s">
        <v>3429</v>
      </c>
      <c r="G1981" s="731" t="s">
        <v>4351</v>
      </c>
      <c r="H1981" s="1083">
        <v>42401</v>
      </c>
      <c r="I1981" s="1084">
        <v>42480</v>
      </c>
      <c r="J1981" s="957">
        <v>11.23</v>
      </c>
    </row>
    <row r="1982" spans="1:10" s="852" customFormat="1" ht="28.5" outlineLevel="2">
      <c r="A1982" s="815" t="s">
        <v>700</v>
      </c>
      <c r="B1982" s="816" t="s">
        <v>7881</v>
      </c>
      <c r="C1982" s="729" t="s">
        <v>456</v>
      </c>
      <c r="D1982" s="460"/>
      <c r="E1982" s="878" t="s">
        <v>1909</v>
      </c>
      <c r="F1982" s="881" t="s">
        <v>6306</v>
      </c>
      <c r="G1982" s="731" t="s">
        <v>4225</v>
      </c>
      <c r="H1982" s="1083">
        <v>42370</v>
      </c>
      <c r="I1982" s="1084">
        <v>42480</v>
      </c>
      <c r="J1982" s="957">
        <v>6.19</v>
      </c>
    </row>
    <row r="1983" spans="1:10" s="852" customFormat="1" ht="28.5" outlineLevel="2">
      <c r="A1983" s="815" t="s">
        <v>957</v>
      </c>
      <c r="B1983" s="816" t="s">
        <v>7866</v>
      </c>
      <c r="C1983" s="729" t="s">
        <v>456</v>
      </c>
      <c r="D1983" s="460"/>
      <c r="E1983" s="878" t="s">
        <v>1909</v>
      </c>
      <c r="F1983" s="881" t="s">
        <v>4956</v>
      </c>
      <c r="G1983" s="731" t="s">
        <v>2833</v>
      </c>
      <c r="H1983" s="1083">
        <v>42401</v>
      </c>
      <c r="I1983" s="1084">
        <v>42480</v>
      </c>
      <c r="J1983" s="957">
        <v>1376.63</v>
      </c>
    </row>
    <row r="1984" spans="1:10" s="852" customFormat="1" ht="28.5" outlineLevel="2">
      <c r="A1984" s="815" t="s">
        <v>957</v>
      </c>
      <c r="B1984" s="816" t="s">
        <v>7866</v>
      </c>
      <c r="C1984" s="729" t="s">
        <v>456</v>
      </c>
      <c r="D1984" s="460"/>
      <c r="E1984" s="878" t="s">
        <v>1909</v>
      </c>
      <c r="F1984" s="881" t="s">
        <v>4903</v>
      </c>
      <c r="G1984" s="731" t="s">
        <v>2832</v>
      </c>
      <c r="H1984" s="1083">
        <v>42401</v>
      </c>
      <c r="I1984" s="1084">
        <v>42480</v>
      </c>
      <c r="J1984" s="957">
        <v>44.02</v>
      </c>
    </row>
    <row r="1985" spans="1:10" s="852" customFormat="1" ht="28.5" outlineLevel="2">
      <c r="A1985" s="815" t="s">
        <v>957</v>
      </c>
      <c r="B1985" s="816" t="s">
        <v>7866</v>
      </c>
      <c r="C1985" s="729" t="s">
        <v>456</v>
      </c>
      <c r="D1985" s="460"/>
      <c r="E1985" s="878" t="s">
        <v>1909</v>
      </c>
      <c r="F1985" s="881" t="s">
        <v>4853</v>
      </c>
      <c r="G1985" s="731" t="s">
        <v>2831</v>
      </c>
      <c r="H1985" s="1083">
        <v>42401</v>
      </c>
      <c r="I1985" s="1084">
        <v>42480</v>
      </c>
      <c r="J1985" s="957">
        <v>519.39</v>
      </c>
    </row>
    <row r="1986" spans="1:10" s="852" customFormat="1" ht="28.5" outlineLevel="2">
      <c r="A1986" s="815" t="s">
        <v>2259</v>
      </c>
      <c r="B1986" s="816" t="s">
        <v>7889</v>
      </c>
      <c r="C1986" s="729" t="s">
        <v>456</v>
      </c>
      <c r="D1986" s="460"/>
      <c r="E1986" s="878" t="s">
        <v>1909</v>
      </c>
      <c r="F1986" s="881" t="s">
        <v>6313</v>
      </c>
      <c r="G1986" s="731" t="s">
        <v>4310</v>
      </c>
      <c r="H1986" s="1083">
        <v>42370</v>
      </c>
      <c r="I1986" s="1084">
        <v>42480</v>
      </c>
      <c r="J1986" s="957">
        <v>154.61000000000001</v>
      </c>
    </row>
    <row r="1987" spans="1:10" s="852" customFormat="1" ht="28.5" outlineLevel="2">
      <c r="A1987" s="815" t="s">
        <v>2259</v>
      </c>
      <c r="B1987" s="816" t="s">
        <v>7889</v>
      </c>
      <c r="C1987" s="729" t="s">
        <v>456</v>
      </c>
      <c r="D1987" s="460"/>
      <c r="E1987" s="878" t="s">
        <v>1909</v>
      </c>
      <c r="F1987" s="881" t="s">
        <v>6313</v>
      </c>
      <c r="G1987" s="731" t="s">
        <v>4314</v>
      </c>
      <c r="H1987" s="1083">
        <v>42370</v>
      </c>
      <c r="I1987" s="1084">
        <v>42480</v>
      </c>
      <c r="J1987" s="957">
        <v>154.61000000000001</v>
      </c>
    </row>
    <row r="1988" spans="1:10" s="852" customFormat="1" ht="28.5" outlineLevel="2">
      <c r="A1988" s="815" t="s">
        <v>2259</v>
      </c>
      <c r="B1988" s="816" t="s">
        <v>7889</v>
      </c>
      <c r="C1988" s="729" t="s">
        <v>456</v>
      </c>
      <c r="D1988" s="460"/>
      <c r="E1988" s="878" t="s">
        <v>1909</v>
      </c>
      <c r="F1988" s="881" t="s">
        <v>6313</v>
      </c>
      <c r="G1988" s="731" t="s">
        <v>4316</v>
      </c>
      <c r="H1988" s="1083">
        <v>42370</v>
      </c>
      <c r="I1988" s="1084">
        <v>42480</v>
      </c>
      <c r="J1988" s="957">
        <v>-154.61000000000001</v>
      </c>
    </row>
    <row r="1989" spans="1:10" s="852" customFormat="1" ht="28.5" outlineLevel="2">
      <c r="A1989" s="815" t="s">
        <v>2266</v>
      </c>
      <c r="B1989" s="816" t="s">
        <v>7888</v>
      </c>
      <c r="C1989" s="729" t="s">
        <v>456</v>
      </c>
      <c r="D1989" s="460"/>
      <c r="E1989" s="878" t="s">
        <v>1909</v>
      </c>
      <c r="F1989" s="881" t="s">
        <v>6310</v>
      </c>
      <c r="G1989" s="731" t="s">
        <v>4234</v>
      </c>
      <c r="H1989" s="1083">
        <v>42370</v>
      </c>
      <c r="I1989" s="1084">
        <v>42480</v>
      </c>
      <c r="J1989" s="957">
        <v>38.21</v>
      </c>
    </row>
    <row r="1990" spans="1:10" s="852" customFormat="1" ht="28.5" outlineLevel="2">
      <c r="A1990" s="815" t="s">
        <v>2266</v>
      </c>
      <c r="B1990" s="816" t="s">
        <v>7888</v>
      </c>
      <c r="C1990" s="729" t="s">
        <v>456</v>
      </c>
      <c r="D1990" s="460"/>
      <c r="E1990" s="878" t="s">
        <v>1909</v>
      </c>
      <c r="F1990" s="881" t="s">
        <v>6310</v>
      </c>
      <c r="G1990" s="731" t="s">
        <v>4235</v>
      </c>
      <c r="H1990" s="1083">
        <v>42370</v>
      </c>
      <c r="I1990" s="1084">
        <v>42480</v>
      </c>
      <c r="J1990" s="957">
        <v>44.95</v>
      </c>
    </row>
    <row r="1991" spans="1:10" s="852" customFormat="1" ht="28.5" outlineLevel="2">
      <c r="A1991" s="815" t="s">
        <v>2266</v>
      </c>
      <c r="B1991" s="816" t="s">
        <v>7888</v>
      </c>
      <c r="C1991" s="729" t="s">
        <v>456</v>
      </c>
      <c r="D1991" s="460"/>
      <c r="E1991" s="878" t="s">
        <v>1909</v>
      </c>
      <c r="F1991" s="881" t="s">
        <v>4694</v>
      </c>
      <c r="G1991" s="731" t="s">
        <v>4262</v>
      </c>
      <c r="H1991" s="1083">
        <v>42401</v>
      </c>
      <c r="I1991" s="1084">
        <v>42480</v>
      </c>
      <c r="J1991" s="957">
        <v>35.69</v>
      </c>
    </row>
    <row r="1992" spans="1:10" s="852" customFormat="1" ht="28.5" outlineLevel="2">
      <c r="A1992" s="815" t="s">
        <v>2266</v>
      </c>
      <c r="B1992" s="816" t="s">
        <v>7888</v>
      </c>
      <c r="C1992" s="729" t="s">
        <v>456</v>
      </c>
      <c r="D1992" s="460"/>
      <c r="E1992" s="878" t="s">
        <v>1909</v>
      </c>
      <c r="F1992" s="881" t="s">
        <v>4694</v>
      </c>
      <c r="G1992" s="731" t="s">
        <v>4264</v>
      </c>
      <c r="H1992" s="1083">
        <v>42401</v>
      </c>
      <c r="I1992" s="1084">
        <v>42480</v>
      </c>
      <c r="J1992" s="957">
        <v>42.07</v>
      </c>
    </row>
    <row r="1993" spans="1:10" s="852" customFormat="1" ht="28.5" outlineLevel="2">
      <c r="A1993" s="815" t="s">
        <v>701</v>
      </c>
      <c r="B1993" s="816" t="s">
        <v>7882</v>
      </c>
      <c r="C1993" s="729" t="s">
        <v>456</v>
      </c>
      <c r="D1993" s="460"/>
      <c r="E1993" s="878" t="s">
        <v>1909</v>
      </c>
      <c r="F1993" s="881" t="s">
        <v>6311</v>
      </c>
      <c r="G1993" s="731" t="s">
        <v>4304</v>
      </c>
      <c r="H1993" s="1083">
        <v>42370</v>
      </c>
      <c r="I1993" s="1084">
        <v>42480</v>
      </c>
      <c r="J1993" s="957">
        <v>22640.5</v>
      </c>
    </row>
    <row r="1994" spans="1:10" s="852" customFormat="1" ht="28.5" outlineLevel="2">
      <c r="A1994" s="815" t="s">
        <v>703</v>
      </c>
      <c r="B1994" s="816" t="s">
        <v>7883</v>
      </c>
      <c r="C1994" s="729" t="s">
        <v>456</v>
      </c>
      <c r="D1994" s="460"/>
      <c r="E1994" s="878" t="s">
        <v>1909</v>
      </c>
      <c r="F1994" s="881" t="s">
        <v>6311</v>
      </c>
      <c r="G1994" s="731" t="s">
        <v>4304</v>
      </c>
      <c r="H1994" s="1083">
        <v>42370</v>
      </c>
      <c r="I1994" s="1084">
        <v>42480</v>
      </c>
      <c r="J1994" s="957">
        <v>3059.52</v>
      </c>
    </row>
    <row r="1995" spans="1:10" s="852" customFormat="1" ht="28.5" outlineLevel="2">
      <c r="A1995" s="815" t="s">
        <v>2514</v>
      </c>
      <c r="B1995" s="816" t="s">
        <v>7891</v>
      </c>
      <c r="C1995" s="729" t="s">
        <v>456</v>
      </c>
      <c r="D1995" s="460"/>
      <c r="E1995" s="878" t="s">
        <v>1909</v>
      </c>
      <c r="F1995" s="881" t="s">
        <v>3835</v>
      </c>
      <c r="G1995" s="731" t="s">
        <v>4363</v>
      </c>
      <c r="H1995" s="1083">
        <v>42370</v>
      </c>
      <c r="I1995" s="1084">
        <v>42480</v>
      </c>
      <c r="J1995" s="957">
        <v>33.049999999999997</v>
      </c>
    </row>
    <row r="1996" spans="1:10" s="852" customFormat="1" ht="28.5" outlineLevel="2">
      <c r="A1996" s="815" t="s">
        <v>707</v>
      </c>
      <c r="B1996" s="816" t="s">
        <v>7890</v>
      </c>
      <c r="C1996" s="729" t="s">
        <v>456</v>
      </c>
      <c r="D1996" s="460"/>
      <c r="E1996" s="878" t="s">
        <v>1909</v>
      </c>
      <c r="F1996" s="881" t="s">
        <v>4693</v>
      </c>
      <c r="G1996" s="731" t="s">
        <v>4376</v>
      </c>
      <c r="H1996" s="1083">
        <v>42401</v>
      </c>
      <c r="I1996" s="1084">
        <v>42480</v>
      </c>
      <c r="J1996" s="957">
        <v>32.549999999999997</v>
      </c>
    </row>
    <row r="1997" spans="1:10" s="852" customFormat="1" ht="28.5" outlineLevel="2">
      <c r="A1997" s="815" t="s">
        <v>707</v>
      </c>
      <c r="B1997" s="816" t="s">
        <v>7890</v>
      </c>
      <c r="C1997" s="729" t="s">
        <v>456</v>
      </c>
      <c r="D1997" s="460"/>
      <c r="E1997" s="878" t="s">
        <v>1909</v>
      </c>
      <c r="F1997" s="881" t="s">
        <v>4693</v>
      </c>
      <c r="G1997" s="731" t="s">
        <v>4379</v>
      </c>
      <c r="H1997" s="1083">
        <v>42401</v>
      </c>
      <c r="I1997" s="1084">
        <v>42480</v>
      </c>
      <c r="J1997" s="957">
        <v>-32.549999999999997</v>
      </c>
    </row>
    <row r="1998" spans="1:10" s="852" customFormat="1" ht="28.5" outlineLevel="2">
      <c r="A1998" s="815" t="s">
        <v>699</v>
      </c>
      <c r="B1998" s="816" t="s">
        <v>7877</v>
      </c>
      <c r="C1998" s="729" t="s">
        <v>456</v>
      </c>
      <c r="D1998" s="460"/>
      <c r="E1998" s="878" t="s">
        <v>1909</v>
      </c>
      <c r="F1998" s="881" t="s">
        <v>6312</v>
      </c>
      <c r="G1998" s="731" t="s">
        <v>4308</v>
      </c>
      <c r="H1998" s="1083">
        <v>42401</v>
      </c>
      <c r="I1998" s="1084">
        <v>42480</v>
      </c>
      <c r="J1998" s="957">
        <v>958.79</v>
      </c>
    </row>
    <row r="1999" spans="1:10" s="852" customFormat="1" ht="28.5" outlineLevel="2">
      <c r="A1999" s="815" t="s">
        <v>699</v>
      </c>
      <c r="B1999" s="816" t="s">
        <v>7877</v>
      </c>
      <c r="C1999" s="729" t="s">
        <v>456</v>
      </c>
      <c r="D1999" s="460"/>
      <c r="E1999" s="878" t="s">
        <v>1909</v>
      </c>
      <c r="F1999" s="881" t="s">
        <v>6312</v>
      </c>
      <c r="G1999" s="731" t="s">
        <v>4312</v>
      </c>
      <c r="H1999" s="1083">
        <v>42401</v>
      </c>
      <c r="I1999" s="1084">
        <v>42480</v>
      </c>
      <c r="J1999" s="957">
        <v>958.79</v>
      </c>
    </row>
    <row r="2000" spans="1:10" s="852" customFormat="1" ht="28.5" outlineLevel="2">
      <c r="A2000" s="815" t="s">
        <v>699</v>
      </c>
      <c r="B2000" s="816" t="s">
        <v>7877</v>
      </c>
      <c r="C2000" s="729" t="s">
        <v>456</v>
      </c>
      <c r="D2000" s="460"/>
      <c r="E2000" s="878" t="s">
        <v>1909</v>
      </c>
      <c r="F2000" s="881" t="s">
        <v>6312</v>
      </c>
      <c r="G2000" s="731" t="s">
        <v>4318</v>
      </c>
      <c r="H2000" s="1083">
        <v>42401</v>
      </c>
      <c r="I2000" s="1084">
        <v>42480</v>
      </c>
      <c r="J2000" s="957">
        <v>-958.79</v>
      </c>
    </row>
    <row r="2001" spans="1:10" s="852" customFormat="1" ht="28.5" outlineLevel="2">
      <c r="A2001" s="815" t="s">
        <v>698</v>
      </c>
      <c r="B2001" s="816" t="s">
        <v>7864</v>
      </c>
      <c r="C2001" s="729" t="s">
        <v>456</v>
      </c>
      <c r="D2001" s="460"/>
      <c r="E2001" s="878" t="s">
        <v>1909</v>
      </c>
      <c r="F2001" s="881" t="s">
        <v>2975</v>
      </c>
      <c r="G2001" s="731" t="s">
        <v>4330</v>
      </c>
      <c r="H2001" s="1083">
        <v>42370</v>
      </c>
      <c r="I2001" s="1084">
        <v>42480</v>
      </c>
      <c r="J2001" s="957">
        <v>223.94</v>
      </c>
    </row>
    <row r="2002" spans="1:10" s="852" customFormat="1" ht="28.5" outlineLevel="2">
      <c r="A2002" s="815" t="s">
        <v>698</v>
      </c>
      <c r="B2002" s="816" t="s">
        <v>7864</v>
      </c>
      <c r="C2002" s="729" t="s">
        <v>456</v>
      </c>
      <c r="D2002" s="460"/>
      <c r="E2002" s="878" t="s">
        <v>1909</v>
      </c>
      <c r="F2002" s="881" t="s">
        <v>2975</v>
      </c>
      <c r="G2002" s="731" t="s">
        <v>4334</v>
      </c>
      <c r="H2002" s="1083">
        <v>42370</v>
      </c>
      <c r="I2002" s="1084">
        <v>42480</v>
      </c>
      <c r="J2002" s="957">
        <v>-223.94</v>
      </c>
    </row>
    <row r="2003" spans="1:10" s="852" customFormat="1" ht="28.5" outlineLevel="2">
      <c r="A2003" s="815" t="s">
        <v>698</v>
      </c>
      <c r="B2003" s="816" t="s">
        <v>7864</v>
      </c>
      <c r="C2003" s="729" t="s">
        <v>456</v>
      </c>
      <c r="D2003" s="460"/>
      <c r="E2003" s="878" t="s">
        <v>1909</v>
      </c>
      <c r="F2003" s="881" t="s">
        <v>2975</v>
      </c>
      <c r="G2003" s="731" t="s">
        <v>4340</v>
      </c>
      <c r="H2003" s="1083">
        <v>42370</v>
      </c>
      <c r="I2003" s="1084">
        <v>42480</v>
      </c>
      <c r="J2003" s="957">
        <v>-223.94</v>
      </c>
    </row>
    <row r="2004" spans="1:10" s="852" customFormat="1" ht="28.5" outlineLevel="2">
      <c r="A2004" s="815" t="s">
        <v>698</v>
      </c>
      <c r="B2004" s="816" t="s">
        <v>7864</v>
      </c>
      <c r="C2004" s="729" t="s">
        <v>456</v>
      </c>
      <c r="D2004" s="460"/>
      <c r="E2004" s="878" t="s">
        <v>1909</v>
      </c>
      <c r="F2004" s="881" t="s">
        <v>2975</v>
      </c>
      <c r="G2004" s="731" t="s">
        <v>4343</v>
      </c>
      <c r="H2004" s="1083">
        <v>42370</v>
      </c>
      <c r="I2004" s="1084">
        <v>42480</v>
      </c>
      <c r="J2004" s="957">
        <v>223.94</v>
      </c>
    </row>
    <row r="2005" spans="1:10" s="852" customFormat="1" ht="28.5" outlineLevel="2">
      <c r="A2005" s="815" t="s">
        <v>698</v>
      </c>
      <c r="B2005" s="816" t="s">
        <v>7864</v>
      </c>
      <c r="C2005" s="729" t="s">
        <v>456</v>
      </c>
      <c r="D2005" s="460"/>
      <c r="E2005" s="878" t="s">
        <v>1909</v>
      </c>
      <c r="F2005" s="881" t="s">
        <v>2975</v>
      </c>
      <c r="G2005" s="731" t="s">
        <v>4347</v>
      </c>
      <c r="H2005" s="1083">
        <v>42370</v>
      </c>
      <c r="I2005" s="1084">
        <v>42480</v>
      </c>
      <c r="J2005" s="957">
        <v>223.94</v>
      </c>
    </row>
    <row r="2006" spans="1:10" s="852" customFormat="1" ht="28.5" outlineLevel="2">
      <c r="A2006" s="815" t="s">
        <v>698</v>
      </c>
      <c r="B2006" s="816" t="s">
        <v>7864</v>
      </c>
      <c r="C2006" s="729" t="s">
        <v>456</v>
      </c>
      <c r="D2006" s="460"/>
      <c r="E2006" s="878" t="s">
        <v>1909</v>
      </c>
      <c r="F2006" s="881" t="s">
        <v>2906</v>
      </c>
      <c r="G2006" s="731" t="s">
        <v>4332</v>
      </c>
      <c r="H2006" s="1083">
        <v>42370</v>
      </c>
      <c r="I2006" s="1084">
        <v>42480</v>
      </c>
      <c r="J2006" s="957">
        <v>-25.53</v>
      </c>
    </row>
    <row r="2007" spans="1:10" s="852" customFormat="1" ht="28.5" outlineLevel="2">
      <c r="A2007" s="815" t="s">
        <v>698</v>
      </c>
      <c r="B2007" s="816" t="s">
        <v>7864</v>
      </c>
      <c r="C2007" s="729" t="s">
        <v>456</v>
      </c>
      <c r="D2007" s="460"/>
      <c r="E2007" s="878" t="s">
        <v>1909</v>
      </c>
      <c r="F2007" s="881" t="s">
        <v>2906</v>
      </c>
      <c r="G2007" s="731" t="s">
        <v>4338</v>
      </c>
      <c r="H2007" s="1083">
        <v>42370</v>
      </c>
      <c r="I2007" s="1084">
        <v>42480</v>
      </c>
      <c r="J2007" s="957">
        <v>-25.53</v>
      </c>
    </row>
    <row r="2008" spans="1:10" s="852" customFormat="1" ht="28.5" outlineLevel="2">
      <c r="A2008" s="815" t="s">
        <v>698</v>
      </c>
      <c r="B2008" s="816" t="s">
        <v>7864</v>
      </c>
      <c r="C2008" s="729" t="s">
        <v>456</v>
      </c>
      <c r="D2008" s="460"/>
      <c r="E2008" s="878" t="s">
        <v>1909</v>
      </c>
      <c r="F2008" s="881" t="s">
        <v>2906</v>
      </c>
      <c r="G2008" s="731" t="s">
        <v>4342</v>
      </c>
      <c r="H2008" s="1083">
        <v>42370</v>
      </c>
      <c r="I2008" s="1084">
        <v>42480</v>
      </c>
      <c r="J2008" s="957">
        <v>25.53</v>
      </c>
    </row>
    <row r="2009" spans="1:10" s="852" customFormat="1" ht="28.5" outlineLevel="2">
      <c r="A2009" s="815" t="s">
        <v>698</v>
      </c>
      <c r="B2009" s="816" t="s">
        <v>7864</v>
      </c>
      <c r="C2009" s="729" t="s">
        <v>456</v>
      </c>
      <c r="D2009" s="460"/>
      <c r="E2009" s="878" t="s">
        <v>1909</v>
      </c>
      <c r="F2009" s="881" t="s">
        <v>2906</v>
      </c>
      <c r="G2009" s="731" t="s">
        <v>4345</v>
      </c>
      <c r="H2009" s="1083">
        <v>42370</v>
      </c>
      <c r="I2009" s="1084">
        <v>42480</v>
      </c>
      <c r="J2009" s="957">
        <v>25.53</v>
      </c>
    </row>
    <row r="2010" spans="1:10" s="852" customFormat="1" ht="28.5" outlineLevel="2">
      <c r="A2010" s="815" t="s">
        <v>698</v>
      </c>
      <c r="B2010" s="816" t="s">
        <v>7864</v>
      </c>
      <c r="C2010" s="729" t="s">
        <v>456</v>
      </c>
      <c r="D2010" s="460"/>
      <c r="E2010" s="878" t="s">
        <v>1909</v>
      </c>
      <c r="F2010" s="881" t="s">
        <v>2906</v>
      </c>
      <c r="G2010" s="731" t="s">
        <v>4350</v>
      </c>
      <c r="H2010" s="1083">
        <v>42370</v>
      </c>
      <c r="I2010" s="1084">
        <v>42480</v>
      </c>
      <c r="J2010" s="957">
        <v>25.53</v>
      </c>
    </row>
    <row r="2011" spans="1:10" s="852" customFormat="1" ht="28.5" outlineLevel="2">
      <c r="A2011" s="815" t="s">
        <v>698</v>
      </c>
      <c r="B2011" s="816" t="s">
        <v>7864</v>
      </c>
      <c r="C2011" s="729" t="s">
        <v>456</v>
      </c>
      <c r="D2011" s="460"/>
      <c r="E2011" s="878" t="s">
        <v>1909</v>
      </c>
      <c r="F2011" s="881" t="s">
        <v>6317</v>
      </c>
      <c r="G2011" s="731" t="s">
        <v>4326</v>
      </c>
      <c r="H2011" s="1083">
        <v>42309</v>
      </c>
      <c r="I2011" s="1084">
        <v>42480</v>
      </c>
      <c r="J2011" s="957">
        <v>37.79</v>
      </c>
    </row>
    <row r="2012" spans="1:10" s="852" customFormat="1" ht="28.5" outlineLevel="2">
      <c r="A2012" s="815" t="s">
        <v>698</v>
      </c>
      <c r="B2012" s="816" t="s">
        <v>7864</v>
      </c>
      <c r="C2012" s="729" t="s">
        <v>456</v>
      </c>
      <c r="D2012" s="460"/>
      <c r="E2012" s="878" t="s">
        <v>1909</v>
      </c>
      <c r="F2012" s="881" t="s">
        <v>3589</v>
      </c>
      <c r="G2012" s="731" t="s">
        <v>4352</v>
      </c>
      <c r="H2012" s="1083">
        <v>42370</v>
      </c>
      <c r="I2012" s="1084">
        <v>42480</v>
      </c>
      <c r="J2012" s="957">
        <v>-331.44</v>
      </c>
    </row>
    <row r="2013" spans="1:10" s="852" customFormat="1" ht="28.5" outlineLevel="2">
      <c r="A2013" s="815" t="s">
        <v>698</v>
      </c>
      <c r="B2013" s="816" t="s">
        <v>7864</v>
      </c>
      <c r="C2013" s="729" t="s">
        <v>456</v>
      </c>
      <c r="D2013" s="460"/>
      <c r="E2013" s="878" t="s">
        <v>1909</v>
      </c>
      <c r="F2013" s="881" t="s">
        <v>3589</v>
      </c>
      <c r="G2013" s="731" t="s">
        <v>4357</v>
      </c>
      <c r="H2013" s="1083">
        <v>42370</v>
      </c>
      <c r="I2013" s="1084">
        <v>42480</v>
      </c>
      <c r="J2013" s="957">
        <v>331.44</v>
      </c>
    </row>
    <row r="2014" spans="1:10" s="852" customFormat="1" ht="28.5" outlineLevel="2">
      <c r="A2014" s="815" t="s">
        <v>698</v>
      </c>
      <c r="B2014" s="816" t="s">
        <v>7864</v>
      </c>
      <c r="C2014" s="729" t="s">
        <v>456</v>
      </c>
      <c r="D2014" s="460"/>
      <c r="E2014" s="878" t="s">
        <v>1909</v>
      </c>
      <c r="F2014" s="881" t="s">
        <v>3589</v>
      </c>
      <c r="G2014" s="731" t="s">
        <v>4359</v>
      </c>
      <c r="H2014" s="1083">
        <v>42370</v>
      </c>
      <c r="I2014" s="1084">
        <v>42480</v>
      </c>
      <c r="J2014" s="957">
        <v>331.44</v>
      </c>
    </row>
    <row r="2015" spans="1:10" s="852" customFormat="1" ht="28.5" outlineLevel="2">
      <c r="A2015" s="815" t="s">
        <v>698</v>
      </c>
      <c r="B2015" s="816" t="s">
        <v>7864</v>
      </c>
      <c r="C2015" s="729" t="s">
        <v>456</v>
      </c>
      <c r="D2015" s="460"/>
      <c r="E2015" s="878" t="s">
        <v>1909</v>
      </c>
      <c r="F2015" s="881" t="s">
        <v>3685</v>
      </c>
      <c r="G2015" s="731" t="s">
        <v>4355</v>
      </c>
      <c r="H2015" s="1083">
        <v>42370</v>
      </c>
      <c r="I2015" s="1084">
        <v>42480</v>
      </c>
      <c r="J2015" s="957">
        <v>-37.78</v>
      </c>
    </row>
    <row r="2016" spans="1:10" s="852" customFormat="1" ht="28.5" outlineLevel="2">
      <c r="A2016" s="815" t="s">
        <v>698</v>
      </c>
      <c r="B2016" s="816" t="s">
        <v>7864</v>
      </c>
      <c r="C2016" s="729" t="s">
        <v>456</v>
      </c>
      <c r="D2016" s="460"/>
      <c r="E2016" s="878" t="s">
        <v>1909</v>
      </c>
      <c r="F2016" s="881" t="s">
        <v>3685</v>
      </c>
      <c r="G2016" s="731" t="s">
        <v>4360</v>
      </c>
      <c r="H2016" s="1083">
        <v>42370</v>
      </c>
      <c r="I2016" s="1084">
        <v>42480</v>
      </c>
      <c r="J2016" s="957">
        <v>37.78</v>
      </c>
    </row>
    <row r="2017" spans="1:10" s="852" customFormat="1" ht="28.5" outlineLevel="2">
      <c r="A2017" s="815" t="s">
        <v>698</v>
      </c>
      <c r="B2017" s="816" t="s">
        <v>7864</v>
      </c>
      <c r="C2017" s="729" t="s">
        <v>456</v>
      </c>
      <c r="D2017" s="460"/>
      <c r="E2017" s="878" t="s">
        <v>1909</v>
      </c>
      <c r="F2017" s="881" t="s">
        <v>3685</v>
      </c>
      <c r="G2017" s="731" t="s">
        <v>4361</v>
      </c>
      <c r="H2017" s="1083">
        <v>42370</v>
      </c>
      <c r="I2017" s="1084">
        <v>42480</v>
      </c>
      <c r="J2017" s="957">
        <v>37.78</v>
      </c>
    </row>
    <row r="2018" spans="1:10" s="852" customFormat="1" ht="28.5" outlineLevel="2">
      <c r="A2018" s="815" t="s">
        <v>704</v>
      </c>
      <c r="B2018" s="816" t="s">
        <v>7863</v>
      </c>
      <c r="C2018" s="729" t="s">
        <v>456</v>
      </c>
      <c r="D2018" s="460"/>
      <c r="E2018" s="878" t="s">
        <v>1909</v>
      </c>
      <c r="F2018" s="881" t="s">
        <v>6314</v>
      </c>
      <c r="G2018" s="731" t="s">
        <v>4319</v>
      </c>
      <c r="H2018" s="1083">
        <v>42370</v>
      </c>
      <c r="I2018" s="1084">
        <v>42480</v>
      </c>
      <c r="J2018" s="957">
        <v>2214.06</v>
      </c>
    </row>
    <row r="2019" spans="1:10" s="852" customFormat="1" ht="28.5" outlineLevel="2">
      <c r="A2019" s="815" t="s">
        <v>704</v>
      </c>
      <c r="B2019" s="816" t="s">
        <v>7863</v>
      </c>
      <c r="C2019" s="729" t="s">
        <v>456</v>
      </c>
      <c r="D2019" s="460"/>
      <c r="E2019" s="878" t="s">
        <v>1909</v>
      </c>
      <c r="F2019" s="881" t="s">
        <v>6314</v>
      </c>
      <c r="G2019" s="731" t="s">
        <v>4321</v>
      </c>
      <c r="H2019" s="1083">
        <v>42370</v>
      </c>
      <c r="I2019" s="1084">
        <v>42480</v>
      </c>
      <c r="J2019" s="957">
        <v>2214.06</v>
      </c>
    </row>
    <row r="2020" spans="1:10" s="852" customFormat="1" ht="28.5" outlineLevel="2">
      <c r="A2020" s="815" t="s">
        <v>704</v>
      </c>
      <c r="B2020" s="816" t="s">
        <v>7863</v>
      </c>
      <c r="C2020" s="729" t="s">
        <v>456</v>
      </c>
      <c r="D2020" s="460"/>
      <c r="E2020" s="878" t="s">
        <v>1909</v>
      </c>
      <c r="F2020" s="881" t="s">
        <v>6314</v>
      </c>
      <c r="G2020" s="731" t="s">
        <v>4322</v>
      </c>
      <c r="H2020" s="1083">
        <v>42370</v>
      </c>
      <c r="I2020" s="1084">
        <v>42480</v>
      </c>
      <c r="J2020" s="957">
        <v>-2214.06</v>
      </c>
    </row>
    <row r="2021" spans="1:10" s="852" customFormat="1" ht="28.5" outlineLevel="2">
      <c r="A2021" s="815" t="s">
        <v>705</v>
      </c>
      <c r="B2021" s="816" t="s">
        <v>7890</v>
      </c>
      <c r="C2021" s="729" t="s">
        <v>456</v>
      </c>
      <c r="D2021" s="460"/>
      <c r="E2021" s="878" t="s">
        <v>1909</v>
      </c>
      <c r="F2021" s="881" t="s">
        <v>4691</v>
      </c>
      <c r="G2021" s="731" t="s">
        <v>4375</v>
      </c>
      <c r="H2021" s="1083">
        <v>42401</v>
      </c>
      <c r="I2021" s="1084">
        <v>42480</v>
      </c>
      <c r="J2021" s="957">
        <v>52.2</v>
      </c>
    </row>
    <row r="2022" spans="1:10" s="852" customFormat="1" outlineLevel="2">
      <c r="A2022" s="815" t="s">
        <v>1758</v>
      </c>
      <c r="B2022" s="816" t="s">
        <v>7871</v>
      </c>
      <c r="C2022" s="729" t="s">
        <v>456</v>
      </c>
      <c r="D2022" s="460"/>
      <c r="E2022" s="878" t="s">
        <v>1759</v>
      </c>
      <c r="F2022" s="881" t="s">
        <v>1753</v>
      </c>
      <c r="G2022" s="731" t="s">
        <v>5658</v>
      </c>
      <c r="H2022" s="1083">
        <v>42430</v>
      </c>
      <c r="I2022" s="1084">
        <v>42475</v>
      </c>
      <c r="J2022" s="957">
        <v>18105.900000000001</v>
      </c>
    </row>
    <row r="2023" spans="1:10" s="852" customFormat="1" outlineLevel="2">
      <c r="A2023" s="815" t="s">
        <v>2298</v>
      </c>
      <c r="B2023" s="816" t="s">
        <v>7873</v>
      </c>
      <c r="C2023" s="729" t="s">
        <v>456</v>
      </c>
      <c r="D2023" s="460"/>
      <c r="E2023" s="878" t="s">
        <v>441</v>
      </c>
      <c r="F2023" s="881" t="s">
        <v>2299</v>
      </c>
      <c r="G2023" s="731" t="s">
        <v>5661</v>
      </c>
      <c r="H2023" s="1083">
        <v>42430</v>
      </c>
      <c r="I2023" s="1084">
        <v>42475</v>
      </c>
      <c r="J2023" s="957">
        <v>312.23</v>
      </c>
    </row>
    <row r="2024" spans="1:10" s="852" customFormat="1" outlineLevel="2">
      <c r="A2024" s="815" t="s">
        <v>1298</v>
      </c>
      <c r="B2024" s="816" t="s">
        <v>7873</v>
      </c>
      <c r="C2024" s="729" t="s">
        <v>456</v>
      </c>
      <c r="D2024" s="460"/>
      <c r="E2024" s="878" t="s">
        <v>5703</v>
      </c>
      <c r="F2024" s="881" t="s">
        <v>431</v>
      </c>
      <c r="G2024" s="731" t="s">
        <v>5704</v>
      </c>
      <c r="H2024" s="1083">
        <v>42430</v>
      </c>
      <c r="I2024" s="1084">
        <v>42480</v>
      </c>
      <c r="J2024" s="957">
        <v>742.5</v>
      </c>
    </row>
    <row r="2025" spans="1:10" s="852" customFormat="1" outlineLevel="1">
      <c r="A2025" s="815"/>
      <c r="B2025" s="816" t="s">
        <v>258</v>
      </c>
      <c r="C2025" s="908" t="s">
        <v>456</v>
      </c>
      <c r="D2025" s="928" t="str">
        <f>VLOOKUP(C2025,$C$3691:$D$3771,2,FALSE)</f>
        <v>TOTAL POUPATEMPO  CAMPINAS CENTRO</v>
      </c>
      <c r="E2025" s="1085"/>
      <c r="F2025" s="929"/>
      <c r="G2025" s="910"/>
      <c r="H2025" s="1086"/>
      <c r="I2025" s="1087"/>
      <c r="J2025" s="930">
        <f>SUBTOTAL(9,J1897:J2024)</f>
        <v>1027867.69</v>
      </c>
    </row>
    <row r="2026" spans="1:10" s="852" customFormat="1" outlineLevel="2">
      <c r="A2026" s="815" t="s">
        <v>2209</v>
      </c>
      <c r="B2026" s="816" t="s">
        <v>7889</v>
      </c>
      <c r="C2026" s="729" t="s">
        <v>458</v>
      </c>
      <c r="D2026" s="460"/>
      <c r="E2026" s="878" t="s">
        <v>1373</v>
      </c>
      <c r="F2026" s="881" t="s">
        <v>404</v>
      </c>
      <c r="G2026" s="731" t="s">
        <v>5594</v>
      </c>
      <c r="H2026" s="1083">
        <v>42401</v>
      </c>
      <c r="I2026" s="1084">
        <v>42478</v>
      </c>
      <c r="J2026" s="957">
        <v>3328</v>
      </c>
    </row>
    <row r="2027" spans="1:10" s="852" customFormat="1" ht="28.5" outlineLevel="2">
      <c r="A2027" s="815" t="s">
        <v>2578</v>
      </c>
      <c r="B2027" s="816" t="s">
        <v>7867</v>
      </c>
      <c r="C2027" s="729" t="s">
        <v>458</v>
      </c>
      <c r="D2027" s="460"/>
      <c r="E2027" s="878" t="s">
        <v>5673</v>
      </c>
      <c r="F2027" s="881" t="s">
        <v>1044</v>
      </c>
      <c r="G2027" s="731" t="s">
        <v>5674</v>
      </c>
      <c r="H2027" s="1083">
        <v>42461</v>
      </c>
      <c r="I2027" s="1084">
        <v>42479</v>
      </c>
      <c r="J2027" s="957">
        <v>78804.44</v>
      </c>
    </row>
    <row r="2028" spans="1:10" s="852" customFormat="1" outlineLevel="2">
      <c r="A2028" s="815" t="s">
        <v>1400</v>
      </c>
      <c r="B2028" s="816" t="s">
        <v>7892</v>
      </c>
      <c r="C2028" s="729" t="s">
        <v>458</v>
      </c>
      <c r="D2028" s="460"/>
      <c r="E2028" s="878" t="s">
        <v>1397</v>
      </c>
      <c r="F2028" s="881" t="s">
        <v>1398</v>
      </c>
      <c r="G2028" s="731" t="s">
        <v>5629</v>
      </c>
      <c r="H2028" s="1083">
        <v>42401</v>
      </c>
      <c r="I2028" s="1084">
        <v>42474</v>
      </c>
      <c r="J2028" s="957">
        <v>7.89</v>
      </c>
    </row>
    <row r="2029" spans="1:10" s="852" customFormat="1" outlineLevel="2">
      <c r="A2029" s="815" t="s">
        <v>1288</v>
      </c>
      <c r="B2029" s="816" t="s">
        <v>7873</v>
      </c>
      <c r="C2029" s="729" t="s">
        <v>458</v>
      </c>
      <c r="D2029" s="460"/>
      <c r="E2029" s="878" t="s">
        <v>5675</v>
      </c>
      <c r="F2029" s="881" t="s">
        <v>431</v>
      </c>
      <c r="G2029" s="731" t="s">
        <v>5676</v>
      </c>
      <c r="H2029" s="1083">
        <v>42461</v>
      </c>
      <c r="I2029" s="1084">
        <v>42479</v>
      </c>
      <c r="J2029" s="957">
        <v>850</v>
      </c>
    </row>
    <row r="2030" spans="1:10" s="852" customFormat="1" outlineLevel="2">
      <c r="A2030" s="815" t="s">
        <v>1616</v>
      </c>
      <c r="B2030" s="816" t="s">
        <v>7875</v>
      </c>
      <c r="C2030" s="729" t="s">
        <v>458</v>
      </c>
      <c r="D2030" s="460"/>
      <c r="E2030" s="878" t="s">
        <v>1613</v>
      </c>
      <c r="F2030" s="881" t="s">
        <v>1614</v>
      </c>
      <c r="G2030" s="731" t="s">
        <v>5521</v>
      </c>
      <c r="H2030" s="1083">
        <v>42401</v>
      </c>
      <c r="I2030" s="1084">
        <v>42464</v>
      </c>
      <c r="J2030" s="957">
        <v>3875.54</v>
      </c>
    </row>
    <row r="2031" spans="1:10" s="852" customFormat="1" outlineLevel="2">
      <c r="A2031" s="815" t="s">
        <v>1640</v>
      </c>
      <c r="B2031" s="816" t="s">
        <v>7884</v>
      </c>
      <c r="C2031" s="729" t="s">
        <v>458</v>
      </c>
      <c r="D2031" s="460"/>
      <c r="E2031" s="878" t="s">
        <v>1641</v>
      </c>
      <c r="F2031" s="881" t="s">
        <v>1634</v>
      </c>
      <c r="G2031" s="731" t="s">
        <v>5641</v>
      </c>
      <c r="H2031" s="1083">
        <v>42461</v>
      </c>
      <c r="I2031" s="1084">
        <v>42475</v>
      </c>
      <c r="J2031" s="957">
        <v>65.760000000000005</v>
      </c>
    </row>
    <row r="2032" spans="1:10" s="852" customFormat="1" outlineLevel="2">
      <c r="A2032" s="815" t="s">
        <v>1355</v>
      </c>
      <c r="B2032" s="816" t="s">
        <v>7890</v>
      </c>
      <c r="C2032" s="729" t="s">
        <v>458</v>
      </c>
      <c r="D2032" s="460"/>
      <c r="E2032" s="878" t="s">
        <v>1356</v>
      </c>
      <c r="F2032" s="881" t="s">
        <v>1357</v>
      </c>
      <c r="G2032" s="731" t="s">
        <v>5523</v>
      </c>
      <c r="H2032" s="1083">
        <v>42401</v>
      </c>
      <c r="I2032" s="1084">
        <v>42461</v>
      </c>
      <c r="J2032" s="957">
        <v>946.99</v>
      </c>
    </row>
    <row r="2033" spans="1:10" s="852" customFormat="1" outlineLevel="2">
      <c r="A2033" s="815" t="s">
        <v>5906</v>
      </c>
      <c r="B2033" s="816" t="s">
        <v>7883</v>
      </c>
      <c r="C2033" s="729" t="s">
        <v>458</v>
      </c>
      <c r="D2033" s="460"/>
      <c r="E2033" s="878" t="s">
        <v>5907</v>
      </c>
      <c r="F2033" s="881" t="s">
        <v>1041</v>
      </c>
      <c r="G2033" s="731">
        <v>5912</v>
      </c>
      <c r="H2033" s="1083">
        <v>42401</v>
      </c>
      <c r="I2033" s="1084">
        <v>42461</v>
      </c>
      <c r="J2033" s="957">
        <v>80380.89</v>
      </c>
    </row>
    <row r="2034" spans="1:10" s="852" customFormat="1" outlineLevel="2">
      <c r="A2034" s="815" t="s">
        <v>5909</v>
      </c>
      <c r="B2034" s="816" t="s">
        <v>7882</v>
      </c>
      <c r="C2034" s="729" t="s">
        <v>458</v>
      </c>
      <c r="D2034" s="460"/>
      <c r="E2034" s="878" t="s">
        <v>5907</v>
      </c>
      <c r="F2034" s="881" t="s">
        <v>1041</v>
      </c>
      <c r="G2034" s="731">
        <v>5912</v>
      </c>
      <c r="H2034" s="1083">
        <v>42401</v>
      </c>
      <c r="I2034" s="1084">
        <v>42461</v>
      </c>
      <c r="J2034" s="957">
        <v>675199.5</v>
      </c>
    </row>
    <row r="2035" spans="1:10" s="852" customFormat="1" outlineLevel="2">
      <c r="A2035" s="815" t="s">
        <v>1288</v>
      </c>
      <c r="B2035" s="816" t="s">
        <v>7873</v>
      </c>
      <c r="C2035" s="729" t="s">
        <v>458</v>
      </c>
      <c r="D2035" s="460"/>
      <c r="E2035" s="878" t="s">
        <v>2583</v>
      </c>
      <c r="F2035" s="881" t="s">
        <v>431</v>
      </c>
      <c r="G2035" s="731" t="s">
        <v>5623</v>
      </c>
      <c r="H2035" s="1083">
        <v>42430</v>
      </c>
      <c r="I2035" s="1084">
        <v>42473</v>
      </c>
      <c r="J2035" s="957">
        <v>3600</v>
      </c>
    </row>
    <row r="2036" spans="1:10" s="852" customFormat="1" outlineLevel="2">
      <c r="A2036" s="815" t="s">
        <v>1288</v>
      </c>
      <c r="B2036" s="816" t="s">
        <v>7873</v>
      </c>
      <c r="C2036" s="729" t="s">
        <v>458</v>
      </c>
      <c r="D2036" s="460"/>
      <c r="E2036" s="878" t="s">
        <v>2583</v>
      </c>
      <c r="F2036" s="881" t="s">
        <v>431</v>
      </c>
      <c r="G2036" s="731" t="s">
        <v>5624</v>
      </c>
      <c r="H2036" s="1083">
        <v>42430</v>
      </c>
      <c r="I2036" s="1084">
        <v>42473</v>
      </c>
      <c r="J2036" s="957">
        <v>2380</v>
      </c>
    </row>
    <row r="2037" spans="1:10" s="852" customFormat="1" outlineLevel="2">
      <c r="A2037" s="815" t="s">
        <v>5715</v>
      </c>
      <c r="B2037" s="816" t="s">
        <v>7893</v>
      </c>
      <c r="C2037" s="729" t="s">
        <v>458</v>
      </c>
      <c r="D2037" s="460"/>
      <c r="E2037" s="878" t="s">
        <v>1283</v>
      </c>
      <c r="F2037" s="881" t="s">
        <v>432</v>
      </c>
      <c r="G2037" s="731" t="s">
        <v>5716</v>
      </c>
      <c r="H2037" s="1083">
        <v>42430</v>
      </c>
      <c r="I2037" s="1084">
        <v>42485</v>
      </c>
      <c r="J2037" s="957">
        <v>130</v>
      </c>
    </row>
    <row r="2038" spans="1:10" s="852" customFormat="1" outlineLevel="2">
      <c r="A2038" s="815" t="s">
        <v>5715</v>
      </c>
      <c r="B2038" s="816" t="s">
        <v>7893</v>
      </c>
      <c r="C2038" s="729" t="s">
        <v>458</v>
      </c>
      <c r="D2038" s="460"/>
      <c r="E2038" s="878" t="s">
        <v>1283</v>
      </c>
      <c r="F2038" s="881" t="s">
        <v>432</v>
      </c>
      <c r="G2038" s="731" t="s">
        <v>5716</v>
      </c>
      <c r="H2038" s="1083">
        <v>42430</v>
      </c>
      <c r="I2038" s="1084">
        <v>42485</v>
      </c>
      <c r="J2038" s="957">
        <v>130</v>
      </c>
    </row>
    <row r="2039" spans="1:10" s="852" customFormat="1" outlineLevel="2">
      <c r="A2039" s="815" t="s">
        <v>1694</v>
      </c>
      <c r="B2039" s="816" t="s">
        <v>7872</v>
      </c>
      <c r="C2039" s="729" t="s">
        <v>458</v>
      </c>
      <c r="D2039" s="460"/>
      <c r="E2039" s="878" t="s">
        <v>1695</v>
      </c>
      <c r="F2039" s="881" t="s">
        <v>1696</v>
      </c>
      <c r="G2039" s="731" t="s">
        <v>5635</v>
      </c>
      <c r="H2039" s="1083">
        <v>42430</v>
      </c>
      <c r="I2039" s="1084">
        <v>42474</v>
      </c>
      <c r="J2039" s="957">
        <v>76907.55</v>
      </c>
    </row>
    <row r="2040" spans="1:10" s="852" customFormat="1" ht="28.5" outlineLevel="2">
      <c r="A2040" s="815" t="s">
        <v>1414</v>
      </c>
      <c r="B2040" s="816" t="s">
        <v>7876</v>
      </c>
      <c r="C2040" s="729" t="s">
        <v>458</v>
      </c>
      <c r="D2040" s="460"/>
      <c r="E2040" s="878" t="s">
        <v>1410</v>
      </c>
      <c r="F2040" s="881" t="s">
        <v>1424</v>
      </c>
      <c r="G2040" s="731" t="s">
        <v>5525</v>
      </c>
      <c r="H2040" s="1083">
        <v>42430</v>
      </c>
      <c r="I2040" s="1084">
        <v>42461</v>
      </c>
      <c r="J2040" s="957">
        <v>1010.48</v>
      </c>
    </row>
    <row r="2041" spans="1:10" s="852" customFormat="1" ht="28.5" outlineLevel="2">
      <c r="A2041" s="815" t="s">
        <v>5526</v>
      </c>
      <c r="B2041" s="816" t="s">
        <v>7876</v>
      </c>
      <c r="C2041" s="729" t="s">
        <v>458</v>
      </c>
      <c r="D2041" s="460"/>
      <c r="E2041" s="878" t="s">
        <v>1410</v>
      </c>
      <c r="F2041" s="881" t="s">
        <v>1424</v>
      </c>
      <c r="G2041" s="731" t="s">
        <v>5525</v>
      </c>
      <c r="H2041" s="1083">
        <v>42430</v>
      </c>
      <c r="I2041" s="1084">
        <v>42461</v>
      </c>
      <c r="J2041" s="957">
        <v>917.2</v>
      </c>
    </row>
    <row r="2042" spans="1:10" s="852" customFormat="1" outlineLevel="2">
      <c r="A2042" s="815" t="s">
        <v>714</v>
      </c>
      <c r="B2042" s="816" t="s">
        <v>7877</v>
      </c>
      <c r="C2042" s="729" t="s">
        <v>458</v>
      </c>
      <c r="D2042" s="460"/>
      <c r="E2042" s="878" t="s">
        <v>683</v>
      </c>
      <c r="F2042" s="881" t="s">
        <v>1071</v>
      </c>
      <c r="G2042" s="731" t="s">
        <v>5554</v>
      </c>
      <c r="H2042" s="1083">
        <v>42430</v>
      </c>
      <c r="I2042" s="1084">
        <v>42464</v>
      </c>
      <c r="J2042" s="957">
        <v>15315.24</v>
      </c>
    </row>
    <row r="2043" spans="1:10" s="852" customFormat="1" outlineLevel="2">
      <c r="A2043" s="815" t="s">
        <v>714</v>
      </c>
      <c r="B2043" s="816" t="s">
        <v>7877</v>
      </c>
      <c r="C2043" s="729" t="s">
        <v>458</v>
      </c>
      <c r="D2043" s="460"/>
      <c r="E2043" s="878" t="s">
        <v>683</v>
      </c>
      <c r="F2043" s="881" t="s">
        <v>1071</v>
      </c>
      <c r="G2043" s="731" t="s">
        <v>5556</v>
      </c>
      <c r="H2043" s="1083">
        <v>42430</v>
      </c>
      <c r="I2043" s="1084">
        <v>42464</v>
      </c>
      <c r="J2043" s="957">
        <v>2312.5100000000002</v>
      </c>
    </row>
    <row r="2044" spans="1:10" s="852" customFormat="1" outlineLevel="2">
      <c r="A2044" s="815" t="s">
        <v>5942</v>
      </c>
      <c r="B2044" s="816" t="s">
        <v>7864</v>
      </c>
      <c r="C2044" s="729" t="s">
        <v>458</v>
      </c>
      <c r="D2044" s="460"/>
      <c r="E2044" s="878" t="s">
        <v>6470</v>
      </c>
      <c r="F2044" s="881" t="s">
        <v>434</v>
      </c>
      <c r="G2044" s="731" t="s">
        <v>6474</v>
      </c>
      <c r="H2044" s="1083">
        <v>42370</v>
      </c>
      <c r="I2044" s="1084">
        <v>42478</v>
      </c>
      <c r="J2044" s="957">
        <v>-412.26</v>
      </c>
    </row>
    <row r="2045" spans="1:10" s="852" customFormat="1" outlineLevel="2">
      <c r="A2045" s="815" t="s">
        <v>5942</v>
      </c>
      <c r="B2045" s="816" t="s">
        <v>7864</v>
      </c>
      <c r="C2045" s="729" t="s">
        <v>458</v>
      </c>
      <c r="D2045" s="460"/>
      <c r="E2045" s="878" t="s">
        <v>6470</v>
      </c>
      <c r="F2045" s="881" t="s">
        <v>434</v>
      </c>
      <c r="G2045" s="731" t="s">
        <v>6474</v>
      </c>
      <c r="H2045" s="1083">
        <v>42370</v>
      </c>
      <c r="I2045" s="1084">
        <v>42478</v>
      </c>
      <c r="J2045" s="957">
        <v>-412.26</v>
      </c>
    </row>
    <row r="2046" spans="1:10" s="852" customFormat="1" outlineLevel="2">
      <c r="A2046" s="815" t="s">
        <v>5942</v>
      </c>
      <c r="B2046" s="816" t="s">
        <v>7864</v>
      </c>
      <c r="C2046" s="729" t="s">
        <v>458</v>
      </c>
      <c r="D2046" s="460"/>
      <c r="E2046" s="878" t="s">
        <v>6470</v>
      </c>
      <c r="F2046" s="881" t="s">
        <v>434</v>
      </c>
      <c r="G2046" s="731" t="s">
        <v>6474</v>
      </c>
      <c r="H2046" s="1083">
        <v>42370</v>
      </c>
      <c r="I2046" s="1084">
        <v>42478</v>
      </c>
      <c r="J2046" s="957">
        <v>412.26</v>
      </c>
    </row>
    <row r="2047" spans="1:10" s="852" customFormat="1" outlineLevel="2">
      <c r="A2047" s="815" t="s">
        <v>5942</v>
      </c>
      <c r="B2047" s="816" t="s">
        <v>7864</v>
      </c>
      <c r="C2047" s="729" t="s">
        <v>458</v>
      </c>
      <c r="D2047" s="460"/>
      <c r="E2047" s="878" t="s">
        <v>6470</v>
      </c>
      <c r="F2047" s="881" t="s">
        <v>434</v>
      </c>
      <c r="G2047" s="731" t="str">
        <f>"2676"</f>
        <v>2676</v>
      </c>
      <c r="H2047" s="1083">
        <v>42370</v>
      </c>
      <c r="I2047" s="1084">
        <v>42478</v>
      </c>
      <c r="J2047" s="957">
        <v>-15315.69</v>
      </c>
    </row>
    <row r="2048" spans="1:10" s="852" customFormat="1" outlineLevel="2">
      <c r="A2048" s="815" t="s">
        <v>5942</v>
      </c>
      <c r="B2048" s="816" t="s">
        <v>7864</v>
      </c>
      <c r="C2048" s="729" t="s">
        <v>458</v>
      </c>
      <c r="D2048" s="460"/>
      <c r="E2048" s="878" t="s">
        <v>6470</v>
      </c>
      <c r="F2048" s="881" t="s">
        <v>434</v>
      </c>
      <c r="G2048" s="731" t="str">
        <f>"2676"</f>
        <v>2676</v>
      </c>
      <c r="H2048" s="1083">
        <v>42370</v>
      </c>
      <c r="I2048" s="1084">
        <v>42478</v>
      </c>
      <c r="J2048" s="957">
        <v>15315.69</v>
      </c>
    </row>
    <row r="2049" spans="1:10" s="852" customFormat="1" outlineLevel="2">
      <c r="A2049" s="815" t="s">
        <v>5942</v>
      </c>
      <c r="B2049" s="816" t="s">
        <v>7864</v>
      </c>
      <c r="C2049" s="729" t="s">
        <v>458</v>
      </c>
      <c r="D2049" s="460"/>
      <c r="E2049" s="878" t="s">
        <v>6470</v>
      </c>
      <c r="F2049" s="881" t="s">
        <v>434</v>
      </c>
      <c r="G2049" s="731" t="str">
        <f>"2676"</f>
        <v>2676</v>
      </c>
      <c r="H2049" s="1083">
        <v>42370</v>
      </c>
      <c r="I2049" s="1084">
        <v>42478</v>
      </c>
      <c r="J2049" s="957">
        <v>15315.69</v>
      </c>
    </row>
    <row r="2050" spans="1:10" s="852" customFormat="1" outlineLevel="2">
      <c r="A2050" s="815" t="s">
        <v>5942</v>
      </c>
      <c r="B2050" s="816" t="s">
        <v>7864</v>
      </c>
      <c r="C2050" s="729" t="s">
        <v>458</v>
      </c>
      <c r="D2050" s="460"/>
      <c r="E2050" s="878" t="s">
        <v>6470</v>
      </c>
      <c r="F2050" s="881" t="s">
        <v>434</v>
      </c>
      <c r="G2050" s="731" t="str">
        <f>"2676"</f>
        <v>2676</v>
      </c>
      <c r="H2050" s="1083">
        <v>42370</v>
      </c>
      <c r="I2050" s="1084">
        <v>42478</v>
      </c>
      <c r="J2050" s="957">
        <v>15315.69</v>
      </c>
    </row>
    <row r="2051" spans="1:10" s="852" customFormat="1" outlineLevel="2">
      <c r="A2051" s="815" t="s">
        <v>5942</v>
      </c>
      <c r="B2051" s="816" t="s">
        <v>7864</v>
      </c>
      <c r="C2051" s="729" t="s">
        <v>458</v>
      </c>
      <c r="D2051" s="460"/>
      <c r="E2051" s="878" t="s">
        <v>6470</v>
      </c>
      <c r="F2051" s="881" t="s">
        <v>434</v>
      </c>
      <c r="G2051" s="731" t="str">
        <f>"2676"</f>
        <v>2676</v>
      </c>
      <c r="H2051" s="1083">
        <v>42370</v>
      </c>
      <c r="I2051" s="1084">
        <v>42478</v>
      </c>
      <c r="J2051" s="957">
        <v>-15315.69</v>
      </c>
    </row>
    <row r="2052" spans="1:10" s="852" customFormat="1" outlineLevel="2">
      <c r="A2052" s="815" t="s">
        <v>715</v>
      </c>
      <c r="B2052" s="816" t="s">
        <v>7882</v>
      </c>
      <c r="C2052" s="729" t="s">
        <v>458</v>
      </c>
      <c r="D2052" s="460"/>
      <c r="E2052" s="878" t="s">
        <v>2336</v>
      </c>
      <c r="F2052" s="881" t="s">
        <v>4294</v>
      </c>
      <c r="G2052" s="731" t="s">
        <v>4386</v>
      </c>
      <c r="H2052" s="1083">
        <v>42401</v>
      </c>
      <c r="I2052" s="1084">
        <v>42480</v>
      </c>
      <c r="J2052" s="957">
        <v>91863.87</v>
      </c>
    </row>
    <row r="2053" spans="1:10" s="852" customFormat="1" outlineLevel="2">
      <c r="A2053" s="815" t="s">
        <v>716</v>
      </c>
      <c r="B2053" s="816" t="s">
        <v>7883</v>
      </c>
      <c r="C2053" s="729" t="s">
        <v>458</v>
      </c>
      <c r="D2053" s="460"/>
      <c r="E2053" s="878" t="s">
        <v>2336</v>
      </c>
      <c r="F2053" s="881" t="s">
        <v>4294</v>
      </c>
      <c r="G2053" s="731" t="s">
        <v>4386</v>
      </c>
      <c r="H2053" s="1083">
        <v>42401</v>
      </c>
      <c r="I2053" s="1084">
        <v>42480</v>
      </c>
      <c r="J2053" s="957">
        <v>10936.17</v>
      </c>
    </row>
    <row r="2054" spans="1:10" s="852" customFormat="1" outlineLevel="2">
      <c r="A2054" s="815" t="s">
        <v>713</v>
      </c>
      <c r="B2054" s="816" t="s">
        <v>7864</v>
      </c>
      <c r="C2054" s="729" t="s">
        <v>458</v>
      </c>
      <c r="D2054" s="460"/>
      <c r="E2054" s="878" t="s">
        <v>2336</v>
      </c>
      <c r="F2054" s="881" t="s">
        <v>3853</v>
      </c>
      <c r="G2054" s="731" t="s">
        <v>4385</v>
      </c>
      <c r="H2054" s="1083">
        <v>42401</v>
      </c>
      <c r="I2054" s="1084">
        <v>42480</v>
      </c>
      <c r="J2054" s="957">
        <v>2070.96</v>
      </c>
    </row>
    <row r="2055" spans="1:10" s="852" customFormat="1" outlineLevel="2">
      <c r="A2055" s="815" t="s">
        <v>713</v>
      </c>
      <c r="B2055" s="816" t="s">
        <v>7864</v>
      </c>
      <c r="C2055" s="729" t="s">
        <v>458</v>
      </c>
      <c r="D2055" s="460"/>
      <c r="E2055" s="878" t="s">
        <v>2336</v>
      </c>
      <c r="F2055" s="881" t="s">
        <v>3456</v>
      </c>
      <c r="G2055" s="731" t="s">
        <v>4384</v>
      </c>
      <c r="H2055" s="1083">
        <v>42401</v>
      </c>
      <c r="I2055" s="1084">
        <v>42480</v>
      </c>
      <c r="J2055" s="957">
        <v>1362.47</v>
      </c>
    </row>
    <row r="2056" spans="1:10" s="852" customFormat="1" outlineLevel="2">
      <c r="A2056" s="815" t="s">
        <v>713</v>
      </c>
      <c r="B2056" s="816" t="s">
        <v>7864</v>
      </c>
      <c r="C2056" s="729" t="s">
        <v>458</v>
      </c>
      <c r="D2056" s="460"/>
      <c r="E2056" s="878" t="s">
        <v>2336</v>
      </c>
      <c r="F2056" s="881" t="s">
        <v>4448</v>
      </c>
      <c r="G2056" s="731" t="s">
        <v>4388</v>
      </c>
      <c r="H2056" s="1083">
        <v>42401</v>
      </c>
      <c r="I2056" s="1084">
        <v>42480</v>
      </c>
      <c r="J2056" s="957">
        <v>2016.46</v>
      </c>
    </row>
    <row r="2057" spans="1:10" s="852" customFormat="1" outlineLevel="2">
      <c r="A2057" s="815" t="s">
        <v>717</v>
      </c>
      <c r="B2057" s="816" t="s">
        <v>7863</v>
      </c>
      <c r="C2057" s="729" t="s">
        <v>458</v>
      </c>
      <c r="D2057" s="460"/>
      <c r="E2057" s="878" t="s">
        <v>2336</v>
      </c>
      <c r="F2057" s="881" t="s">
        <v>6045</v>
      </c>
      <c r="G2057" s="731" t="s">
        <v>4383</v>
      </c>
      <c r="H2057" s="1083">
        <v>42401</v>
      </c>
      <c r="I2057" s="1084">
        <v>42480</v>
      </c>
      <c r="J2057" s="957">
        <v>9953.4699999999993</v>
      </c>
    </row>
    <row r="2058" spans="1:10" s="852" customFormat="1" outlineLevel="2">
      <c r="A2058" s="815" t="s">
        <v>711</v>
      </c>
      <c r="B2058" s="816" t="s">
        <v>7885</v>
      </c>
      <c r="C2058" s="729" t="s">
        <v>458</v>
      </c>
      <c r="D2058" s="460"/>
      <c r="E2058" s="878" t="s">
        <v>2336</v>
      </c>
      <c r="F2058" s="881" t="s">
        <v>4305</v>
      </c>
      <c r="G2058" s="731" t="s">
        <v>4387</v>
      </c>
      <c r="H2058" s="1083">
        <v>42401</v>
      </c>
      <c r="I2058" s="1084">
        <v>42480</v>
      </c>
      <c r="J2058" s="957">
        <v>745.26</v>
      </c>
    </row>
    <row r="2059" spans="1:10" s="852" customFormat="1" outlineLevel="2">
      <c r="A2059" s="815" t="s">
        <v>5942</v>
      </c>
      <c r="B2059" s="816" t="s">
        <v>7864</v>
      </c>
      <c r="C2059" s="729" t="s">
        <v>458</v>
      </c>
      <c r="D2059" s="460"/>
      <c r="E2059" s="878" t="s">
        <v>2717</v>
      </c>
      <c r="F2059" s="881" t="s">
        <v>434</v>
      </c>
      <c r="G2059" s="731" t="str">
        <f>"3550"</f>
        <v>3550</v>
      </c>
      <c r="H2059" s="1083">
        <v>42401</v>
      </c>
      <c r="I2059" s="1084">
        <v>42467</v>
      </c>
      <c r="J2059" s="957">
        <v>10076.11</v>
      </c>
    </row>
    <row r="2060" spans="1:10" s="852" customFormat="1" outlineLevel="2">
      <c r="A2060" s="815" t="s">
        <v>5942</v>
      </c>
      <c r="B2060" s="816" t="s">
        <v>7864</v>
      </c>
      <c r="C2060" s="729" t="s">
        <v>458</v>
      </c>
      <c r="D2060" s="460"/>
      <c r="E2060" s="878" t="s">
        <v>2717</v>
      </c>
      <c r="F2060" s="881" t="s">
        <v>434</v>
      </c>
      <c r="G2060" s="731" t="s">
        <v>5952</v>
      </c>
      <c r="H2060" s="1083">
        <v>42401</v>
      </c>
      <c r="I2060" s="1084">
        <v>42467</v>
      </c>
      <c r="J2060" s="957">
        <v>-271.22000000000003</v>
      </c>
    </row>
    <row r="2061" spans="1:10" s="852" customFormat="1" outlineLevel="2">
      <c r="A2061" s="815" t="s">
        <v>5942</v>
      </c>
      <c r="B2061" s="816" t="s">
        <v>7864</v>
      </c>
      <c r="C2061" s="729" t="s">
        <v>458</v>
      </c>
      <c r="D2061" s="460"/>
      <c r="E2061" s="878" t="s">
        <v>409</v>
      </c>
      <c r="F2061" s="881" t="s">
        <v>434</v>
      </c>
      <c r="G2061" s="731" t="s">
        <v>6466</v>
      </c>
      <c r="H2061" s="1083">
        <v>42401</v>
      </c>
      <c r="I2061" s="1084">
        <v>42475</v>
      </c>
      <c r="J2061" s="957">
        <v>-401.41</v>
      </c>
    </row>
    <row r="2062" spans="1:10" s="852" customFormat="1" outlineLevel="2">
      <c r="A2062" s="815" t="s">
        <v>5942</v>
      </c>
      <c r="B2062" s="816" t="s">
        <v>7864</v>
      </c>
      <c r="C2062" s="729" t="s">
        <v>458</v>
      </c>
      <c r="D2062" s="460"/>
      <c r="E2062" s="878" t="s">
        <v>409</v>
      </c>
      <c r="F2062" s="881" t="s">
        <v>434</v>
      </c>
      <c r="G2062" s="731" t="str">
        <f>"6733"</f>
        <v>6733</v>
      </c>
      <c r="H2062" s="1083">
        <v>42401</v>
      </c>
      <c r="I2062" s="1084">
        <v>42475</v>
      </c>
      <c r="J2062" s="957">
        <v>14912.65</v>
      </c>
    </row>
    <row r="2063" spans="1:10" s="852" customFormat="1" ht="28.5" outlineLevel="2">
      <c r="A2063" s="815" t="s">
        <v>1288</v>
      </c>
      <c r="B2063" s="816" t="s">
        <v>7873</v>
      </c>
      <c r="C2063" s="729" t="s">
        <v>458</v>
      </c>
      <c r="D2063" s="460"/>
      <c r="E2063" s="878" t="s">
        <v>2306</v>
      </c>
      <c r="F2063" s="881" t="s">
        <v>2744</v>
      </c>
      <c r="G2063" s="731">
        <v>1282482</v>
      </c>
      <c r="H2063" s="1083">
        <v>42461</v>
      </c>
      <c r="I2063" s="1084">
        <v>42489</v>
      </c>
      <c r="J2063" s="957">
        <v>187.32</v>
      </c>
    </row>
    <row r="2064" spans="1:10" s="852" customFormat="1" outlineLevel="2">
      <c r="A2064" s="815" t="s">
        <v>2732</v>
      </c>
      <c r="B2064" s="816" t="s">
        <v>7887</v>
      </c>
      <c r="C2064" s="729" t="s">
        <v>458</v>
      </c>
      <c r="D2064" s="460"/>
      <c r="E2064" s="878" t="s">
        <v>2306</v>
      </c>
      <c r="F2064" s="881" t="s">
        <v>2742</v>
      </c>
      <c r="G2064" s="731">
        <v>1282497</v>
      </c>
      <c r="H2064" s="1083">
        <v>42461</v>
      </c>
      <c r="I2064" s="1084">
        <v>42489</v>
      </c>
      <c r="J2064" s="957">
        <v>1696.81</v>
      </c>
    </row>
    <row r="2065" spans="1:10" s="852" customFormat="1" outlineLevel="2">
      <c r="A2065" s="815" t="s">
        <v>1288</v>
      </c>
      <c r="B2065" s="816" t="s">
        <v>7873</v>
      </c>
      <c r="C2065" s="729" t="s">
        <v>458</v>
      </c>
      <c r="D2065" s="460"/>
      <c r="E2065" s="878" t="s">
        <v>430</v>
      </c>
      <c r="F2065" s="881" t="s">
        <v>406</v>
      </c>
      <c r="G2065" s="731" t="s">
        <v>5653</v>
      </c>
      <c r="H2065" s="1083">
        <v>42430</v>
      </c>
      <c r="I2065" s="1084">
        <v>42475</v>
      </c>
      <c r="J2065" s="957">
        <v>710</v>
      </c>
    </row>
    <row r="2066" spans="1:10" s="852" customFormat="1" outlineLevel="2">
      <c r="A2066" s="815" t="s">
        <v>717</v>
      </c>
      <c r="B2066" s="816" t="s">
        <v>7863</v>
      </c>
      <c r="C2066" s="729" t="s">
        <v>458</v>
      </c>
      <c r="D2066" s="460"/>
      <c r="E2066" s="878" t="s">
        <v>2282</v>
      </c>
      <c r="F2066" s="881" t="s">
        <v>6094</v>
      </c>
      <c r="G2066" s="731" t="s">
        <v>4389</v>
      </c>
      <c r="H2066" s="1083">
        <v>42401</v>
      </c>
      <c r="I2066" s="1084">
        <v>42471</v>
      </c>
      <c r="J2066" s="957">
        <v>1809.72</v>
      </c>
    </row>
    <row r="2067" spans="1:10" s="852" customFormat="1" outlineLevel="2">
      <c r="A2067" s="815" t="s">
        <v>713</v>
      </c>
      <c r="B2067" s="816" t="s">
        <v>7864</v>
      </c>
      <c r="C2067" s="729" t="s">
        <v>458</v>
      </c>
      <c r="D2067" s="460"/>
      <c r="E2067" s="878" t="s">
        <v>2282</v>
      </c>
      <c r="F2067" s="881" t="s">
        <v>3457</v>
      </c>
      <c r="G2067" s="731" t="s">
        <v>4390</v>
      </c>
      <c r="H2067" s="1083">
        <v>42401</v>
      </c>
      <c r="I2067" s="1084">
        <v>42471</v>
      </c>
      <c r="J2067" s="957">
        <v>247.72</v>
      </c>
    </row>
    <row r="2068" spans="1:10" s="852" customFormat="1" outlineLevel="2">
      <c r="A2068" s="815" t="s">
        <v>713</v>
      </c>
      <c r="B2068" s="816" t="s">
        <v>7864</v>
      </c>
      <c r="C2068" s="729" t="s">
        <v>458</v>
      </c>
      <c r="D2068" s="460"/>
      <c r="E2068" s="878" t="s">
        <v>2282</v>
      </c>
      <c r="F2068" s="881" t="s">
        <v>3855</v>
      </c>
      <c r="G2068" s="731" t="s">
        <v>4391</v>
      </c>
      <c r="H2068" s="1083">
        <v>42401</v>
      </c>
      <c r="I2068" s="1084">
        <v>42471</v>
      </c>
      <c r="J2068" s="957">
        <v>376.54</v>
      </c>
    </row>
    <row r="2069" spans="1:10" s="852" customFormat="1" outlineLevel="2">
      <c r="A2069" s="815" t="s">
        <v>955</v>
      </c>
      <c r="B2069" s="816" t="s">
        <v>7866</v>
      </c>
      <c r="C2069" s="729" t="s">
        <v>458</v>
      </c>
      <c r="D2069" s="460"/>
      <c r="E2069" s="878" t="s">
        <v>2282</v>
      </c>
      <c r="F2069" s="881" t="s">
        <v>3974</v>
      </c>
      <c r="G2069" s="731" t="s">
        <v>2779</v>
      </c>
      <c r="H2069" s="1083">
        <v>42401</v>
      </c>
      <c r="I2069" s="1084">
        <v>42471</v>
      </c>
      <c r="J2069" s="957">
        <v>3403.06</v>
      </c>
    </row>
    <row r="2070" spans="1:10" s="852" customFormat="1" outlineLevel="2">
      <c r="A2070" s="815" t="s">
        <v>955</v>
      </c>
      <c r="B2070" s="816" t="s">
        <v>7866</v>
      </c>
      <c r="C2070" s="729" t="s">
        <v>458</v>
      </c>
      <c r="D2070" s="460"/>
      <c r="E2070" s="878" t="s">
        <v>2282</v>
      </c>
      <c r="F2070" s="881" t="s">
        <v>4081</v>
      </c>
      <c r="G2070" s="731" t="s">
        <v>2781</v>
      </c>
      <c r="H2070" s="1083">
        <v>42401</v>
      </c>
      <c r="I2070" s="1084">
        <v>42471</v>
      </c>
      <c r="J2070" s="957">
        <v>108.82</v>
      </c>
    </row>
    <row r="2071" spans="1:10" s="852" customFormat="1" outlineLevel="2">
      <c r="A2071" s="815" t="s">
        <v>955</v>
      </c>
      <c r="B2071" s="816" t="s">
        <v>7866</v>
      </c>
      <c r="C2071" s="729" t="s">
        <v>458</v>
      </c>
      <c r="D2071" s="460"/>
      <c r="E2071" s="878" t="s">
        <v>2282</v>
      </c>
      <c r="F2071" s="881" t="s">
        <v>4165</v>
      </c>
      <c r="G2071" s="731" t="s">
        <v>2782</v>
      </c>
      <c r="H2071" s="1083">
        <v>42401</v>
      </c>
      <c r="I2071" s="1084">
        <v>42471</v>
      </c>
      <c r="J2071" s="957">
        <v>1283.96</v>
      </c>
    </row>
    <row r="2072" spans="1:10" s="852" customFormat="1" outlineLevel="2">
      <c r="A2072" s="815" t="s">
        <v>715</v>
      </c>
      <c r="B2072" s="816" t="s">
        <v>7882</v>
      </c>
      <c r="C2072" s="729" t="s">
        <v>458</v>
      </c>
      <c r="D2072" s="460"/>
      <c r="E2072" s="878" t="s">
        <v>2282</v>
      </c>
      <c r="F2072" s="881" t="s">
        <v>4297</v>
      </c>
      <c r="G2072" s="731" t="s">
        <v>4394</v>
      </c>
      <c r="H2072" s="1083">
        <v>42401</v>
      </c>
      <c r="I2072" s="1084">
        <v>42471</v>
      </c>
      <c r="J2072" s="957">
        <v>16702.509999999998</v>
      </c>
    </row>
    <row r="2073" spans="1:10" s="852" customFormat="1" outlineLevel="2">
      <c r="A2073" s="815" t="s">
        <v>716</v>
      </c>
      <c r="B2073" s="816" t="s">
        <v>7883</v>
      </c>
      <c r="C2073" s="729" t="s">
        <v>458</v>
      </c>
      <c r="D2073" s="460"/>
      <c r="E2073" s="878" t="s">
        <v>2282</v>
      </c>
      <c r="F2073" s="881" t="s">
        <v>4297</v>
      </c>
      <c r="G2073" s="731" t="s">
        <v>4394</v>
      </c>
      <c r="H2073" s="1083">
        <v>42401</v>
      </c>
      <c r="I2073" s="1084">
        <v>42471</v>
      </c>
      <c r="J2073" s="957">
        <v>1988.39</v>
      </c>
    </row>
    <row r="2074" spans="1:10" s="852" customFormat="1" outlineLevel="2">
      <c r="A2074" s="815" t="s">
        <v>711</v>
      </c>
      <c r="B2074" s="816" t="s">
        <v>7885</v>
      </c>
      <c r="C2074" s="729" t="s">
        <v>458</v>
      </c>
      <c r="D2074" s="460"/>
      <c r="E2074" s="878" t="s">
        <v>2282</v>
      </c>
      <c r="F2074" s="881" t="s">
        <v>4306</v>
      </c>
      <c r="G2074" s="731" t="s">
        <v>4397</v>
      </c>
      <c r="H2074" s="1083">
        <v>42401</v>
      </c>
      <c r="I2074" s="1084">
        <v>42471</v>
      </c>
      <c r="J2074" s="957">
        <v>900.69</v>
      </c>
    </row>
    <row r="2075" spans="1:10" s="852" customFormat="1" outlineLevel="2">
      <c r="A2075" s="815" t="s">
        <v>713</v>
      </c>
      <c r="B2075" s="816" t="s">
        <v>7864</v>
      </c>
      <c r="C2075" s="729" t="s">
        <v>458</v>
      </c>
      <c r="D2075" s="460"/>
      <c r="E2075" s="878" t="s">
        <v>2282</v>
      </c>
      <c r="F2075" s="881" t="s">
        <v>4450</v>
      </c>
      <c r="G2075" s="731" t="s">
        <v>4399</v>
      </c>
      <c r="H2075" s="1083">
        <v>42401</v>
      </c>
      <c r="I2075" s="1084">
        <v>42471</v>
      </c>
      <c r="J2075" s="957">
        <v>366.63</v>
      </c>
    </row>
    <row r="2076" spans="1:10" s="852" customFormat="1" ht="28.5" outlineLevel="2">
      <c r="A2076" s="815" t="s">
        <v>457</v>
      </c>
      <c r="B2076" s="816" t="s">
        <v>7864</v>
      </c>
      <c r="C2076" s="729" t="s">
        <v>458</v>
      </c>
      <c r="D2076" s="460"/>
      <c r="E2076" s="878" t="s">
        <v>2282</v>
      </c>
      <c r="F2076" s="881" t="s">
        <v>5127</v>
      </c>
      <c r="G2076" s="731" t="s">
        <v>4401</v>
      </c>
      <c r="H2076" s="1083">
        <v>42430</v>
      </c>
      <c r="I2076" s="1084">
        <v>42471</v>
      </c>
      <c r="J2076" s="957">
        <v>40</v>
      </c>
    </row>
    <row r="2077" spans="1:10" s="852" customFormat="1" outlineLevel="2">
      <c r="A2077" s="815" t="s">
        <v>2264</v>
      </c>
      <c r="B2077" s="816" t="s">
        <v>7888</v>
      </c>
      <c r="C2077" s="729" t="s">
        <v>458</v>
      </c>
      <c r="D2077" s="460"/>
      <c r="E2077" s="878" t="s">
        <v>2710</v>
      </c>
      <c r="F2077" s="881" t="s">
        <v>4555</v>
      </c>
      <c r="G2077" s="731" t="s">
        <v>4223</v>
      </c>
      <c r="H2077" s="1083">
        <v>42401</v>
      </c>
      <c r="I2077" s="1084">
        <v>42475</v>
      </c>
      <c r="J2077" s="957">
        <v>118.93</v>
      </c>
    </row>
    <row r="2078" spans="1:10" s="852" customFormat="1" outlineLevel="2">
      <c r="A2078" s="815" t="s">
        <v>457</v>
      </c>
      <c r="B2078" s="816" t="s">
        <v>7864</v>
      </c>
      <c r="C2078" s="729" t="s">
        <v>458</v>
      </c>
      <c r="D2078" s="460"/>
      <c r="E2078" s="878" t="s">
        <v>455</v>
      </c>
      <c r="F2078" s="881" t="s">
        <v>434</v>
      </c>
      <c r="G2078" s="731" t="s">
        <v>6492</v>
      </c>
      <c r="H2078" s="1083">
        <v>42430</v>
      </c>
      <c r="I2078" s="1084">
        <v>42489</v>
      </c>
      <c r="J2078" s="957">
        <v>760</v>
      </c>
    </row>
    <row r="2079" spans="1:10" s="852" customFormat="1" outlineLevel="2">
      <c r="A2079" s="815" t="s">
        <v>717</v>
      </c>
      <c r="B2079" s="816" t="s">
        <v>7863</v>
      </c>
      <c r="C2079" s="729" t="s">
        <v>458</v>
      </c>
      <c r="D2079" s="460"/>
      <c r="E2079" s="878" t="s">
        <v>523</v>
      </c>
      <c r="F2079" s="881" t="s">
        <v>2208</v>
      </c>
      <c r="G2079" s="731" t="s">
        <v>5562</v>
      </c>
      <c r="H2079" s="1083">
        <v>42401</v>
      </c>
      <c r="I2079" s="1084">
        <v>42464</v>
      </c>
      <c r="J2079" s="957">
        <v>73610.44</v>
      </c>
    </row>
    <row r="2080" spans="1:10" s="852" customFormat="1" outlineLevel="2">
      <c r="A2080" s="815" t="s">
        <v>709</v>
      </c>
      <c r="B2080" s="816" t="s">
        <v>7894</v>
      </c>
      <c r="C2080" s="729" t="s">
        <v>458</v>
      </c>
      <c r="D2080" s="460"/>
      <c r="E2080" s="878" t="s">
        <v>1909</v>
      </c>
      <c r="F2080" s="881" t="s">
        <v>6325</v>
      </c>
      <c r="G2080" s="731" t="s">
        <v>4431</v>
      </c>
      <c r="H2080" s="1083">
        <v>42401</v>
      </c>
      <c r="I2080" s="1084">
        <v>42480</v>
      </c>
      <c r="J2080" s="957">
        <v>37.200000000000003</v>
      </c>
    </row>
    <row r="2081" spans="1:10" s="852" customFormat="1" outlineLevel="2">
      <c r="A2081" s="815" t="s">
        <v>955</v>
      </c>
      <c r="B2081" s="816" t="s">
        <v>7866</v>
      </c>
      <c r="C2081" s="729" t="s">
        <v>458</v>
      </c>
      <c r="D2081" s="460"/>
      <c r="E2081" s="878" t="s">
        <v>1909</v>
      </c>
      <c r="F2081" s="881" t="s">
        <v>3935</v>
      </c>
      <c r="G2081" s="731" t="s">
        <v>2817</v>
      </c>
      <c r="H2081" s="1083">
        <v>42401</v>
      </c>
      <c r="I2081" s="1084">
        <v>42480</v>
      </c>
      <c r="J2081" s="957">
        <v>1020.91</v>
      </c>
    </row>
    <row r="2082" spans="1:10" s="852" customFormat="1" outlineLevel="2">
      <c r="A2082" s="815" t="s">
        <v>955</v>
      </c>
      <c r="B2082" s="816" t="s">
        <v>7866</v>
      </c>
      <c r="C2082" s="729" t="s">
        <v>458</v>
      </c>
      <c r="D2082" s="460"/>
      <c r="E2082" s="878" t="s">
        <v>1909</v>
      </c>
      <c r="F2082" s="881" t="s">
        <v>4027</v>
      </c>
      <c r="G2082" s="731" t="s">
        <v>2819</v>
      </c>
      <c r="H2082" s="1083">
        <v>42401</v>
      </c>
      <c r="I2082" s="1084">
        <v>42480</v>
      </c>
      <c r="J2082" s="957">
        <v>32.64</v>
      </c>
    </row>
    <row r="2083" spans="1:10" s="852" customFormat="1" outlineLevel="2">
      <c r="A2083" s="815" t="s">
        <v>955</v>
      </c>
      <c r="B2083" s="816" t="s">
        <v>7866</v>
      </c>
      <c r="C2083" s="729" t="s">
        <v>458</v>
      </c>
      <c r="D2083" s="460"/>
      <c r="E2083" s="878" t="s">
        <v>1909</v>
      </c>
      <c r="F2083" s="881" t="s">
        <v>4129</v>
      </c>
      <c r="G2083" s="731" t="s">
        <v>2821</v>
      </c>
      <c r="H2083" s="1083">
        <v>42401</v>
      </c>
      <c r="I2083" s="1084">
        <v>42480</v>
      </c>
      <c r="J2083" s="957">
        <v>385.18</v>
      </c>
    </row>
    <row r="2084" spans="1:10" s="852" customFormat="1" outlineLevel="2">
      <c r="A2084" s="815" t="s">
        <v>2264</v>
      </c>
      <c r="B2084" s="816" t="s">
        <v>7888</v>
      </c>
      <c r="C2084" s="729" t="s">
        <v>458</v>
      </c>
      <c r="D2084" s="460"/>
      <c r="E2084" s="878" t="s">
        <v>1909</v>
      </c>
      <c r="F2084" s="881" t="s">
        <v>4544</v>
      </c>
      <c r="G2084" s="731" t="s">
        <v>4260</v>
      </c>
      <c r="H2084" s="1083">
        <v>42401</v>
      </c>
      <c r="I2084" s="1084">
        <v>42480</v>
      </c>
      <c r="J2084" s="957">
        <v>89.2</v>
      </c>
    </row>
    <row r="2085" spans="1:10" s="852" customFormat="1" outlineLevel="2">
      <c r="A2085" s="815" t="s">
        <v>715</v>
      </c>
      <c r="B2085" s="816" t="s">
        <v>7882</v>
      </c>
      <c r="C2085" s="729" t="s">
        <v>458</v>
      </c>
      <c r="D2085" s="460"/>
      <c r="E2085" s="878" t="s">
        <v>1909</v>
      </c>
      <c r="F2085" s="881" t="s">
        <v>4291</v>
      </c>
      <c r="G2085" s="731" t="s">
        <v>4446</v>
      </c>
      <c r="H2085" s="1083">
        <v>42401</v>
      </c>
      <c r="I2085" s="1084">
        <v>42480</v>
      </c>
      <c r="J2085" s="957">
        <v>12526.89</v>
      </c>
    </row>
    <row r="2086" spans="1:10" s="852" customFormat="1" outlineLevel="2">
      <c r="A2086" s="815" t="s">
        <v>716</v>
      </c>
      <c r="B2086" s="816" t="s">
        <v>7883</v>
      </c>
      <c r="C2086" s="729" t="s">
        <v>458</v>
      </c>
      <c r="D2086" s="460"/>
      <c r="E2086" s="878" t="s">
        <v>1909</v>
      </c>
      <c r="F2086" s="881" t="s">
        <v>4291</v>
      </c>
      <c r="G2086" s="731" t="s">
        <v>4446</v>
      </c>
      <c r="H2086" s="1083">
        <v>42401</v>
      </c>
      <c r="I2086" s="1084">
        <v>42480</v>
      </c>
      <c r="J2086" s="957">
        <v>1491.29</v>
      </c>
    </row>
    <row r="2087" spans="1:10" s="852" customFormat="1" outlineLevel="2">
      <c r="A2087" s="815" t="s">
        <v>714</v>
      </c>
      <c r="B2087" s="816" t="s">
        <v>7877</v>
      </c>
      <c r="C2087" s="729" t="s">
        <v>458</v>
      </c>
      <c r="D2087" s="460"/>
      <c r="E2087" s="878" t="s">
        <v>1909</v>
      </c>
      <c r="F2087" s="881" t="s">
        <v>5202</v>
      </c>
      <c r="G2087" s="731" t="s">
        <v>4455</v>
      </c>
      <c r="H2087" s="1083">
        <v>42430</v>
      </c>
      <c r="I2087" s="1084">
        <v>42480</v>
      </c>
      <c r="J2087" s="957">
        <v>244.78</v>
      </c>
    </row>
    <row r="2088" spans="1:10" s="852" customFormat="1" outlineLevel="2">
      <c r="A2088" s="815" t="s">
        <v>714</v>
      </c>
      <c r="B2088" s="816" t="s">
        <v>7877</v>
      </c>
      <c r="C2088" s="729" t="s">
        <v>458</v>
      </c>
      <c r="D2088" s="460"/>
      <c r="E2088" s="878" t="s">
        <v>1909</v>
      </c>
      <c r="F2088" s="881" t="s">
        <v>4541</v>
      </c>
      <c r="G2088" s="731" t="s">
        <v>4451</v>
      </c>
      <c r="H2088" s="1083">
        <v>42430</v>
      </c>
      <c r="I2088" s="1084">
        <v>42480</v>
      </c>
      <c r="J2088" s="957">
        <v>36.96</v>
      </c>
    </row>
    <row r="2089" spans="1:10" s="852" customFormat="1" outlineLevel="2">
      <c r="A2089" s="815" t="s">
        <v>713</v>
      </c>
      <c r="B2089" s="816" t="s">
        <v>7864</v>
      </c>
      <c r="C2089" s="729" t="s">
        <v>458</v>
      </c>
      <c r="D2089" s="460"/>
      <c r="E2089" s="878" t="s">
        <v>1909</v>
      </c>
      <c r="F2089" s="881" t="s">
        <v>3851</v>
      </c>
      <c r="G2089" s="731" t="s">
        <v>4445</v>
      </c>
      <c r="H2089" s="1083">
        <v>42401</v>
      </c>
      <c r="I2089" s="1084">
        <v>42480</v>
      </c>
      <c r="J2089" s="957">
        <v>188.27</v>
      </c>
    </row>
    <row r="2090" spans="1:10" s="852" customFormat="1" outlineLevel="2">
      <c r="A2090" s="815" t="s">
        <v>713</v>
      </c>
      <c r="B2090" s="816" t="s">
        <v>7864</v>
      </c>
      <c r="C2090" s="729" t="s">
        <v>458</v>
      </c>
      <c r="D2090" s="460"/>
      <c r="E2090" s="878" t="s">
        <v>1909</v>
      </c>
      <c r="F2090" s="881" t="s">
        <v>3455</v>
      </c>
      <c r="G2090" s="731" t="s">
        <v>4441</v>
      </c>
      <c r="H2090" s="1083">
        <v>42401</v>
      </c>
      <c r="I2090" s="1084">
        <v>42480</v>
      </c>
      <c r="J2090" s="957">
        <v>123.86</v>
      </c>
    </row>
    <row r="2091" spans="1:10" s="852" customFormat="1" outlineLevel="2">
      <c r="A2091" s="815" t="s">
        <v>713</v>
      </c>
      <c r="B2091" s="816" t="s">
        <v>7864</v>
      </c>
      <c r="C2091" s="729" t="s">
        <v>458</v>
      </c>
      <c r="D2091" s="460"/>
      <c r="E2091" s="878" t="s">
        <v>1909</v>
      </c>
      <c r="F2091" s="881" t="s">
        <v>4447</v>
      </c>
      <c r="G2091" s="731" t="s">
        <v>4449</v>
      </c>
      <c r="H2091" s="1083">
        <v>42401</v>
      </c>
      <c r="I2091" s="1084">
        <v>42480</v>
      </c>
      <c r="J2091" s="957">
        <v>183.31</v>
      </c>
    </row>
    <row r="2092" spans="1:10" s="852" customFormat="1" outlineLevel="2">
      <c r="A2092" s="815" t="s">
        <v>717</v>
      </c>
      <c r="B2092" s="816" t="s">
        <v>7863</v>
      </c>
      <c r="C2092" s="729" t="s">
        <v>458</v>
      </c>
      <c r="D2092" s="460"/>
      <c r="E2092" s="878" t="s">
        <v>1909</v>
      </c>
      <c r="F2092" s="881" t="s">
        <v>6324</v>
      </c>
      <c r="G2092" s="731" t="s">
        <v>4426</v>
      </c>
      <c r="H2092" s="1083">
        <v>42401</v>
      </c>
      <c r="I2092" s="1084">
        <v>42480</v>
      </c>
      <c r="J2092" s="957">
        <v>904.86</v>
      </c>
    </row>
    <row r="2093" spans="1:10" s="852" customFormat="1" ht="28.5" outlineLevel="2">
      <c r="A2093" s="815" t="s">
        <v>709</v>
      </c>
      <c r="B2093" s="816" t="s">
        <v>7894</v>
      </c>
      <c r="C2093" s="729" t="s">
        <v>458</v>
      </c>
      <c r="D2093" s="460"/>
      <c r="E2093" s="878" t="s">
        <v>1909</v>
      </c>
      <c r="F2093" s="881" t="s">
        <v>6319</v>
      </c>
      <c r="G2093" s="731" t="s">
        <v>4404</v>
      </c>
      <c r="H2093" s="1083">
        <v>42370</v>
      </c>
      <c r="I2093" s="1084">
        <v>42480</v>
      </c>
      <c r="J2093" s="957">
        <v>56.4</v>
      </c>
    </row>
    <row r="2094" spans="1:10" s="852" customFormat="1" ht="28.5" outlineLevel="2">
      <c r="A2094" s="815" t="s">
        <v>709</v>
      </c>
      <c r="B2094" s="816" t="s">
        <v>7894</v>
      </c>
      <c r="C2094" s="729" t="s">
        <v>458</v>
      </c>
      <c r="D2094" s="460"/>
      <c r="E2094" s="878" t="s">
        <v>1909</v>
      </c>
      <c r="F2094" s="881" t="s">
        <v>6319</v>
      </c>
      <c r="G2094" s="731" t="s">
        <v>4404</v>
      </c>
      <c r="H2094" s="1083">
        <v>42370</v>
      </c>
      <c r="I2094" s="1084">
        <v>42480</v>
      </c>
      <c r="J2094" s="957">
        <v>78.209999999999994</v>
      </c>
    </row>
    <row r="2095" spans="1:10" s="852" customFormat="1" ht="28.5" outlineLevel="2">
      <c r="A2095" s="815" t="s">
        <v>709</v>
      </c>
      <c r="B2095" s="816" t="s">
        <v>7894</v>
      </c>
      <c r="C2095" s="729" t="s">
        <v>458</v>
      </c>
      <c r="D2095" s="460"/>
      <c r="E2095" s="878" t="s">
        <v>1909</v>
      </c>
      <c r="F2095" s="881" t="s">
        <v>6319</v>
      </c>
      <c r="G2095" s="731" t="s">
        <v>4404</v>
      </c>
      <c r="H2095" s="1083">
        <v>42370</v>
      </c>
      <c r="I2095" s="1084">
        <v>42480</v>
      </c>
      <c r="J2095" s="957">
        <v>22.61</v>
      </c>
    </row>
    <row r="2096" spans="1:10" s="852" customFormat="1" ht="28.5" outlineLevel="2">
      <c r="A2096" s="815" t="s">
        <v>709</v>
      </c>
      <c r="B2096" s="816" t="s">
        <v>7894</v>
      </c>
      <c r="C2096" s="729" t="s">
        <v>458</v>
      </c>
      <c r="D2096" s="460"/>
      <c r="E2096" s="878" t="s">
        <v>1909</v>
      </c>
      <c r="F2096" s="881" t="s">
        <v>4706</v>
      </c>
      <c r="G2096" s="731" t="s">
        <v>4454</v>
      </c>
      <c r="H2096" s="1083">
        <v>42401</v>
      </c>
      <c r="I2096" s="1084">
        <v>42480</v>
      </c>
      <c r="J2096" s="957">
        <v>115.31</v>
      </c>
    </row>
    <row r="2097" spans="1:10" s="852" customFormat="1" ht="28.5" outlineLevel="2">
      <c r="A2097" s="815" t="s">
        <v>955</v>
      </c>
      <c r="B2097" s="816" t="s">
        <v>7866</v>
      </c>
      <c r="C2097" s="729" t="s">
        <v>458</v>
      </c>
      <c r="D2097" s="460"/>
      <c r="E2097" s="878" t="s">
        <v>1909</v>
      </c>
      <c r="F2097" s="881" t="s">
        <v>4956</v>
      </c>
      <c r="G2097" s="731" t="s">
        <v>2833</v>
      </c>
      <c r="H2097" s="1083">
        <v>42401</v>
      </c>
      <c r="I2097" s="1084">
        <v>42480</v>
      </c>
      <c r="J2097" s="957">
        <v>3164.85</v>
      </c>
    </row>
    <row r="2098" spans="1:10" s="852" customFormat="1" ht="28.5" outlineLevel="2">
      <c r="A2098" s="815" t="s">
        <v>955</v>
      </c>
      <c r="B2098" s="816" t="s">
        <v>7866</v>
      </c>
      <c r="C2098" s="729" t="s">
        <v>458</v>
      </c>
      <c r="D2098" s="460"/>
      <c r="E2098" s="878" t="s">
        <v>1909</v>
      </c>
      <c r="F2098" s="881" t="s">
        <v>4903</v>
      </c>
      <c r="G2098" s="731" t="s">
        <v>2832</v>
      </c>
      <c r="H2098" s="1083">
        <v>42401</v>
      </c>
      <c r="I2098" s="1084">
        <v>42480</v>
      </c>
      <c r="J2098" s="957">
        <v>101.2</v>
      </c>
    </row>
    <row r="2099" spans="1:10" s="852" customFormat="1" ht="28.5" outlineLevel="2">
      <c r="A2099" s="815" t="s">
        <v>955</v>
      </c>
      <c r="B2099" s="816" t="s">
        <v>7866</v>
      </c>
      <c r="C2099" s="729" t="s">
        <v>458</v>
      </c>
      <c r="D2099" s="460"/>
      <c r="E2099" s="878" t="s">
        <v>1909</v>
      </c>
      <c r="F2099" s="881" t="s">
        <v>4853</v>
      </c>
      <c r="G2099" s="731" t="s">
        <v>2831</v>
      </c>
      <c r="H2099" s="1083">
        <v>42401</v>
      </c>
      <c r="I2099" s="1084">
        <v>42480</v>
      </c>
      <c r="J2099" s="957">
        <v>1194.08</v>
      </c>
    </row>
    <row r="2100" spans="1:10" s="852" customFormat="1" ht="28.5" outlineLevel="2">
      <c r="A2100" s="815" t="s">
        <v>1355</v>
      </c>
      <c r="B2100" s="816" t="s">
        <v>7890</v>
      </c>
      <c r="C2100" s="729" t="s">
        <v>458</v>
      </c>
      <c r="D2100" s="460"/>
      <c r="E2100" s="878" t="s">
        <v>1909</v>
      </c>
      <c r="F2100" s="881" t="s">
        <v>6320</v>
      </c>
      <c r="G2100" s="731" t="s">
        <v>4408</v>
      </c>
      <c r="H2100" s="1083">
        <v>42370</v>
      </c>
      <c r="I2100" s="1084">
        <v>42480</v>
      </c>
      <c r="J2100" s="957">
        <v>46.18</v>
      </c>
    </row>
    <row r="2101" spans="1:10" s="852" customFormat="1" ht="28.5" outlineLevel="2">
      <c r="A2101" s="815" t="s">
        <v>2264</v>
      </c>
      <c r="B2101" s="816" t="s">
        <v>7888</v>
      </c>
      <c r="C2101" s="729" t="s">
        <v>458</v>
      </c>
      <c r="D2101" s="460"/>
      <c r="E2101" s="878" t="s">
        <v>1909</v>
      </c>
      <c r="F2101" s="881" t="s">
        <v>6310</v>
      </c>
      <c r="G2101" s="731" t="s">
        <v>4234</v>
      </c>
      <c r="H2101" s="1083">
        <v>42370</v>
      </c>
      <c r="I2101" s="1084">
        <v>42480</v>
      </c>
      <c r="J2101" s="957">
        <v>95.91</v>
      </c>
    </row>
    <row r="2102" spans="1:10" s="852" customFormat="1" ht="28.5" outlineLevel="2">
      <c r="A2102" s="815" t="s">
        <v>2264</v>
      </c>
      <c r="B2102" s="816" t="s">
        <v>7888</v>
      </c>
      <c r="C2102" s="729" t="s">
        <v>458</v>
      </c>
      <c r="D2102" s="460"/>
      <c r="E2102" s="878" t="s">
        <v>1909</v>
      </c>
      <c r="F2102" s="881" t="s">
        <v>6310</v>
      </c>
      <c r="G2102" s="731" t="s">
        <v>4235</v>
      </c>
      <c r="H2102" s="1083">
        <v>42370</v>
      </c>
      <c r="I2102" s="1084">
        <v>42480</v>
      </c>
      <c r="J2102" s="957">
        <v>112.83</v>
      </c>
    </row>
    <row r="2103" spans="1:10" s="852" customFormat="1" ht="28.5" outlineLevel="2">
      <c r="A2103" s="815" t="s">
        <v>2264</v>
      </c>
      <c r="B2103" s="816" t="s">
        <v>7888</v>
      </c>
      <c r="C2103" s="729" t="s">
        <v>458</v>
      </c>
      <c r="D2103" s="460"/>
      <c r="E2103" s="878" t="s">
        <v>1909</v>
      </c>
      <c r="F2103" s="881" t="s">
        <v>4694</v>
      </c>
      <c r="G2103" s="731" t="s">
        <v>4262</v>
      </c>
      <c r="H2103" s="1083">
        <v>42401</v>
      </c>
      <c r="I2103" s="1084">
        <v>42480</v>
      </c>
      <c r="J2103" s="957">
        <v>126.93</v>
      </c>
    </row>
    <row r="2104" spans="1:10" s="852" customFormat="1" ht="28.5" outlineLevel="2">
      <c r="A2104" s="815" t="s">
        <v>2264</v>
      </c>
      <c r="B2104" s="816" t="s">
        <v>7888</v>
      </c>
      <c r="C2104" s="729" t="s">
        <v>458</v>
      </c>
      <c r="D2104" s="460"/>
      <c r="E2104" s="878" t="s">
        <v>1909</v>
      </c>
      <c r="F2104" s="881" t="s">
        <v>4694</v>
      </c>
      <c r="G2104" s="731" t="s">
        <v>4264</v>
      </c>
      <c r="H2104" s="1083">
        <v>42401</v>
      </c>
      <c r="I2104" s="1084">
        <v>42480</v>
      </c>
      <c r="J2104" s="957">
        <v>149.6</v>
      </c>
    </row>
    <row r="2105" spans="1:10" s="852" customFormat="1" ht="28.5" outlineLevel="2">
      <c r="A2105" s="815" t="s">
        <v>715</v>
      </c>
      <c r="B2105" s="816" t="s">
        <v>7882</v>
      </c>
      <c r="C2105" s="729" t="s">
        <v>458</v>
      </c>
      <c r="D2105" s="460"/>
      <c r="E2105" s="878" t="s">
        <v>1909</v>
      </c>
      <c r="F2105" s="881" t="s">
        <v>6321</v>
      </c>
      <c r="G2105" s="731" t="s">
        <v>4410</v>
      </c>
      <c r="H2105" s="1083">
        <v>42370</v>
      </c>
      <c r="I2105" s="1084">
        <v>42480</v>
      </c>
      <c r="J2105" s="957">
        <v>40193.47</v>
      </c>
    </row>
    <row r="2106" spans="1:10" s="852" customFormat="1" ht="28.5" outlineLevel="2">
      <c r="A2106" s="815" t="s">
        <v>716</v>
      </c>
      <c r="B2106" s="816" t="s">
        <v>7883</v>
      </c>
      <c r="C2106" s="729" t="s">
        <v>458</v>
      </c>
      <c r="D2106" s="460"/>
      <c r="E2106" s="878" t="s">
        <v>1909</v>
      </c>
      <c r="F2106" s="881" t="s">
        <v>6321</v>
      </c>
      <c r="G2106" s="731" t="s">
        <v>4410</v>
      </c>
      <c r="H2106" s="1083">
        <v>42370</v>
      </c>
      <c r="I2106" s="1084">
        <v>42480</v>
      </c>
      <c r="J2106" s="957">
        <v>4784.93</v>
      </c>
    </row>
    <row r="2107" spans="1:10" s="852" customFormat="1" ht="28.5" outlineLevel="2">
      <c r="A2107" s="815" t="s">
        <v>714</v>
      </c>
      <c r="B2107" s="816" t="s">
        <v>7877</v>
      </c>
      <c r="C2107" s="729" t="s">
        <v>458</v>
      </c>
      <c r="D2107" s="460"/>
      <c r="E2107" s="878" t="s">
        <v>1909</v>
      </c>
      <c r="F2107" s="881" t="s">
        <v>6322</v>
      </c>
      <c r="G2107" s="731" t="s">
        <v>4413</v>
      </c>
      <c r="H2107" s="1083">
        <v>42370</v>
      </c>
      <c r="I2107" s="1084">
        <v>42480</v>
      </c>
      <c r="J2107" s="957">
        <v>885.71</v>
      </c>
    </row>
    <row r="2108" spans="1:10" s="852" customFormat="1" ht="28.5" outlineLevel="2">
      <c r="A2108" s="815" t="s">
        <v>714</v>
      </c>
      <c r="B2108" s="816" t="s">
        <v>7877</v>
      </c>
      <c r="C2108" s="729" t="s">
        <v>458</v>
      </c>
      <c r="D2108" s="460"/>
      <c r="E2108" s="878" t="s">
        <v>1909</v>
      </c>
      <c r="F2108" s="881" t="s">
        <v>6322</v>
      </c>
      <c r="G2108" s="731" t="s">
        <v>4417</v>
      </c>
      <c r="H2108" s="1083">
        <v>42370</v>
      </c>
      <c r="I2108" s="1084">
        <v>42480</v>
      </c>
      <c r="J2108" s="957">
        <v>885.71</v>
      </c>
    </row>
    <row r="2109" spans="1:10" s="852" customFormat="1" ht="28.5" outlineLevel="2">
      <c r="A2109" s="815" t="s">
        <v>714</v>
      </c>
      <c r="B2109" s="816" t="s">
        <v>7877</v>
      </c>
      <c r="C2109" s="729" t="s">
        <v>458</v>
      </c>
      <c r="D2109" s="460"/>
      <c r="E2109" s="878" t="s">
        <v>1909</v>
      </c>
      <c r="F2109" s="881" t="s">
        <v>6322</v>
      </c>
      <c r="G2109" s="731" t="s">
        <v>4421</v>
      </c>
      <c r="H2109" s="1083">
        <v>42370</v>
      </c>
      <c r="I2109" s="1084">
        <v>42480</v>
      </c>
      <c r="J2109" s="957">
        <v>-885.71</v>
      </c>
    </row>
    <row r="2110" spans="1:10" s="852" customFormat="1" ht="28.5" outlineLevel="2">
      <c r="A2110" s="815" t="s">
        <v>713</v>
      </c>
      <c r="B2110" s="816" t="s">
        <v>7864</v>
      </c>
      <c r="C2110" s="729" t="s">
        <v>458</v>
      </c>
      <c r="D2110" s="460"/>
      <c r="E2110" s="878" t="s">
        <v>1909</v>
      </c>
      <c r="F2110" s="881" t="s">
        <v>2862</v>
      </c>
      <c r="G2110" s="731" t="s">
        <v>4429</v>
      </c>
      <c r="H2110" s="1083">
        <v>42370</v>
      </c>
      <c r="I2110" s="1084">
        <v>42480</v>
      </c>
      <c r="J2110" s="957">
        <v>-575.96</v>
      </c>
    </row>
    <row r="2111" spans="1:10" s="852" customFormat="1" ht="28.5" outlineLevel="2">
      <c r="A2111" s="815" t="s">
        <v>713</v>
      </c>
      <c r="B2111" s="816" t="s">
        <v>7864</v>
      </c>
      <c r="C2111" s="729" t="s">
        <v>458</v>
      </c>
      <c r="D2111" s="460"/>
      <c r="E2111" s="878" t="s">
        <v>1909</v>
      </c>
      <c r="F2111" s="881" t="s">
        <v>2862</v>
      </c>
      <c r="G2111" s="731" t="s">
        <v>4433</v>
      </c>
      <c r="H2111" s="1083">
        <v>42370</v>
      </c>
      <c r="I2111" s="1084">
        <v>42480</v>
      </c>
      <c r="J2111" s="957">
        <v>-575.95000000000005</v>
      </c>
    </row>
    <row r="2112" spans="1:10" s="852" customFormat="1" ht="28.5" outlineLevel="2">
      <c r="A2112" s="815" t="s">
        <v>713</v>
      </c>
      <c r="B2112" s="816" t="s">
        <v>7864</v>
      </c>
      <c r="C2112" s="729" t="s">
        <v>458</v>
      </c>
      <c r="D2112" s="460"/>
      <c r="E2112" s="878" t="s">
        <v>1909</v>
      </c>
      <c r="F2112" s="881" t="s">
        <v>2862</v>
      </c>
      <c r="G2112" s="731" t="s">
        <v>4435</v>
      </c>
      <c r="H2112" s="1083">
        <v>42370</v>
      </c>
      <c r="I2112" s="1084">
        <v>42480</v>
      </c>
      <c r="J2112" s="957">
        <v>575.95000000000005</v>
      </c>
    </row>
    <row r="2113" spans="1:10" s="852" customFormat="1" ht="28.5" outlineLevel="2">
      <c r="A2113" s="815" t="s">
        <v>713</v>
      </c>
      <c r="B2113" s="816" t="s">
        <v>7864</v>
      </c>
      <c r="C2113" s="729" t="s">
        <v>458</v>
      </c>
      <c r="D2113" s="460"/>
      <c r="E2113" s="878" t="s">
        <v>1909</v>
      </c>
      <c r="F2113" s="881" t="s">
        <v>2862</v>
      </c>
      <c r="G2113" s="731" t="s">
        <v>4437</v>
      </c>
      <c r="H2113" s="1083">
        <v>42370</v>
      </c>
      <c r="I2113" s="1084">
        <v>42480</v>
      </c>
      <c r="J2113" s="957">
        <v>575.96</v>
      </c>
    </row>
    <row r="2114" spans="1:10" s="852" customFormat="1" ht="28.5" outlineLevel="2">
      <c r="A2114" s="815" t="s">
        <v>713</v>
      </c>
      <c r="B2114" s="816" t="s">
        <v>7864</v>
      </c>
      <c r="C2114" s="729" t="s">
        <v>458</v>
      </c>
      <c r="D2114" s="460"/>
      <c r="E2114" s="878" t="s">
        <v>1909</v>
      </c>
      <c r="F2114" s="881" t="s">
        <v>2862</v>
      </c>
      <c r="G2114" s="731" t="s">
        <v>4439</v>
      </c>
      <c r="H2114" s="1083">
        <v>42370</v>
      </c>
      <c r="I2114" s="1084">
        <v>42480</v>
      </c>
      <c r="J2114" s="957">
        <v>575.96</v>
      </c>
    </row>
    <row r="2115" spans="1:10" s="852" customFormat="1" ht="28.5" outlineLevel="2">
      <c r="A2115" s="815" t="s">
        <v>713</v>
      </c>
      <c r="B2115" s="816" t="s">
        <v>7864</v>
      </c>
      <c r="C2115" s="729" t="s">
        <v>458</v>
      </c>
      <c r="D2115" s="460"/>
      <c r="E2115" s="878" t="s">
        <v>1909</v>
      </c>
      <c r="F2115" s="881" t="s">
        <v>3678</v>
      </c>
      <c r="G2115" s="731" t="s">
        <v>4442</v>
      </c>
      <c r="H2115" s="1083">
        <v>42370</v>
      </c>
      <c r="I2115" s="1084">
        <v>42480</v>
      </c>
      <c r="J2115" s="957">
        <v>-852.41</v>
      </c>
    </row>
    <row r="2116" spans="1:10" s="852" customFormat="1" ht="28.5" outlineLevel="2">
      <c r="A2116" s="815" t="s">
        <v>713</v>
      </c>
      <c r="B2116" s="816" t="s">
        <v>7864</v>
      </c>
      <c r="C2116" s="729" t="s">
        <v>458</v>
      </c>
      <c r="D2116" s="460"/>
      <c r="E2116" s="878" t="s">
        <v>1909</v>
      </c>
      <c r="F2116" s="881" t="s">
        <v>3678</v>
      </c>
      <c r="G2116" s="731" t="s">
        <v>4443</v>
      </c>
      <c r="H2116" s="1083">
        <v>42370</v>
      </c>
      <c r="I2116" s="1084">
        <v>42480</v>
      </c>
      <c r="J2116" s="957">
        <v>852.41</v>
      </c>
    </row>
    <row r="2117" spans="1:10" s="852" customFormat="1" ht="28.5" outlineLevel="2">
      <c r="A2117" s="815" t="s">
        <v>713</v>
      </c>
      <c r="B2117" s="816" t="s">
        <v>7864</v>
      </c>
      <c r="C2117" s="729" t="s">
        <v>458</v>
      </c>
      <c r="D2117" s="460"/>
      <c r="E2117" s="878" t="s">
        <v>1909</v>
      </c>
      <c r="F2117" s="881" t="s">
        <v>3678</v>
      </c>
      <c r="G2117" s="731" t="s">
        <v>4444</v>
      </c>
      <c r="H2117" s="1083">
        <v>42370</v>
      </c>
      <c r="I2117" s="1084">
        <v>42480</v>
      </c>
      <c r="J2117" s="957">
        <v>852.41</v>
      </c>
    </row>
    <row r="2118" spans="1:10" s="852" customFormat="1" ht="28.5" outlineLevel="2">
      <c r="A2118" s="815" t="s">
        <v>717</v>
      </c>
      <c r="B2118" s="816" t="s">
        <v>7863</v>
      </c>
      <c r="C2118" s="729" t="s">
        <v>458</v>
      </c>
      <c r="D2118" s="460"/>
      <c r="E2118" s="878" t="s">
        <v>1909</v>
      </c>
      <c r="F2118" s="881" t="s">
        <v>6323</v>
      </c>
      <c r="G2118" s="731" t="s">
        <v>4415</v>
      </c>
      <c r="H2118" s="1083">
        <v>42370</v>
      </c>
      <c r="I2118" s="1084">
        <v>42480</v>
      </c>
      <c r="J2118" s="957">
        <v>4394.9799999999996</v>
      </c>
    </row>
    <row r="2119" spans="1:10" s="852" customFormat="1" ht="28.5" outlineLevel="2">
      <c r="A2119" s="815" t="s">
        <v>717</v>
      </c>
      <c r="B2119" s="816" t="s">
        <v>7863</v>
      </c>
      <c r="C2119" s="729" t="s">
        <v>458</v>
      </c>
      <c r="D2119" s="460"/>
      <c r="E2119" s="878" t="s">
        <v>1909</v>
      </c>
      <c r="F2119" s="881" t="s">
        <v>6323</v>
      </c>
      <c r="G2119" s="731" t="s">
        <v>4419</v>
      </c>
      <c r="H2119" s="1083">
        <v>42370</v>
      </c>
      <c r="I2119" s="1084">
        <v>42480</v>
      </c>
      <c r="J2119" s="957">
        <v>4394.9799999999996</v>
      </c>
    </row>
    <row r="2120" spans="1:10" s="852" customFormat="1" ht="28.5" outlineLevel="2">
      <c r="A2120" s="815" t="s">
        <v>717</v>
      </c>
      <c r="B2120" s="816" t="s">
        <v>7863</v>
      </c>
      <c r="C2120" s="729" t="s">
        <v>458</v>
      </c>
      <c r="D2120" s="460"/>
      <c r="E2120" s="878" t="s">
        <v>1909</v>
      </c>
      <c r="F2120" s="881" t="s">
        <v>6323</v>
      </c>
      <c r="G2120" s="731" t="s">
        <v>4423</v>
      </c>
      <c r="H2120" s="1083">
        <v>42370</v>
      </c>
      <c r="I2120" s="1084">
        <v>42480</v>
      </c>
      <c r="J2120" s="957">
        <v>-4394.9799999999996</v>
      </c>
    </row>
    <row r="2121" spans="1:10" s="852" customFormat="1" ht="42.75" outlineLevel="2">
      <c r="A2121" s="815" t="s">
        <v>2588</v>
      </c>
      <c r="B2121" s="816" t="s">
        <v>7867</v>
      </c>
      <c r="C2121" s="729" t="s">
        <v>458</v>
      </c>
      <c r="D2121" s="460"/>
      <c r="E2121" s="878" t="s">
        <v>5681</v>
      </c>
      <c r="F2121" s="881" t="s">
        <v>1044</v>
      </c>
      <c r="G2121" s="731" t="s">
        <v>5682</v>
      </c>
      <c r="H2121" s="1083">
        <v>42461</v>
      </c>
      <c r="I2121" s="1084">
        <v>42479</v>
      </c>
      <c r="J2121" s="957">
        <v>10777.83</v>
      </c>
    </row>
    <row r="2122" spans="1:10" s="852" customFormat="1" outlineLevel="2">
      <c r="A2122" s="815" t="s">
        <v>1755</v>
      </c>
      <c r="B2122" s="816" t="s">
        <v>7871</v>
      </c>
      <c r="C2122" s="729" t="s">
        <v>458</v>
      </c>
      <c r="D2122" s="460"/>
      <c r="E2122" s="878" t="s">
        <v>1752</v>
      </c>
      <c r="F2122" s="881" t="s">
        <v>1753</v>
      </c>
      <c r="G2122" s="731" t="s">
        <v>5743</v>
      </c>
      <c r="H2122" s="1083">
        <v>42430</v>
      </c>
      <c r="I2122" s="1084">
        <v>42488</v>
      </c>
      <c r="J2122" s="957">
        <v>7348.02</v>
      </c>
    </row>
    <row r="2123" spans="1:10" s="852" customFormat="1" outlineLevel="2">
      <c r="A2123" s="815" t="s">
        <v>1755</v>
      </c>
      <c r="B2123" s="816" t="s">
        <v>7871</v>
      </c>
      <c r="C2123" s="729" t="s">
        <v>458</v>
      </c>
      <c r="D2123" s="460"/>
      <c r="E2123" s="878" t="s">
        <v>1752</v>
      </c>
      <c r="F2123" s="881" t="s">
        <v>1753</v>
      </c>
      <c r="G2123" s="731" t="s">
        <v>5744</v>
      </c>
      <c r="H2123" s="1083">
        <v>42430</v>
      </c>
      <c r="I2123" s="1084">
        <v>42488</v>
      </c>
      <c r="J2123" s="957">
        <v>5647.1</v>
      </c>
    </row>
    <row r="2124" spans="1:10" s="852" customFormat="1" ht="42.75" outlineLevel="2">
      <c r="A2124" s="815" t="s">
        <v>1231</v>
      </c>
      <c r="B2124" s="816" t="s">
        <v>7868</v>
      </c>
      <c r="C2124" s="729" t="s">
        <v>458</v>
      </c>
      <c r="D2124" s="460"/>
      <c r="E2124" s="878" t="s">
        <v>1232</v>
      </c>
      <c r="F2124" s="881" t="s">
        <v>1233</v>
      </c>
      <c r="G2124" s="731" t="s">
        <v>5577</v>
      </c>
      <c r="H2124" s="1083">
        <v>42430</v>
      </c>
      <c r="I2124" s="1084">
        <v>42465</v>
      </c>
      <c r="J2124" s="957">
        <v>285106.06</v>
      </c>
    </row>
    <row r="2125" spans="1:10" s="852" customFormat="1" outlineLevel="2">
      <c r="A2125" s="815" t="s">
        <v>1290</v>
      </c>
      <c r="B2125" s="816" t="s">
        <v>7873</v>
      </c>
      <c r="C2125" s="729" t="s">
        <v>458</v>
      </c>
      <c r="D2125" s="460"/>
      <c r="E2125" s="878" t="s">
        <v>415</v>
      </c>
      <c r="F2125" s="881" t="s">
        <v>431</v>
      </c>
      <c r="G2125" s="731" t="s">
        <v>5580</v>
      </c>
      <c r="H2125" s="1083">
        <v>42430</v>
      </c>
      <c r="I2125" s="1084">
        <v>42466</v>
      </c>
      <c r="J2125" s="957">
        <v>277.39999999999998</v>
      </c>
    </row>
    <row r="2126" spans="1:10" s="852" customFormat="1" outlineLevel="2">
      <c r="A2126" s="815" t="s">
        <v>1290</v>
      </c>
      <c r="B2126" s="816" t="s">
        <v>7873</v>
      </c>
      <c r="C2126" s="729" t="s">
        <v>458</v>
      </c>
      <c r="D2126" s="460"/>
      <c r="E2126" s="878" t="s">
        <v>415</v>
      </c>
      <c r="F2126" s="881" t="s">
        <v>431</v>
      </c>
      <c r="G2126" s="731" t="s">
        <v>5616</v>
      </c>
      <c r="H2126" s="1083">
        <v>42461</v>
      </c>
      <c r="I2126" s="1084">
        <v>42472</v>
      </c>
      <c r="J2126" s="957">
        <v>8.5</v>
      </c>
    </row>
    <row r="2127" spans="1:10" s="852" customFormat="1" outlineLevel="2">
      <c r="A2127" s="815" t="s">
        <v>1290</v>
      </c>
      <c r="B2127" s="816" t="s">
        <v>7873</v>
      </c>
      <c r="C2127" s="729" t="s">
        <v>458</v>
      </c>
      <c r="D2127" s="460"/>
      <c r="E2127" s="878" t="s">
        <v>415</v>
      </c>
      <c r="F2127" s="881" t="s">
        <v>431</v>
      </c>
      <c r="G2127" s="731" t="s">
        <v>5734</v>
      </c>
      <c r="H2127" s="1083">
        <v>42461</v>
      </c>
      <c r="I2127" s="1084">
        <v>42487</v>
      </c>
      <c r="J2127" s="957">
        <v>7.68</v>
      </c>
    </row>
    <row r="2128" spans="1:10" s="852" customFormat="1" outlineLevel="2">
      <c r="A2128" s="815" t="s">
        <v>2300</v>
      </c>
      <c r="B2128" s="816" t="s">
        <v>7873</v>
      </c>
      <c r="C2128" s="729" t="s">
        <v>458</v>
      </c>
      <c r="D2128" s="460"/>
      <c r="E2128" s="878" t="s">
        <v>441</v>
      </c>
      <c r="F2128" s="881" t="s">
        <v>2299</v>
      </c>
      <c r="G2128" s="731" t="s">
        <v>5661</v>
      </c>
      <c r="H2128" s="1083">
        <v>42430</v>
      </c>
      <c r="I2128" s="1084">
        <v>42475</v>
      </c>
      <c r="J2128" s="957">
        <v>312.23</v>
      </c>
    </row>
    <row r="2129" spans="1:10" s="852" customFormat="1" outlineLevel="1">
      <c r="A2129" s="815"/>
      <c r="B2129" s="816" t="s">
        <v>258</v>
      </c>
      <c r="C2129" s="908" t="s">
        <v>458</v>
      </c>
      <c r="D2129" s="928" t="str">
        <f>VLOOKUP(C2129,$C$3691:$D$3771,2,FALSE)</f>
        <v>TOTAL POUPATEMPO  SANTO AMARO</v>
      </c>
      <c r="E2129" s="1085"/>
      <c r="F2129" s="929"/>
      <c r="G2129" s="910"/>
      <c r="H2129" s="1086"/>
      <c r="I2129" s="1087"/>
      <c r="J2129" s="930">
        <f>SUBTOTAL(9,J2026:J2128)</f>
        <v>1592343.4899999995</v>
      </c>
    </row>
    <row r="2130" spans="1:10" s="852" customFormat="1" outlineLevel="2">
      <c r="A2130" s="815" t="s">
        <v>5897</v>
      </c>
      <c r="B2130" s="816" t="s">
        <v>7881</v>
      </c>
      <c r="C2130" s="729" t="s">
        <v>719</v>
      </c>
      <c r="D2130" s="460"/>
      <c r="E2130" s="878" t="s">
        <v>695</v>
      </c>
      <c r="F2130" s="881" t="s">
        <v>943</v>
      </c>
      <c r="G2130" s="731" t="s">
        <v>5518</v>
      </c>
      <c r="H2130" s="1083">
        <v>42401</v>
      </c>
      <c r="I2130" s="1084">
        <v>42461</v>
      </c>
      <c r="J2130" s="957">
        <v>127</v>
      </c>
    </row>
    <row r="2131" spans="1:10" s="852" customFormat="1" outlineLevel="2">
      <c r="A2131" s="815" t="s">
        <v>720</v>
      </c>
      <c r="B2131" s="816" t="s">
        <v>7883</v>
      </c>
      <c r="C2131" s="729" t="s">
        <v>719</v>
      </c>
      <c r="D2131" s="460"/>
      <c r="E2131" s="878" t="s">
        <v>721</v>
      </c>
      <c r="F2131" s="881" t="s">
        <v>1030</v>
      </c>
      <c r="G2131" s="731" t="s">
        <v>5533</v>
      </c>
      <c r="H2131" s="1083">
        <v>42430</v>
      </c>
      <c r="I2131" s="1084">
        <v>42464</v>
      </c>
      <c r="J2131" s="957">
        <v>48822.02</v>
      </c>
    </row>
    <row r="2132" spans="1:10" s="852" customFormat="1" outlineLevel="2">
      <c r="A2132" s="815" t="s">
        <v>722</v>
      </c>
      <c r="B2132" s="816" t="s">
        <v>7882</v>
      </c>
      <c r="C2132" s="729" t="s">
        <v>719</v>
      </c>
      <c r="D2132" s="460"/>
      <c r="E2132" s="878" t="s">
        <v>721</v>
      </c>
      <c r="F2132" s="881" t="s">
        <v>1030</v>
      </c>
      <c r="G2132" s="731" t="s">
        <v>5533</v>
      </c>
      <c r="H2132" s="1083">
        <v>42430</v>
      </c>
      <c r="I2132" s="1084">
        <v>42464</v>
      </c>
      <c r="J2132" s="957">
        <v>210544.97</v>
      </c>
    </row>
    <row r="2133" spans="1:10" s="852" customFormat="1" outlineLevel="2">
      <c r="A2133" s="815" t="s">
        <v>6446</v>
      </c>
      <c r="B2133" s="816" t="s">
        <v>7863</v>
      </c>
      <c r="C2133" s="729" t="s">
        <v>719</v>
      </c>
      <c r="D2133" s="460"/>
      <c r="E2133" s="878" t="s">
        <v>483</v>
      </c>
      <c r="F2133" s="881" t="s">
        <v>2208</v>
      </c>
      <c r="G2133" s="731" t="str">
        <f>"16991"</f>
        <v>16991</v>
      </c>
      <c r="H2133" s="1083">
        <v>42401</v>
      </c>
      <c r="I2133" s="1084">
        <v>42473</v>
      </c>
      <c r="J2133" s="957">
        <v>13852.06</v>
      </c>
    </row>
    <row r="2134" spans="1:10" s="852" customFormat="1" ht="42.75" outlineLevel="2">
      <c r="A2134" s="815" t="s">
        <v>1260</v>
      </c>
      <c r="B2134" s="816" t="s">
        <v>7895</v>
      </c>
      <c r="C2134" s="729" t="s">
        <v>719</v>
      </c>
      <c r="D2134" s="460"/>
      <c r="E2134" s="878" t="s">
        <v>1261</v>
      </c>
      <c r="F2134" s="881" t="s">
        <v>1262</v>
      </c>
      <c r="G2134" s="731" t="s">
        <v>5642</v>
      </c>
      <c r="H2134" s="1083">
        <v>42430</v>
      </c>
      <c r="I2134" s="1084">
        <v>42475</v>
      </c>
      <c r="J2134" s="957">
        <v>18483.259999999998</v>
      </c>
    </row>
    <row r="2135" spans="1:10" s="852" customFormat="1" outlineLevel="2">
      <c r="A2135" s="815" t="s">
        <v>1701</v>
      </c>
      <c r="B2135" s="816" t="s">
        <v>7872</v>
      </c>
      <c r="C2135" s="729" t="s">
        <v>719</v>
      </c>
      <c r="D2135" s="460"/>
      <c r="E2135" s="878" t="s">
        <v>1261</v>
      </c>
      <c r="F2135" s="881" t="s">
        <v>1696</v>
      </c>
      <c r="G2135" s="731" t="s">
        <v>5689</v>
      </c>
      <c r="H2135" s="1083">
        <v>42430</v>
      </c>
      <c r="I2135" s="1084">
        <v>42480</v>
      </c>
      <c r="J2135" s="957">
        <v>12716.04</v>
      </c>
    </row>
    <row r="2136" spans="1:10" s="852" customFormat="1" ht="28.5" outlineLevel="2">
      <c r="A2136" s="815" t="s">
        <v>1240</v>
      </c>
      <c r="B2136" s="816" t="s">
        <v>7868</v>
      </c>
      <c r="C2136" s="729" t="s">
        <v>719</v>
      </c>
      <c r="D2136" s="460"/>
      <c r="E2136" s="878" t="s">
        <v>1241</v>
      </c>
      <c r="F2136" s="881" t="s">
        <v>1233</v>
      </c>
      <c r="G2136" s="731" t="s">
        <v>5608</v>
      </c>
      <c r="H2136" s="1083">
        <v>42430</v>
      </c>
      <c r="I2136" s="1084">
        <v>42471</v>
      </c>
      <c r="J2136" s="957">
        <v>36422.9</v>
      </c>
    </row>
    <row r="2137" spans="1:10" s="852" customFormat="1" ht="28.5" outlineLevel="2">
      <c r="A2137" s="815" t="s">
        <v>6476</v>
      </c>
      <c r="B2137" s="816" t="s">
        <v>7870</v>
      </c>
      <c r="C2137" s="729" t="s">
        <v>719</v>
      </c>
      <c r="D2137" s="460"/>
      <c r="E2137" s="878" t="s">
        <v>1599</v>
      </c>
      <c r="F2137" s="881" t="s">
        <v>426</v>
      </c>
      <c r="G2137" s="731" t="s">
        <v>5708</v>
      </c>
      <c r="H2137" s="1083">
        <v>42401</v>
      </c>
      <c r="I2137" s="1084">
        <v>42482</v>
      </c>
      <c r="J2137" s="957">
        <v>-3.1</v>
      </c>
    </row>
    <row r="2138" spans="1:10" s="852" customFormat="1" outlineLevel="2">
      <c r="A2138" s="815" t="s">
        <v>6476</v>
      </c>
      <c r="B2138" s="816" t="s">
        <v>7870</v>
      </c>
      <c r="C2138" s="729" t="s">
        <v>719</v>
      </c>
      <c r="D2138" s="460"/>
      <c r="E2138" s="878" t="s">
        <v>1599</v>
      </c>
      <c r="F2138" s="881" t="s">
        <v>2274</v>
      </c>
      <c r="G2138" s="731" t="s">
        <v>5709</v>
      </c>
      <c r="H2138" s="1083">
        <v>42401</v>
      </c>
      <c r="I2138" s="1084">
        <v>42482</v>
      </c>
      <c r="J2138" s="957">
        <v>54.7</v>
      </c>
    </row>
    <row r="2139" spans="1:10" s="852" customFormat="1" outlineLevel="2">
      <c r="A2139" s="815" t="s">
        <v>726</v>
      </c>
      <c r="B2139" s="816" t="s">
        <v>7877</v>
      </c>
      <c r="C2139" s="729" t="s">
        <v>719</v>
      </c>
      <c r="D2139" s="460"/>
      <c r="E2139" s="878" t="s">
        <v>683</v>
      </c>
      <c r="F2139" s="881" t="s">
        <v>1071</v>
      </c>
      <c r="G2139" s="731" t="s">
        <v>5552</v>
      </c>
      <c r="H2139" s="1083">
        <v>42430</v>
      </c>
      <c r="I2139" s="1084">
        <v>42464</v>
      </c>
      <c r="J2139" s="957">
        <v>12324.95</v>
      </c>
    </row>
    <row r="2140" spans="1:10" s="852" customFormat="1" outlineLevel="2">
      <c r="A2140" s="815" t="s">
        <v>5940</v>
      </c>
      <c r="B2140" s="816" t="s">
        <v>7864</v>
      </c>
      <c r="C2140" s="729" t="s">
        <v>719</v>
      </c>
      <c r="D2140" s="460"/>
      <c r="E2140" s="878" t="s">
        <v>6470</v>
      </c>
      <c r="F2140" s="881" t="s">
        <v>434</v>
      </c>
      <c r="G2140" s="731" t="str">
        <f>"2622"</f>
        <v>2622</v>
      </c>
      <c r="H2140" s="1083">
        <v>42370</v>
      </c>
      <c r="I2140" s="1084">
        <v>42478</v>
      </c>
      <c r="J2140" s="957">
        <v>-2739.98</v>
      </c>
    </row>
    <row r="2141" spans="1:10" s="852" customFormat="1" outlineLevel="2">
      <c r="A2141" s="815" t="s">
        <v>5940</v>
      </c>
      <c r="B2141" s="816" t="s">
        <v>7864</v>
      </c>
      <c r="C2141" s="729" t="s">
        <v>719</v>
      </c>
      <c r="D2141" s="460"/>
      <c r="E2141" s="878" t="s">
        <v>6470</v>
      </c>
      <c r="F2141" s="881" t="s">
        <v>434</v>
      </c>
      <c r="G2141" s="731" t="str">
        <f>"2622"</f>
        <v>2622</v>
      </c>
      <c r="H2141" s="1083">
        <v>42370</v>
      </c>
      <c r="I2141" s="1084">
        <v>42478</v>
      </c>
      <c r="J2141" s="957">
        <v>2739.98</v>
      </c>
    </row>
    <row r="2142" spans="1:10" s="852" customFormat="1" outlineLevel="2">
      <c r="A2142" s="815" t="s">
        <v>5940</v>
      </c>
      <c r="B2142" s="816" t="s">
        <v>7864</v>
      </c>
      <c r="C2142" s="729" t="s">
        <v>719</v>
      </c>
      <c r="D2142" s="460"/>
      <c r="E2142" s="878" t="s">
        <v>6470</v>
      </c>
      <c r="F2142" s="881" t="s">
        <v>434</v>
      </c>
      <c r="G2142" s="731" t="str">
        <f>"2622"</f>
        <v>2622</v>
      </c>
      <c r="H2142" s="1083">
        <v>42370</v>
      </c>
      <c r="I2142" s="1084">
        <v>42478</v>
      </c>
      <c r="J2142" s="957">
        <v>2739.98</v>
      </c>
    </row>
    <row r="2143" spans="1:10" s="852" customFormat="1" outlineLevel="2">
      <c r="A2143" s="815" t="s">
        <v>5940</v>
      </c>
      <c r="B2143" s="816" t="s">
        <v>7864</v>
      </c>
      <c r="C2143" s="729" t="s">
        <v>719</v>
      </c>
      <c r="D2143" s="460"/>
      <c r="E2143" s="878" t="s">
        <v>6470</v>
      </c>
      <c r="F2143" s="881" t="s">
        <v>434</v>
      </c>
      <c r="G2143" s="731" t="str">
        <f>"2622"</f>
        <v>2622</v>
      </c>
      <c r="H2143" s="1083">
        <v>42370</v>
      </c>
      <c r="I2143" s="1084">
        <v>42478</v>
      </c>
      <c r="J2143" s="957">
        <v>2739.98</v>
      </c>
    </row>
    <row r="2144" spans="1:10" s="852" customFormat="1" outlineLevel="2">
      <c r="A2144" s="815" t="s">
        <v>5940</v>
      </c>
      <c r="B2144" s="816" t="s">
        <v>7864</v>
      </c>
      <c r="C2144" s="729" t="s">
        <v>719</v>
      </c>
      <c r="D2144" s="460"/>
      <c r="E2144" s="878" t="s">
        <v>6470</v>
      </c>
      <c r="F2144" s="881" t="s">
        <v>434</v>
      </c>
      <c r="G2144" s="731" t="str">
        <f>"2622"</f>
        <v>2622</v>
      </c>
      <c r="H2144" s="1083">
        <v>42370</v>
      </c>
      <c r="I2144" s="1084">
        <v>42478</v>
      </c>
      <c r="J2144" s="957">
        <v>-2739.98</v>
      </c>
    </row>
    <row r="2145" spans="1:10" s="852" customFormat="1" ht="28.5" outlineLevel="2">
      <c r="A2145" s="815" t="s">
        <v>720</v>
      </c>
      <c r="B2145" s="816" t="s">
        <v>7883</v>
      </c>
      <c r="C2145" s="729" t="s">
        <v>719</v>
      </c>
      <c r="D2145" s="460"/>
      <c r="E2145" s="878" t="s">
        <v>2336</v>
      </c>
      <c r="F2145" s="881" t="s">
        <v>4499</v>
      </c>
      <c r="G2145" s="731" t="s">
        <v>4468</v>
      </c>
      <c r="H2145" s="1083">
        <v>42430</v>
      </c>
      <c r="I2145" s="1084">
        <v>42480</v>
      </c>
      <c r="J2145" s="957">
        <v>5204.5200000000004</v>
      </c>
    </row>
    <row r="2146" spans="1:10" s="852" customFormat="1" ht="28.5" outlineLevel="2">
      <c r="A2146" s="815" t="s">
        <v>722</v>
      </c>
      <c r="B2146" s="816" t="s">
        <v>7882</v>
      </c>
      <c r="C2146" s="729" t="s">
        <v>719</v>
      </c>
      <c r="D2146" s="460"/>
      <c r="E2146" s="878" t="s">
        <v>2336</v>
      </c>
      <c r="F2146" s="881" t="s">
        <v>4499</v>
      </c>
      <c r="G2146" s="731" t="s">
        <v>4468</v>
      </c>
      <c r="H2146" s="1083">
        <v>42430</v>
      </c>
      <c r="I2146" s="1084">
        <v>42480</v>
      </c>
      <c r="J2146" s="957">
        <v>22444.52</v>
      </c>
    </row>
    <row r="2147" spans="1:10" s="852" customFormat="1" outlineLevel="2">
      <c r="A2147" s="815" t="s">
        <v>728</v>
      </c>
      <c r="B2147" s="816" t="s">
        <v>7863</v>
      </c>
      <c r="C2147" s="729" t="s">
        <v>719</v>
      </c>
      <c r="D2147" s="460"/>
      <c r="E2147" s="878" t="s">
        <v>2336</v>
      </c>
      <c r="F2147" s="881" t="s">
        <v>4414</v>
      </c>
      <c r="G2147" s="731" t="s">
        <v>4466</v>
      </c>
      <c r="H2147" s="1083">
        <v>42401</v>
      </c>
      <c r="I2147" s="1084">
        <v>42480</v>
      </c>
      <c r="J2147" s="957">
        <v>1896.36</v>
      </c>
    </row>
    <row r="2148" spans="1:10" s="852" customFormat="1" outlineLevel="2">
      <c r="A2148" s="815" t="s">
        <v>723</v>
      </c>
      <c r="B2148" s="816" t="s">
        <v>7864</v>
      </c>
      <c r="C2148" s="729" t="s">
        <v>719</v>
      </c>
      <c r="D2148" s="460"/>
      <c r="E2148" s="878" t="s">
        <v>2336</v>
      </c>
      <c r="F2148" s="881" t="s">
        <v>3746</v>
      </c>
      <c r="G2148" s="731" t="s">
        <v>4464</v>
      </c>
      <c r="H2148" s="1083">
        <v>42401</v>
      </c>
      <c r="I2148" s="1084">
        <v>42480</v>
      </c>
      <c r="J2148" s="957">
        <v>375.11</v>
      </c>
    </row>
    <row r="2149" spans="1:10" s="852" customFormat="1" outlineLevel="2">
      <c r="A2149" s="815" t="s">
        <v>723</v>
      </c>
      <c r="B2149" s="816" t="s">
        <v>7864</v>
      </c>
      <c r="C2149" s="729" t="s">
        <v>719</v>
      </c>
      <c r="D2149" s="460"/>
      <c r="E2149" s="878" t="s">
        <v>2336</v>
      </c>
      <c r="F2149" s="881" t="s">
        <v>3397</v>
      </c>
      <c r="G2149" s="731" t="s">
        <v>4462</v>
      </c>
      <c r="H2149" s="1083">
        <v>42401</v>
      </c>
      <c r="I2149" s="1084">
        <v>42480</v>
      </c>
      <c r="J2149" s="957">
        <v>246.78</v>
      </c>
    </row>
    <row r="2150" spans="1:10" s="852" customFormat="1" outlineLevel="2">
      <c r="A2150" s="815" t="s">
        <v>723</v>
      </c>
      <c r="B2150" s="816" t="s">
        <v>7864</v>
      </c>
      <c r="C2150" s="729" t="s">
        <v>719</v>
      </c>
      <c r="D2150" s="460"/>
      <c r="E2150" s="878" t="s">
        <v>2336</v>
      </c>
      <c r="F2150" s="881" t="s">
        <v>3123</v>
      </c>
      <c r="G2150" s="731" t="s">
        <v>4461</v>
      </c>
      <c r="H2150" s="1083">
        <v>42401</v>
      </c>
      <c r="I2150" s="1084">
        <v>42480</v>
      </c>
      <c r="J2150" s="957">
        <v>365.24</v>
      </c>
    </row>
    <row r="2151" spans="1:10" s="852" customFormat="1" outlineLevel="2">
      <c r="A2151" s="815" t="s">
        <v>724</v>
      </c>
      <c r="B2151" s="816" t="s">
        <v>7885</v>
      </c>
      <c r="C2151" s="729" t="s">
        <v>719</v>
      </c>
      <c r="D2151" s="460"/>
      <c r="E2151" s="878" t="s">
        <v>2336</v>
      </c>
      <c r="F2151" s="881" t="s">
        <v>6047</v>
      </c>
      <c r="G2151" s="731" t="s">
        <v>4458</v>
      </c>
      <c r="H2151" s="1083">
        <v>42401</v>
      </c>
      <c r="I2151" s="1084">
        <v>42480</v>
      </c>
      <c r="J2151" s="957">
        <v>213.32</v>
      </c>
    </row>
    <row r="2152" spans="1:10" s="852" customFormat="1" outlineLevel="2">
      <c r="A2152" s="815" t="s">
        <v>724</v>
      </c>
      <c r="B2152" s="816" t="s">
        <v>7885</v>
      </c>
      <c r="C2152" s="729" t="s">
        <v>719</v>
      </c>
      <c r="D2152" s="460"/>
      <c r="E2152" s="878" t="s">
        <v>2336</v>
      </c>
      <c r="F2152" s="881" t="s">
        <v>6047</v>
      </c>
      <c r="G2152" s="731" t="s">
        <v>4458</v>
      </c>
      <c r="H2152" s="1083">
        <v>42401</v>
      </c>
      <c r="I2152" s="1084">
        <v>42480</v>
      </c>
      <c r="J2152" s="957">
        <v>237.48</v>
      </c>
    </row>
    <row r="2153" spans="1:10" s="852" customFormat="1" outlineLevel="2">
      <c r="A2153" s="815" t="s">
        <v>724</v>
      </c>
      <c r="B2153" s="816" t="s">
        <v>7885</v>
      </c>
      <c r="C2153" s="729" t="s">
        <v>719</v>
      </c>
      <c r="D2153" s="460"/>
      <c r="E2153" s="878" t="s">
        <v>2336</v>
      </c>
      <c r="F2153" s="881" t="s">
        <v>6046</v>
      </c>
      <c r="G2153" s="731" t="s">
        <v>4456</v>
      </c>
      <c r="H2153" s="1083">
        <v>42370</v>
      </c>
      <c r="I2153" s="1084">
        <v>42480</v>
      </c>
      <c r="J2153" s="957">
        <v>163.87</v>
      </c>
    </row>
    <row r="2154" spans="1:10" s="852" customFormat="1" outlineLevel="2">
      <c r="A2154" s="815" t="s">
        <v>5940</v>
      </c>
      <c r="B2154" s="816" t="s">
        <v>7864</v>
      </c>
      <c r="C2154" s="729" t="s">
        <v>719</v>
      </c>
      <c r="D2154" s="460"/>
      <c r="E2154" s="878" t="s">
        <v>2717</v>
      </c>
      <c r="F2154" s="881" t="s">
        <v>434</v>
      </c>
      <c r="G2154" s="731" t="str">
        <f>"3544"</f>
        <v>3544</v>
      </c>
      <c r="H2154" s="1083">
        <v>42401</v>
      </c>
      <c r="I2154" s="1084">
        <v>42467</v>
      </c>
      <c r="J2154" s="957">
        <v>1802.62</v>
      </c>
    </row>
    <row r="2155" spans="1:10" s="852" customFormat="1" outlineLevel="2">
      <c r="A2155" s="815" t="s">
        <v>5940</v>
      </c>
      <c r="B2155" s="816" t="s">
        <v>7864</v>
      </c>
      <c r="C2155" s="729" t="s">
        <v>719</v>
      </c>
      <c r="D2155" s="460"/>
      <c r="E2155" s="878" t="s">
        <v>409</v>
      </c>
      <c r="F2155" s="881" t="s">
        <v>434</v>
      </c>
      <c r="G2155" s="731" t="str">
        <f>"6701"</f>
        <v>6701</v>
      </c>
      <c r="H2155" s="1083">
        <v>42401</v>
      </c>
      <c r="I2155" s="1084">
        <v>42475</v>
      </c>
      <c r="J2155" s="957">
        <v>2667.88</v>
      </c>
    </row>
    <row r="2156" spans="1:10" s="852" customFormat="1" outlineLevel="2">
      <c r="A2156" s="815" t="s">
        <v>5968</v>
      </c>
      <c r="B2156" s="816" t="s">
        <v>7885</v>
      </c>
      <c r="C2156" s="729" t="s">
        <v>719</v>
      </c>
      <c r="D2156" s="460"/>
      <c r="E2156" s="878" t="s">
        <v>5969</v>
      </c>
      <c r="F2156" s="881" t="s">
        <v>1378</v>
      </c>
      <c r="G2156" s="731" t="str">
        <f>"4209"</f>
        <v>4209</v>
      </c>
      <c r="H2156" s="1083">
        <v>42370</v>
      </c>
      <c r="I2156" s="1084">
        <v>42467</v>
      </c>
      <c r="J2156" s="957">
        <v>4113.1899999999996</v>
      </c>
    </row>
    <row r="2157" spans="1:10" s="852" customFormat="1" outlineLevel="2">
      <c r="A2157" s="815" t="s">
        <v>5968</v>
      </c>
      <c r="B2157" s="816" t="s">
        <v>7885</v>
      </c>
      <c r="C2157" s="729" t="s">
        <v>719</v>
      </c>
      <c r="D2157" s="460"/>
      <c r="E2157" s="878" t="s">
        <v>5969</v>
      </c>
      <c r="F2157" s="881" t="s">
        <v>1378</v>
      </c>
      <c r="G2157" s="731" t="str">
        <f>"4208"</f>
        <v>4208</v>
      </c>
      <c r="H2157" s="1083">
        <v>42401</v>
      </c>
      <c r="I2157" s="1084">
        <v>42467</v>
      </c>
      <c r="J2157" s="957">
        <v>5354.47</v>
      </c>
    </row>
    <row r="2158" spans="1:10" s="852" customFormat="1" outlineLevel="2">
      <c r="A2158" s="815" t="s">
        <v>5968</v>
      </c>
      <c r="B2158" s="816" t="s">
        <v>7885</v>
      </c>
      <c r="C2158" s="729" t="s">
        <v>719</v>
      </c>
      <c r="D2158" s="460"/>
      <c r="E2158" s="878" t="s">
        <v>5969</v>
      </c>
      <c r="F2158" s="881" t="s">
        <v>1378</v>
      </c>
      <c r="G2158" s="731" t="str">
        <f>"4208"</f>
        <v>4208</v>
      </c>
      <c r="H2158" s="1083">
        <v>42401</v>
      </c>
      <c r="I2158" s="1084">
        <v>42467</v>
      </c>
      <c r="J2158" s="957">
        <v>5960.97</v>
      </c>
    </row>
    <row r="2159" spans="1:10" s="852" customFormat="1" outlineLevel="2">
      <c r="A2159" s="815" t="s">
        <v>5968</v>
      </c>
      <c r="B2159" s="816" t="s">
        <v>7885</v>
      </c>
      <c r="C2159" s="729" t="s">
        <v>719</v>
      </c>
      <c r="D2159" s="460"/>
      <c r="E2159" s="878" t="s">
        <v>5969</v>
      </c>
      <c r="F2159" s="881" t="s">
        <v>1378</v>
      </c>
      <c r="G2159" s="731" t="s">
        <v>5970</v>
      </c>
      <c r="H2159" s="1083">
        <v>42370</v>
      </c>
      <c r="I2159" s="1084">
        <v>42467</v>
      </c>
      <c r="J2159" s="957">
        <v>-573.37</v>
      </c>
    </row>
    <row r="2160" spans="1:10" s="852" customFormat="1" outlineLevel="2">
      <c r="A2160" s="815" t="s">
        <v>958</v>
      </c>
      <c r="B2160" s="816" t="s">
        <v>7866</v>
      </c>
      <c r="C2160" s="729" t="s">
        <v>719</v>
      </c>
      <c r="D2160" s="460"/>
      <c r="E2160" s="878" t="s">
        <v>2282</v>
      </c>
      <c r="F2160" s="881" t="s">
        <v>3974</v>
      </c>
      <c r="G2160" s="731" t="s">
        <v>2779</v>
      </c>
      <c r="H2160" s="1083">
        <v>42401</v>
      </c>
      <c r="I2160" s="1084">
        <v>42471</v>
      </c>
      <c r="J2160" s="957">
        <v>1058.5</v>
      </c>
    </row>
    <row r="2161" spans="1:10" s="852" customFormat="1" outlineLevel="2">
      <c r="A2161" s="815" t="s">
        <v>958</v>
      </c>
      <c r="B2161" s="816" t="s">
        <v>7866</v>
      </c>
      <c r="C2161" s="729" t="s">
        <v>719</v>
      </c>
      <c r="D2161" s="460"/>
      <c r="E2161" s="878" t="s">
        <v>2282</v>
      </c>
      <c r="F2161" s="881" t="s">
        <v>4081</v>
      </c>
      <c r="G2161" s="731" t="s">
        <v>2781</v>
      </c>
      <c r="H2161" s="1083">
        <v>42401</v>
      </c>
      <c r="I2161" s="1084">
        <v>42471</v>
      </c>
      <c r="J2161" s="957">
        <v>33.840000000000003</v>
      </c>
    </row>
    <row r="2162" spans="1:10" s="852" customFormat="1" outlineLevel="2">
      <c r="A2162" s="815" t="s">
        <v>958</v>
      </c>
      <c r="B2162" s="816" t="s">
        <v>7866</v>
      </c>
      <c r="C2162" s="729" t="s">
        <v>719</v>
      </c>
      <c r="D2162" s="460"/>
      <c r="E2162" s="878" t="s">
        <v>2282</v>
      </c>
      <c r="F2162" s="881" t="s">
        <v>4165</v>
      </c>
      <c r="G2162" s="731" t="s">
        <v>2782</v>
      </c>
      <c r="H2162" s="1083">
        <v>42401</v>
      </c>
      <c r="I2162" s="1084">
        <v>42471</v>
      </c>
      <c r="J2162" s="957">
        <v>399.36</v>
      </c>
    </row>
    <row r="2163" spans="1:10" s="852" customFormat="1" outlineLevel="2">
      <c r="A2163" s="815" t="s">
        <v>2267</v>
      </c>
      <c r="B2163" s="816" t="s">
        <v>7888</v>
      </c>
      <c r="C2163" s="729" t="s">
        <v>719</v>
      </c>
      <c r="D2163" s="460"/>
      <c r="E2163" s="878" t="s">
        <v>2710</v>
      </c>
      <c r="F2163" s="881" t="s">
        <v>4555</v>
      </c>
      <c r="G2163" s="731" t="s">
        <v>4223</v>
      </c>
      <c r="H2163" s="1083">
        <v>42401</v>
      </c>
      <c r="I2163" s="1084">
        <v>42475</v>
      </c>
      <c r="J2163" s="957">
        <v>16</v>
      </c>
    </row>
    <row r="2164" spans="1:10" s="852" customFormat="1" outlineLevel="2">
      <c r="A2164" s="815" t="s">
        <v>724</v>
      </c>
      <c r="B2164" s="816" t="s">
        <v>7885</v>
      </c>
      <c r="C2164" s="729" t="s">
        <v>719</v>
      </c>
      <c r="D2164" s="460"/>
      <c r="E2164" s="878" t="s">
        <v>2347</v>
      </c>
      <c r="F2164" s="881" t="s">
        <v>6184</v>
      </c>
      <c r="G2164" s="731" t="s">
        <v>4470</v>
      </c>
      <c r="H2164" s="1083">
        <v>42370</v>
      </c>
      <c r="I2164" s="1084">
        <v>42480</v>
      </c>
      <c r="J2164" s="957">
        <v>140.46</v>
      </c>
    </row>
    <row r="2165" spans="1:10" s="852" customFormat="1" outlineLevel="2">
      <c r="A2165" s="815" t="s">
        <v>724</v>
      </c>
      <c r="B2165" s="816" t="s">
        <v>7885</v>
      </c>
      <c r="C2165" s="729" t="s">
        <v>719</v>
      </c>
      <c r="D2165" s="460"/>
      <c r="E2165" s="878" t="s">
        <v>2347</v>
      </c>
      <c r="F2165" s="881" t="s">
        <v>6185</v>
      </c>
      <c r="G2165" s="731" t="s">
        <v>4472</v>
      </c>
      <c r="H2165" s="1083">
        <v>42401</v>
      </c>
      <c r="I2165" s="1084">
        <v>42480</v>
      </c>
      <c r="J2165" s="957">
        <v>182.84</v>
      </c>
    </row>
    <row r="2166" spans="1:10" s="852" customFormat="1" outlineLevel="2">
      <c r="A2166" s="815" t="s">
        <v>724</v>
      </c>
      <c r="B2166" s="816" t="s">
        <v>7885</v>
      </c>
      <c r="C2166" s="729" t="s">
        <v>719</v>
      </c>
      <c r="D2166" s="460"/>
      <c r="E2166" s="878" t="s">
        <v>2347</v>
      </c>
      <c r="F2166" s="881" t="s">
        <v>6185</v>
      </c>
      <c r="G2166" s="731" t="s">
        <v>4472</v>
      </c>
      <c r="H2166" s="1083">
        <v>42401</v>
      </c>
      <c r="I2166" s="1084">
        <v>42480</v>
      </c>
      <c r="J2166" s="957">
        <v>203.56</v>
      </c>
    </row>
    <row r="2167" spans="1:10" s="852" customFormat="1" outlineLevel="2">
      <c r="A2167" s="815" t="s">
        <v>723</v>
      </c>
      <c r="B2167" s="816" t="s">
        <v>7864</v>
      </c>
      <c r="C2167" s="729" t="s">
        <v>719</v>
      </c>
      <c r="D2167" s="460"/>
      <c r="E2167" s="878" t="s">
        <v>2347</v>
      </c>
      <c r="F2167" s="881" t="s">
        <v>3124</v>
      </c>
      <c r="G2167" s="731" t="s">
        <v>4474</v>
      </c>
      <c r="H2167" s="1083">
        <v>42401</v>
      </c>
      <c r="I2167" s="1084">
        <v>42480</v>
      </c>
      <c r="J2167" s="957">
        <v>99.61</v>
      </c>
    </row>
    <row r="2168" spans="1:10" s="852" customFormat="1" outlineLevel="2">
      <c r="A2168" s="815" t="s">
        <v>723</v>
      </c>
      <c r="B2168" s="816" t="s">
        <v>7864</v>
      </c>
      <c r="C2168" s="729" t="s">
        <v>719</v>
      </c>
      <c r="D2168" s="460"/>
      <c r="E2168" s="878" t="s">
        <v>2347</v>
      </c>
      <c r="F2168" s="881" t="s">
        <v>3399</v>
      </c>
      <c r="G2168" s="731" t="s">
        <v>4475</v>
      </c>
      <c r="H2168" s="1083">
        <v>42401</v>
      </c>
      <c r="I2168" s="1084">
        <v>42480</v>
      </c>
      <c r="J2168" s="957">
        <v>67.3</v>
      </c>
    </row>
    <row r="2169" spans="1:10" s="852" customFormat="1" outlineLevel="2">
      <c r="A2169" s="815" t="s">
        <v>723</v>
      </c>
      <c r="B2169" s="816" t="s">
        <v>7864</v>
      </c>
      <c r="C2169" s="729" t="s">
        <v>719</v>
      </c>
      <c r="D2169" s="460"/>
      <c r="E2169" s="878" t="s">
        <v>2347</v>
      </c>
      <c r="F2169" s="881" t="s">
        <v>3747</v>
      </c>
      <c r="G2169" s="731" t="s">
        <v>4476</v>
      </c>
      <c r="H2169" s="1083">
        <v>42401</v>
      </c>
      <c r="I2169" s="1084">
        <v>42480</v>
      </c>
      <c r="J2169" s="957">
        <v>102.3</v>
      </c>
    </row>
    <row r="2170" spans="1:10" s="852" customFormat="1" outlineLevel="2">
      <c r="A2170" s="815" t="s">
        <v>728</v>
      </c>
      <c r="B2170" s="816" t="s">
        <v>7863</v>
      </c>
      <c r="C2170" s="729" t="s">
        <v>719</v>
      </c>
      <c r="D2170" s="460"/>
      <c r="E2170" s="878" t="s">
        <v>2347</v>
      </c>
      <c r="F2170" s="881" t="s">
        <v>4416</v>
      </c>
      <c r="G2170" s="731" t="s">
        <v>4477</v>
      </c>
      <c r="H2170" s="1083">
        <v>42401</v>
      </c>
      <c r="I2170" s="1084">
        <v>42480</v>
      </c>
      <c r="J2170" s="957">
        <v>517.19000000000005</v>
      </c>
    </row>
    <row r="2171" spans="1:10" s="852" customFormat="1" ht="28.5" outlineLevel="2">
      <c r="A2171" s="815" t="s">
        <v>720</v>
      </c>
      <c r="B2171" s="816" t="s">
        <v>7883</v>
      </c>
      <c r="C2171" s="729" t="s">
        <v>719</v>
      </c>
      <c r="D2171" s="460"/>
      <c r="E2171" s="878" t="s">
        <v>2347</v>
      </c>
      <c r="F2171" s="881" t="s">
        <v>4502</v>
      </c>
      <c r="G2171" s="731" t="s">
        <v>4478</v>
      </c>
      <c r="H2171" s="1083">
        <v>42430</v>
      </c>
      <c r="I2171" s="1084">
        <v>42480</v>
      </c>
      <c r="J2171" s="957">
        <v>1774.27</v>
      </c>
    </row>
    <row r="2172" spans="1:10" s="852" customFormat="1" ht="28.5" outlineLevel="2">
      <c r="A2172" s="815" t="s">
        <v>722</v>
      </c>
      <c r="B2172" s="816" t="s">
        <v>7882</v>
      </c>
      <c r="C2172" s="729" t="s">
        <v>719</v>
      </c>
      <c r="D2172" s="460"/>
      <c r="E2172" s="878" t="s">
        <v>2347</v>
      </c>
      <c r="F2172" s="881" t="s">
        <v>4502</v>
      </c>
      <c r="G2172" s="731" t="s">
        <v>4478</v>
      </c>
      <c r="H2172" s="1083">
        <v>42430</v>
      </c>
      <c r="I2172" s="1084">
        <v>42480</v>
      </c>
      <c r="J2172" s="957">
        <v>7651.55</v>
      </c>
    </row>
    <row r="2173" spans="1:10" s="852" customFormat="1" outlineLevel="2">
      <c r="A2173" s="815" t="s">
        <v>1309</v>
      </c>
      <c r="B2173" s="816" t="s">
        <v>7873</v>
      </c>
      <c r="C2173" s="729" t="s">
        <v>719</v>
      </c>
      <c r="D2173" s="460"/>
      <c r="E2173" s="878" t="s">
        <v>414</v>
      </c>
      <c r="F2173" s="881" t="s">
        <v>431</v>
      </c>
      <c r="G2173" s="731" t="s">
        <v>5575</v>
      </c>
      <c r="H2173" s="1083">
        <v>42430</v>
      </c>
      <c r="I2173" s="1084">
        <v>42465</v>
      </c>
      <c r="J2173" s="957">
        <v>120</v>
      </c>
    </row>
    <row r="2174" spans="1:10" s="852" customFormat="1" outlineLevel="2">
      <c r="A2174" s="815" t="s">
        <v>1309</v>
      </c>
      <c r="B2174" s="816" t="s">
        <v>7873</v>
      </c>
      <c r="C2174" s="729" t="s">
        <v>719</v>
      </c>
      <c r="D2174" s="460"/>
      <c r="E2174" s="878" t="s">
        <v>414</v>
      </c>
      <c r="F2174" s="881" t="s">
        <v>431</v>
      </c>
      <c r="G2174" s="731" t="s">
        <v>5670</v>
      </c>
      <c r="H2174" s="1083">
        <v>42461</v>
      </c>
      <c r="I2174" s="1084">
        <v>42478</v>
      </c>
      <c r="J2174" s="957">
        <v>102.28</v>
      </c>
    </row>
    <row r="2175" spans="1:10" s="852" customFormat="1" outlineLevel="2">
      <c r="A2175" s="815" t="s">
        <v>1309</v>
      </c>
      <c r="B2175" s="816" t="s">
        <v>7873</v>
      </c>
      <c r="C2175" s="729" t="s">
        <v>719</v>
      </c>
      <c r="D2175" s="460"/>
      <c r="E2175" s="878" t="s">
        <v>414</v>
      </c>
      <c r="F2175" s="881" t="s">
        <v>431</v>
      </c>
      <c r="G2175" s="731" t="s">
        <v>5671</v>
      </c>
      <c r="H2175" s="1083">
        <v>42461</v>
      </c>
      <c r="I2175" s="1084">
        <v>42478</v>
      </c>
      <c r="J2175" s="957">
        <v>320</v>
      </c>
    </row>
    <row r="2176" spans="1:10" s="852" customFormat="1" outlineLevel="2">
      <c r="A2176" s="815" t="s">
        <v>1309</v>
      </c>
      <c r="B2176" s="816" t="s">
        <v>7873</v>
      </c>
      <c r="C2176" s="729" t="s">
        <v>719</v>
      </c>
      <c r="D2176" s="460"/>
      <c r="E2176" s="878" t="s">
        <v>414</v>
      </c>
      <c r="F2176" s="881" t="s">
        <v>431</v>
      </c>
      <c r="G2176" s="731" t="s">
        <v>5672</v>
      </c>
      <c r="H2176" s="1083">
        <v>42461</v>
      </c>
      <c r="I2176" s="1084">
        <v>42478</v>
      </c>
      <c r="J2176" s="957">
        <v>119.7</v>
      </c>
    </row>
    <row r="2177" spans="1:10" s="852" customFormat="1" ht="28.5" outlineLevel="2">
      <c r="A2177" s="815" t="s">
        <v>720</v>
      </c>
      <c r="B2177" s="816" t="s">
        <v>7883</v>
      </c>
      <c r="C2177" s="729" t="s">
        <v>719</v>
      </c>
      <c r="D2177" s="460"/>
      <c r="E2177" s="878" t="s">
        <v>1909</v>
      </c>
      <c r="F2177" s="881" t="s">
        <v>4496</v>
      </c>
      <c r="G2177" s="731" t="s">
        <v>4512</v>
      </c>
      <c r="H2177" s="1083">
        <v>42430</v>
      </c>
      <c r="I2177" s="1084">
        <v>42480</v>
      </c>
      <c r="J2177" s="957">
        <v>591.41999999999996</v>
      </c>
    </row>
    <row r="2178" spans="1:10" s="852" customFormat="1" ht="28.5" outlineLevel="2">
      <c r="A2178" s="815" t="s">
        <v>722</v>
      </c>
      <c r="B2178" s="816" t="s">
        <v>7882</v>
      </c>
      <c r="C2178" s="729" t="s">
        <v>719</v>
      </c>
      <c r="D2178" s="460"/>
      <c r="E2178" s="878" t="s">
        <v>1909</v>
      </c>
      <c r="F2178" s="881" t="s">
        <v>4496</v>
      </c>
      <c r="G2178" s="731" t="s">
        <v>4512</v>
      </c>
      <c r="H2178" s="1083">
        <v>42430</v>
      </c>
      <c r="I2178" s="1084">
        <v>42480</v>
      </c>
      <c r="J2178" s="957">
        <v>2550.5100000000002</v>
      </c>
    </row>
    <row r="2179" spans="1:10" s="852" customFormat="1" outlineLevel="2">
      <c r="A2179" s="815" t="s">
        <v>958</v>
      </c>
      <c r="B2179" s="816" t="s">
        <v>7866</v>
      </c>
      <c r="C2179" s="729" t="s">
        <v>719</v>
      </c>
      <c r="D2179" s="460"/>
      <c r="E2179" s="878" t="s">
        <v>1909</v>
      </c>
      <c r="F2179" s="881" t="s">
        <v>3935</v>
      </c>
      <c r="G2179" s="731" t="s">
        <v>2817</v>
      </c>
      <c r="H2179" s="1083">
        <v>42401</v>
      </c>
      <c r="I2179" s="1084">
        <v>42480</v>
      </c>
      <c r="J2179" s="957">
        <v>317.55</v>
      </c>
    </row>
    <row r="2180" spans="1:10" s="852" customFormat="1" outlineLevel="2">
      <c r="A2180" s="815" t="s">
        <v>958</v>
      </c>
      <c r="B2180" s="816" t="s">
        <v>7866</v>
      </c>
      <c r="C2180" s="729" t="s">
        <v>719</v>
      </c>
      <c r="D2180" s="460"/>
      <c r="E2180" s="878" t="s">
        <v>1909</v>
      </c>
      <c r="F2180" s="881" t="s">
        <v>4027</v>
      </c>
      <c r="G2180" s="731" t="s">
        <v>2819</v>
      </c>
      <c r="H2180" s="1083">
        <v>42401</v>
      </c>
      <c r="I2180" s="1084">
        <v>42480</v>
      </c>
      <c r="J2180" s="957">
        <v>10.15</v>
      </c>
    </row>
    <row r="2181" spans="1:10" s="852" customFormat="1" outlineLevel="2">
      <c r="A2181" s="815" t="s">
        <v>958</v>
      </c>
      <c r="B2181" s="816" t="s">
        <v>7866</v>
      </c>
      <c r="C2181" s="729" t="s">
        <v>719</v>
      </c>
      <c r="D2181" s="460"/>
      <c r="E2181" s="878" t="s">
        <v>1909</v>
      </c>
      <c r="F2181" s="881" t="s">
        <v>4129</v>
      </c>
      <c r="G2181" s="731" t="s">
        <v>2821</v>
      </c>
      <c r="H2181" s="1083">
        <v>42401</v>
      </c>
      <c r="I2181" s="1084">
        <v>42480</v>
      </c>
      <c r="J2181" s="957">
        <v>119.81</v>
      </c>
    </row>
    <row r="2182" spans="1:10" s="852" customFormat="1" outlineLevel="2">
      <c r="A2182" s="815" t="s">
        <v>728</v>
      </c>
      <c r="B2182" s="816" t="s">
        <v>7863</v>
      </c>
      <c r="C2182" s="729" t="s">
        <v>719</v>
      </c>
      <c r="D2182" s="460"/>
      <c r="E2182" s="878" t="s">
        <v>1909</v>
      </c>
      <c r="F2182" s="881" t="s">
        <v>4412</v>
      </c>
      <c r="G2182" s="731" t="s">
        <v>4511</v>
      </c>
      <c r="H2182" s="1083">
        <v>42401</v>
      </c>
      <c r="I2182" s="1084">
        <v>42480</v>
      </c>
      <c r="J2182" s="957">
        <v>172.4</v>
      </c>
    </row>
    <row r="2183" spans="1:10" s="852" customFormat="1" outlineLevel="2">
      <c r="A2183" s="815" t="s">
        <v>2267</v>
      </c>
      <c r="B2183" s="816" t="s">
        <v>7888</v>
      </c>
      <c r="C2183" s="729" t="s">
        <v>719</v>
      </c>
      <c r="D2183" s="460"/>
      <c r="E2183" s="878" t="s">
        <v>1909</v>
      </c>
      <c r="F2183" s="881" t="s">
        <v>4544</v>
      </c>
      <c r="G2183" s="731" t="s">
        <v>4260</v>
      </c>
      <c r="H2183" s="1083">
        <v>42401</v>
      </c>
      <c r="I2183" s="1084">
        <v>42480</v>
      </c>
      <c r="J2183" s="957">
        <v>12</v>
      </c>
    </row>
    <row r="2184" spans="1:10" s="852" customFormat="1" outlineLevel="2">
      <c r="A2184" s="815" t="s">
        <v>726</v>
      </c>
      <c r="B2184" s="816" t="s">
        <v>7877</v>
      </c>
      <c r="C2184" s="729" t="s">
        <v>719</v>
      </c>
      <c r="D2184" s="460"/>
      <c r="E2184" s="878" t="s">
        <v>1909</v>
      </c>
      <c r="F2184" s="881" t="s">
        <v>5216</v>
      </c>
      <c r="G2184" s="731" t="s">
        <v>4513</v>
      </c>
      <c r="H2184" s="1083">
        <v>42430</v>
      </c>
      <c r="I2184" s="1084">
        <v>42480</v>
      </c>
      <c r="J2184" s="957">
        <v>196.99</v>
      </c>
    </row>
    <row r="2185" spans="1:10" s="852" customFormat="1" outlineLevel="2">
      <c r="A2185" s="815" t="s">
        <v>723</v>
      </c>
      <c r="B2185" s="816" t="s">
        <v>7864</v>
      </c>
      <c r="C2185" s="729" t="s">
        <v>719</v>
      </c>
      <c r="D2185" s="460"/>
      <c r="E2185" s="878" t="s">
        <v>1909</v>
      </c>
      <c r="F2185" s="881" t="s">
        <v>3745</v>
      </c>
      <c r="G2185" s="731" t="s">
        <v>4508</v>
      </c>
      <c r="H2185" s="1083">
        <v>42401</v>
      </c>
      <c r="I2185" s="1084">
        <v>42480</v>
      </c>
      <c r="J2185" s="957">
        <v>34.1</v>
      </c>
    </row>
    <row r="2186" spans="1:10" s="852" customFormat="1" outlineLevel="2">
      <c r="A2186" s="815" t="s">
        <v>723</v>
      </c>
      <c r="B2186" s="816" t="s">
        <v>7864</v>
      </c>
      <c r="C2186" s="729" t="s">
        <v>719</v>
      </c>
      <c r="D2186" s="460"/>
      <c r="E2186" s="878" t="s">
        <v>1909</v>
      </c>
      <c r="F2186" s="881" t="s">
        <v>3396</v>
      </c>
      <c r="G2186" s="731" t="s">
        <v>4505</v>
      </c>
      <c r="H2186" s="1083">
        <v>42401</v>
      </c>
      <c r="I2186" s="1084">
        <v>42480</v>
      </c>
      <c r="J2186" s="957">
        <v>22.43</v>
      </c>
    </row>
    <row r="2187" spans="1:10" s="852" customFormat="1" outlineLevel="2">
      <c r="A2187" s="815" t="s">
        <v>723</v>
      </c>
      <c r="B2187" s="816" t="s">
        <v>7864</v>
      </c>
      <c r="C2187" s="729" t="s">
        <v>719</v>
      </c>
      <c r="D2187" s="460"/>
      <c r="E2187" s="878" t="s">
        <v>1909</v>
      </c>
      <c r="F2187" s="881" t="s">
        <v>3121</v>
      </c>
      <c r="G2187" s="731" t="s">
        <v>4500</v>
      </c>
      <c r="H2187" s="1083">
        <v>42401</v>
      </c>
      <c r="I2187" s="1084">
        <v>42480</v>
      </c>
      <c r="J2187" s="957">
        <v>33.200000000000003</v>
      </c>
    </row>
    <row r="2188" spans="1:10" s="852" customFormat="1" outlineLevel="2">
      <c r="A2188" s="815" t="s">
        <v>724</v>
      </c>
      <c r="B2188" s="816" t="s">
        <v>7885</v>
      </c>
      <c r="C2188" s="729" t="s">
        <v>719</v>
      </c>
      <c r="D2188" s="460"/>
      <c r="E2188" s="878" t="s">
        <v>1909</v>
      </c>
      <c r="F2188" s="881" t="s">
        <v>6330</v>
      </c>
      <c r="G2188" s="731" t="s">
        <v>4489</v>
      </c>
      <c r="H2188" s="1083">
        <v>42401</v>
      </c>
      <c r="I2188" s="1084">
        <v>42480</v>
      </c>
      <c r="J2188" s="957">
        <v>60.94</v>
      </c>
    </row>
    <row r="2189" spans="1:10" s="852" customFormat="1" outlineLevel="2">
      <c r="A2189" s="815" t="s">
        <v>724</v>
      </c>
      <c r="B2189" s="816" t="s">
        <v>7885</v>
      </c>
      <c r="C2189" s="729" t="s">
        <v>719</v>
      </c>
      <c r="D2189" s="460"/>
      <c r="E2189" s="878" t="s">
        <v>1909</v>
      </c>
      <c r="F2189" s="881" t="s">
        <v>6330</v>
      </c>
      <c r="G2189" s="731" t="s">
        <v>4489</v>
      </c>
      <c r="H2189" s="1083">
        <v>42401</v>
      </c>
      <c r="I2189" s="1084">
        <v>42480</v>
      </c>
      <c r="J2189" s="957">
        <v>67.849999999999994</v>
      </c>
    </row>
    <row r="2190" spans="1:10" s="852" customFormat="1" outlineLevel="2">
      <c r="A2190" s="815" t="s">
        <v>724</v>
      </c>
      <c r="B2190" s="816" t="s">
        <v>7885</v>
      </c>
      <c r="C2190" s="729" t="s">
        <v>719</v>
      </c>
      <c r="D2190" s="460"/>
      <c r="E2190" s="878" t="s">
        <v>1909</v>
      </c>
      <c r="F2190" s="881" t="s">
        <v>6329</v>
      </c>
      <c r="G2190" s="731" t="s">
        <v>4488</v>
      </c>
      <c r="H2190" s="1083">
        <v>42370</v>
      </c>
      <c r="I2190" s="1084">
        <v>42480</v>
      </c>
      <c r="J2190" s="957">
        <v>46.82</v>
      </c>
    </row>
    <row r="2191" spans="1:10" s="852" customFormat="1" ht="28.5" outlineLevel="2">
      <c r="A2191" s="815" t="s">
        <v>727</v>
      </c>
      <c r="B2191" s="816" t="s">
        <v>7881</v>
      </c>
      <c r="C2191" s="729" t="s">
        <v>719</v>
      </c>
      <c r="D2191" s="460"/>
      <c r="E2191" s="878" t="s">
        <v>1909</v>
      </c>
      <c r="F2191" s="881" t="s">
        <v>6306</v>
      </c>
      <c r="G2191" s="731" t="s">
        <v>4225</v>
      </c>
      <c r="H2191" s="1083">
        <v>42370</v>
      </c>
      <c r="I2191" s="1084">
        <v>42480</v>
      </c>
      <c r="J2191" s="957">
        <v>6.19</v>
      </c>
    </row>
    <row r="2192" spans="1:10" s="852" customFormat="1" ht="28.5" outlineLevel="2">
      <c r="A2192" s="815" t="s">
        <v>720</v>
      </c>
      <c r="B2192" s="816" t="s">
        <v>7883</v>
      </c>
      <c r="C2192" s="729" t="s">
        <v>719</v>
      </c>
      <c r="D2192" s="460"/>
      <c r="E2192" s="878" t="s">
        <v>1909</v>
      </c>
      <c r="F2192" s="881" t="s">
        <v>6326</v>
      </c>
      <c r="G2192" s="731" t="s">
        <v>4479</v>
      </c>
      <c r="H2192" s="1083">
        <v>42370</v>
      </c>
      <c r="I2192" s="1084">
        <v>42480</v>
      </c>
      <c r="J2192" s="957">
        <v>3728.25</v>
      </c>
    </row>
    <row r="2193" spans="1:10" s="852" customFormat="1" ht="28.5" outlineLevel="2">
      <c r="A2193" s="815" t="s">
        <v>722</v>
      </c>
      <c r="B2193" s="816" t="s">
        <v>7882</v>
      </c>
      <c r="C2193" s="729" t="s">
        <v>719</v>
      </c>
      <c r="D2193" s="460"/>
      <c r="E2193" s="878" t="s">
        <v>1909</v>
      </c>
      <c r="F2193" s="881" t="s">
        <v>6326</v>
      </c>
      <c r="G2193" s="731" t="s">
        <v>4479</v>
      </c>
      <c r="H2193" s="1083">
        <v>42370</v>
      </c>
      <c r="I2193" s="1084">
        <v>42480</v>
      </c>
      <c r="J2193" s="957">
        <v>16078.11</v>
      </c>
    </row>
    <row r="2194" spans="1:10" s="852" customFormat="1" ht="28.5" outlineLevel="2">
      <c r="A2194" s="815" t="s">
        <v>958</v>
      </c>
      <c r="B2194" s="816" t="s">
        <v>7866</v>
      </c>
      <c r="C2194" s="729" t="s">
        <v>719</v>
      </c>
      <c r="D2194" s="460"/>
      <c r="E2194" s="878" t="s">
        <v>1909</v>
      </c>
      <c r="F2194" s="881" t="s">
        <v>4956</v>
      </c>
      <c r="G2194" s="731" t="s">
        <v>2833</v>
      </c>
      <c r="H2194" s="1083">
        <v>42401</v>
      </c>
      <c r="I2194" s="1084">
        <v>42480</v>
      </c>
      <c r="J2194" s="957">
        <v>984.4</v>
      </c>
    </row>
    <row r="2195" spans="1:10" s="852" customFormat="1" ht="28.5" outlineLevel="2">
      <c r="A2195" s="815" t="s">
        <v>958</v>
      </c>
      <c r="B2195" s="816" t="s">
        <v>7866</v>
      </c>
      <c r="C2195" s="729" t="s">
        <v>719</v>
      </c>
      <c r="D2195" s="460"/>
      <c r="E2195" s="878" t="s">
        <v>1909</v>
      </c>
      <c r="F2195" s="881" t="s">
        <v>4903</v>
      </c>
      <c r="G2195" s="731" t="s">
        <v>2832</v>
      </c>
      <c r="H2195" s="1083">
        <v>42401</v>
      </c>
      <c r="I2195" s="1084">
        <v>42480</v>
      </c>
      <c r="J2195" s="957">
        <v>31.48</v>
      </c>
    </row>
    <row r="2196" spans="1:10" s="852" customFormat="1" ht="28.5" outlineLevel="2">
      <c r="A2196" s="815" t="s">
        <v>958</v>
      </c>
      <c r="B2196" s="816" t="s">
        <v>7866</v>
      </c>
      <c r="C2196" s="729" t="s">
        <v>719</v>
      </c>
      <c r="D2196" s="460"/>
      <c r="E2196" s="878" t="s">
        <v>1909</v>
      </c>
      <c r="F2196" s="881" t="s">
        <v>4853</v>
      </c>
      <c r="G2196" s="731" t="s">
        <v>2831</v>
      </c>
      <c r="H2196" s="1083">
        <v>42401</v>
      </c>
      <c r="I2196" s="1084">
        <v>42480</v>
      </c>
      <c r="J2196" s="957">
        <v>371.41</v>
      </c>
    </row>
    <row r="2197" spans="1:10" s="852" customFormat="1" ht="28.5" outlineLevel="2">
      <c r="A2197" s="815" t="s">
        <v>728</v>
      </c>
      <c r="B2197" s="816" t="s">
        <v>7863</v>
      </c>
      <c r="C2197" s="729" t="s">
        <v>719</v>
      </c>
      <c r="D2197" s="460"/>
      <c r="E2197" s="878" t="s">
        <v>1909</v>
      </c>
      <c r="F2197" s="881" t="s">
        <v>6328</v>
      </c>
      <c r="G2197" s="731" t="s">
        <v>4481</v>
      </c>
      <c r="H2197" s="1083">
        <v>42370</v>
      </c>
      <c r="I2197" s="1084">
        <v>42480</v>
      </c>
      <c r="J2197" s="957">
        <v>859.74</v>
      </c>
    </row>
    <row r="2198" spans="1:10" s="852" customFormat="1" ht="28.5" outlineLevel="2">
      <c r="A2198" s="815" t="s">
        <v>728</v>
      </c>
      <c r="B2198" s="816" t="s">
        <v>7863</v>
      </c>
      <c r="C2198" s="729" t="s">
        <v>719</v>
      </c>
      <c r="D2198" s="460"/>
      <c r="E2198" s="878" t="s">
        <v>1909</v>
      </c>
      <c r="F2198" s="881" t="s">
        <v>6328</v>
      </c>
      <c r="G2198" s="731" t="s">
        <v>4484</v>
      </c>
      <c r="H2198" s="1083">
        <v>42370</v>
      </c>
      <c r="I2198" s="1084">
        <v>42480</v>
      </c>
      <c r="J2198" s="957">
        <v>859.73</v>
      </c>
    </row>
    <row r="2199" spans="1:10" s="852" customFormat="1" ht="28.5" outlineLevel="2">
      <c r="A2199" s="815" t="s">
        <v>728</v>
      </c>
      <c r="B2199" s="816" t="s">
        <v>7863</v>
      </c>
      <c r="C2199" s="729" t="s">
        <v>719</v>
      </c>
      <c r="D2199" s="460"/>
      <c r="E2199" s="878" t="s">
        <v>1909</v>
      </c>
      <c r="F2199" s="881" t="s">
        <v>6328</v>
      </c>
      <c r="G2199" s="731" t="s">
        <v>4486</v>
      </c>
      <c r="H2199" s="1083">
        <v>42370</v>
      </c>
      <c r="I2199" s="1084">
        <v>42480</v>
      </c>
      <c r="J2199" s="957">
        <v>-859.74</v>
      </c>
    </row>
    <row r="2200" spans="1:10" s="852" customFormat="1" ht="28.5" outlineLevel="2">
      <c r="A2200" s="815" t="s">
        <v>2267</v>
      </c>
      <c r="B2200" s="816" t="s">
        <v>7888</v>
      </c>
      <c r="C2200" s="729" t="s">
        <v>719</v>
      </c>
      <c r="D2200" s="460"/>
      <c r="E2200" s="878" t="s">
        <v>1909</v>
      </c>
      <c r="F2200" s="881" t="s">
        <v>6310</v>
      </c>
      <c r="G2200" s="731" t="s">
        <v>4234</v>
      </c>
      <c r="H2200" s="1083">
        <v>42370</v>
      </c>
      <c r="I2200" s="1084">
        <v>42480</v>
      </c>
      <c r="J2200" s="957">
        <v>16.03</v>
      </c>
    </row>
    <row r="2201" spans="1:10" s="852" customFormat="1" ht="28.5" outlineLevel="2">
      <c r="A2201" s="815" t="s">
        <v>2267</v>
      </c>
      <c r="B2201" s="816" t="s">
        <v>7888</v>
      </c>
      <c r="C2201" s="729" t="s">
        <v>719</v>
      </c>
      <c r="D2201" s="460"/>
      <c r="E2201" s="878" t="s">
        <v>1909</v>
      </c>
      <c r="F2201" s="881" t="s">
        <v>6310</v>
      </c>
      <c r="G2201" s="731" t="s">
        <v>4235</v>
      </c>
      <c r="H2201" s="1083">
        <v>42370</v>
      </c>
      <c r="I2201" s="1084">
        <v>42480</v>
      </c>
      <c r="J2201" s="957">
        <v>18.86</v>
      </c>
    </row>
    <row r="2202" spans="1:10" s="852" customFormat="1" ht="28.5" outlineLevel="2">
      <c r="A2202" s="815" t="s">
        <v>2267</v>
      </c>
      <c r="B2202" s="816" t="s">
        <v>7888</v>
      </c>
      <c r="C2202" s="729" t="s">
        <v>719</v>
      </c>
      <c r="D2202" s="460"/>
      <c r="E2202" s="878" t="s">
        <v>1909</v>
      </c>
      <c r="F2202" s="881" t="s">
        <v>4694</v>
      </c>
      <c r="G2202" s="731" t="s">
        <v>4262</v>
      </c>
      <c r="H2202" s="1083">
        <v>42401</v>
      </c>
      <c r="I2202" s="1084">
        <v>42480</v>
      </c>
      <c r="J2202" s="957">
        <v>17.079999999999998</v>
      </c>
    </row>
    <row r="2203" spans="1:10" s="852" customFormat="1" ht="28.5" outlineLevel="2">
      <c r="A2203" s="815" t="s">
        <v>2267</v>
      </c>
      <c r="B2203" s="816" t="s">
        <v>7888</v>
      </c>
      <c r="C2203" s="729" t="s">
        <v>719</v>
      </c>
      <c r="D2203" s="460"/>
      <c r="E2203" s="878" t="s">
        <v>1909</v>
      </c>
      <c r="F2203" s="881" t="s">
        <v>4694</v>
      </c>
      <c r="G2203" s="731" t="s">
        <v>4264</v>
      </c>
      <c r="H2203" s="1083">
        <v>42401</v>
      </c>
      <c r="I2203" s="1084">
        <v>42480</v>
      </c>
      <c r="J2203" s="957">
        <v>20.13</v>
      </c>
    </row>
    <row r="2204" spans="1:10" s="852" customFormat="1" ht="28.5" outlineLevel="2">
      <c r="A2204" s="815" t="s">
        <v>726</v>
      </c>
      <c r="B2204" s="816" t="s">
        <v>7877</v>
      </c>
      <c r="C2204" s="729" t="s">
        <v>719</v>
      </c>
      <c r="D2204" s="460"/>
      <c r="E2204" s="878" t="s">
        <v>1909</v>
      </c>
      <c r="F2204" s="881" t="s">
        <v>6327</v>
      </c>
      <c r="G2204" s="731" t="s">
        <v>4480</v>
      </c>
      <c r="H2204" s="1083">
        <v>42370</v>
      </c>
      <c r="I2204" s="1084">
        <v>42480</v>
      </c>
      <c r="J2204" s="957">
        <v>693.96</v>
      </c>
    </row>
    <row r="2205" spans="1:10" s="852" customFormat="1" ht="28.5" outlineLevel="2">
      <c r="A2205" s="815" t="s">
        <v>726</v>
      </c>
      <c r="B2205" s="816" t="s">
        <v>7877</v>
      </c>
      <c r="C2205" s="729" t="s">
        <v>719</v>
      </c>
      <c r="D2205" s="460"/>
      <c r="E2205" s="878" t="s">
        <v>1909</v>
      </c>
      <c r="F2205" s="881" t="s">
        <v>6327</v>
      </c>
      <c r="G2205" s="731" t="s">
        <v>4482</v>
      </c>
      <c r="H2205" s="1083">
        <v>42370</v>
      </c>
      <c r="I2205" s="1084">
        <v>42480</v>
      </c>
      <c r="J2205" s="957">
        <v>693.95</v>
      </c>
    </row>
    <row r="2206" spans="1:10" s="852" customFormat="1" ht="28.5" outlineLevel="2">
      <c r="A2206" s="815" t="s">
        <v>726</v>
      </c>
      <c r="B2206" s="816" t="s">
        <v>7877</v>
      </c>
      <c r="C2206" s="729" t="s">
        <v>719</v>
      </c>
      <c r="D2206" s="460"/>
      <c r="E2206" s="878" t="s">
        <v>1909</v>
      </c>
      <c r="F2206" s="881" t="s">
        <v>6327</v>
      </c>
      <c r="G2206" s="731" t="s">
        <v>4487</v>
      </c>
      <c r="H2206" s="1083">
        <v>42370</v>
      </c>
      <c r="I2206" s="1084">
        <v>42480</v>
      </c>
      <c r="J2206" s="957">
        <v>-693.96</v>
      </c>
    </row>
    <row r="2207" spans="1:10" s="852" customFormat="1" ht="28.5" outlineLevel="2">
      <c r="A2207" s="815" t="s">
        <v>723</v>
      </c>
      <c r="B2207" s="816" t="s">
        <v>7864</v>
      </c>
      <c r="C2207" s="729" t="s">
        <v>719</v>
      </c>
      <c r="D2207" s="460"/>
      <c r="E2207" s="878" t="s">
        <v>1909</v>
      </c>
      <c r="F2207" s="881" t="s">
        <v>2889</v>
      </c>
      <c r="G2207" s="731" t="s">
        <v>4493</v>
      </c>
      <c r="H2207" s="1083">
        <v>42370</v>
      </c>
      <c r="I2207" s="1084">
        <v>42480</v>
      </c>
      <c r="J2207" s="957">
        <v>-104.32</v>
      </c>
    </row>
    <row r="2208" spans="1:10" s="852" customFormat="1" ht="28.5" outlineLevel="2">
      <c r="A2208" s="815" t="s">
        <v>723</v>
      </c>
      <c r="B2208" s="816" t="s">
        <v>7864</v>
      </c>
      <c r="C2208" s="729" t="s">
        <v>719</v>
      </c>
      <c r="D2208" s="460"/>
      <c r="E2208" s="878" t="s">
        <v>1909</v>
      </c>
      <c r="F2208" s="881" t="s">
        <v>2889</v>
      </c>
      <c r="G2208" s="731" t="s">
        <v>4494</v>
      </c>
      <c r="H2208" s="1083">
        <v>42370</v>
      </c>
      <c r="I2208" s="1084">
        <v>42480</v>
      </c>
      <c r="J2208" s="957">
        <v>-104.33</v>
      </c>
    </row>
    <row r="2209" spans="1:10" s="852" customFormat="1" ht="28.5" outlineLevel="2">
      <c r="A2209" s="815" t="s">
        <v>723</v>
      </c>
      <c r="B2209" s="816" t="s">
        <v>7864</v>
      </c>
      <c r="C2209" s="729" t="s">
        <v>719</v>
      </c>
      <c r="D2209" s="460"/>
      <c r="E2209" s="878" t="s">
        <v>1909</v>
      </c>
      <c r="F2209" s="881" t="s">
        <v>2889</v>
      </c>
      <c r="G2209" s="731" t="s">
        <v>4495</v>
      </c>
      <c r="H2209" s="1083">
        <v>42370</v>
      </c>
      <c r="I2209" s="1084">
        <v>42480</v>
      </c>
      <c r="J2209" s="957">
        <v>104.33</v>
      </c>
    </row>
    <row r="2210" spans="1:10" s="852" customFormat="1" ht="28.5" outlineLevel="2">
      <c r="A2210" s="815" t="s">
        <v>723</v>
      </c>
      <c r="B2210" s="816" t="s">
        <v>7864</v>
      </c>
      <c r="C2210" s="729" t="s">
        <v>719</v>
      </c>
      <c r="D2210" s="460"/>
      <c r="E2210" s="878" t="s">
        <v>1909</v>
      </c>
      <c r="F2210" s="881" t="s">
        <v>2889</v>
      </c>
      <c r="G2210" s="731" t="s">
        <v>4498</v>
      </c>
      <c r="H2210" s="1083">
        <v>42370</v>
      </c>
      <c r="I2210" s="1084">
        <v>42480</v>
      </c>
      <c r="J2210" s="957">
        <v>104.32</v>
      </c>
    </row>
    <row r="2211" spans="1:10" s="852" customFormat="1" ht="28.5" outlineLevel="2">
      <c r="A2211" s="815" t="s">
        <v>723</v>
      </c>
      <c r="B2211" s="816" t="s">
        <v>7864</v>
      </c>
      <c r="C2211" s="729" t="s">
        <v>719</v>
      </c>
      <c r="D2211" s="460"/>
      <c r="E2211" s="878" t="s">
        <v>1909</v>
      </c>
      <c r="F2211" s="881" t="s">
        <v>2889</v>
      </c>
      <c r="G2211" s="731" t="s">
        <v>4504</v>
      </c>
      <c r="H2211" s="1083">
        <v>42370</v>
      </c>
      <c r="I2211" s="1084">
        <v>42480</v>
      </c>
      <c r="J2211" s="957">
        <v>104.32</v>
      </c>
    </row>
    <row r="2212" spans="1:10" s="852" customFormat="1" ht="28.5" outlineLevel="2">
      <c r="A2212" s="815" t="s">
        <v>723</v>
      </c>
      <c r="B2212" s="816" t="s">
        <v>7864</v>
      </c>
      <c r="C2212" s="729" t="s">
        <v>719</v>
      </c>
      <c r="D2212" s="460"/>
      <c r="E2212" s="878" t="s">
        <v>1909</v>
      </c>
      <c r="F2212" s="881" t="s">
        <v>3575</v>
      </c>
      <c r="G2212" s="731" t="s">
        <v>4506</v>
      </c>
      <c r="H2212" s="1083">
        <v>42370</v>
      </c>
      <c r="I2212" s="1084">
        <v>42480</v>
      </c>
      <c r="J2212" s="957">
        <v>-154.4</v>
      </c>
    </row>
    <row r="2213" spans="1:10" s="852" customFormat="1" ht="28.5" outlineLevel="2">
      <c r="A2213" s="815" t="s">
        <v>723</v>
      </c>
      <c r="B2213" s="816" t="s">
        <v>7864</v>
      </c>
      <c r="C2213" s="729" t="s">
        <v>719</v>
      </c>
      <c r="D2213" s="460"/>
      <c r="E2213" s="878" t="s">
        <v>1909</v>
      </c>
      <c r="F2213" s="881" t="s">
        <v>3575</v>
      </c>
      <c r="G2213" s="731" t="s">
        <v>4507</v>
      </c>
      <c r="H2213" s="1083">
        <v>42370</v>
      </c>
      <c r="I2213" s="1084">
        <v>42480</v>
      </c>
      <c r="J2213" s="957">
        <v>154.4</v>
      </c>
    </row>
    <row r="2214" spans="1:10" s="852" customFormat="1" ht="28.5" outlineLevel="2">
      <c r="A2214" s="815" t="s">
        <v>723</v>
      </c>
      <c r="B2214" s="816" t="s">
        <v>7864</v>
      </c>
      <c r="C2214" s="729" t="s">
        <v>719</v>
      </c>
      <c r="D2214" s="460"/>
      <c r="E2214" s="878" t="s">
        <v>1909</v>
      </c>
      <c r="F2214" s="881" t="s">
        <v>3575</v>
      </c>
      <c r="G2214" s="731" t="s">
        <v>4509</v>
      </c>
      <c r="H2214" s="1083">
        <v>42370</v>
      </c>
      <c r="I2214" s="1084">
        <v>42480</v>
      </c>
      <c r="J2214" s="957">
        <v>154.4</v>
      </c>
    </row>
    <row r="2215" spans="1:10" s="852" customFormat="1" ht="28.5" outlineLevel="2">
      <c r="A2215" s="815" t="s">
        <v>724</v>
      </c>
      <c r="B2215" s="816" t="s">
        <v>7885</v>
      </c>
      <c r="C2215" s="729" t="s">
        <v>719</v>
      </c>
      <c r="D2215" s="460"/>
      <c r="E2215" s="878" t="s">
        <v>1909</v>
      </c>
      <c r="F2215" s="881" t="s">
        <v>2960</v>
      </c>
      <c r="G2215" s="731" t="s">
        <v>4497</v>
      </c>
      <c r="H2215" s="1083">
        <v>42370</v>
      </c>
      <c r="I2215" s="1084">
        <v>42480</v>
      </c>
      <c r="J2215" s="957">
        <v>553.26</v>
      </c>
    </row>
    <row r="2216" spans="1:10" s="852" customFormat="1" ht="28.5" outlineLevel="2">
      <c r="A2216" s="815" t="s">
        <v>724</v>
      </c>
      <c r="B2216" s="816" t="s">
        <v>7885</v>
      </c>
      <c r="C2216" s="729" t="s">
        <v>719</v>
      </c>
      <c r="D2216" s="460"/>
      <c r="E2216" s="878" t="s">
        <v>1909</v>
      </c>
      <c r="F2216" s="881" t="s">
        <v>2960</v>
      </c>
      <c r="G2216" s="731" t="s">
        <v>4501</v>
      </c>
      <c r="H2216" s="1083">
        <v>42370</v>
      </c>
      <c r="I2216" s="1084">
        <v>42480</v>
      </c>
      <c r="J2216" s="957">
        <v>553.26</v>
      </c>
    </row>
    <row r="2217" spans="1:10" s="852" customFormat="1" ht="28.5" outlineLevel="2">
      <c r="A2217" s="815" t="s">
        <v>724</v>
      </c>
      <c r="B2217" s="816" t="s">
        <v>7885</v>
      </c>
      <c r="C2217" s="729" t="s">
        <v>719</v>
      </c>
      <c r="D2217" s="460"/>
      <c r="E2217" s="878" t="s">
        <v>1909</v>
      </c>
      <c r="F2217" s="881" t="s">
        <v>2960</v>
      </c>
      <c r="G2217" s="731" t="s">
        <v>4503</v>
      </c>
      <c r="H2217" s="1083">
        <v>42370</v>
      </c>
      <c r="I2217" s="1084">
        <v>42480</v>
      </c>
      <c r="J2217" s="957">
        <v>-553.26</v>
      </c>
    </row>
    <row r="2218" spans="1:10" s="852" customFormat="1" outlineLevel="2">
      <c r="A2218" s="815" t="s">
        <v>1761</v>
      </c>
      <c r="B2218" s="816" t="s">
        <v>7871</v>
      </c>
      <c r="C2218" s="729" t="s">
        <v>719</v>
      </c>
      <c r="D2218" s="460"/>
      <c r="E2218" s="878" t="s">
        <v>1752</v>
      </c>
      <c r="F2218" s="881" t="s">
        <v>1753</v>
      </c>
      <c r="G2218" s="731" t="s">
        <v>5656</v>
      </c>
      <c r="H2218" s="1083">
        <v>42430</v>
      </c>
      <c r="I2218" s="1084">
        <v>42475</v>
      </c>
      <c r="J2218" s="957">
        <v>3285.87</v>
      </c>
    </row>
    <row r="2219" spans="1:10" s="852" customFormat="1" outlineLevel="2">
      <c r="A2219" s="815" t="s">
        <v>6417</v>
      </c>
      <c r="B2219" s="816" t="s">
        <v>7873</v>
      </c>
      <c r="C2219" s="729" t="s">
        <v>719</v>
      </c>
      <c r="D2219" s="460"/>
      <c r="E2219" s="878" t="s">
        <v>441</v>
      </c>
      <c r="F2219" s="881" t="s">
        <v>431</v>
      </c>
      <c r="G2219" s="731" t="str">
        <f>"1459"</f>
        <v>1459</v>
      </c>
      <c r="H2219" s="1083">
        <v>42370</v>
      </c>
      <c r="I2219" s="1084">
        <v>42468</v>
      </c>
      <c r="J2219" s="957">
        <v>160</v>
      </c>
    </row>
    <row r="2220" spans="1:10" s="852" customFormat="1" outlineLevel="2">
      <c r="A2220" s="815" t="s">
        <v>2301</v>
      </c>
      <c r="B2220" s="816" t="s">
        <v>7873</v>
      </c>
      <c r="C2220" s="729" t="s">
        <v>719</v>
      </c>
      <c r="D2220" s="460"/>
      <c r="E2220" s="878" t="s">
        <v>441</v>
      </c>
      <c r="F2220" s="881" t="s">
        <v>2299</v>
      </c>
      <c r="G2220" s="731" t="s">
        <v>5661</v>
      </c>
      <c r="H2220" s="1083">
        <v>42430</v>
      </c>
      <c r="I2220" s="1084">
        <v>42475</v>
      </c>
      <c r="J2220" s="957">
        <v>312.23</v>
      </c>
    </row>
    <row r="2221" spans="1:10" s="852" customFormat="1" outlineLevel="1">
      <c r="A2221" s="815"/>
      <c r="B2221" s="816" t="s">
        <v>258</v>
      </c>
      <c r="C2221" s="908" t="s">
        <v>719</v>
      </c>
      <c r="D2221" s="928" t="str">
        <f>VLOOKUP(C2221,$C$3691:$D$3771,2,FALSE)</f>
        <v>TOTAL POUPATEMPO  SÃO JOSÉ DOS CAMPOS</v>
      </c>
      <c r="E2221" s="1085"/>
      <c r="F2221" s="929"/>
      <c r="G2221" s="910"/>
      <c r="H2221" s="1086"/>
      <c r="I2221" s="1087"/>
      <c r="J2221" s="930">
        <f>SUBTOTAL(9,J2130:J2220)</f>
        <v>451098.37000000005</v>
      </c>
    </row>
    <row r="2222" spans="1:10" s="852" customFormat="1" outlineLevel="2">
      <c r="A2222" s="815" t="s">
        <v>1396</v>
      </c>
      <c r="B2222" s="816" t="s">
        <v>7892</v>
      </c>
      <c r="C2222" s="729" t="s">
        <v>459</v>
      </c>
      <c r="D2222" s="460"/>
      <c r="E2222" s="878" t="s">
        <v>1397</v>
      </c>
      <c r="F2222" s="881" t="s">
        <v>1398</v>
      </c>
      <c r="G2222" s="731" t="s">
        <v>5629</v>
      </c>
      <c r="H2222" s="1083">
        <v>42401</v>
      </c>
      <c r="I2222" s="1084">
        <v>42474</v>
      </c>
      <c r="J2222" s="957">
        <v>33.58</v>
      </c>
    </row>
    <row r="2223" spans="1:10" s="852" customFormat="1" outlineLevel="2">
      <c r="A2223" s="815" t="s">
        <v>5914</v>
      </c>
      <c r="B2223" s="816" t="s">
        <v>7882</v>
      </c>
      <c r="C2223" s="729" t="s">
        <v>459</v>
      </c>
      <c r="D2223" s="460"/>
      <c r="E2223" s="878" t="s">
        <v>721</v>
      </c>
      <c r="F2223" s="881" t="s">
        <v>1030</v>
      </c>
      <c r="G2223" s="731" t="s">
        <v>5922</v>
      </c>
      <c r="H2223" s="1083">
        <v>42401</v>
      </c>
      <c r="I2223" s="1084">
        <v>42466</v>
      </c>
      <c r="J2223" s="957">
        <v>-103.05</v>
      </c>
    </row>
    <row r="2224" spans="1:10" s="852" customFormat="1" outlineLevel="2">
      <c r="A2224" s="815" t="s">
        <v>5915</v>
      </c>
      <c r="B2224" s="816" t="s">
        <v>7883</v>
      </c>
      <c r="C2224" s="729" t="s">
        <v>459</v>
      </c>
      <c r="D2224" s="460"/>
      <c r="E2224" s="878" t="s">
        <v>721</v>
      </c>
      <c r="F2224" s="881" t="s">
        <v>1030</v>
      </c>
      <c r="G2224" s="731" t="s">
        <v>5922</v>
      </c>
      <c r="H2224" s="1083">
        <v>42401</v>
      </c>
      <c r="I2224" s="1084">
        <v>42466</v>
      </c>
      <c r="J2224" s="957">
        <v>-24.53</v>
      </c>
    </row>
    <row r="2225" spans="1:10" s="852" customFormat="1" outlineLevel="2">
      <c r="A2225" s="815" t="s">
        <v>5915</v>
      </c>
      <c r="B2225" s="816" t="s">
        <v>7883</v>
      </c>
      <c r="C2225" s="729" t="s">
        <v>459</v>
      </c>
      <c r="D2225" s="460"/>
      <c r="E2225" s="878" t="s">
        <v>721</v>
      </c>
      <c r="F2225" s="881" t="s">
        <v>426</v>
      </c>
      <c r="G2225" s="731" t="str">
        <f>"2026"</f>
        <v>2026</v>
      </c>
      <c r="H2225" s="1083">
        <v>42401</v>
      </c>
      <c r="I2225" s="1084">
        <v>42466</v>
      </c>
      <c r="J2225" s="957">
        <v>137430.81</v>
      </c>
    </row>
    <row r="2226" spans="1:10" s="852" customFormat="1" outlineLevel="2">
      <c r="A2226" s="815" t="s">
        <v>5914</v>
      </c>
      <c r="B2226" s="816" t="s">
        <v>7882</v>
      </c>
      <c r="C2226" s="729" t="s">
        <v>459</v>
      </c>
      <c r="D2226" s="460"/>
      <c r="E2226" s="878" t="s">
        <v>721</v>
      </c>
      <c r="F2226" s="881" t="s">
        <v>426</v>
      </c>
      <c r="G2226" s="731" t="str">
        <f>"2026"</f>
        <v>2026</v>
      </c>
      <c r="H2226" s="1083">
        <v>42401</v>
      </c>
      <c r="I2226" s="1084">
        <v>42466</v>
      </c>
      <c r="J2226" s="957">
        <v>577209.42000000004</v>
      </c>
    </row>
    <row r="2227" spans="1:10" s="852" customFormat="1" outlineLevel="2">
      <c r="A2227" s="815" t="s">
        <v>6490</v>
      </c>
      <c r="B2227" s="816" t="s">
        <v>6503</v>
      </c>
      <c r="C2227" s="729" t="s">
        <v>459</v>
      </c>
      <c r="D2227" s="460"/>
      <c r="E2227" s="878" t="s">
        <v>866</v>
      </c>
      <c r="F2227" s="881" t="s">
        <v>428</v>
      </c>
      <c r="G2227" s="731" t="s">
        <v>5737</v>
      </c>
      <c r="H2227" s="1083">
        <v>42461</v>
      </c>
      <c r="I2227" s="1084">
        <v>42488</v>
      </c>
      <c r="J2227" s="957">
        <v>120</v>
      </c>
    </row>
    <row r="2228" spans="1:10" s="852" customFormat="1" outlineLevel="2">
      <c r="A2228" s="815" t="s">
        <v>6490</v>
      </c>
      <c r="B2228" s="816" t="s">
        <v>6503</v>
      </c>
      <c r="C2228" s="729" t="s">
        <v>459</v>
      </c>
      <c r="D2228" s="460"/>
      <c r="E2228" s="878" t="s">
        <v>866</v>
      </c>
      <c r="F2228" s="881" t="s">
        <v>428</v>
      </c>
      <c r="G2228" s="731" t="s">
        <v>5737</v>
      </c>
      <c r="H2228" s="1083">
        <v>42461</v>
      </c>
      <c r="I2228" s="1084">
        <v>42488</v>
      </c>
      <c r="J2228" s="957">
        <v>120</v>
      </c>
    </row>
    <row r="2229" spans="1:10" s="852" customFormat="1" outlineLevel="2">
      <c r="A2229" s="815" t="s">
        <v>6490</v>
      </c>
      <c r="B2229" s="816" t="s">
        <v>6503</v>
      </c>
      <c r="C2229" s="729" t="s">
        <v>459</v>
      </c>
      <c r="D2229" s="460"/>
      <c r="E2229" s="878" t="s">
        <v>866</v>
      </c>
      <c r="F2229" s="881" t="s">
        <v>428</v>
      </c>
      <c r="G2229" s="731" t="s">
        <v>5737</v>
      </c>
      <c r="H2229" s="1083">
        <v>42461</v>
      </c>
      <c r="I2229" s="1084">
        <v>42488</v>
      </c>
      <c r="J2229" s="957">
        <v>120</v>
      </c>
    </row>
    <row r="2230" spans="1:10" s="852" customFormat="1" outlineLevel="2">
      <c r="A2230" s="815" t="s">
        <v>1612</v>
      </c>
      <c r="B2230" s="816" t="s">
        <v>7875</v>
      </c>
      <c r="C2230" s="729" t="s">
        <v>459</v>
      </c>
      <c r="D2230" s="460"/>
      <c r="E2230" s="878" t="s">
        <v>1613</v>
      </c>
      <c r="F2230" s="881" t="s">
        <v>1614</v>
      </c>
      <c r="G2230" s="731" t="s">
        <v>5534</v>
      </c>
      <c r="H2230" s="1083">
        <v>42401</v>
      </c>
      <c r="I2230" s="1084">
        <v>42464</v>
      </c>
      <c r="J2230" s="957">
        <v>3875.54</v>
      </c>
    </row>
    <row r="2231" spans="1:10" s="852" customFormat="1" outlineLevel="2">
      <c r="A2231" s="815" t="s">
        <v>2586</v>
      </c>
      <c r="B2231" s="816" t="s">
        <v>7896</v>
      </c>
      <c r="C2231" s="729" t="s">
        <v>459</v>
      </c>
      <c r="D2231" s="460"/>
      <c r="E2231" s="878" t="s">
        <v>419</v>
      </c>
      <c r="F2231" s="881" t="s">
        <v>395</v>
      </c>
      <c r="G2231" s="731" t="s">
        <v>5582</v>
      </c>
      <c r="H2231" s="1083">
        <v>42461</v>
      </c>
      <c r="I2231" s="1084">
        <v>42467</v>
      </c>
      <c r="J2231" s="957">
        <v>9110</v>
      </c>
    </row>
    <row r="2232" spans="1:10" s="852" customFormat="1" outlineLevel="2">
      <c r="A2232" s="815" t="s">
        <v>1286</v>
      </c>
      <c r="B2232" s="816" t="s">
        <v>7873</v>
      </c>
      <c r="C2232" s="729" t="s">
        <v>459</v>
      </c>
      <c r="D2232" s="460"/>
      <c r="E2232" s="878" t="s">
        <v>419</v>
      </c>
      <c r="F2232" s="881" t="s">
        <v>431</v>
      </c>
      <c r="G2232" s="731" t="s">
        <v>5638</v>
      </c>
      <c r="H2232" s="1083">
        <v>42430</v>
      </c>
      <c r="I2232" s="1084">
        <v>42475</v>
      </c>
      <c r="J2232" s="957">
        <v>487.48</v>
      </c>
    </row>
    <row r="2233" spans="1:10" s="852" customFormat="1" outlineLevel="2">
      <c r="A2233" s="815" t="s">
        <v>6447</v>
      </c>
      <c r="B2233" s="816" t="s">
        <v>7863</v>
      </c>
      <c r="C2233" s="729" t="s">
        <v>459</v>
      </c>
      <c r="D2233" s="460"/>
      <c r="E2233" s="878" t="s">
        <v>483</v>
      </c>
      <c r="F2233" s="881" t="s">
        <v>2208</v>
      </c>
      <c r="G2233" s="731" t="str">
        <f>"16992"</f>
        <v>16992</v>
      </c>
      <c r="H2233" s="1083">
        <v>42401</v>
      </c>
      <c r="I2233" s="1084">
        <v>42473</v>
      </c>
      <c r="J2233" s="957">
        <v>96615.69</v>
      </c>
    </row>
    <row r="2234" spans="1:10" s="852" customFormat="1" outlineLevel="2">
      <c r="A2234" s="815" t="s">
        <v>732</v>
      </c>
      <c r="B2234" s="816" t="s">
        <v>7885</v>
      </c>
      <c r="C2234" s="729" t="s">
        <v>459</v>
      </c>
      <c r="D2234" s="460"/>
      <c r="E2234" s="878" t="s">
        <v>733</v>
      </c>
      <c r="F2234" s="881" t="s">
        <v>1378</v>
      </c>
      <c r="G2234" s="731" t="s">
        <v>5538</v>
      </c>
      <c r="H2234" s="1083">
        <v>42401</v>
      </c>
      <c r="I2234" s="1084">
        <v>42464</v>
      </c>
      <c r="J2234" s="957">
        <v>18381.84</v>
      </c>
    </row>
    <row r="2235" spans="1:10" s="852" customFormat="1" ht="28.5" outlineLevel="2">
      <c r="A2235" s="815" t="s">
        <v>1413</v>
      </c>
      <c r="B2235" s="816" t="s">
        <v>7876</v>
      </c>
      <c r="C2235" s="729" t="s">
        <v>459</v>
      </c>
      <c r="D2235" s="460"/>
      <c r="E2235" s="878" t="s">
        <v>1410</v>
      </c>
      <c r="F2235" s="881" t="s">
        <v>1424</v>
      </c>
      <c r="G2235" s="731" t="s">
        <v>5525</v>
      </c>
      <c r="H2235" s="1083">
        <v>42430</v>
      </c>
      <c r="I2235" s="1084">
        <v>42461</v>
      </c>
      <c r="J2235" s="957">
        <v>3012.08</v>
      </c>
    </row>
    <row r="2236" spans="1:10" s="852" customFormat="1" ht="28.5" outlineLevel="2">
      <c r="A2236" s="815" t="s">
        <v>1413</v>
      </c>
      <c r="B2236" s="816" t="s">
        <v>7876</v>
      </c>
      <c r="C2236" s="729" t="s">
        <v>459</v>
      </c>
      <c r="D2236" s="460"/>
      <c r="E2236" s="878" t="s">
        <v>1410</v>
      </c>
      <c r="F2236" s="881" t="s">
        <v>1411</v>
      </c>
      <c r="G2236" s="731" t="s">
        <v>5578</v>
      </c>
      <c r="H2236" s="1083">
        <v>42430</v>
      </c>
      <c r="I2236" s="1084">
        <v>42466</v>
      </c>
      <c r="J2236" s="957">
        <v>1080</v>
      </c>
    </row>
    <row r="2237" spans="1:10" s="852" customFormat="1" outlineLevel="2">
      <c r="A2237" s="815" t="s">
        <v>735</v>
      </c>
      <c r="B2237" s="816" t="s">
        <v>7877</v>
      </c>
      <c r="C2237" s="729" t="s">
        <v>459</v>
      </c>
      <c r="D2237" s="460"/>
      <c r="E2237" s="878" t="s">
        <v>683</v>
      </c>
      <c r="F2237" s="881" t="s">
        <v>1071</v>
      </c>
      <c r="G2237" s="731" t="s">
        <v>5547</v>
      </c>
      <c r="H2237" s="1083">
        <v>42430</v>
      </c>
      <c r="I2237" s="1084">
        <v>42464</v>
      </c>
      <c r="J2237" s="957">
        <v>14581.14</v>
      </c>
    </row>
    <row r="2238" spans="1:10" s="852" customFormat="1" outlineLevel="2">
      <c r="A2238" s="815" t="s">
        <v>735</v>
      </c>
      <c r="B2238" s="816" t="s">
        <v>7877</v>
      </c>
      <c r="C2238" s="729" t="s">
        <v>459</v>
      </c>
      <c r="D2238" s="460"/>
      <c r="E2238" s="878" t="s">
        <v>683</v>
      </c>
      <c r="F2238" s="881" t="s">
        <v>1071</v>
      </c>
      <c r="G2238" s="731" t="s">
        <v>5555</v>
      </c>
      <c r="H2238" s="1083">
        <v>42430</v>
      </c>
      <c r="I2238" s="1084">
        <v>42464</v>
      </c>
      <c r="J2238" s="957">
        <v>4107.8100000000004</v>
      </c>
    </row>
    <row r="2239" spans="1:10" s="852" customFormat="1" outlineLevel="2">
      <c r="A2239" s="815" t="s">
        <v>738</v>
      </c>
      <c r="B2239" s="816" t="s">
        <v>7889</v>
      </c>
      <c r="C2239" s="729" t="s">
        <v>459</v>
      </c>
      <c r="D2239" s="460"/>
      <c r="E2239" s="878" t="s">
        <v>739</v>
      </c>
      <c r="F2239" s="881" t="s">
        <v>404</v>
      </c>
      <c r="G2239" s="731" t="s">
        <v>5609</v>
      </c>
      <c r="H2239" s="1083">
        <v>42401</v>
      </c>
      <c r="I2239" s="1084">
        <v>42471</v>
      </c>
      <c r="J2239" s="957">
        <v>350.12</v>
      </c>
    </row>
    <row r="2240" spans="1:10" s="852" customFormat="1" outlineLevel="2">
      <c r="A2240" s="815" t="s">
        <v>5933</v>
      </c>
      <c r="B2240" s="816" t="s">
        <v>7864</v>
      </c>
      <c r="C2240" s="729" t="s">
        <v>459</v>
      </c>
      <c r="D2240" s="460"/>
      <c r="E2240" s="878" t="s">
        <v>6470</v>
      </c>
      <c r="F2240" s="881" t="s">
        <v>434</v>
      </c>
      <c r="G2240" s="731" t="s">
        <v>6471</v>
      </c>
      <c r="H2240" s="1083">
        <v>42370</v>
      </c>
      <c r="I2240" s="1084">
        <v>42478</v>
      </c>
      <c r="J2240" s="957">
        <v>684.25</v>
      </c>
    </row>
    <row r="2241" spans="1:10" s="852" customFormat="1" outlineLevel="2">
      <c r="A2241" s="815" t="s">
        <v>5933</v>
      </c>
      <c r="B2241" s="816" t="s">
        <v>7864</v>
      </c>
      <c r="C2241" s="729" t="s">
        <v>459</v>
      </c>
      <c r="D2241" s="460"/>
      <c r="E2241" s="878" t="s">
        <v>6470</v>
      </c>
      <c r="F2241" s="881" t="s">
        <v>434</v>
      </c>
      <c r="G2241" s="731" t="s">
        <v>6471</v>
      </c>
      <c r="H2241" s="1083">
        <v>42370</v>
      </c>
      <c r="I2241" s="1084">
        <v>42478</v>
      </c>
      <c r="J2241" s="957">
        <v>-684.25</v>
      </c>
    </row>
    <row r="2242" spans="1:10" s="852" customFormat="1" outlineLevel="2">
      <c r="A2242" s="815" t="s">
        <v>5933</v>
      </c>
      <c r="B2242" s="816" t="s">
        <v>7864</v>
      </c>
      <c r="C2242" s="729" t="s">
        <v>459</v>
      </c>
      <c r="D2242" s="460"/>
      <c r="E2242" s="878" t="s">
        <v>6470</v>
      </c>
      <c r="F2242" s="881" t="s">
        <v>434</v>
      </c>
      <c r="G2242" s="731" t="s">
        <v>6471</v>
      </c>
      <c r="H2242" s="1083">
        <v>42370</v>
      </c>
      <c r="I2242" s="1084">
        <v>42478</v>
      </c>
      <c r="J2242" s="957">
        <v>-684.25</v>
      </c>
    </row>
    <row r="2243" spans="1:10" s="852" customFormat="1" outlineLevel="2">
      <c r="A2243" s="815" t="s">
        <v>5933</v>
      </c>
      <c r="B2243" s="816" t="s">
        <v>7864</v>
      </c>
      <c r="C2243" s="729" t="s">
        <v>459</v>
      </c>
      <c r="D2243" s="460"/>
      <c r="E2243" s="878" t="s">
        <v>6470</v>
      </c>
      <c r="F2243" s="881" t="s">
        <v>434</v>
      </c>
      <c r="G2243" s="731" t="str">
        <f>"2620"</f>
        <v>2620</v>
      </c>
      <c r="H2243" s="1083">
        <v>42370</v>
      </c>
      <c r="I2243" s="1084">
        <v>42478</v>
      </c>
      <c r="J2243" s="957">
        <v>-13731.79</v>
      </c>
    </row>
    <row r="2244" spans="1:10" s="852" customFormat="1" outlineLevel="2">
      <c r="A2244" s="815" t="s">
        <v>5933</v>
      </c>
      <c r="B2244" s="816" t="s">
        <v>7864</v>
      </c>
      <c r="C2244" s="729" t="s">
        <v>459</v>
      </c>
      <c r="D2244" s="460"/>
      <c r="E2244" s="878" t="s">
        <v>6470</v>
      </c>
      <c r="F2244" s="881" t="s">
        <v>434</v>
      </c>
      <c r="G2244" s="731" t="str">
        <f>"2620"</f>
        <v>2620</v>
      </c>
      <c r="H2244" s="1083">
        <v>42370</v>
      </c>
      <c r="I2244" s="1084">
        <v>42478</v>
      </c>
      <c r="J2244" s="957">
        <v>13731.79</v>
      </c>
    </row>
    <row r="2245" spans="1:10" s="852" customFormat="1" outlineLevel="2">
      <c r="A2245" s="815" t="s">
        <v>5933</v>
      </c>
      <c r="B2245" s="816" t="s">
        <v>7864</v>
      </c>
      <c r="C2245" s="729" t="s">
        <v>459</v>
      </c>
      <c r="D2245" s="460"/>
      <c r="E2245" s="878" t="s">
        <v>6470</v>
      </c>
      <c r="F2245" s="881" t="s">
        <v>434</v>
      </c>
      <c r="G2245" s="731" t="str">
        <f>"2620"</f>
        <v>2620</v>
      </c>
      <c r="H2245" s="1083">
        <v>42370</v>
      </c>
      <c r="I2245" s="1084">
        <v>42478</v>
      </c>
      <c r="J2245" s="957">
        <v>13731.79</v>
      </c>
    </row>
    <row r="2246" spans="1:10" s="852" customFormat="1" outlineLevel="2">
      <c r="A2246" s="815" t="s">
        <v>5933</v>
      </c>
      <c r="B2246" s="816" t="s">
        <v>7864</v>
      </c>
      <c r="C2246" s="729" t="s">
        <v>459</v>
      </c>
      <c r="D2246" s="460"/>
      <c r="E2246" s="878" t="s">
        <v>6470</v>
      </c>
      <c r="F2246" s="881" t="s">
        <v>434</v>
      </c>
      <c r="G2246" s="731" t="str">
        <f>"2620"</f>
        <v>2620</v>
      </c>
      <c r="H2246" s="1083">
        <v>42370</v>
      </c>
      <c r="I2246" s="1084">
        <v>42478</v>
      </c>
      <c r="J2246" s="957">
        <v>13731.79</v>
      </c>
    </row>
    <row r="2247" spans="1:10" s="852" customFormat="1" outlineLevel="2">
      <c r="A2247" s="815" t="s">
        <v>5933</v>
      </c>
      <c r="B2247" s="816" t="s">
        <v>7864</v>
      </c>
      <c r="C2247" s="729" t="s">
        <v>459</v>
      </c>
      <c r="D2247" s="460"/>
      <c r="E2247" s="878" t="s">
        <v>6470</v>
      </c>
      <c r="F2247" s="881" t="s">
        <v>434</v>
      </c>
      <c r="G2247" s="731" t="str">
        <f>"2620"</f>
        <v>2620</v>
      </c>
      <c r="H2247" s="1083">
        <v>42370</v>
      </c>
      <c r="I2247" s="1084">
        <v>42478</v>
      </c>
      <c r="J2247" s="957">
        <v>-13731.79</v>
      </c>
    </row>
    <row r="2248" spans="1:10" s="852" customFormat="1" ht="28.5" outlineLevel="2">
      <c r="A2248" s="815" t="s">
        <v>2213</v>
      </c>
      <c r="B2248" s="816" t="s">
        <v>7883</v>
      </c>
      <c r="C2248" s="729" t="s">
        <v>459</v>
      </c>
      <c r="D2248" s="460"/>
      <c r="E2248" s="878" t="s">
        <v>2336</v>
      </c>
      <c r="F2248" s="881" t="s">
        <v>5168</v>
      </c>
      <c r="G2248" s="731" t="s">
        <v>4519</v>
      </c>
      <c r="H2248" s="1083">
        <v>42401</v>
      </c>
      <c r="I2248" s="1084">
        <v>42480</v>
      </c>
      <c r="J2248" s="957">
        <v>14475.05</v>
      </c>
    </row>
    <row r="2249" spans="1:10" s="852" customFormat="1" ht="28.5" outlineLevel="2">
      <c r="A2249" s="815" t="s">
        <v>2214</v>
      </c>
      <c r="B2249" s="816" t="s">
        <v>7882</v>
      </c>
      <c r="C2249" s="729" t="s">
        <v>459</v>
      </c>
      <c r="D2249" s="460"/>
      <c r="E2249" s="878" t="s">
        <v>2336</v>
      </c>
      <c r="F2249" s="881" t="s">
        <v>5168</v>
      </c>
      <c r="G2249" s="731" t="s">
        <v>4519</v>
      </c>
      <c r="H2249" s="1083">
        <v>42401</v>
      </c>
      <c r="I2249" s="1084">
        <v>42480</v>
      </c>
      <c r="J2249" s="957">
        <v>60795.25</v>
      </c>
    </row>
    <row r="2250" spans="1:10" s="852" customFormat="1" outlineLevel="2">
      <c r="A2250" s="815" t="s">
        <v>736</v>
      </c>
      <c r="B2250" s="816" t="s">
        <v>7863</v>
      </c>
      <c r="C2250" s="729" t="s">
        <v>459</v>
      </c>
      <c r="D2250" s="460"/>
      <c r="E2250" s="878" t="s">
        <v>2336</v>
      </c>
      <c r="F2250" s="881" t="s">
        <v>4420</v>
      </c>
      <c r="G2250" s="731" t="s">
        <v>4518</v>
      </c>
      <c r="H2250" s="1083">
        <v>42401</v>
      </c>
      <c r="I2250" s="1084">
        <v>42480</v>
      </c>
      <c r="J2250" s="957">
        <v>13064.2</v>
      </c>
    </row>
    <row r="2251" spans="1:10" s="852" customFormat="1" outlineLevel="2">
      <c r="A2251" s="815" t="s">
        <v>732</v>
      </c>
      <c r="B2251" s="816" t="s">
        <v>7885</v>
      </c>
      <c r="C2251" s="729" t="s">
        <v>459</v>
      </c>
      <c r="D2251" s="460"/>
      <c r="E2251" s="878" t="s">
        <v>2336</v>
      </c>
      <c r="F2251" s="881" t="s">
        <v>6048</v>
      </c>
      <c r="G2251" s="731" t="s">
        <v>4514</v>
      </c>
      <c r="H2251" s="1083">
        <v>42401</v>
      </c>
      <c r="I2251" s="1084">
        <v>42480</v>
      </c>
      <c r="J2251" s="957">
        <v>2414.1799999999998</v>
      </c>
    </row>
    <row r="2252" spans="1:10" s="852" customFormat="1" outlineLevel="2">
      <c r="A2252" s="815" t="s">
        <v>734</v>
      </c>
      <c r="B2252" s="816" t="s">
        <v>7864</v>
      </c>
      <c r="C2252" s="729" t="s">
        <v>459</v>
      </c>
      <c r="D2252" s="460"/>
      <c r="E2252" s="878" t="s">
        <v>2336</v>
      </c>
      <c r="F2252" s="881" t="s">
        <v>3736</v>
      </c>
      <c r="G2252" s="731" t="s">
        <v>4516</v>
      </c>
      <c r="H2252" s="1083">
        <v>42401</v>
      </c>
      <c r="I2252" s="1084">
        <v>42480</v>
      </c>
      <c r="J2252" s="957">
        <v>1856.79</v>
      </c>
    </row>
    <row r="2253" spans="1:10" s="852" customFormat="1" outlineLevel="2">
      <c r="A2253" s="815" t="s">
        <v>734</v>
      </c>
      <c r="B2253" s="816" t="s">
        <v>7864</v>
      </c>
      <c r="C2253" s="729" t="s">
        <v>459</v>
      </c>
      <c r="D2253" s="460"/>
      <c r="E2253" s="878" t="s">
        <v>2336</v>
      </c>
      <c r="F2253" s="881" t="s">
        <v>3844</v>
      </c>
      <c r="G2253" s="731" t="s">
        <v>4517</v>
      </c>
      <c r="H2253" s="1083">
        <v>42401</v>
      </c>
      <c r="I2253" s="1084">
        <v>42480</v>
      </c>
      <c r="J2253" s="957">
        <v>1221.57</v>
      </c>
    </row>
    <row r="2254" spans="1:10" s="852" customFormat="1" outlineLevel="2">
      <c r="A2254" s="815" t="s">
        <v>734</v>
      </c>
      <c r="B2254" s="816" t="s">
        <v>7864</v>
      </c>
      <c r="C2254" s="729" t="s">
        <v>459</v>
      </c>
      <c r="D2254" s="460"/>
      <c r="E2254" s="878" t="s">
        <v>2336</v>
      </c>
      <c r="F2254" s="881" t="s">
        <v>3118</v>
      </c>
      <c r="G2254" s="731" t="s">
        <v>4515</v>
      </c>
      <c r="H2254" s="1083">
        <v>42401</v>
      </c>
      <c r="I2254" s="1084">
        <v>42480</v>
      </c>
      <c r="J2254" s="957">
        <v>1807.93</v>
      </c>
    </row>
    <row r="2255" spans="1:10" s="852" customFormat="1" outlineLevel="2">
      <c r="A2255" s="815" t="s">
        <v>5933</v>
      </c>
      <c r="B2255" s="816" t="s">
        <v>7864</v>
      </c>
      <c r="C2255" s="729" t="s">
        <v>459</v>
      </c>
      <c r="D2255" s="460"/>
      <c r="E2255" s="878" t="s">
        <v>2717</v>
      </c>
      <c r="F2255" s="881" t="s">
        <v>434</v>
      </c>
      <c r="G2255" s="731" t="str">
        <f>"3542"</f>
        <v>3542</v>
      </c>
      <c r="H2255" s="1083">
        <v>42401</v>
      </c>
      <c r="I2255" s="1084">
        <v>42467</v>
      </c>
      <c r="J2255" s="957">
        <v>9034.09</v>
      </c>
    </row>
    <row r="2256" spans="1:10" s="852" customFormat="1" outlineLevel="2">
      <c r="A2256" s="815" t="s">
        <v>5933</v>
      </c>
      <c r="B2256" s="816" t="s">
        <v>7864</v>
      </c>
      <c r="C2256" s="729" t="s">
        <v>459</v>
      </c>
      <c r="D2256" s="460"/>
      <c r="E2256" s="878" t="s">
        <v>409</v>
      </c>
      <c r="F2256" s="881" t="s">
        <v>434</v>
      </c>
      <c r="G2256" s="731" t="str">
        <f>"6699"</f>
        <v>6699</v>
      </c>
      <c r="H2256" s="1083">
        <v>42401</v>
      </c>
      <c r="I2256" s="1084">
        <v>42475</v>
      </c>
      <c r="J2256" s="957">
        <v>13370.44</v>
      </c>
    </row>
    <row r="2257" spans="1:10" s="852" customFormat="1" outlineLevel="2">
      <c r="A2257" s="815" t="s">
        <v>2734</v>
      </c>
      <c r="B2257" s="816" t="s">
        <v>7886</v>
      </c>
      <c r="C2257" s="729" t="s">
        <v>459</v>
      </c>
      <c r="D2257" s="460"/>
      <c r="E2257" s="878" t="s">
        <v>2306</v>
      </c>
      <c r="F2257" s="881" t="s">
        <v>2743</v>
      </c>
      <c r="G2257" s="731">
        <v>1282458</v>
      </c>
      <c r="H2257" s="1083">
        <v>42461</v>
      </c>
      <c r="I2257" s="1084">
        <v>42489</v>
      </c>
      <c r="J2257" s="957">
        <v>16.46</v>
      </c>
    </row>
    <row r="2258" spans="1:10" s="852" customFormat="1" outlineLevel="2">
      <c r="A2258" s="815" t="s">
        <v>2733</v>
      </c>
      <c r="B2258" s="816" t="s">
        <v>7887</v>
      </c>
      <c r="C2258" s="729" t="s">
        <v>459</v>
      </c>
      <c r="D2258" s="460"/>
      <c r="E2258" s="878" t="s">
        <v>2306</v>
      </c>
      <c r="F2258" s="881" t="s">
        <v>2742</v>
      </c>
      <c r="G2258" s="731">
        <v>1286218</v>
      </c>
      <c r="H2258" s="1083">
        <v>42461</v>
      </c>
      <c r="I2258" s="1084">
        <v>42489</v>
      </c>
      <c r="J2258" s="957">
        <v>282.8</v>
      </c>
    </row>
    <row r="2259" spans="1:10" s="852" customFormat="1" outlineLevel="2">
      <c r="A2259" s="815" t="s">
        <v>2733</v>
      </c>
      <c r="B2259" s="816" t="s">
        <v>7887</v>
      </c>
      <c r="C2259" s="729" t="s">
        <v>459</v>
      </c>
      <c r="D2259" s="460"/>
      <c r="E2259" s="878" t="s">
        <v>2306</v>
      </c>
      <c r="F2259" s="881" t="s">
        <v>2742</v>
      </c>
      <c r="G2259" s="731">
        <v>1282454</v>
      </c>
      <c r="H2259" s="1083">
        <v>42461</v>
      </c>
      <c r="I2259" s="1084">
        <v>42489</v>
      </c>
      <c r="J2259" s="957">
        <v>659.87</v>
      </c>
    </row>
    <row r="2260" spans="1:10" s="852" customFormat="1" outlineLevel="2">
      <c r="A2260" s="815" t="s">
        <v>738</v>
      </c>
      <c r="B2260" s="816" t="s">
        <v>7889</v>
      </c>
      <c r="C2260" s="729" t="s">
        <v>459</v>
      </c>
      <c r="D2260" s="460"/>
      <c r="E2260" s="878" t="s">
        <v>2282</v>
      </c>
      <c r="F2260" s="881" t="s">
        <v>6095</v>
      </c>
      <c r="G2260" s="731" t="s">
        <v>4520</v>
      </c>
      <c r="H2260" s="1083">
        <v>42401</v>
      </c>
      <c r="I2260" s="1084">
        <v>42471</v>
      </c>
      <c r="J2260" s="957">
        <v>18.43</v>
      </c>
    </row>
    <row r="2261" spans="1:10" s="852" customFormat="1" outlineLevel="2">
      <c r="A2261" s="815" t="s">
        <v>734</v>
      </c>
      <c r="B2261" s="816" t="s">
        <v>7864</v>
      </c>
      <c r="C2261" s="729" t="s">
        <v>459</v>
      </c>
      <c r="D2261" s="460"/>
      <c r="E2261" s="878" t="s">
        <v>2282</v>
      </c>
      <c r="F2261" s="881" t="s">
        <v>3119</v>
      </c>
      <c r="G2261" s="731" t="s">
        <v>4521</v>
      </c>
      <c r="H2261" s="1083">
        <v>42401</v>
      </c>
      <c r="I2261" s="1084">
        <v>42471</v>
      </c>
      <c r="J2261" s="957">
        <v>328.71</v>
      </c>
    </row>
    <row r="2262" spans="1:10" s="852" customFormat="1" outlineLevel="2">
      <c r="A2262" s="815" t="s">
        <v>732</v>
      </c>
      <c r="B2262" s="816" t="s">
        <v>7885</v>
      </c>
      <c r="C2262" s="729" t="s">
        <v>459</v>
      </c>
      <c r="D2262" s="460"/>
      <c r="E2262" s="878" t="s">
        <v>2282</v>
      </c>
      <c r="F2262" s="881" t="s">
        <v>3476</v>
      </c>
      <c r="G2262" s="731" t="s">
        <v>4522</v>
      </c>
      <c r="H2262" s="1083">
        <v>42401</v>
      </c>
      <c r="I2262" s="1084">
        <v>42471</v>
      </c>
      <c r="J2262" s="957">
        <v>510.4</v>
      </c>
    </row>
    <row r="2263" spans="1:10" s="852" customFormat="1" outlineLevel="2">
      <c r="A2263" s="815" t="s">
        <v>734</v>
      </c>
      <c r="B2263" s="816" t="s">
        <v>7864</v>
      </c>
      <c r="C2263" s="729" t="s">
        <v>459</v>
      </c>
      <c r="D2263" s="460"/>
      <c r="E2263" s="878" t="s">
        <v>2282</v>
      </c>
      <c r="F2263" s="881" t="s">
        <v>3738</v>
      </c>
      <c r="G2263" s="731" t="s">
        <v>4523</v>
      </c>
      <c r="H2263" s="1083">
        <v>42401</v>
      </c>
      <c r="I2263" s="1084">
        <v>42471</v>
      </c>
      <c r="J2263" s="957">
        <v>337.6</v>
      </c>
    </row>
    <row r="2264" spans="1:10" s="852" customFormat="1" outlineLevel="2">
      <c r="A2264" s="815" t="s">
        <v>734</v>
      </c>
      <c r="B2264" s="816" t="s">
        <v>7864</v>
      </c>
      <c r="C2264" s="729" t="s">
        <v>459</v>
      </c>
      <c r="D2264" s="460"/>
      <c r="E2264" s="878" t="s">
        <v>2282</v>
      </c>
      <c r="F2264" s="881" t="s">
        <v>3846</v>
      </c>
      <c r="G2264" s="731" t="s">
        <v>4524</v>
      </c>
      <c r="H2264" s="1083">
        <v>42401</v>
      </c>
      <c r="I2264" s="1084">
        <v>42471</v>
      </c>
      <c r="J2264" s="957">
        <v>222.1</v>
      </c>
    </row>
    <row r="2265" spans="1:10" s="852" customFormat="1" outlineLevel="2">
      <c r="A2265" s="815" t="s">
        <v>950</v>
      </c>
      <c r="B2265" s="816" t="s">
        <v>7866</v>
      </c>
      <c r="C2265" s="729" t="s">
        <v>459</v>
      </c>
      <c r="D2265" s="460"/>
      <c r="E2265" s="878" t="s">
        <v>2282</v>
      </c>
      <c r="F2265" s="881" t="s">
        <v>3974</v>
      </c>
      <c r="G2265" s="731" t="s">
        <v>2779</v>
      </c>
      <c r="H2265" s="1083">
        <v>42401</v>
      </c>
      <c r="I2265" s="1084">
        <v>42471</v>
      </c>
      <c r="J2265" s="957">
        <v>2651.36</v>
      </c>
    </row>
    <row r="2266" spans="1:10" s="852" customFormat="1" outlineLevel="2">
      <c r="A2266" s="815" t="s">
        <v>950</v>
      </c>
      <c r="B2266" s="816" t="s">
        <v>7866</v>
      </c>
      <c r="C2266" s="729" t="s">
        <v>459</v>
      </c>
      <c r="D2266" s="460"/>
      <c r="E2266" s="878" t="s">
        <v>2282</v>
      </c>
      <c r="F2266" s="881" t="s">
        <v>4081</v>
      </c>
      <c r="G2266" s="731" t="s">
        <v>2781</v>
      </c>
      <c r="H2266" s="1083">
        <v>42401</v>
      </c>
      <c r="I2266" s="1084">
        <v>42471</v>
      </c>
      <c r="J2266" s="957">
        <v>84.78</v>
      </c>
    </row>
    <row r="2267" spans="1:10" s="852" customFormat="1" outlineLevel="2">
      <c r="A2267" s="815" t="s">
        <v>950</v>
      </c>
      <c r="B2267" s="816" t="s">
        <v>7866</v>
      </c>
      <c r="C2267" s="729" t="s">
        <v>459</v>
      </c>
      <c r="D2267" s="460"/>
      <c r="E2267" s="878" t="s">
        <v>2282</v>
      </c>
      <c r="F2267" s="881" t="s">
        <v>4165</v>
      </c>
      <c r="G2267" s="731" t="s">
        <v>2782</v>
      </c>
      <c r="H2267" s="1083">
        <v>42401</v>
      </c>
      <c r="I2267" s="1084">
        <v>42471</v>
      </c>
      <c r="J2267" s="957">
        <v>1000.34</v>
      </c>
    </row>
    <row r="2268" spans="1:10" s="852" customFormat="1" outlineLevel="2">
      <c r="A2268" s="815" t="s">
        <v>736</v>
      </c>
      <c r="B2268" s="816" t="s">
        <v>7863</v>
      </c>
      <c r="C2268" s="729" t="s">
        <v>459</v>
      </c>
      <c r="D2268" s="460"/>
      <c r="E2268" s="878" t="s">
        <v>2282</v>
      </c>
      <c r="F2268" s="881" t="s">
        <v>4422</v>
      </c>
      <c r="G2268" s="731" t="s">
        <v>4525</v>
      </c>
      <c r="H2268" s="1083">
        <v>42401</v>
      </c>
      <c r="I2268" s="1084">
        <v>42471</v>
      </c>
      <c r="J2268" s="957">
        <v>2375.31</v>
      </c>
    </row>
    <row r="2269" spans="1:10" s="852" customFormat="1" ht="28.5" outlineLevel="2">
      <c r="A2269" s="815" t="s">
        <v>737</v>
      </c>
      <c r="B2269" s="816" t="s">
        <v>7864</v>
      </c>
      <c r="C2269" s="729" t="s">
        <v>459</v>
      </c>
      <c r="D2269" s="460"/>
      <c r="E2269" s="878" t="s">
        <v>2282</v>
      </c>
      <c r="F2269" s="881" t="s">
        <v>5125</v>
      </c>
      <c r="G2269" s="731" t="s">
        <v>4526</v>
      </c>
      <c r="H2269" s="1083">
        <v>42430</v>
      </c>
      <c r="I2269" s="1084">
        <v>42471</v>
      </c>
      <c r="J2269" s="957">
        <v>35.4</v>
      </c>
    </row>
    <row r="2270" spans="1:10" s="852" customFormat="1" ht="28.5" outlineLevel="2">
      <c r="A2270" s="815" t="s">
        <v>2213</v>
      </c>
      <c r="B2270" s="816" t="s">
        <v>7883</v>
      </c>
      <c r="C2270" s="729" t="s">
        <v>459</v>
      </c>
      <c r="D2270" s="460"/>
      <c r="E2270" s="878" t="s">
        <v>2282</v>
      </c>
      <c r="F2270" s="881" t="s">
        <v>5170</v>
      </c>
      <c r="G2270" s="731" t="s">
        <v>4527</v>
      </c>
      <c r="H2270" s="1083">
        <v>42401</v>
      </c>
      <c r="I2270" s="1084">
        <v>42471</v>
      </c>
      <c r="J2270" s="957">
        <v>3289.78</v>
      </c>
    </row>
    <row r="2271" spans="1:10" s="852" customFormat="1" ht="28.5" outlineLevel="2">
      <c r="A2271" s="815" t="s">
        <v>2214</v>
      </c>
      <c r="B2271" s="816" t="s">
        <v>7882</v>
      </c>
      <c r="C2271" s="729" t="s">
        <v>459</v>
      </c>
      <c r="D2271" s="460"/>
      <c r="E2271" s="878" t="s">
        <v>2282</v>
      </c>
      <c r="F2271" s="881" t="s">
        <v>5170</v>
      </c>
      <c r="G2271" s="731" t="s">
        <v>4527</v>
      </c>
      <c r="H2271" s="1083">
        <v>42401</v>
      </c>
      <c r="I2271" s="1084">
        <v>42471</v>
      </c>
      <c r="J2271" s="957">
        <v>13817.1</v>
      </c>
    </row>
    <row r="2272" spans="1:10" s="852" customFormat="1" outlineLevel="2">
      <c r="A2272" s="815" t="s">
        <v>2263</v>
      </c>
      <c r="B2272" s="816" t="s">
        <v>7888</v>
      </c>
      <c r="C2272" s="729" t="s">
        <v>459</v>
      </c>
      <c r="D2272" s="460"/>
      <c r="E2272" s="878" t="s">
        <v>2710</v>
      </c>
      <c r="F2272" s="881" t="s">
        <v>4555</v>
      </c>
      <c r="G2272" s="731" t="s">
        <v>4223</v>
      </c>
      <c r="H2272" s="1083">
        <v>42401</v>
      </c>
      <c r="I2272" s="1084">
        <v>42475</v>
      </c>
      <c r="J2272" s="957">
        <v>18.05</v>
      </c>
    </row>
    <row r="2273" spans="1:10" s="852" customFormat="1" outlineLevel="2">
      <c r="A2273" s="815" t="s">
        <v>737</v>
      </c>
      <c r="B2273" s="816" t="s">
        <v>7864</v>
      </c>
      <c r="C2273" s="729" t="s">
        <v>459</v>
      </c>
      <c r="D2273" s="460"/>
      <c r="E2273" s="878" t="s">
        <v>455</v>
      </c>
      <c r="F2273" s="881" t="s">
        <v>434</v>
      </c>
      <c r="G2273" s="731" t="s">
        <v>6491</v>
      </c>
      <c r="H2273" s="1083">
        <v>42430</v>
      </c>
      <c r="I2273" s="1084">
        <v>42489</v>
      </c>
      <c r="J2273" s="957">
        <v>672.7</v>
      </c>
    </row>
    <row r="2274" spans="1:10" s="852" customFormat="1" ht="28.5" outlineLevel="2">
      <c r="A2274" s="815" t="s">
        <v>2213</v>
      </c>
      <c r="B2274" s="816" t="s">
        <v>7883</v>
      </c>
      <c r="C2274" s="729" t="s">
        <v>459</v>
      </c>
      <c r="D2274" s="460"/>
      <c r="E2274" s="878" t="s">
        <v>1909</v>
      </c>
      <c r="F2274" s="881" t="s">
        <v>5165</v>
      </c>
      <c r="G2274" s="731" t="s">
        <v>4562</v>
      </c>
      <c r="H2274" s="1083">
        <v>42401</v>
      </c>
      <c r="I2274" s="1084">
        <v>42480</v>
      </c>
      <c r="J2274" s="957">
        <v>1644.89</v>
      </c>
    </row>
    <row r="2275" spans="1:10" s="852" customFormat="1" ht="28.5" outlineLevel="2">
      <c r="A2275" s="815" t="s">
        <v>2214</v>
      </c>
      <c r="B2275" s="816" t="s">
        <v>7882</v>
      </c>
      <c r="C2275" s="729" t="s">
        <v>459</v>
      </c>
      <c r="D2275" s="460"/>
      <c r="E2275" s="878" t="s">
        <v>1909</v>
      </c>
      <c r="F2275" s="881" t="s">
        <v>5165</v>
      </c>
      <c r="G2275" s="731" t="s">
        <v>4562</v>
      </c>
      <c r="H2275" s="1083">
        <v>42401</v>
      </c>
      <c r="I2275" s="1084">
        <v>42480</v>
      </c>
      <c r="J2275" s="957">
        <v>6908.54</v>
      </c>
    </row>
    <row r="2276" spans="1:10" s="852" customFormat="1" outlineLevel="2">
      <c r="A2276" s="815" t="s">
        <v>950</v>
      </c>
      <c r="B2276" s="816" t="s">
        <v>7866</v>
      </c>
      <c r="C2276" s="729" t="s">
        <v>459</v>
      </c>
      <c r="D2276" s="460"/>
      <c r="E2276" s="878" t="s">
        <v>1909</v>
      </c>
      <c r="F2276" s="881" t="s">
        <v>3935</v>
      </c>
      <c r="G2276" s="731" t="s">
        <v>2817</v>
      </c>
      <c r="H2276" s="1083">
        <v>42401</v>
      </c>
      <c r="I2276" s="1084">
        <v>42480</v>
      </c>
      <c r="J2276" s="957">
        <v>795.41</v>
      </c>
    </row>
    <row r="2277" spans="1:10" s="852" customFormat="1" outlineLevel="2">
      <c r="A2277" s="815" t="s">
        <v>950</v>
      </c>
      <c r="B2277" s="816" t="s">
        <v>7866</v>
      </c>
      <c r="C2277" s="729" t="s">
        <v>459</v>
      </c>
      <c r="D2277" s="460"/>
      <c r="E2277" s="878" t="s">
        <v>1909</v>
      </c>
      <c r="F2277" s="881" t="s">
        <v>4027</v>
      </c>
      <c r="G2277" s="731" t="s">
        <v>2819</v>
      </c>
      <c r="H2277" s="1083">
        <v>42401</v>
      </c>
      <c r="I2277" s="1084">
        <v>42480</v>
      </c>
      <c r="J2277" s="957">
        <v>25.43</v>
      </c>
    </row>
    <row r="2278" spans="1:10" s="852" customFormat="1" outlineLevel="2">
      <c r="A2278" s="815" t="s">
        <v>950</v>
      </c>
      <c r="B2278" s="816" t="s">
        <v>7866</v>
      </c>
      <c r="C2278" s="729" t="s">
        <v>459</v>
      </c>
      <c r="D2278" s="460"/>
      <c r="E2278" s="878" t="s">
        <v>1909</v>
      </c>
      <c r="F2278" s="881" t="s">
        <v>4129</v>
      </c>
      <c r="G2278" s="731" t="s">
        <v>2821</v>
      </c>
      <c r="H2278" s="1083">
        <v>42401</v>
      </c>
      <c r="I2278" s="1084">
        <v>42480</v>
      </c>
      <c r="J2278" s="957">
        <v>300.10000000000002</v>
      </c>
    </row>
    <row r="2279" spans="1:10" s="852" customFormat="1" outlineLevel="2">
      <c r="A2279" s="815" t="s">
        <v>736</v>
      </c>
      <c r="B2279" s="816" t="s">
        <v>7863</v>
      </c>
      <c r="C2279" s="729" t="s">
        <v>459</v>
      </c>
      <c r="D2279" s="460"/>
      <c r="E2279" s="878" t="s">
        <v>1909</v>
      </c>
      <c r="F2279" s="881" t="s">
        <v>4418</v>
      </c>
      <c r="G2279" s="731" t="s">
        <v>4556</v>
      </c>
      <c r="H2279" s="1083">
        <v>42401</v>
      </c>
      <c r="I2279" s="1084">
        <v>42480</v>
      </c>
      <c r="J2279" s="957">
        <v>1187.6500000000001</v>
      </c>
    </row>
    <row r="2280" spans="1:10" s="852" customFormat="1" outlineLevel="2">
      <c r="A2280" s="815" t="s">
        <v>2263</v>
      </c>
      <c r="B2280" s="816" t="s">
        <v>7888</v>
      </c>
      <c r="C2280" s="729" t="s">
        <v>459</v>
      </c>
      <c r="D2280" s="460"/>
      <c r="E2280" s="878" t="s">
        <v>1909</v>
      </c>
      <c r="F2280" s="881" t="s">
        <v>4544</v>
      </c>
      <c r="G2280" s="731" t="s">
        <v>4260</v>
      </c>
      <c r="H2280" s="1083">
        <v>42401</v>
      </c>
      <c r="I2280" s="1084">
        <v>42480</v>
      </c>
      <c r="J2280" s="957">
        <v>13.53</v>
      </c>
    </row>
    <row r="2281" spans="1:10" s="852" customFormat="1" outlineLevel="2">
      <c r="A2281" s="815" t="s">
        <v>735</v>
      </c>
      <c r="B2281" s="816" t="s">
        <v>7877</v>
      </c>
      <c r="C2281" s="729" t="s">
        <v>459</v>
      </c>
      <c r="D2281" s="460"/>
      <c r="E2281" s="878" t="s">
        <v>1909</v>
      </c>
      <c r="F2281" s="881" t="s">
        <v>5163</v>
      </c>
      <c r="G2281" s="731" t="s">
        <v>4560</v>
      </c>
      <c r="H2281" s="1083">
        <v>42430</v>
      </c>
      <c r="I2281" s="1084">
        <v>42480</v>
      </c>
      <c r="J2281" s="957">
        <v>233.05</v>
      </c>
    </row>
    <row r="2282" spans="1:10" s="852" customFormat="1" outlineLevel="2">
      <c r="A2282" s="815" t="s">
        <v>735</v>
      </c>
      <c r="B2282" s="816" t="s">
        <v>7877</v>
      </c>
      <c r="C2282" s="729" t="s">
        <v>459</v>
      </c>
      <c r="D2282" s="460"/>
      <c r="E2282" s="878" t="s">
        <v>1909</v>
      </c>
      <c r="F2282" s="881" t="s">
        <v>4539</v>
      </c>
      <c r="G2282" s="731" t="s">
        <v>4557</v>
      </c>
      <c r="H2282" s="1083">
        <v>42430</v>
      </c>
      <c r="I2282" s="1084">
        <v>42480</v>
      </c>
      <c r="J2282" s="957">
        <v>65.650000000000006</v>
      </c>
    </row>
    <row r="2283" spans="1:10" s="852" customFormat="1" outlineLevel="2">
      <c r="A2283" s="815" t="s">
        <v>734</v>
      </c>
      <c r="B2283" s="816" t="s">
        <v>7864</v>
      </c>
      <c r="C2283" s="729" t="s">
        <v>459</v>
      </c>
      <c r="D2283" s="460"/>
      <c r="E2283" s="878" t="s">
        <v>1909</v>
      </c>
      <c r="F2283" s="881" t="s">
        <v>3735</v>
      </c>
      <c r="G2283" s="731" t="s">
        <v>4552</v>
      </c>
      <c r="H2283" s="1083">
        <v>42401</v>
      </c>
      <c r="I2283" s="1084">
        <v>42480</v>
      </c>
      <c r="J2283" s="957">
        <v>168.8</v>
      </c>
    </row>
    <row r="2284" spans="1:10" s="852" customFormat="1" outlineLevel="2">
      <c r="A2284" s="815" t="s">
        <v>734</v>
      </c>
      <c r="B2284" s="816" t="s">
        <v>7864</v>
      </c>
      <c r="C2284" s="729" t="s">
        <v>459</v>
      </c>
      <c r="D2284" s="460"/>
      <c r="E2284" s="878" t="s">
        <v>1909</v>
      </c>
      <c r="F2284" s="881" t="s">
        <v>3842</v>
      </c>
      <c r="G2284" s="731" t="s">
        <v>4554</v>
      </c>
      <c r="H2284" s="1083">
        <v>42401</v>
      </c>
      <c r="I2284" s="1084">
        <v>42480</v>
      </c>
      <c r="J2284" s="957">
        <v>111.05</v>
      </c>
    </row>
    <row r="2285" spans="1:10" s="852" customFormat="1" outlineLevel="2">
      <c r="A2285" s="815" t="s">
        <v>734</v>
      </c>
      <c r="B2285" s="816" t="s">
        <v>7864</v>
      </c>
      <c r="C2285" s="729" t="s">
        <v>459</v>
      </c>
      <c r="D2285" s="460"/>
      <c r="E2285" s="878" t="s">
        <v>1909</v>
      </c>
      <c r="F2285" s="881" t="s">
        <v>3117</v>
      </c>
      <c r="G2285" s="731" t="s">
        <v>4548</v>
      </c>
      <c r="H2285" s="1083">
        <v>42401</v>
      </c>
      <c r="I2285" s="1084">
        <v>42480</v>
      </c>
      <c r="J2285" s="957">
        <v>164.36</v>
      </c>
    </row>
    <row r="2286" spans="1:10" s="852" customFormat="1" ht="28.5" outlineLevel="2">
      <c r="A2286" s="815" t="s">
        <v>2213</v>
      </c>
      <c r="B2286" s="816" t="s">
        <v>7883</v>
      </c>
      <c r="C2286" s="729" t="s">
        <v>459</v>
      </c>
      <c r="D2286" s="460"/>
      <c r="E2286" s="878" t="s">
        <v>1909</v>
      </c>
      <c r="F2286" s="881" t="s">
        <v>6333</v>
      </c>
      <c r="G2286" s="731" t="s">
        <v>4532</v>
      </c>
      <c r="H2286" s="1083">
        <v>42370</v>
      </c>
      <c r="I2286" s="1084">
        <v>42480</v>
      </c>
      <c r="J2286" s="957">
        <v>7808.97</v>
      </c>
    </row>
    <row r="2287" spans="1:10" s="852" customFormat="1" ht="28.5" outlineLevel="2">
      <c r="A2287" s="815" t="s">
        <v>2214</v>
      </c>
      <c r="B2287" s="816" t="s">
        <v>7882</v>
      </c>
      <c r="C2287" s="729" t="s">
        <v>459</v>
      </c>
      <c r="D2287" s="460"/>
      <c r="E2287" s="878" t="s">
        <v>1909</v>
      </c>
      <c r="F2287" s="881" t="s">
        <v>6333</v>
      </c>
      <c r="G2287" s="731" t="s">
        <v>4532</v>
      </c>
      <c r="H2287" s="1083">
        <v>42370</v>
      </c>
      <c r="I2287" s="1084">
        <v>42480</v>
      </c>
      <c r="J2287" s="957">
        <v>32797.68</v>
      </c>
    </row>
    <row r="2288" spans="1:10" s="852" customFormat="1" ht="28.5" outlineLevel="2">
      <c r="A2288" s="815" t="s">
        <v>2213</v>
      </c>
      <c r="B2288" s="816" t="s">
        <v>7883</v>
      </c>
      <c r="C2288" s="729" t="s">
        <v>459</v>
      </c>
      <c r="D2288" s="460"/>
      <c r="E2288" s="878" t="s">
        <v>1909</v>
      </c>
      <c r="F2288" s="881" t="s">
        <v>6333</v>
      </c>
      <c r="G2288" s="731" t="s">
        <v>4535</v>
      </c>
      <c r="H2288" s="1083">
        <v>42370</v>
      </c>
      <c r="I2288" s="1084">
        <v>42480</v>
      </c>
      <c r="J2288" s="957">
        <v>7808.97</v>
      </c>
    </row>
    <row r="2289" spans="1:10" s="852" customFormat="1" ht="28.5" outlineLevel="2">
      <c r="A2289" s="815" t="s">
        <v>2214</v>
      </c>
      <c r="B2289" s="816" t="s">
        <v>7882</v>
      </c>
      <c r="C2289" s="729" t="s">
        <v>459</v>
      </c>
      <c r="D2289" s="460"/>
      <c r="E2289" s="878" t="s">
        <v>1909</v>
      </c>
      <c r="F2289" s="881" t="s">
        <v>6333</v>
      </c>
      <c r="G2289" s="731" t="s">
        <v>4535</v>
      </c>
      <c r="H2289" s="1083">
        <v>42370</v>
      </c>
      <c r="I2289" s="1084">
        <v>42480</v>
      </c>
      <c r="J2289" s="957">
        <v>32797.68</v>
      </c>
    </row>
    <row r="2290" spans="1:10" s="852" customFormat="1" ht="28.5" outlineLevel="2">
      <c r="A2290" s="815" t="s">
        <v>2213</v>
      </c>
      <c r="B2290" s="816" t="s">
        <v>7883</v>
      </c>
      <c r="C2290" s="729" t="s">
        <v>459</v>
      </c>
      <c r="D2290" s="460"/>
      <c r="E2290" s="878" t="s">
        <v>1909</v>
      </c>
      <c r="F2290" s="881" t="s">
        <v>6333</v>
      </c>
      <c r="G2290" s="731" t="s">
        <v>4537</v>
      </c>
      <c r="H2290" s="1083">
        <v>42370</v>
      </c>
      <c r="I2290" s="1084">
        <v>42480</v>
      </c>
      <c r="J2290" s="957">
        <v>-7808.97</v>
      </c>
    </row>
    <row r="2291" spans="1:10" s="852" customFormat="1" ht="28.5" outlineLevel="2">
      <c r="A2291" s="815" t="s">
        <v>2214</v>
      </c>
      <c r="B2291" s="816" t="s">
        <v>7882</v>
      </c>
      <c r="C2291" s="729" t="s">
        <v>459</v>
      </c>
      <c r="D2291" s="460"/>
      <c r="E2291" s="878" t="s">
        <v>1909</v>
      </c>
      <c r="F2291" s="881" t="s">
        <v>6333</v>
      </c>
      <c r="G2291" s="731" t="s">
        <v>4537</v>
      </c>
      <c r="H2291" s="1083">
        <v>42370</v>
      </c>
      <c r="I2291" s="1084">
        <v>42480</v>
      </c>
      <c r="J2291" s="957">
        <v>-32797.68</v>
      </c>
    </row>
    <row r="2292" spans="1:10" s="852" customFormat="1" ht="28.5" outlineLevel="2">
      <c r="A2292" s="815" t="s">
        <v>950</v>
      </c>
      <c r="B2292" s="816" t="s">
        <v>7866</v>
      </c>
      <c r="C2292" s="729" t="s">
        <v>459</v>
      </c>
      <c r="D2292" s="460"/>
      <c r="E2292" s="878" t="s">
        <v>1909</v>
      </c>
      <c r="F2292" s="881" t="s">
        <v>4956</v>
      </c>
      <c r="G2292" s="731" t="s">
        <v>2833</v>
      </c>
      <c r="H2292" s="1083">
        <v>42401</v>
      </c>
      <c r="I2292" s="1084">
        <v>42480</v>
      </c>
      <c r="J2292" s="957">
        <v>2465.77</v>
      </c>
    </row>
    <row r="2293" spans="1:10" s="852" customFormat="1" ht="28.5" outlineLevel="2">
      <c r="A2293" s="815" t="s">
        <v>950</v>
      </c>
      <c r="B2293" s="816" t="s">
        <v>7866</v>
      </c>
      <c r="C2293" s="729" t="s">
        <v>459</v>
      </c>
      <c r="D2293" s="460"/>
      <c r="E2293" s="878" t="s">
        <v>1909</v>
      </c>
      <c r="F2293" s="881" t="s">
        <v>4903</v>
      </c>
      <c r="G2293" s="731" t="s">
        <v>2832</v>
      </c>
      <c r="H2293" s="1083">
        <v>42401</v>
      </c>
      <c r="I2293" s="1084">
        <v>42480</v>
      </c>
      <c r="J2293" s="957">
        <v>78.849999999999994</v>
      </c>
    </row>
    <row r="2294" spans="1:10" s="852" customFormat="1" ht="28.5" outlineLevel="2">
      <c r="A2294" s="815" t="s">
        <v>950</v>
      </c>
      <c r="B2294" s="816" t="s">
        <v>7866</v>
      </c>
      <c r="C2294" s="729" t="s">
        <v>459</v>
      </c>
      <c r="D2294" s="460"/>
      <c r="E2294" s="878" t="s">
        <v>1909</v>
      </c>
      <c r="F2294" s="881" t="s">
        <v>4853</v>
      </c>
      <c r="G2294" s="731" t="s">
        <v>2831</v>
      </c>
      <c r="H2294" s="1083">
        <v>42401</v>
      </c>
      <c r="I2294" s="1084">
        <v>42480</v>
      </c>
      <c r="J2294" s="957">
        <v>930.32</v>
      </c>
    </row>
    <row r="2295" spans="1:10" s="852" customFormat="1" ht="28.5" outlineLevel="2">
      <c r="A2295" s="815" t="s">
        <v>736</v>
      </c>
      <c r="B2295" s="816" t="s">
        <v>7863</v>
      </c>
      <c r="C2295" s="729" t="s">
        <v>459</v>
      </c>
      <c r="D2295" s="460"/>
      <c r="E2295" s="878" t="s">
        <v>1909</v>
      </c>
      <c r="F2295" s="881" t="s">
        <v>6332</v>
      </c>
      <c r="G2295" s="731" t="s">
        <v>4530</v>
      </c>
      <c r="H2295" s="1083">
        <v>42370</v>
      </c>
      <c r="I2295" s="1084">
        <v>42480</v>
      </c>
      <c r="J2295" s="957">
        <v>5903.46</v>
      </c>
    </row>
    <row r="2296" spans="1:10" s="852" customFormat="1" ht="28.5" outlineLevel="2">
      <c r="A2296" s="815" t="s">
        <v>736</v>
      </c>
      <c r="B2296" s="816" t="s">
        <v>7863</v>
      </c>
      <c r="C2296" s="729" t="s">
        <v>459</v>
      </c>
      <c r="D2296" s="460"/>
      <c r="E2296" s="878" t="s">
        <v>1909</v>
      </c>
      <c r="F2296" s="881" t="s">
        <v>6332</v>
      </c>
      <c r="G2296" s="731" t="s">
        <v>4536</v>
      </c>
      <c r="H2296" s="1083">
        <v>42370</v>
      </c>
      <c r="I2296" s="1084">
        <v>42480</v>
      </c>
      <c r="J2296" s="957">
        <v>5903.46</v>
      </c>
    </row>
    <row r="2297" spans="1:10" s="852" customFormat="1" ht="28.5" outlineLevel="2">
      <c r="A2297" s="815" t="s">
        <v>736</v>
      </c>
      <c r="B2297" s="816" t="s">
        <v>7863</v>
      </c>
      <c r="C2297" s="729" t="s">
        <v>459</v>
      </c>
      <c r="D2297" s="460"/>
      <c r="E2297" s="878" t="s">
        <v>1909</v>
      </c>
      <c r="F2297" s="881" t="s">
        <v>6332</v>
      </c>
      <c r="G2297" s="731" t="s">
        <v>4538</v>
      </c>
      <c r="H2297" s="1083">
        <v>42370</v>
      </c>
      <c r="I2297" s="1084">
        <v>42480</v>
      </c>
      <c r="J2297" s="957">
        <v>-5903.46</v>
      </c>
    </row>
    <row r="2298" spans="1:10" s="852" customFormat="1" ht="28.5" outlineLevel="2">
      <c r="A2298" s="815" t="s">
        <v>2263</v>
      </c>
      <c r="B2298" s="816" t="s">
        <v>7888</v>
      </c>
      <c r="C2298" s="729" t="s">
        <v>459</v>
      </c>
      <c r="D2298" s="460"/>
      <c r="E2298" s="878" t="s">
        <v>1909</v>
      </c>
      <c r="F2298" s="881" t="s">
        <v>6310</v>
      </c>
      <c r="G2298" s="731" t="s">
        <v>4234</v>
      </c>
      <c r="H2298" s="1083">
        <v>42370</v>
      </c>
      <c r="I2298" s="1084">
        <v>42480</v>
      </c>
      <c r="J2298" s="957">
        <v>29.05</v>
      </c>
    </row>
    <row r="2299" spans="1:10" s="852" customFormat="1" ht="28.5" outlineLevel="2">
      <c r="A2299" s="815" t="s">
        <v>2263</v>
      </c>
      <c r="B2299" s="816" t="s">
        <v>7888</v>
      </c>
      <c r="C2299" s="729" t="s">
        <v>459</v>
      </c>
      <c r="D2299" s="460"/>
      <c r="E2299" s="878" t="s">
        <v>1909</v>
      </c>
      <c r="F2299" s="881" t="s">
        <v>6310</v>
      </c>
      <c r="G2299" s="731" t="s">
        <v>4235</v>
      </c>
      <c r="H2299" s="1083">
        <v>42370</v>
      </c>
      <c r="I2299" s="1084">
        <v>42480</v>
      </c>
      <c r="J2299" s="957">
        <v>34.18</v>
      </c>
    </row>
    <row r="2300" spans="1:10" s="852" customFormat="1" ht="28.5" outlineLevel="2">
      <c r="A2300" s="815" t="s">
        <v>2263</v>
      </c>
      <c r="B2300" s="816" t="s">
        <v>7888</v>
      </c>
      <c r="C2300" s="729" t="s">
        <v>459</v>
      </c>
      <c r="D2300" s="460"/>
      <c r="E2300" s="878" t="s">
        <v>1909</v>
      </c>
      <c r="F2300" s="881" t="s">
        <v>4694</v>
      </c>
      <c r="G2300" s="731" t="s">
        <v>4262</v>
      </c>
      <c r="H2300" s="1083">
        <v>42401</v>
      </c>
      <c r="I2300" s="1084">
        <v>42480</v>
      </c>
      <c r="J2300" s="957">
        <v>19.260000000000002</v>
      </c>
    </row>
    <row r="2301" spans="1:10" s="852" customFormat="1" ht="28.5" outlineLevel="2">
      <c r="A2301" s="815" t="s">
        <v>2263</v>
      </c>
      <c r="B2301" s="816" t="s">
        <v>7888</v>
      </c>
      <c r="C2301" s="729" t="s">
        <v>459</v>
      </c>
      <c r="D2301" s="460"/>
      <c r="E2301" s="878" t="s">
        <v>1909</v>
      </c>
      <c r="F2301" s="881" t="s">
        <v>4694</v>
      </c>
      <c r="G2301" s="731" t="s">
        <v>4264</v>
      </c>
      <c r="H2301" s="1083">
        <v>42401</v>
      </c>
      <c r="I2301" s="1084">
        <v>42480</v>
      </c>
      <c r="J2301" s="957">
        <v>22.7</v>
      </c>
    </row>
    <row r="2302" spans="1:10" s="852" customFormat="1" ht="28.5" outlineLevel="2">
      <c r="A2302" s="815" t="s">
        <v>735</v>
      </c>
      <c r="B2302" s="816" t="s">
        <v>7877</v>
      </c>
      <c r="C2302" s="729" t="s">
        <v>459</v>
      </c>
      <c r="D2302" s="460"/>
      <c r="E2302" s="878" t="s">
        <v>1909</v>
      </c>
      <c r="F2302" s="881" t="s">
        <v>6331</v>
      </c>
      <c r="G2302" s="731" t="s">
        <v>4528</v>
      </c>
      <c r="H2302" s="1083">
        <v>42370</v>
      </c>
      <c r="I2302" s="1084">
        <v>42480</v>
      </c>
      <c r="J2302" s="957">
        <v>934.14</v>
      </c>
    </row>
    <row r="2303" spans="1:10" s="852" customFormat="1" ht="28.5" outlineLevel="2">
      <c r="A2303" s="815" t="s">
        <v>735</v>
      </c>
      <c r="B2303" s="816" t="s">
        <v>7877</v>
      </c>
      <c r="C2303" s="729" t="s">
        <v>459</v>
      </c>
      <c r="D2303" s="460"/>
      <c r="E2303" s="878" t="s">
        <v>1909</v>
      </c>
      <c r="F2303" s="881" t="s">
        <v>6331</v>
      </c>
      <c r="G2303" s="731" t="s">
        <v>4534</v>
      </c>
      <c r="H2303" s="1083">
        <v>42370</v>
      </c>
      <c r="I2303" s="1084">
        <v>42480</v>
      </c>
      <c r="J2303" s="957">
        <v>934.13</v>
      </c>
    </row>
    <row r="2304" spans="1:10" s="852" customFormat="1" ht="28.5" outlineLevel="2">
      <c r="A2304" s="815" t="s">
        <v>735</v>
      </c>
      <c r="B2304" s="816" t="s">
        <v>7877</v>
      </c>
      <c r="C2304" s="729" t="s">
        <v>459</v>
      </c>
      <c r="D2304" s="460"/>
      <c r="E2304" s="878" t="s">
        <v>1909</v>
      </c>
      <c r="F2304" s="881" t="s">
        <v>6331</v>
      </c>
      <c r="G2304" s="731" t="s">
        <v>4540</v>
      </c>
      <c r="H2304" s="1083">
        <v>42370</v>
      </c>
      <c r="I2304" s="1084">
        <v>42480</v>
      </c>
      <c r="J2304" s="957">
        <v>-934.14</v>
      </c>
    </row>
    <row r="2305" spans="1:10" s="852" customFormat="1" ht="28.5" outlineLevel="2">
      <c r="A2305" s="815" t="s">
        <v>734</v>
      </c>
      <c r="B2305" s="816" t="s">
        <v>7864</v>
      </c>
      <c r="C2305" s="729" t="s">
        <v>459</v>
      </c>
      <c r="D2305" s="460"/>
      <c r="E2305" s="878" t="s">
        <v>1909</v>
      </c>
      <c r="F2305" s="881" t="s">
        <v>2882</v>
      </c>
      <c r="G2305" s="731" t="s">
        <v>4543</v>
      </c>
      <c r="H2305" s="1083">
        <v>42370</v>
      </c>
      <c r="I2305" s="1084">
        <v>42480</v>
      </c>
      <c r="J2305" s="957">
        <v>-516.39</v>
      </c>
    </row>
    <row r="2306" spans="1:10" s="852" customFormat="1" ht="28.5" outlineLevel="2">
      <c r="A2306" s="815" t="s">
        <v>734</v>
      </c>
      <c r="B2306" s="816" t="s">
        <v>7864</v>
      </c>
      <c r="C2306" s="729" t="s">
        <v>459</v>
      </c>
      <c r="D2306" s="460"/>
      <c r="E2306" s="878" t="s">
        <v>1909</v>
      </c>
      <c r="F2306" s="881" t="s">
        <v>2882</v>
      </c>
      <c r="G2306" s="731" t="s">
        <v>4545</v>
      </c>
      <c r="H2306" s="1083">
        <v>42370</v>
      </c>
      <c r="I2306" s="1084">
        <v>42480</v>
      </c>
      <c r="J2306" s="957">
        <v>-516.39</v>
      </c>
    </row>
    <row r="2307" spans="1:10" s="852" customFormat="1" ht="28.5" outlineLevel="2">
      <c r="A2307" s="815" t="s">
        <v>734</v>
      </c>
      <c r="B2307" s="816" t="s">
        <v>7864</v>
      </c>
      <c r="C2307" s="729" t="s">
        <v>459</v>
      </c>
      <c r="D2307" s="460"/>
      <c r="E2307" s="878" t="s">
        <v>1909</v>
      </c>
      <c r="F2307" s="881" t="s">
        <v>2882</v>
      </c>
      <c r="G2307" s="731" t="s">
        <v>4546</v>
      </c>
      <c r="H2307" s="1083">
        <v>42370</v>
      </c>
      <c r="I2307" s="1084">
        <v>42480</v>
      </c>
      <c r="J2307" s="957">
        <v>516.39</v>
      </c>
    </row>
    <row r="2308" spans="1:10" s="852" customFormat="1" ht="28.5" outlineLevel="2">
      <c r="A2308" s="815" t="s">
        <v>734</v>
      </c>
      <c r="B2308" s="816" t="s">
        <v>7864</v>
      </c>
      <c r="C2308" s="729" t="s">
        <v>459</v>
      </c>
      <c r="D2308" s="460"/>
      <c r="E2308" s="878" t="s">
        <v>1909</v>
      </c>
      <c r="F2308" s="881" t="s">
        <v>2882</v>
      </c>
      <c r="G2308" s="731" t="s">
        <v>4547</v>
      </c>
      <c r="H2308" s="1083">
        <v>42370</v>
      </c>
      <c r="I2308" s="1084">
        <v>42480</v>
      </c>
      <c r="J2308" s="957">
        <v>516.39</v>
      </c>
    </row>
    <row r="2309" spans="1:10" s="852" customFormat="1" ht="28.5" outlineLevel="2">
      <c r="A2309" s="815" t="s">
        <v>734</v>
      </c>
      <c r="B2309" s="816" t="s">
        <v>7864</v>
      </c>
      <c r="C2309" s="729" t="s">
        <v>459</v>
      </c>
      <c r="D2309" s="460"/>
      <c r="E2309" s="878" t="s">
        <v>1909</v>
      </c>
      <c r="F2309" s="881" t="s">
        <v>2882</v>
      </c>
      <c r="G2309" s="731" t="s">
        <v>4549</v>
      </c>
      <c r="H2309" s="1083">
        <v>42370</v>
      </c>
      <c r="I2309" s="1084">
        <v>42480</v>
      </c>
      <c r="J2309" s="957">
        <v>516.39</v>
      </c>
    </row>
    <row r="2310" spans="1:10" s="852" customFormat="1" ht="28.5" outlineLevel="2">
      <c r="A2310" s="815" t="s">
        <v>734</v>
      </c>
      <c r="B2310" s="816" t="s">
        <v>7864</v>
      </c>
      <c r="C2310" s="729" t="s">
        <v>459</v>
      </c>
      <c r="D2310" s="460"/>
      <c r="E2310" s="878" t="s">
        <v>1909</v>
      </c>
      <c r="F2310" s="881" t="s">
        <v>3581</v>
      </c>
      <c r="G2310" s="731" t="s">
        <v>4550</v>
      </c>
      <c r="H2310" s="1083">
        <v>42370</v>
      </c>
      <c r="I2310" s="1084">
        <v>42480</v>
      </c>
      <c r="J2310" s="957">
        <v>-764.26</v>
      </c>
    </row>
    <row r="2311" spans="1:10" s="852" customFormat="1" ht="28.5" outlineLevel="2">
      <c r="A2311" s="815" t="s">
        <v>734</v>
      </c>
      <c r="B2311" s="816" t="s">
        <v>7864</v>
      </c>
      <c r="C2311" s="729" t="s">
        <v>459</v>
      </c>
      <c r="D2311" s="460"/>
      <c r="E2311" s="878" t="s">
        <v>1909</v>
      </c>
      <c r="F2311" s="881" t="s">
        <v>3581</v>
      </c>
      <c r="G2311" s="731" t="s">
        <v>4551</v>
      </c>
      <c r="H2311" s="1083">
        <v>42370</v>
      </c>
      <c r="I2311" s="1084">
        <v>42480</v>
      </c>
      <c r="J2311" s="957">
        <v>764.26</v>
      </c>
    </row>
    <row r="2312" spans="1:10" s="852" customFormat="1" ht="28.5" outlineLevel="2">
      <c r="A2312" s="815" t="s">
        <v>734</v>
      </c>
      <c r="B2312" s="816" t="s">
        <v>7864</v>
      </c>
      <c r="C2312" s="729" t="s">
        <v>459</v>
      </c>
      <c r="D2312" s="460"/>
      <c r="E2312" s="878" t="s">
        <v>1909</v>
      </c>
      <c r="F2312" s="881" t="s">
        <v>3581</v>
      </c>
      <c r="G2312" s="731" t="s">
        <v>4553</v>
      </c>
      <c r="H2312" s="1083">
        <v>42370</v>
      </c>
      <c r="I2312" s="1084">
        <v>42480</v>
      </c>
      <c r="J2312" s="957">
        <v>764.26</v>
      </c>
    </row>
    <row r="2313" spans="1:10" s="852" customFormat="1" outlineLevel="2">
      <c r="A2313" s="815" t="s">
        <v>6416</v>
      </c>
      <c r="B2313" s="816" t="s">
        <v>7873</v>
      </c>
      <c r="C2313" s="729" t="s">
        <v>459</v>
      </c>
      <c r="D2313" s="460"/>
      <c r="E2313" s="878" t="s">
        <v>441</v>
      </c>
      <c r="F2313" s="881" t="s">
        <v>431</v>
      </c>
      <c r="G2313" s="731" t="str">
        <f>"1458"</f>
        <v>1458</v>
      </c>
      <c r="H2313" s="1083">
        <v>42370</v>
      </c>
      <c r="I2313" s="1084">
        <v>42468</v>
      </c>
      <c r="J2313" s="957">
        <v>44.4</v>
      </c>
    </row>
    <row r="2314" spans="1:10" s="852" customFormat="1" outlineLevel="2">
      <c r="A2314" s="815" t="s">
        <v>6416</v>
      </c>
      <c r="B2314" s="816" t="s">
        <v>7873</v>
      </c>
      <c r="C2314" s="729" t="s">
        <v>459</v>
      </c>
      <c r="D2314" s="460"/>
      <c r="E2314" s="878" t="s">
        <v>441</v>
      </c>
      <c r="F2314" s="881" t="s">
        <v>431</v>
      </c>
      <c r="G2314" s="731" t="str">
        <f>"1493"</f>
        <v>1493</v>
      </c>
      <c r="H2314" s="1083">
        <v>42401</v>
      </c>
      <c r="I2314" s="1084">
        <v>42468</v>
      </c>
      <c r="J2314" s="957">
        <v>101.9</v>
      </c>
    </row>
    <row r="2315" spans="1:10" s="852" customFormat="1" outlineLevel="2">
      <c r="A2315" s="815" t="s">
        <v>2297</v>
      </c>
      <c r="B2315" s="816" t="s">
        <v>7873</v>
      </c>
      <c r="C2315" s="729" t="s">
        <v>459</v>
      </c>
      <c r="D2315" s="460"/>
      <c r="E2315" s="878" t="s">
        <v>441</v>
      </c>
      <c r="F2315" s="881" t="s">
        <v>2299</v>
      </c>
      <c r="G2315" s="731" t="s">
        <v>5661</v>
      </c>
      <c r="H2315" s="1083">
        <v>42430</v>
      </c>
      <c r="I2315" s="1084">
        <v>42475</v>
      </c>
      <c r="J2315" s="957">
        <v>312.23</v>
      </c>
    </row>
    <row r="2316" spans="1:10" s="852" customFormat="1" outlineLevel="1">
      <c r="A2316" s="815"/>
      <c r="B2316" s="816" t="s">
        <v>258</v>
      </c>
      <c r="C2316" s="908" t="s">
        <v>459</v>
      </c>
      <c r="D2316" s="928" t="str">
        <f>VLOOKUP(C2316,$C$3691:$D$3771,2,FALSE)</f>
        <v>TOTAL POUPATEMPO  SÉ</v>
      </c>
      <c r="E2316" s="1085"/>
      <c r="F2316" s="929"/>
      <c r="G2316" s="910"/>
      <c r="H2316" s="1086"/>
      <c r="I2316" s="1087"/>
      <c r="J2316" s="930">
        <f>SUBTOTAL(9,J2222:J2315)</f>
        <v>1088298.17</v>
      </c>
    </row>
    <row r="2317" spans="1:10" s="852" customFormat="1" outlineLevel="2">
      <c r="A2317" s="815" t="s">
        <v>5896</v>
      </c>
      <c r="B2317" s="816" t="s">
        <v>7881</v>
      </c>
      <c r="C2317" s="729" t="s">
        <v>460</v>
      </c>
      <c r="D2317" s="460"/>
      <c r="E2317" s="878" t="s">
        <v>695</v>
      </c>
      <c r="F2317" s="881" t="s">
        <v>943</v>
      </c>
      <c r="G2317" s="731" t="s">
        <v>5518</v>
      </c>
      <c r="H2317" s="1083">
        <v>42401</v>
      </c>
      <c r="I2317" s="1084">
        <v>42461</v>
      </c>
      <c r="J2317" s="957">
        <v>444.46</v>
      </c>
    </row>
    <row r="2318" spans="1:10" s="852" customFormat="1" outlineLevel="2">
      <c r="A2318" s="815" t="s">
        <v>2210</v>
      </c>
      <c r="B2318" s="816" t="s">
        <v>7889</v>
      </c>
      <c r="C2318" s="729" t="s">
        <v>460</v>
      </c>
      <c r="D2318" s="460"/>
      <c r="E2318" s="878" t="s">
        <v>1373</v>
      </c>
      <c r="F2318" s="881" t="s">
        <v>404</v>
      </c>
      <c r="G2318" s="731" t="s">
        <v>5596</v>
      </c>
      <c r="H2318" s="1083">
        <v>42401</v>
      </c>
      <c r="I2318" s="1084">
        <v>42471</v>
      </c>
      <c r="J2318" s="957">
        <v>7549.06</v>
      </c>
    </row>
    <row r="2319" spans="1:10" s="852" customFormat="1" outlineLevel="2">
      <c r="A2319" s="815" t="s">
        <v>2210</v>
      </c>
      <c r="B2319" s="816" t="s">
        <v>7889</v>
      </c>
      <c r="C2319" s="729" t="s">
        <v>460</v>
      </c>
      <c r="D2319" s="460"/>
      <c r="E2319" s="878" t="s">
        <v>1373</v>
      </c>
      <c r="F2319" s="881" t="s">
        <v>404</v>
      </c>
      <c r="G2319" s="731" t="s">
        <v>2597</v>
      </c>
      <c r="H2319" s="1083">
        <v>42430</v>
      </c>
      <c r="I2319" s="1084">
        <v>42482</v>
      </c>
      <c r="J2319" s="957">
        <v>2690</v>
      </c>
    </row>
    <row r="2320" spans="1:10" s="852" customFormat="1" outlineLevel="2">
      <c r="A2320" s="815" t="s">
        <v>1657</v>
      </c>
      <c r="B2320" s="816" t="s">
        <v>7884</v>
      </c>
      <c r="C2320" s="729" t="s">
        <v>460</v>
      </c>
      <c r="D2320" s="460"/>
      <c r="E2320" s="878" t="s">
        <v>1638</v>
      </c>
      <c r="F2320" s="881" t="s">
        <v>1634</v>
      </c>
      <c r="G2320" s="731" t="s">
        <v>5688</v>
      </c>
      <c r="H2320" s="1083">
        <v>42430</v>
      </c>
      <c r="I2320" s="1084">
        <v>42480</v>
      </c>
      <c r="J2320" s="957">
        <v>4221.3999999999996</v>
      </c>
    </row>
    <row r="2321" spans="1:10" s="852" customFormat="1" outlineLevel="2">
      <c r="A2321" s="815" t="s">
        <v>1404</v>
      </c>
      <c r="B2321" s="816" t="s">
        <v>7892</v>
      </c>
      <c r="C2321" s="729" t="s">
        <v>460</v>
      </c>
      <c r="D2321" s="460"/>
      <c r="E2321" s="878" t="s">
        <v>1397</v>
      </c>
      <c r="F2321" s="881" t="s">
        <v>1398</v>
      </c>
      <c r="G2321" s="731" t="s">
        <v>5629</v>
      </c>
      <c r="H2321" s="1083">
        <v>42401</v>
      </c>
      <c r="I2321" s="1084">
        <v>42474</v>
      </c>
      <c r="J2321" s="957">
        <v>302.3</v>
      </c>
    </row>
    <row r="2322" spans="1:10" s="852" customFormat="1" outlineLevel="2">
      <c r="A2322" s="815" t="s">
        <v>5918</v>
      </c>
      <c r="B2322" s="816" t="s">
        <v>7883</v>
      </c>
      <c r="C2322" s="729" t="s">
        <v>460</v>
      </c>
      <c r="D2322" s="460"/>
      <c r="E2322" s="878" t="s">
        <v>721</v>
      </c>
      <c r="F2322" s="881" t="s">
        <v>1030</v>
      </c>
      <c r="G2322" s="731" t="str">
        <f>"2020"</f>
        <v>2020</v>
      </c>
      <c r="H2322" s="1083">
        <v>42401</v>
      </c>
      <c r="I2322" s="1084">
        <v>42466</v>
      </c>
      <c r="J2322" s="957">
        <v>6847.97</v>
      </c>
    </row>
    <row r="2323" spans="1:10" s="852" customFormat="1" outlineLevel="2">
      <c r="A2323" s="815" t="s">
        <v>5919</v>
      </c>
      <c r="B2323" s="816" t="s">
        <v>7882</v>
      </c>
      <c r="C2323" s="729" t="s">
        <v>460</v>
      </c>
      <c r="D2323" s="460"/>
      <c r="E2323" s="878" t="s">
        <v>721</v>
      </c>
      <c r="F2323" s="881" t="s">
        <v>1030</v>
      </c>
      <c r="G2323" s="731" t="str">
        <f>"2020"</f>
        <v>2020</v>
      </c>
      <c r="H2323" s="1083">
        <v>42401</v>
      </c>
      <c r="I2323" s="1084">
        <v>42466</v>
      </c>
      <c r="J2323" s="957">
        <v>87311.69</v>
      </c>
    </row>
    <row r="2324" spans="1:10" s="852" customFormat="1" outlineLevel="2">
      <c r="A2324" s="815" t="s">
        <v>1618</v>
      </c>
      <c r="B2324" s="816" t="s">
        <v>7875</v>
      </c>
      <c r="C2324" s="729" t="s">
        <v>460</v>
      </c>
      <c r="D2324" s="460"/>
      <c r="E2324" s="878" t="s">
        <v>1613</v>
      </c>
      <c r="F2324" s="881" t="s">
        <v>1614</v>
      </c>
      <c r="G2324" s="731" t="s">
        <v>5522</v>
      </c>
      <c r="H2324" s="1083">
        <v>42401</v>
      </c>
      <c r="I2324" s="1084">
        <v>42464</v>
      </c>
      <c r="J2324" s="957">
        <v>3875.54</v>
      </c>
    </row>
    <row r="2325" spans="1:10" s="852" customFormat="1" outlineLevel="2">
      <c r="A2325" s="815" t="s">
        <v>743</v>
      </c>
      <c r="B2325" s="816" t="s">
        <v>7885</v>
      </c>
      <c r="C2325" s="729" t="s">
        <v>460</v>
      </c>
      <c r="D2325" s="460"/>
      <c r="E2325" s="878" t="s">
        <v>733</v>
      </c>
      <c r="F2325" s="881" t="s">
        <v>1378</v>
      </c>
      <c r="G2325" s="731" t="s">
        <v>5537</v>
      </c>
      <c r="H2325" s="1083">
        <v>42401</v>
      </c>
      <c r="I2325" s="1084">
        <v>42464</v>
      </c>
      <c r="J2325" s="957">
        <v>22595.49</v>
      </c>
    </row>
    <row r="2326" spans="1:10" s="852" customFormat="1" ht="42.75" outlineLevel="2">
      <c r="A2326" s="815" t="s">
        <v>743</v>
      </c>
      <c r="B2326" s="816" t="s">
        <v>7885</v>
      </c>
      <c r="C2326" s="729" t="s">
        <v>460</v>
      </c>
      <c r="D2326" s="460"/>
      <c r="E2326" s="878" t="s">
        <v>733</v>
      </c>
      <c r="F2326" s="881" t="s">
        <v>426</v>
      </c>
      <c r="G2326" s="731" t="s">
        <v>5539</v>
      </c>
      <c r="H2326" s="1083">
        <v>42401</v>
      </c>
      <c r="I2326" s="1084">
        <v>42464</v>
      </c>
      <c r="J2326" s="957">
        <v>-6.34</v>
      </c>
    </row>
    <row r="2327" spans="1:10" s="852" customFormat="1" outlineLevel="2">
      <c r="A2327" s="815" t="s">
        <v>2273</v>
      </c>
      <c r="B2327" s="816" t="s">
        <v>7872</v>
      </c>
      <c r="C2327" s="729" t="s">
        <v>460</v>
      </c>
      <c r="D2327" s="460"/>
      <c r="E2327" s="878" t="s">
        <v>1695</v>
      </c>
      <c r="F2327" s="881" t="s">
        <v>1696</v>
      </c>
      <c r="G2327" s="731" t="s">
        <v>5607</v>
      </c>
      <c r="H2327" s="1083">
        <v>42430</v>
      </c>
      <c r="I2327" s="1084">
        <v>42471</v>
      </c>
      <c r="J2327" s="957">
        <v>66934.350000000006</v>
      </c>
    </row>
    <row r="2328" spans="1:10" s="852" customFormat="1" ht="28.5" outlineLevel="2">
      <c r="A2328" s="815" t="s">
        <v>1418</v>
      </c>
      <c r="B2328" s="816" t="s">
        <v>7876</v>
      </c>
      <c r="C2328" s="729" t="s">
        <v>460</v>
      </c>
      <c r="D2328" s="460"/>
      <c r="E2328" s="878" t="s">
        <v>1410</v>
      </c>
      <c r="F2328" s="881" t="s">
        <v>1424</v>
      </c>
      <c r="G2328" s="731" t="s">
        <v>5525</v>
      </c>
      <c r="H2328" s="1083">
        <v>42430</v>
      </c>
      <c r="I2328" s="1084">
        <v>42461</v>
      </c>
      <c r="J2328" s="957">
        <v>2020.57</v>
      </c>
    </row>
    <row r="2329" spans="1:10" s="852" customFormat="1" outlineLevel="2">
      <c r="A2329" s="815" t="s">
        <v>745</v>
      </c>
      <c r="B2329" s="816" t="s">
        <v>7877</v>
      </c>
      <c r="C2329" s="729" t="s">
        <v>460</v>
      </c>
      <c r="D2329" s="460"/>
      <c r="E2329" s="878" t="s">
        <v>683</v>
      </c>
      <c r="F2329" s="881" t="s">
        <v>1071</v>
      </c>
      <c r="G2329" s="731" t="s">
        <v>5542</v>
      </c>
      <c r="H2329" s="1083">
        <v>42430</v>
      </c>
      <c r="I2329" s="1084">
        <v>42464</v>
      </c>
      <c r="J2329" s="957">
        <v>17239.849999999999</v>
      </c>
    </row>
    <row r="2330" spans="1:10" s="852" customFormat="1" outlineLevel="2">
      <c r="A2330" s="815" t="s">
        <v>2253</v>
      </c>
      <c r="B2330" s="816" t="s">
        <v>7873</v>
      </c>
      <c r="C2330" s="729" t="s">
        <v>460</v>
      </c>
      <c r="D2330" s="460"/>
      <c r="E2330" s="878" t="s">
        <v>5666</v>
      </c>
      <c r="F2330" s="881" t="s">
        <v>431</v>
      </c>
      <c r="G2330" s="731" t="s">
        <v>5667</v>
      </c>
      <c r="H2330" s="1083">
        <v>42430</v>
      </c>
      <c r="I2330" s="1084">
        <v>42478</v>
      </c>
      <c r="J2330" s="957">
        <v>408.96</v>
      </c>
    </row>
    <row r="2331" spans="1:10" s="852" customFormat="1" ht="28.5" outlineLevel="2">
      <c r="A2331" s="815" t="s">
        <v>2253</v>
      </c>
      <c r="B2331" s="816" t="s">
        <v>7873</v>
      </c>
      <c r="C2331" s="729" t="s">
        <v>460</v>
      </c>
      <c r="D2331" s="460"/>
      <c r="E2331" s="878" t="s">
        <v>5666</v>
      </c>
      <c r="F2331" s="881" t="s">
        <v>426</v>
      </c>
      <c r="G2331" s="731" t="s">
        <v>5668</v>
      </c>
      <c r="H2331" s="1083">
        <v>42430</v>
      </c>
      <c r="I2331" s="1084">
        <v>42478</v>
      </c>
      <c r="J2331" s="957">
        <v>-4.4800000000000004</v>
      </c>
    </row>
    <row r="2332" spans="1:10" s="852" customFormat="1" outlineLevel="2">
      <c r="A2332" s="815" t="s">
        <v>5936</v>
      </c>
      <c r="B2332" s="816" t="s">
        <v>7864</v>
      </c>
      <c r="C2332" s="729" t="s">
        <v>460</v>
      </c>
      <c r="D2332" s="460"/>
      <c r="E2332" s="878" t="s">
        <v>6470</v>
      </c>
      <c r="F2332" s="881" t="s">
        <v>434</v>
      </c>
      <c r="G2332" s="731" t="str">
        <f>"2616"</f>
        <v>2616</v>
      </c>
      <c r="H2332" s="1083">
        <v>42370</v>
      </c>
      <c r="I2332" s="1084">
        <v>42478</v>
      </c>
      <c r="J2332" s="957">
        <v>-19535.8</v>
      </c>
    </row>
    <row r="2333" spans="1:10" s="852" customFormat="1" outlineLevel="2">
      <c r="A2333" s="815" t="s">
        <v>5936</v>
      </c>
      <c r="B2333" s="816" t="s">
        <v>7864</v>
      </c>
      <c r="C2333" s="729" t="s">
        <v>460</v>
      </c>
      <c r="D2333" s="460"/>
      <c r="E2333" s="878" t="s">
        <v>6470</v>
      </c>
      <c r="F2333" s="881" t="s">
        <v>434</v>
      </c>
      <c r="G2333" s="731" t="str">
        <f>"2616"</f>
        <v>2616</v>
      </c>
      <c r="H2333" s="1083">
        <v>42370</v>
      </c>
      <c r="I2333" s="1084">
        <v>42478</v>
      </c>
      <c r="J2333" s="957">
        <v>19535.8</v>
      </c>
    </row>
    <row r="2334" spans="1:10" s="852" customFormat="1" outlineLevel="2">
      <c r="A2334" s="815" t="s">
        <v>5936</v>
      </c>
      <c r="B2334" s="816" t="s">
        <v>7864</v>
      </c>
      <c r="C2334" s="729" t="s">
        <v>460</v>
      </c>
      <c r="D2334" s="460"/>
      <c r="E2334" s="878" t="s">
        <v>6470</v>
      </c>
      <c r="F2334" s="881" t="s">
        <v>434</v>
      </c>
      <c r="G2334" s="731" t="str">
        <f>"2616"</f>
        <v>2616</v>
      </c>
      <c r="H2334" s="1083">
        <v>42370</v>
      </c>
      <c r="I2334" s="1084">
        <v>42478</v>
      </c>
      <c r="J2334" s="957">
        <v>19535.8</v>
      </c>
    </row>
    <row r="2335" spans="1:10" s="852" customFormat="1" outlineLevel="2">
      <c r="A2335" s="815" t="s">
        <v>5936</v>
      </c>
      <c r="B2335" s="816" t="s">
        <v>7864</v>
      </c>
      <c r="C2335" s="729" t="s">
        <v>460</v>
      </c>
      <c r="D2335" s="460"/>
      <c r="E2335" s="878" t="s">
        <v>6470</v>
      </c>
      <c r="F2335" s="881" t="s">
        <v>434</v>
      </c>
      <c r="G2335" s="731" t="str">
        <f>"2616"</f>
        <v>2616</v>
      </c>
      <c r="H2335" s="1083">
        <v>42370</v>
      </c>
      <c r="I2335" s="1084">
        <v>42478</v>
      </c>
      <c r="J2335" s="957">
        <v>19535.8</v>
      </c>
    </row>
    <row r="2336" spans="1:10" s="852" customFormat="1" outlineLevel="2">
      <c r="A2336" s="815" t="s">
        <v>5936</v>
      </c>
      <c r="B2336" s="816" t="s">
        <v>7864</v>
      </c>
      <c r="C2336" s="729" t="s">
        <v>460</v>
      </c>
      <c r="D2336" s="460"/>
      <c r="E2336" s="878" t="s">
        <v>6470</v>
      </c>
      <c r="F2336" s="881" t="s">
        <v>434</v>
      </c>
      <c r="G2336" s="731" t="str">
        <f>"2616"</f>
        <v>2616</v>
      </c>
      <c r="H2336" s="1083">
        <v>42370</v>
      </c>
      <c r="I2336" s="1084">
        <v>42478</v>
      </c>
      <c r="J2336" s="957">
        <v>-19535.8</v>
      </c>
    </row>
    <row r="2337" spans="1:10" s="852" customFormat="1" ht="28.5" outlineLevel="2">
      <c r="A2337" s="815" t="s">
        <v>4571</v>
      </c>
      <c r="B2337" s="816" t="s">
        <v>7883</v>
      </c>
      <c r="C2337" s="729" t="s">
        <v>460</v>
      </c>
      <c r="D2337" s="460"/>
      <c r="E2337" s="878" t="s">
        <v>2336</v>
      </c>
      <c r="F2337" s="881" t="s">
        <v>5157</v>
      </c>
      <c r="G2337" s="731" t="s">
        <v>4572</v>
      </c>
      <c r="H2337" s="1083">
        <v>42401</v>
      </c>
      <c r="I2337" s="1084">
        <v>42480</v>
      </c>
      <c r="J2337" s="957">
        <v>721.27</v>
      </c>
    </row>
    <row r="2338" spans="1:10" s="852" customFormat="1" ht="28.5" outlineLevel="2">
      <c r="A2338" s="815" t="s">
        <v>4573</v>
      </c>
      <c r="B2338" s="816" t="s">
        <v>7882</v>
      </c>
      <c r="C2338" s="729" t="s">
        <v>460</v>
      </c>
      <c r="D2338" s="460"/>
      <c r="E2338" s="878" t="s">
        <v>2336</v>
      </c>
      <c r="F2338" s="881" t="s">
        <v>5157</v>
      </c>
      <c r="G2338" s="731" t="s">
        <v>4572</v>
      </c>
      <c r="H2338" s="1083">
        <v>42401</v>
      </c>
      <c r="I2338" s="1084">
        <v>42480</v>
      </c>
      <c r="J2338" s="957">
        <v>9196.2000000000007</v>
      </c>
    </row>
    <row r="2339" spans="1:10" s="852" customFormat="1" outlineLevel="2">
      <c r="A2339" s="815" t="s">
        <v>743</v>
      </c>
      <c r="B2339" s="816" t="s">
        <v>7885</v>
      </c>
      <c r="C2339" s="729" t="s">
        <v>460</v>
      </c>
      <c r="D2339" s="460"/>
      <c r="E2339" s="878" t="s">
        <v>2336</v>
      </c>
      <c r="F2339" s="881" t="s">
        <v>3478</v>
      </c>
      <c r="G2339" s="731" t="s">
        <v>4569</v>
      </c>
      <c r="H2339" s="1083">
        <v>42401</v>
      </c>
      <c r="I2339" s="1084">
        <v>42480</v>
      </c>
      <c r="J2339" s="957">
        <v>2059.2199999999998</v>
      </c>
    </row>
    <row r="2340" spans="1:10" s="852" customFormat="1" outlineLevel="2">
      <c r="A2340" s="815" t="s">
        <v>744</v>
      </c>
      <c r="B2340" s="816" t="s">
        <v>7864</v>
      </c>
      <c r="C2340" s="729" t="s">
        <v>460</v>
      </c>
      <c r="D2340" s="460"/>
      <c r="E2340" s="878" t="s">
        <v>2336</v>
      </c>
      <c r="F2340" s="881" t="s">
        <v>3727</v>
      </c>
      <c r="G2340" s="731" t="s">
        <v>4570</v>
      </c>
      <c r="H2340" s="1083">
        <v>42401</v>
      </c>
      <c r="I2340" s="1084">
        <v>42480</v>
      </c>
      <c r="J2340" s="957">
        <v>2641.59</v>
      </c>
    </row>
    <row r="2341" spans="1:10" s="852" customFormat="1" outlineLevel="2">
      <c r="A2341" s="815" t="s">
        <v>744</v>
      </c>
      <c r="B2341" s="816" t="s">
        <v>7864</v>
      </c>
      <c r="C2341" s="729" t="s">
        <v>460</v>
      </c>
      <c r="D2341" s="460"/>
      <c r="E2341" s="878" t="s">
        <v>2336</v>
      </c>
      <c r="F2341" s="881" t="s">
        <v>3375</v>
      </c>
      <c r="G2341" s="731" t="s">
        <v>4568</v>
      </c>
      <c r="H2341" s="1083">
        <v>42401</v>
      </c>
      <c r="I2341" s="1084">
        <v>42480</v>
      </c>
      <c r="J2341" s="957">
        <v>1737.89</v>
      </c>
    </row>
    <row r="2342" spans="1:10" s="852" customFormat="1" outlineLevel="2">
      <c r="A2342" s="815" t="s">
        <v>744</v>
      </c>
      <c r="B2342" s="816" t="s">
        <v>7864</v>
      </c>
      <c r="C2342" s="729" t="s">
        <v>460</v>
      </c>
      <c r="D2342" s="460"/>
      <c r="E2342" s="878" t="s">
        <v>2336</v>
      </c>
      <c r="F2342" s="881" t="s">
        <v>2985</v>
      </c>
      <c r="G2342" s="731" t="s">
        <v>4567</v>
      </c>
      <c r="H2342" s="1083">
        <v>42401</v>
      </c>
      <c r="I2342" s="1084">
        <v>42480</v>
      </c>
      <c r="J2342" s="957">
        <v>2572.08</v>
      </c>
    </row>
    <row r="2343" spans="1:10" s="852" customFormat="1" outlineLevel="2">
      <c r="A2343" s="815" t="s">
        <v>747</v>
      </c>
      <c r="B2343" s="816" t="s">
        <v>7863</v>
      </c>
      <c r="C2343" s="729" t="s">
        <v>460</v>
      </c>
      <c r="D2343" s="460"/>
      <c r="E2343" s="878" t="s">
        <v>2336</v>
      </c>
      <c r="F2343" s="881" t="s">
        <v>6049</v>
      </c>
      <c r="G2343" s="731" t="s">
        <v>4565</v>
      </c>
      <c r="H2343" s="1083">
        <v>42401</v>
      </c>
      <c r="I2343" s="1084">
        <v>42480</v>
      </c>
      <c r="J2343" s="957">
        <v>9035.2199999999993</v>
      </c>
    </row>
    <row r="2344" spans="1:10" s="852" customFormat="1" outlineLevel="2">
      <c r="A2344" s="815" t="s">
        <v>5936</v>
      </c>
      <c r="B2344" s="816" t="s">
        <v>7864</v>
      </c>
      <c r="C2344" s="729" t="s">
        <v>460</v>
      </c>
      <c r="D2344" s="460"/>
      <c r="E2344" s="878" t="s">
        <v>2717</v>
      </c>
      <c r="F2344" s="881" t="s">
        <v>434</v>
      </c>
      <c r="G2344" s="731" t="str">
        <f>"3538"</f>
        <v>3538</v>
      </c>
      <c r="H2344" s="1083">
        <v>42401</v>
      </c>
      <c r="I2344" s="1084">
        <v>42467</v>
      </c>
      <c r="J2344" s="957">
        <v>12852.49</v>
      </c>
    </row>
    <row r="2345" spans="1:10" s="852" customFormat="1" outlineLevel="2">
      <c r="A2345" s="815" t="s">
        <v>2582</v>
      </c>
      <c r="B2345" s="816" t="s">
        <v>7896</v>
      </c>
      <c r="C2345" s="729" t="s">
        <v>460</v>
      </c>
      <c r="D2345" s="460"/>
      <c r="E2345" s="878" t="s">
        <v>2450</v>
      </c>
      <c r="F2345" s="881" t="s">
        <v>395</v>
      </c>
      <c r="G2345" s="731" t="s">
        <v>5618</v>
      </c>
      <c r="H2345" s="1083">
        <v>42461</v>
      </c>
      <c r="I2345" s="1084">
        <v>42474</v>
      </c>
      <c r="J2345" s="957">
        <v>6942</v>
      </c>
    </row>
    <row r="2346" spans="1:10" s="852" customFormat="1" outlineLevel="2">
      <c r="A2346" s="815" t="s">
        <v>5936</v>
      </c>
      <c r="B2346" s="816" t="s">
        <v>7864</v>
      </c>
      <c r="C2346" s="729" t="s">
        <v>460</v>
      </c>
      <c r="D2346" s="460"/>
      <c r="E2346" s="878" t="s">
        <v>409</v>
      </c>
      <c r="F2346" s="881" t="s">
        <v>434</v>
      </c>
      <c r="G2346" s="731" t="str">
        <f>"6695"</f>
        <v>6695</v>
      </c>
      <c r="H2346" s="1083">
        <v>42401</v>
      </c>
      <c r="I2346" s="1084">
        <v>42475</v>
      </c>
      <c r="J2346" s="957">
        <v>19021.68</v>
      </c>
    </row>
    <row r="2347" spans="1:10" s="852" customFormat="1" outlineLevel="2">
      <c r="A2347" s="815" t="s">
        <v>2735</v>
      </c>
      <c r="B2347" s="816" t="s">
        <v>7887</v>
      </c>
      <c r="C2347" s="729" t="s">
        <v>460</v>
      </c>
      <c r="D2347" s="460"/>
      <c r="E2347" s="878" t="s">
        <v>2306</v>
      </c>
      <c r="F2347" s="881" t="s">
        <v>2742</v>
      </c>
      <c r="G2347" s="731">
        <v>1284722</v>
      </c>
      <c r="H2347" s="1083">
        <v>42461</v>
      </c>
      <c r="I2347" s="1084">
        <v>42489</v>
      </c>
      <c r="J2347" s="957">
        <v>2356.6799999999998</v>
      </c>
    </row>
    <row r="2348" spans="1:10" s="852" customFormat="1" outlineLevel="2">
      <c r="A2348" s="815" t="s">
        <v>2736</v>
      </c>
      <c r="B2348" s="816" t="s">
        <v>7886</v>
      </c>
      <c r="C2348" s="729" t="s">
        <v>460</v>
      </c>
      <c r="D2348" s="460"/>
      <c r="E2348" s="878" t="s">
        <v>2306</v>
      </c>
      <c r="F2348" s="881" t="s">
        <v>2743</v>
      </c>
      <c r="G2348" s="731">
        <v>1284698</v>
      </c>
      <c r="H2348" s="1083">
        <v>42461</v>
      </c>
      <c r="I2348" s="1084">
        <v>42489</v>
      </c>
      <c r="J2348" s="957">
        <v>131.66999999999999</v>
      </c>
    </row>
    <row r="2349" spans="1:10" s="852" customFormat="1" outlineLevel="2">
      <c r="A2349" s="815" t="s">
        <v>747</v>
      </c>
      <c r="B2349" s="816" t="s">
        <v>7863</v>
      </c>
      <c r="C2349" s="729" t="s">
        <v>460</v>
      </c>
      <c r="D2349" s="460"/>
      <c r="E2349" s="878" t="s">
        <v>2282</v>
      </c>
      <c r="F2349" s="881" t="s">
        <v>6096</v>
      </c>
      <c r="G2349" s="731" t="s">
        <v>4574</v>
      </c>
      <c r="H2349" s="1083">
        <v>42401</v>
      </c>
      <c r="I2349" s="1084">
        <v>42471</v>
      </c>
      <c r="J2349" s="957">
        <v>1642.76</v>
      </c>
    </row>
    <row r="2350" spans="1:10" s="852" customFormat="1" outlineLevel="2">
      <c r="A2350" s="815" t="s">
        <v>744</v>
      </c>
      <c r="B2350" s="816" t="s">
        <v>7864</v>
      </c>
      <c r="C2350" s="729" t="s">
        <v>460</v>
      </c>
      <c r="D2350" s="460"/>
      <c r="E2350" s="878" t="s">
        <v>2282</v>
      </c>
      <c r="F2350" s="881" t="s">
        <v>2987</v>
      </c>
      <c r="G2350" s="731" t="s">
        <v>4575</v>
      </c>
      <c r="H2350" s="1083">
        <v>42401</v>
      </c>
      <c r="I2350" s="1084">
        <v>42471</v>
      </c>
      <c r="J2350" s="957">
        <v>467.65</v>
      </c>
    </row>
    <row r="2351" spans="1:10" s="852" customFormat="1" outlineLevel="2">
      <c r="A2351" s="815" t="s">
        <v>743</v>
      </c>
      <c r="B2351" s="816" t="s">
        <v>7885</v>
      </c>
      <c r="C2351" s="729" t="s">
        <v>460</v>
      </c>
      <c r="D2351" s="460"/>
      <c r="E2351" s="878" t="s">
        <v>2282</v>
      </c>
      <c r="F2351" s="881" t="s">
        <v>3480</v>
      </c>
      <c r="G2351" s="731" t="s">
        <v>4576</v>
      </c>
      <c r="H2351" s="1083">
        <v>42401</v>
      </c>
      <c r="I2351" s="1084">
        <v>42471</v>
      </c>
      <c r="J2351" s="957">
        <v>417.16</v>
      </c>
    </row>
    <row r="2352" spans="1:10" s="852" customFormat="1" outlineLevel="2">
      <c r="A2352" s="815" t="s">
        <v>744</v>
      </c>
      <c r="B2352" s="816" t="s">
        <v>7864</v>
      </c>
      <c r="C2352" s="729" t="s">
        <v>460</v>
      </c>
      <c r="D2352" s="460"/>
      <c r="E2352" s="878" t="s">
        <v>2282</v>
      </c>
      <c r="F2352" s="881" t="s">
        <v>3729</v>
      </c>
      <c r="G2352" s="731" t="s">
        <v>4577</v>
      </c>
      <c r="H2352" s="1083">
        <v>42401</v>
      </c>
      <c r="I2352" s="1084">
        <v>42471</v>
      </c>
      <c r="J2352" s="957">
        <v>480.29</v>
      </c>
    </row>
    <row r="2353" spans="1:10" s="852" customFormat="1" outlineLevel="2">
      <c r="A2353" s="815" t="s">
        <v>959</v>
      </c>
      <c r="B2353" s="816" t="s">
        <v>7866</v>
      </c>
      <c r="C2353" s="729" t="s">
        <v>460</v>
      </c>
      <c r="D2353" s="460"/>
      <c r="E2353" s="878" t="s">
        <v>2282</v>
      </c>
      <c r="F2353" s="881" t="s">
        <v>3974</v>
      </c>
      <c r="G2353" s="731" t="s">
        <v>2779</v>
      </c>
      <c r="H2353" s="1083">
        <v>42401</v>
      </c>
      <c r="I2353" s="1084">
        <v>42471</v>
      </c>
      <c r="J2353" s="957">
        <v>3622.26</v>
      </c>
    </row>
    <row r="2354" spans="1:10" s="852" customFormat="1" outlineLevel="2">
      <c r="A2354" s="815" t="s">
        <v>959</v>
      </c>
      <c r="B2354" s="816" t="s">
        <v>7866</v>
      </c>
      <c r="C2354" s="729" t="s">
        <v>460</v>
      </c>
      <c r="D2354" s="460"/>
      <c r="E2354" s="878" t="s">
        <v>2282</v>
      </c>
      <c r="F2354" s="881" t="s">
        <v>4081</v>
      </c>
      <c r="G2354" s="731" t="s">
        <v>2781</v>
      </c>
      <c r="H2354" s="1083">
        <v>42401</v>
      </c>
      <c r="I2354" s="1084">
        <v>42471</v>
      </c>
      <c r="J2354" s="957">
        <v>115.83</v>
      </c>
    </row>
    <row r="2355" spans="1:10" s="852" customFormat="1" outlineLevel="2">
      <c r="A2355" s="815" t="s">
        <v>959</v>
      </c>
      <c r="B2355" s="816" t="s">
        <v>7866</v>
      </c>
      <c r="C2355" s="729" t="s">
        <v>460</v>
      </c>
      <c r="D2355" s="460"/>
      <c r="E2355" s="878" t="s">
        <v>2282</v>
      </c>
      <c r="F2355" s="881" t="s">
        <v>4165</v>
      </c>
      <c r="G2355" s="731" t="s">
        <v>2782</v>
      </c>
      <c r="H2355" s="1083">
        <v>42401</v>
      </c>
      <c r="I2355" s="1084">
        <v>42471</v>
      </c>
      <c r="J2355" s="957">
        <v>1366.66</v>
      </c>
    </row>
    <row r="2356" spans="1:10" s="852" customFormat="1" ht="28.5" outlineLevel="2">
      <c r="A2356" s="815" t="s">
        <v>4571</v>
      </c>
      <c r="B2356" s="816" t="s">
        <v>7883</v>
      </c>
      <c r="C2356" s="729" t="s">
        <v>460</v>
      </c>
      <c r="D2356" s="460"/>
      <c r="E2356" s="878" t="s">
        <v>2282</v>
      </c>
      <c r="F2356" s="881" t="s">
        <v>5160</v>
      </c>
      <c r="G2356" s="731" t="s">
        <v>4578</v>
      </c>
      <c r="H2356" s="1083">
        <v>42401</v>
      </c>
      <c r="I2356" s="1084">
        <v>42471</v>
      </c>
      <c r="J2356" s="957">
        <v>163.92</v>
      </c>
    </row>
    <row r="2357" spans="1:10" s="852" customFormat="1" ht="28.5" outlineLevel="2">
      <c r="A2357" s="815" t="s">
        <v>4573</v>
      </c>
      <c r="B2357" s="816" t="s">
        <v>7882</v>
      </c>
      <c r="C2357" s="729" t="s">
        <v>460</v>
      </c>
      <c r="D2357" s="460"/>
      <c r="E2357" s="878" t="s">
        <v>2282</v>
      </c>
      <c r="F2357" s="881" t="s">
        <v>5160</v>
      </c>
      <c r="G2357" s="731" t="s">
        <v>4578</v>
      </c>
      <c r="H2357" s="1083">
        <v>42401</v>
      </c>
      <c r="I2357" s="1084">
        <v>42471</v>
      </c>
      <c r="J2357" s="957">
        <v>2090.04</v>
      </c>
    </row>
    <row r="2358" spans="1:10" s="852" customFormat="1" outlineLevel="2">
      <c r="A2358" s="815" t="s">
        <v>744</v>
      </c>
      <c r="B2358" s="816" t="s">
        <v>7864</v>
      </c>
      <c r="C2358" s="729" t="s">
        <v>460</v>
      </c>
      <c r="D2358" s="460"/>
      <c r="E2358" s="878" t="s">
        <v>2282</v>
      </c>
      <c r="F2358" s="881" t="s">
        <v>5478</v>
      </c>
      <c r="G2358" s="731" t="s">
        <v>4579</v>
      </c>
      <c r="H2358" s="1083">
        <v>42401</v>
      </c>
      <c r="I2358" s="1084">
        <v>42471</v>
      </c>
      <c r="J2358" s="957">
        <v>315.8</v>
      </c>
    </row>
    <row r="2359" spans="1:10" s="852" customFormat="1" outlineLevel="2">
      <c r="A2359" s="815" t="s">
        <v>2268</v>
      </c>
      <c r="B2359" s="816" t="s">
        <v>7888</v>
      </c>
      <c r="C2359" s="729" t="s">
        <v>460</v>
      </c>
      <c r="D2359" s="460"/>
      <c r="E2359" s="878" t="s">
        <v>2710</v>
      </c>
      <c r="F2359" s="881" t="s">
        <v>4555</v>
      </c>
      <c r="G2359" s="731" t="s">
        <v>4223</v>
      </c>
      <c r="H2359" s="1083">
        <v>42401</v>
      </c>
      <c r="I2359" s="1084">
        <v>42475</v>
      </c>
      <c r="J2359" s="957">
        <v>44.15</v>
      </c>
    </row>
    <row r="2360" spans="1:10" s="852" customFormat="1" outlineLevel="2">
      <c r="A2360" s="815" t="s">
        <v>742</v>
      </c>
      <c r="B2360" s="816" t="s">
        <v>7883</v>
      </c>
      <c r="C2360" s="729" t="s">
        <v>460</v>
      </c>
      <c r="D2360" s="460"/>
      <c r="E2360" s="878" t="s">
        <v>508</v>
      </c>
      <c r="F2360" s="881" t="s">
        <v>1041</v>
      </c>
      <c r="G2360" s="731" t="s">
        <v>5593</v>
      </c>
      <c r="H2360" s="1083">
        <v>42401</v>
      </c>
      <c r="I2360" s="1084">
        <v>42468</v>
      </c>
      <c r="J2360" s="957">
        <v>98822.64</v>
      </c>
    </row>
    <row r="2361" spans="1:10" s="852" customFormat="1" outlineLevel="2">
      <c r="A2361" s="815" t="s">
        <v>741</v>
      </c>
      <c r="B2361" s="816" t="s">
        <v>7882</v>
      </c>
      <c r="C2361" s="729" t="s">
        <v>460</v>
      </c>
      <c r="D2361" s="460"/>
      <c r="E2361" s="878" t="s">
        <v>508</v>
      </c>
      <c r="F2361" s="881" t="s">
        <v>1041</v>
      </c>
      <c r="G2361" s="731" t="s">
        <v>5593</v>
      </c>
      <c r="H2361" s="1083">
        <v>42401</v>
      </c>
      <c r="I2361" s="1084">
        <v>42468</v>
      </c>
      <c r="J2361" s="957">
        <v>559994.94999999995</v>
      </c>
    </row>
    <row r="2362" spans="1:10" s="852" customFormat="1" outlineLevel="2">
      <c r="A2362" s="815" t="s">
        <v>747</v>
      </c>
      <c r="B2362" s="816" t="s">
        <v>7863</v>
      </c>
      <c r="C2362" s="729" t="s">
        <v>460</v>
      </c>
      <c r="D2362" s="460"/>
      <c r="E2362" s="878" t="s">
        <v>523</v>
      </c>
      <c r="F2362" s="881" t="s">
        <v>2208</v>
      </c>
      <c r="G2362" s="731" t="s">
        <v>5561</v>
      </c>
      <c r="H2362" s="1083">
        <v>42401</v>
      </c>
      <c r="I2362" s="1084">
        <v>42464</v>
      </c>
      <c r="J2362" s="957">
        <v>66819.56</v>
      </c>
    </row>
    <row r="2363" spans="1:10" s="852" customFormat="1" ht="28.5" outlineLevel="2">
      <c r="A2363" s="815" t="s">
        <v>4571</v>
      </c>
      <c r="B2363" s="816" t="s">
        <v>7883</v>
      </c>
      <c r="C2363" s="729" t="s">
        <v>460</v>
      </c>
      <c r="D2363" s="460"/>
      <c r="E2363" s="878" t="s">
        <v>1909</v>
      </c>
      <c r="F2363" s="881" t="s">
        <v>5156</v>
      </c>
      <c r="G2363" s="731" t="s">
        <v>4639</v>
      </c>
      <c r="H2363" s="1083">
        <v>42401</v>
      </c>
      <c r="I2363" s="1084">
        <v>42480</v>
      </c>
      <c r="J2363" s="957">
        <v>81.96</v>
      </c>
    </row>
    <row r="2364" spans="1:10" s="852" customFormat="1" ht="28.5" outlineLevel="2">
      <c r="A2364" s="815" t="s">
        <v>4573</v>
      </c>
      <c r="B2364" s="816" t="s">
        <v>7882</v>
      </c>
      <c r="C2364" s="729" t="s">
        <v>460</v>
      </c>
      <c r="D2364" s="460"/>
      <c r="E2364" s="878" t="s">
        <v>1909</v>
      </c>
      <c r="F2364" s="881" t="s">
        <v>5156</v>
      </c>
      <c r="G2364" s="731" t="s">
        <v>4639</v>
      </c>
      <c r="H2364" s="1083">
        <v>42401</v>
      </c>
      <c r="I2364" s="1084">
        <v>42480</v>
      </c>
      <c r="J2364" s="957">
        <v>1045.02</v>
      </c>
    </row>
    <row r="2365" spans="1:10" s="852" customFormat="1" outlineLevel="2">
      <c r="A2365" s="815" t="s">
        <v>959</v>
      </c>
      <c r="B2365" s="816" t="s">
        <v>7866</v>
      </c>
      <c r="C2365" s="729" t="s">
        <v>460</v>
      </c>
      <c r="D2365" s="460"/>
      <c r="E2365" s="878" t="s">
        <v>1909</v>
      </c>
      <c r="F2365" s="881" t="s">
        <v>3935</v>
      </c>
      <c r="G2365" s="731" t="s">
        <v>2817</v>
      </c>
      <c r="H2365" s="1083">
        <v>42401</v>
      </c>
      <c r="I2365" s="1084">
        <v>42480</v>
      </c>
      <c r="J2365" s="957">
        <v>1086.68</v>
      </c>
    </row>
    <row r="2366" spans="1:10" s="852" customFormat="1" outlineLevel="2">
      <c r="A2366" s="815" t="s">
        <v>959</v>
      </c>
      <c r="B2366" s="816" t="s">
        <v>7866</v>
      </c>
      <c r="C2366" s="729" t="s">
        <v>460</v>
      </c>
      <c r="D2366" s="460"/>
      <c r="E2366" s="878" t="s">
        <v>1909</v>
      </c>
      <c r="F2366" s="881" t="s">
        <v>4027</v>
      </c>
      <c r="G2366" s="731" t="s">
        <v>2819</v>
      </c>
      <c r="H2366" s="1083">
        <v>42401</v>
      </c>
      <c r="I2366" s="1084">
        <v>42480</v>
      </c>
      <c r="J2366" s="957">
        <v>34.75</v>
      </c>
    </row>
    <row r="2367" spans="1:10" s="852" customFormat="1" outlineLevel="2">
      <c r="A2367" s="815" t="s">
        <v>959</v>
      </c>
      <c r="B2367" s="816" t="s">
        <v>7866</v>
      </c>
      <c r="C2367" s="729" t="s">
        <v>460</v>
      </c>
      <c r="D2367" s="460"/>
      <c r="E2367" s="878" t="s">
        <v>1909</v>
      </c>
      <c r="F2367" s="881" t="s">
        <v>4129</v>
      </c>
      <c r="G2367" s="731" t="s">
        <v>2821</v>
      </c>
      <c r="H2367" s="1083">
        <v>42401</v>
      </c>
      <c r="I2367" s="1084">
        <v>42480</v>
      </c>
      <c r="J2367" s="957">
        <v>409.99</v>
      </c>
    </row>
    <row r="2368" spans="1:10" s="852" customFormat="1" outlineLevel="2">
      <c r="A2368" s="815" t="s">
        <v>2268</v>
      </c>
      <c r="B2368" s="816" t="s">
        <v>7888</v>
      </c>
      <c r="C2368" s="729" t="s">
        <v>460</v>
      </c>
      <c r="D2368" s="460"/>
      <c r="E2368" s="878" t="s">
        <v>1909</v>
      </c>
      <c r="F2368" s="881" t="s">
        <v>4544</v>
      </c>
      <c r="G2368" s="731" t="s">
        <v>4260</v>
      </c>
      <c r="H2368" s="1083">
        <v>42401</v>
      </c>
      <c r="I2368" s="1084">
        <v>42480</v>
      </c>
      <c r="J2368" s="957">
        <v>33.11</v>
      </c>
    </row>
    <row r="2369" spans="1:10" s="852" customFormat="1" outlineLevel="2">
      <c r="A2369" s="815" t="s">
        <v>745</v>
      </c>
      <c r="B2369" s="816" t="s">
        <v>7877</v>
      </c>
      <c r="C2369" s="729" t="s">
        <v>460</v>
      </c>
      <c r="D2369" s="460"/>
      <c r="E2369" s="878" t="s">
        <v>1909</v>
      </c>
      <c r="F2369" s="881" t="s">
        <v>5207</v>
      </c>
      <c r="G2369" s="731" t="s">
        <v>4642</v>
      </c>
      <c r="H2369" s="1083">
        <v>42430</v>
      </c>
      <c r="I2369" s="1084">
        <v>42480</v>
      </c>
      <c r="J2369" s="957">
        <v>275.54000000000002</v>
      </c>
    </row>
    <row r="2370" spans="1:10" s="852" customFormat="1" outlineLevel="2">
      <c r="A2370" s="815" t="s">
        <v>744</v>
      </c>
      <c r="B2370" s="816" t="s">
        <v>7864</v>
      </c>
      <c r="C2370" s="729" t="s">
        <v>460</v>
      </c>
      <c r="D2370" s="460"/>
      <c r="E2370" s="878" t="s">
        <v>1909</v>
      </c>
      <c r="F2370" s="881" t="s">
        <v>3725</v>
      </c>
      <c r="G2370" s="731" t="s">
        <v>4624</v>
      </c>
      <c r="H2370" s="1083">
        <v>42401</v>
      </c>
      <c r="I2370" s="1084">
        <v>42480</v>
      </c>
      <c r="J2370" s="957">
        <v>240.14</v>
      </c>
    </row>
    <row r="2371" spans="1:10" s="852" customFormat="1" outlineLevel="2">
      <c r="A2371" s="815" t="s">
        <v>744</v>
      </c>
      <c r="B2371" s="816" t="s">
        <v>7864</v>
      </c>
      <c r="C2371" s="729" t="s">
        <v>460</v>
      </c>
      <c r="D2371" s="460"/>
      <c r="E2371" s="878" t="s">
        <v>1909</v>
      </c>
      <c r="F2371" s="881" t="s">
        <v>3374</v>
      </c>
      <c r="G2371" s="731" t="s">
        <v>4618</v>
      </c>
      <c r="H2371" s="1083">
        <v>42401</v>
      </c>
      <c r="I2371" s="1084">
        <v>42480</v>
      </c>
      <c r="J2371" s="957">
        <v>157.99</v>
      </c>
    </row>
    <row r="2372" spans="1:10" s="852" customFormat="1" outlineLevel="2">
      <c r="A2372" s="815" t="s">
        <v>744</v>
      </c>
      <c r="B2372" s="816" t="s">
        <v>7864</v>
      </c>
      <c r="C2372" s="729" t="s">
        <v>460</v>
      </c>
      <c r="D2372" s="460"/>
      <c r="E2372" s="878" t="s">
        <v>1909</v>
      </c>
      <c r="F2372" s="881" t="s">
        <v>2983</v>
      </c>
      <c r="G2372" s="731" t="s">
        <v>4607</v>
      </c>
      <c r="H2372" s="1083">
        <v>42401</v>
      </c>
      <c r="I2372" s="1084">
        <v>42480</v>
      </c>
      <c r="J2372" s="957">
        <v>233.83</v>
      </c>
    </row>
    <row r="2373" spans="1:10" s="852" customFormat="1" outlineLevel="2">
      <c r="A2373" s="815" t="s">
        <v>747</v>
      </c>
      <c r="B2373" s="816" t="s">
        <v>7863</v>
      </c>
      <c r="C2373" s="729" t="s">
        <v>460</v>
      </c>
      <c r="D2373" s="460"/>
      <c r="E2373" s="878" t="s">
        <v>1909</v>
      </c>
      <c r="F2373" s="881" t="s">
        <v>6337</v>
      </c>
      <c r="G2373" s="731" t="s">
        <v>4600</v>
      </c>
      <c r="H2373" s="1083">
        <v>42401</v>
      </c>
      <c r="I2373" s="1084">
        <v>42480</v>
      </c>
      <c r="J2373" s="957">
        <v>821.38</v>
      </c>
    </row>
    <row r="2374" spans="1:10" s="852" customFormat="1" ht="28.5" outlineLevel="2">
      <c r="A2374" s="815" t="s">
        <v>748</v>
      </c>
      <c r="B2374" s="816" t="s">
        <v>7890</v>
      </c>
      <c r="C2374" s="729" t="s">
        <v>460</v>
      </c>
      <c r="D2374" s="460"/>
      <c r="E2374" s="878" t="s">
        <v>1909</v>
      </c>
      <c r="F2374" s="881" t="s">
        <v>4510</v>
      </c>
      <c r="G2374" s="731" t="s">
        <v>4630</v>
      </c>
      <c r="H2374" s="1083">
        <v>42401</v>
      </c>
      <c r="I2374" s="1084">
        <v>42480</v>
      </c>
      <c r="J2374" s="957">
        <v>11.3</v>
      </c>
    </row>
    <row r="2375" spans="1:10" s="852" customFormat="1" ht="28.5" outlineLevel="2">
      <c r="A2375" s="815" t="s">
        <v>746</v>
      </c>
      <c r="B2375" s="816" t="s">
        <v>7881</v>
      </c>
      <c r="C2375" s="729" t="s">
        <v>460</v>
      </c>
      <c r="D2375" s="460"/>
      <c r="E2375" s="878" t="s">
        <v>1909</v>
      </c>
      <c r="F2375" s="881" t="s">
        <v>6306</v>
      </c>
      <c r="G2375" s="731" t="s">
        <v>4225</v>
      </c>
      <c r="H2375" s="1083">
        <v>42370</v>
      </c>
      <c r="I2375" s="1084">
        <v>42480</v>
      </c>
      <c r="J2375" s="957">
        <v>21.67</v>
      </c>
    </row>
    <row r="2376" spans="1:10" s="852" customFormat="1" ht="28.5" outlineLevel="2">
      <c r="A2376" s="815" t="s">
        <v>959</v>
      </c>
      <c r="B2376" s="816" t="s">
        <v>7866</v>
      </c>
      <c r="C2376" s="729" t="s">
        <v>460</v>
      </c>
      <c r="D2376" s="460"/>
      <c r="E2376" s="878" t="s">
        <v>1909</v>
      </c>
      <c r="F2376" s="881" t="s">
        <v>4956</v>
      </c>
      <c r="G2376" s="731" t="s">
        <v>2833</v>
      </c>
      <c r="H2376" s="1083">
        <v>42401</v>
      </c>
      <c r="I2376" s="1084">
        <v>42480</v>
      </c>
      <c r="J2376" s="957">
        <v>3368.7</v>
      </c>
    </row>
    <row r="2377" spans="1:10" s="852" customFormat="1" ht="28.5" outlineLevel="2">
      <c r="A2377" s="815" t="s">
        <v>959</v>
      </c>
      <c r="B2377" s="816" t="s">
        <v>7866</v>
      </c>
      <c r="C2377" s="729" t="s">
        <v>460</v>
      </c>
      <c r="D2377" s="460"/>
      <c r="E2377" s="878" t="s">
        <v>1909</v>
      </c>
      <c r="F2377" s="881" t="s">
        <v>4903</v>
      </c>
      <c r="G2377" s="731" t="s">
        <v>2832</v>
      </c>
      <c r="H2377" s="1083">
        <v>42401</v>
      </c>
      <c r="I2377" s="1084">
        <v>42480</v>
      </c>
      <c r="J2377" s="957">
        <v>107.72</v>
      </c>
    </row>
    <row r="2378" spans="1:10" s="852" customFormat="1" ht="28.5" outlineLevel="2">
      <c r="A2378" s="815" t="s">
        <v>959</v>
      </c>
      <c r="B2378" s="816" t="s">
        <v>7866</v>
      </c>
      <c r="C2378" s="729" t="s">
        <v>460</v>
      </c>
      <c r="D2378" s="460"/>
      <c r="E2378" s="878" t="s">
        <v>1909</v>
      </c>
      <c r="F2378" s="881" t="s">
        <v>4853</v>
      </c>
      <c r="G2378" s="731" t="s">
        <v>2831</v>
      </c>
      <c r="H2378" s="1083">
        <v>42401</v>
      </c>
      <c r="I2378" s="1084">
        <v>42480</v>
      </c>
      <c r="J2378" s="957">
        <v>1270.99</v>
      </c>
    </row>
    <row r="2379" spans="1:10" s="852" customFormat="1" ht="28.5" outlineLevel="2">
      <c r="A2379" s="815" t="s">
        <v>2268</v>
      </c>
      <c r="B2379" s="816" t="s">
        <v>7888</v>
      </c>
      <c r="C2379" s="729" t="s">
        <v>460</v>
      </c>
      <c r="D2379" s="460"/>
      <c r="E2379" s="878" t="s">
        <v>1909</v>
      </c>
      <c r="F2379" s="881" t="s">
        <v>6310</v>
      </c>
      <c r="G2379" s="731" t="s">
        <v>4234</v>
      </c>
      <c r="H2379" s="1083">
        <v>42370</v>
      </c>
      <c r="I2379" s="1084">
        <v>42480</v>
      </c>
      <c r="J2379" s="957">
        <v>42.86</v>
      </c>
    </row>
    <row r="2380" spans="1:10" s="852" customFormat="1" ht="28.5" outlineLevel="2">
      <c r="A2380" s="815" t="s">
        <v>2268</v>
      </c>
      <c r="B2380" s="816" t="s">
        <v>7888</v>
      </c>
      <c r="C2380" s="729" t="s">
        <v>460</v>
      </c>
      <c r="D2380" s="460"/>
      <c r="E2380" s="878" t="s">
        <v>1909</v>
      </c>
      <c r="F2380" s="881" t="s">
        <v>6310</v>
      </c>
      <c r="G2380" s="731" t="s">
        <v>4235</v>
      </c>
      <c r="H2380" s="1083">
        <v>42370</v>
      </c>
      <c r="I2380" s="1084">
        <v>42480</v>
      </c>
      <c r="J2380" s="957">
        <v>50.42</v>
      </c>
    </row>
    <row r="2381" spans="1:10" s="852" customFormat="1" ht="28.5" outlineLevel="2">
      <c r="A2381" s="815" t="s">
        <v>2268</v>
      </c>
      <c r="B2381" s="816" t="s">
        <v>7888</v>
      </c>
      <c r="C2381" s="729" t="s">
        <v>460</v>
      </c>
      <c r="D2381" s="460"/>
      <c r="E2381" s="878" t="s">
        <v>1909</v>
      </c>
      <c r="F2381" s="881" t="s">
        <v>4694</v>
      </c>
      <c r="G2381" s="731" t="s">
        <v>4262</v>
      </c>
      <c r="H2381" s="1083">
        <v>42401</v>
      </c>
      <c r="I2381" s="1084">
        <v>42480</v>
      </c>
      <c r="J2381" s="957">
        <v>47.11</v>
      </c>
    </row>
    <row r="2382" spans="1:10" s="852" customFormat="1" ht="28.5" outlineLevel="2">
      <c r="A2382" s="815" t="s">
        <v>2268</v>
      </c>
      <c r="B2382" s="816" t="s">
        <v>7888</v>
      </c>
      <c r="C2382" s="729" t="s">
        <v>460</v>
      </c>
      <c r="D2382" s="460"/>
      <c r="E2382" s="878" t="s">
        <v>1909</v>
      </c>
      <c r="F2382" s="881" t="s">
        <v>4694</v>
      </c>
      <c r="G2382" s="731" t="s">
        <v>4264</v>
      </c>
      <c r="H2382" s="1083">
        <v>42401</v>
      </c>
      <c r="I2382" s="1084">
        <v>42480</v>
      </c>
      <c r="J2382" s="957">
        <v>55.53</v>
      </c>
    </row>
    <row r="2383" spans="1:10" s="852" customFormat="1" ht="28.5" outlineLevel="2">
      <c r="A2383" s="815" t="s">
        <v>745</v>
      </c>
      <c r="B2383" s="816" t="s">
        <v>7877</v>
      </c>
      <c r="C2383" s="729" t="s">
        <v>460</v>
      </c>
      <c r="D2383" s="460"/>
      <c r="E2383" s="878" t="s">
        <v>1909</v>
      </c>
      <c r="F2383" s="881" t="s">
        <v>6334</v>
      </c>
      <c r="G2383" s="731" t="s">
        <v>4581</v>
      </c>
      <c r="H2383" s="1083">
        <v>42370</v>
      </c>
      <c r="I2383" s="1084">
        <v>42480</v>
      </c>
      <c r="J2383" s="957">
        <v>887.22</v>
      </c>
    </row>
    <row r="2384" spans="1:10" s="852" customFormat="1" ht="28.5" outlineLevel="2">
      <c r="A2384" s="815" t="s">
        <v>745</v>
      </c>
      <c r="B2384" s="816" t="s">
        <v>7877</v>
      </c>
      <c r="C2384" s="729" t="s">
        <v>460</v>
      </c>
      <c r="D2384" s="460"/>
      <c r="E2384" s="878" t="s">
        <v>1909</v>
      </c>
      <c r="F2384" s="881" t="s">
        <v>6334</v>
      </c>
      <c r="G2384" s="731" t="s">
        <v>4585</v>
      </c>
      <c r="H2384" s="1083">
        <v>42370</v>
      </c>
      <c r="I2384" s="1084">
        <v>42480</v>
      </c>
      <c r="J2384" s="957">
        <v>887.22</v>
      </c>
    </row>
    <row r="2385" spans="1:10" s="852" customFormat="1" ht="28.5" outlineLevel="2">
      <c r="A2385" s="815" t="s">
        <v>745</v>
      </c>
      <c r="B2385" s="816" t="s">
        <v>7877</v>
      </c>
      <c r="C2385" s="729" t="s">
        <v>460</v>
      </c>
      <c r="D2385" s="460"/>
      <c r="E2385" s="878" t="s">
        <v>1909</v>
      </c>
      <c r="F2385" s="881" t="s">
        <v>6334</v>
      </c>
      <c r="G2385" s="731" t="s">
        <v>4587</v>
      </c>
      <c r="H2385" s="1083">
        <v>42370</v>
      </c>
      <c r="I2385" s="1084">
        <v>42480</v>
      </c>
      <c r="J2385" s="957">
        <v>-887.22</v>
      </c>
    </row>
    <row r="2386" spans="1:10" s="852" customFormat="1" ht="28.5" outlineLevel="2">
      <c r="A2386" s="815" t="s">
        <v>744</v>
      </c>
      <c r="B2386" s="816" t="s">
        <v>7864</v>
      </c>
      <c r="C2386" s="729" t="s">
        <v>460</v>
      </c>
      <c r="D2386" s="460"/>
      <c r="E2386" s="878" t="s">
        <v>1909</v>
      </c>
      <c r="F2386" s="881" t="s">
        <v>2876</v>
      </c>
      <c r="G2386" s="731" t="s">
        <v>4593</v>
      </c>
      <c r="H2386" s="1083">
        <v>42370</v>
      </c>
      <c r="I2386" s="1084">
        <v>42480</v>
      </c>
      <c r="J2386" s="957">
        <v>-734.65</v>
      </c>
    </row>
    <row r="2387" spans="1:10" s="852" customFormat="1" ht="28.5" outlineLevel="2">
      <c r="A2387" s="815" t="s">
        <v>744</v>
      </c>
      <c r="B2387" s="816" t="s">
        <v>7864</v>
      </c>
      <c r="C2387" s="729" t="s">
        <v>460</v>
      </c>
      <c r="D2387" s="460"/>
      <c r="E2387" s="878" t="s">
        <v>1909</v>
      </c>
      <c r="F2387" s="881" t="s">
        <v>2876</v>
      </c>
      <c r="G2387" s="731" t="s">
        <v>4595</v>
      </c>
      <c r="H2387" s="1083">
        <v>42370</v>
      </c>
      <c r="I2387" s="1084">
        <v>42480</v>
      </c>
      <c r="J2387" s="957">
        <v>-734.65</v>
      </c>
    </row>
    <row r="2388" spans="1:10" s="852" customFormat="1" ht="28.5" outlineLevel="2">
      <c r="A2388" s="815" t="s">
        <v>744</v>
      </c>
      <c r="B2388" s="816" t="s">
        <v>7864</v>
      </c>
      <c r="C2388" s="729" t="s">
        <v>460</v>
      </c>
      <c r="D2388" s="460"/>
      <c r="E2388" s="878" t="s">
        <v>1909</v>
      </c>
      <c r="F2388" s="881" t="s">
        <v>2876</v>
      </c>
      <c r="G2388" s="731" t="s">
        <v>4602</v>
      </c>
      <c r="H2388" s="1083">
        <v>42370</v>
      </c>
      <c r="I2388" s="1084">
        <v>42480</v>
      </c>
      <c r="J2388" s="957">
        <v>734.65</v>
      </c>
    </row>
    <row r="2389" spans="1:10" s="852" customFormat="1" ht="28.5" outlineLevel="2">
      <c r="A2389" s="815" t="s">
        <v>744</v>
      </c>
      <c r="B2389" s="816" t="s">
        <v>7864</v>
      </c>
      <c r="C2389" s="729" t="s">
        <v>460</v>
      </c>
      <c r="D2389" s="460"/>
      <c r="E2389" s="878" t="s">
        <v>1909</v>
      </c>
      <c r="F2389" s="881" t="s">
        <v>2876</v>
      </c>
      <c r="G2389" s="731" t="s">
        <v>4609</v>
      </c>
      <c r="H2389" s="1083">
        <v>42370</v>
      </c>
      <c r="I2389" s="1084">
        <v>42480</v>
      </c>
      <c r="J2389" s="957">
        <v>734.65</v>
      </c>
    </row>
    <row r="2390" spans="1:10" s="852" customFormat="1" ht="28.5" outlineLevel="2">
      <c r="A2390" s="815" t="s">
        <v>744</v>
      </c>
      <c r="B2390" s="816" t="s">
        <v>7864</v>
      </c>
      <c r="C2390" s="729" t="s">
        <v>460</v>
      </c>
      <c r="D2390" s="460"/>
      <c r="E2390" s="878" t="s">
        <v>1909</v>
      </c>
      <c r="F2390" s="881" t="s">
        <v>2876</v>
      </c>
      <c r="G2390" s="731" t="s">
        <v>4614</v>
      </c>
      <c r="H2390" s="1083">
        <v>42370</v>
      </c>
      <c r="I2390" s="1084">
        <v>42480</v>
      </c>
      <c r="J2390" s="957">
        <v>734.66</v>
      </c>
    </row>
    <row r="2391" spans="1:10" s="852" customFormat="1" ht="28.5" outlineLevel="2">
      <c r="A2391" s="815" t="s">
        <v>744</v>
      </c>
      <c r="B2391" s="816" t="s">
        <v>7864</v>
      </c>
      <c r="C2391" s="729" t="s">
        <v>460</v>
      </c>
      <c r="D2391" s="460"/>
      <c r="E2391" s="878" t="s">
        <v>1909</v>
      </c>
      <c r="F2391" s="881" t="s">
        <v>3583</v>
      </c>
      <c r="G2391" s="731" t="s">
        <v>4620</v>
      </c>
      <c r="H2391" s="1083">
        <v>42370</v>
      </c>
      <c r="I2391" s="1084">
        <v>42480</v>
      </c>
      <c r="J2391" s="957">
        <v>-1087.28</v>
      </c>
    </row>
    <row r="2392" spans="1:10" s="852" customFormat="1" ht="28.5" outlineLevel="2">
      <c r="A2392" s="815" t="s">
        <v>744</v>
      </c>
      <c r="B2392" s="816" t="s">
        <v>7864</v>
      </c>
      <c r="C2392" s="729" t="s">
        <v>460</v>
      </c>
      <c r="D2392" s="460"/>
      <c r="E2392" s="878" t="s">
        <v>1909</v>
      </c>
      <c r="F2392" s="881" t="s">
        <v>3583</v>
      </c>
      <c r="G2392" s="731" t="s">
        <v>4622</v>
      </c>
      <c r="H2392" s="1083">
        <v>42370</v>
      </c>
      <c r="I2392" s="1084">
        <v>42480</v>
      </c>
      <c r="J2392" s="957">
        <v>1087.28</v>
      </c>
    </row>
    <row r="2393" spans="1:10" s="852" customFormat="1" ht="28.5" outlineLevel="2">
      <c r="A2393" s="815" t="s">
        <v>744</v>
      </c>
      <c r="B2393" s="816" t="s">
        <v>7864</v>
      </c>
      <c r="C2393" s="729" t="s">
        <v>460</v>
      </c>
      <c r="D2393" s="460"/>
      <c r="E2393" s="878" t="s">
        <v>1909</v>
      </c>
      <c r="F2393" s="881" t="s">
        <v>3583</v>
      </c>
      <c r="G2393" s="731" t="s">
        <v>4626</v>
      </c>
      <c r="H2393" s="1083">
        <v>42370</v>
      </c>
      <c r="I2393" s="1084">
        <v>42480</v>
      </c>
      <c r="J2393" s="957">
        <v>1087.28</v>
      </c>
    </row>
    <row r="2394" spans="1:10" s="852" customFormat="1" ht="28.5" outlineLevel="2">
      <c r="A2394" s="815" t="s">
        <v>741</v>
      </c>
      <c r="B2394" s="816" t="s">
        <v>7882</v>
      </c>
      <c r="C2394" s="729" t="s">
        <v>460</v>
      </c>
      <c r="D2394" s="460"/>
      <c r="E2394" s="878" t="s">
        <v>1909</v>
      </c>
      <c r="F2394" s="881" t="s">
        <v>2915</v>
      </c>
      <c r="G2394" s="731" t="s">
        <v>4596</v>
      </c>
      <c r="H2394" s="1083">
        <v>42309</v>
      </c>
      <c r="I2394" s="1084">
        <v>42480</v>
      </c>
      <c r="J2394" s="957">
        <v>-566.72</v>
      </c>
    </row>
    <row r="2395" spans="1:10" s="852" customFormat="1" ht="28.5" outlineLevel="2">
      <c r="A2395" s="815" t="s">
        <v>742</v>
      </c>
      <c r="B2395" s="816" t="s">
        <v>7883</v>
      </c>
      <c r="C2395" s="729" t="s">
        <v>460</v>
      </c>
      <c r="D2395" s="460"/>
      <c r="E2395" s="878" t="s">
        <v>1909</v>
      </c>
      <c r="F2395" s="881" t="s">
        <v>2915</v>
      </c>
      <c r="G2395" s="731" t="s">
        <v>4596</v>
      </c>
      <c r="H2395" s="1083">
        <v>42309</v>
      </c>
      <c r="I2395" s="1084">
        <v>42480</v>
      </c>
      <c r="J2395" s="957">
        <v>-100.01</v>
      </c>
    </row>
    <row r="2396" spans="1:10" s="852" customFormat="1" ht="28.5" outlineLevel="2">
      <c r="A2396" s="815" t="s">
        <v>741</v>
      </c>
      <c r="B2396" s="816" t="s">
        <v>7882</v>
      </c>
      <c r="C2396" s="729" t="s">
        <v>460</v>
      </c>
      <c r="D2396" s="460"/>
      <c r="E2396" s="878" t="s">
        <v>1909</v>
      </c>
      <c r="F2396" s="881" t="s">
        <v>2915</v>
      </c>
      <c r="G2396" s="731" t="s">
        <v>4597</v>
      </c>
      <c r="H2396" s="1083">
        <v>42309</v>
      </c>
      <c r="I2396" s="1084">
        <v>42480</v>
      </c>
      <c r="J2396" s="957">
        <v>-566.72</v>
      </c>
    </row>
    <row r="2397" spans="1:10" s="852" customFormat="1" ht="28.5" outlineLevel="2">
      <c r="A2397" s="815" t="s">
        <v>742</v>
      </c>
      <c r="B2397" s="816" t="s">
        <v>7883</v>
      </c>
      <c r="C2397" s="729" t="s">
        <v>460</v>
      </c>
      <c r="D2397" s="460"/>
      <c r="E2397" s="878" t="s">
        <v>1909</v>
      </c>
      <c r="F2397" s="881" t="s">
        <v>2915</v>
      </c>
      <c r="G2397" s="731" t="s">
        <v>4597</v>
      </c>
      <c r="H2397" s="1083">
        <v>42309</v>
      </c>
      <c r="I2397" s="1084">
        <v>42480</v>
      </c>
      <c r="J2397" s="957">
        <v>-100.01</v>
      </c>
    </row>
    <row r="2398" spans="1:10" s="852" customFormat="1" ht="28.5" outlineLevel="2">
      <c r="A2398" s="815" t="s">
        <v>741</v>
      </c>
      <c r="B2398" s="816" t="s">
        <v>7882</v>
      </c>
      <c r="C2398" s="729" t="s">
        <v>460</v>
      </c>
      <c r="D2398" s="460"/>
      <c r="E2398" s="878" t="s">
        <v>1909</v>
      </c>
      <c r="F2398" s="881" t="s">
        <v>2915</v>
      </c>
      <c r="G2398" s="731" t="s">
        <v>4604</v>
      </c>
      <c r="H2398" s="1083">
        <v>42309</v>
      </c>
      <c r="I2398" s="1084">
        <v>42480</v>
      </c>
      <c r="J2398" s="957">
        <v>566.72</v>
      </c>
    </row>
    <row r="2399" spans="1:10" s="852" customFormat="1" ht="28.5" outlineLevel="2">
      <c r="A2399" s="815" t="s">
        <v>742</v>
      </c>
      <c r="B2399" s="816" t="s">
        <v>7883</v>
      </c>
      <c r="C2399" s="729" t="s">
        <v>460</v>
      </c>
      <c r="D2399" s="460"/>
      <c r="E2399" s="878" t="s">
        <v>1909</v>
      </c>
      <c r="F2399" s="881" t="s">
        <v>2915</v>
      </c>
      <c r="G2399" s="731" t="s">
        <v>4604</v>
      </c>
      <c r="H2399" s="1083">
        <v>42309</v>
      </c>
      <c r="I2399" s="1084">
        <v>42480</v>
      </c>
      <c r="J2399" s="957">
        <v>100.01</v>
      </c>
    </row>
    <row r="2400" spans="1:10" s="852" customFormat="1" ht="28.5" outlineLevel="2">
      <c r="A2400" s="815" t="s">
        <v>741</v>
      </c>
      <c r="B2400" s="816" t="s">
        <v>7882</v>
      </c>
      <c r="C2400" s="729" t="s">
        <v>460</v>
      </c>
      <c r="D2400" s="460"/>
      <c r="E2400" s="878" t="s">
        <v>1909</v>
      </c>
      <c r="F2400" s="881" t="s">
        <v>2915</v>
      </c>
      <c r="G2400" s="731" t="s">
        <v>4611</v>
      </c>
      <c r="H2400" s="1083">
        <v>42309</v>
      </c>
      <c r="I2400" s="1084">
        <v>42480</v>
      </c>
      <c r="J2400" s="957">
        <v>566.72</v>
      </c>
    </row>
    <row r="2401" spans="1:10" s="852" customFormat="1" ht="28.5" outlineLevel="2">
      <c r="A2401" s="815" t="s">
        <v>742</v>
      </c>
      <c r="B2401" s="816" t="s">
        <v>7883</v>
      </c>
      <c r="C2401" s="729" t="s">
        <v>460</v>
      </c>
      <c r="D2401" s="460"/>
      <c r="E2401" s="878" t="s">
        <v>1909</v>
      </c>
      <c r="F2401" s="881" t="s">
        <v>2915</v>
      </c>
      <c r="G2401" s="731" t="s">
        <v>4611</v>
      </c>
      <c r="H2401" s="1083">
        <v>42309</v>
      </c>
      <c r="I2401" s="1084">
        <v>42480</v>
      </c>
      <c r="J2401" s="957">
        <v>100.01</v>
      </c>
    </row>
    <row r="2402" spans="1:10" s="852" customFormat="1" ht="28.5" outlineLevel="2">
      <c r="A2402" s="815" t="s">
        <v>741</v>
      </c>
      <c r="B2402" s="816" t="s">
        <v>7882</v>
      </c>
      <c r="C2402" s="729" t="s">
        <v>460</v>
      </c>
      <c r="D2402" s="460"/>
      <c r="E2402" s="878" t="s">
        <v>1909</v>
      </c>
      <c r="F2402" s="881" t="s">
        <v>2915</v>
      </c>
      <c r="G2402" s="731" t="s">
        <v>4616</v>
      </c>
      <c r="H2402" s="1083">
        <v>42309</v>
      </c>
      <c r="I2402" s="1084">
        <v>42480</v>
      </c>
      <c r="J2402" s="957">
        <v>566.72</v>
      </c>
    </row>
    <row r="2403" spans="1:10" s="852" customFormat="1" ht="28.5" outlineLevel="2">
      <c r="A2403" s="815" t="s">
        <v>742</v>
      </c>
      <c r="B2403" s="816" t="s">
        <v>7883</v>
      </c>
      <c r="C2403" s="729" t="s">
        <v>460</v>
      </c>
      <c r="D2403" s="460"/>
      <c r="E2403" s="878" t="s">
        <v>1909</v>
      </c>
      <c r="F2403" s="881" t="s">
        <v>2915</v>
      </c>
      <c r="G2403" s="731" t="s">
        <v>4616</v>
      </c>
      <c r="H2403" s="1083">
        <v>42309</v>
      </c>
      <c r="I2403" s="1084">
        <v>42480</v>
      </c>
      <c r="J2403" s="957">
        <v>100.01</v>
      </c>
    </row>
    <row r="2404" spans="1:10" s="852" customFormat="1" ht="28.5" outlineLevel="2">
      <c r="A2404" s="815" t="s">
        <v>741</v>
      </c>
      <c r="B2404" s="816" t="s">
        <v>7882</v>
      </c>
      <c r="C2404" s="729" t="s">
        <v>460</v>
      </c>
      <c r="D2404" s="460"/>
      <c r="E2404" s="878" t="s">
        <v>1909</v>
      </c>
      <c r="F2404" s="881" t="s">
        <v>6336</v>
      </c>
      <c r="G2404" s="731" t="s">
        <v>4590</v>
      </c>
      <c r="H2404" s="1083">
        <v>42370</v>
      </c>
      <c r="I2404" s="1084">
        <v>42480</v>
      </c>
      <c r="J2404" s="957">
        <v>36442.720000000001</v>
      </c>
    </row>
    <row r="2405" spans="1:10" s="852" customFormat="1" ht="28.5" outlineLevel="2">
      <c r="A2405" s="815" t="s">
        <v>742</v>
      </c>
      <c r="B2405" s="816" t="s">
        <v>7883</v>
      </c>
      <c r="C2405" s="729" t="s">
        <v>460</v>
      </c>
      <c r="D2405" s="460"/>
      <c r="E2405" s="878" t="s">
        <v>1909</v>
      </c>
      <c r="F2405" s="881" t="s">
        <v>6336</v>
      </c>
      <c r="G2405" s="731" t="s">
        <v>4590</v>
      </c>
      <c r="H2405" s="1083">
        <v>42370</v>
      </c>
      <c r="I2405" s="1084">
        <v>42480</v>
      </c>
      <c r="J2405" s="957">
        <v>6431.06</v>
      </c>
    </row>
    <row r="2406" spans="1:10" s="852" customFormat="1" ht="28.5" outlineLevel="2">
      <c r="A2406" s="815" t="s">
        <v>747</v>
      </c>
      <c r="B2406" s="816" t="s">
        <v>7863</v>
      </c>
      <c r="C2406" s="729" t="s">
        <v>460</v>
      </c>
      <c r="D2406" s="460"/>
      <c r="E2406" s="878" t="s">
        <v>1909</v>
      </c>
      <c r="F2406" s="881" t="s">
        <v>6335</v>
      </c>
      <c r="G2406" s="731" t="s">
        <v>4583</v>
      </c>
      <c r="H2406" s="1083">
        <v>42370</v>
      </c>
      <c r="I2406" s="1084">
        <v>42480</v>
      </c>
      <c r="J2406" s="957">
        <v>4010.62</v>
      </c>
    </row>
    <row r="2407" spans="1:10" s="852" customFormat="1" ht="28.5" outlineLevel="2">
      <c r="A2407" s="815" t="s">
        <v>747</v>
      </c>
      <c r="B2407" s="816" t="s">
        <v>7863</v>
      </c>
      <c r="C2407" s="729" t="s">
        <v>460</v>
      </c>
      <c r="D2407" s="460"/>
      <c r="E2407" s="878" t="s">
        <v>1909</v>
      </c>
      <c r="F2407" s="881" t="s">
        <v>6335</v>
      </c>
      <c r="G2407" s="731" t="s">
        <v>4586</v>
      </c>
      <c r="H2407" s="1083">
        <v>42370</v>
      </c>
      <c r="I2407" s="1084">
        <v>42480</v>
      </c>
      <c r="J2407" s="957">
        <v>4010.62</v>
      </c>
    </row>
    <row r="2408" spans="1:10" s="852" customFormat="1" ht="28.5" outlineLevel="2">
      <c r="A2408" s="815" t="s">
        <v>747</v>
      </c>
      <c r="B2408" s="816" t="s">
        <v>7863</v>
      </c>
      <c r="C2408" s="729" t="s">
        <v>460</v>
      </c>
      <c r="D2408" s="460"/>
      <c r="E2408" s="878" t="s">
        <v>1909</v>
      </c>
      <c r="F2408" s="881" t="s">
        <v>6335</v>
      </c>
      <c r="G2408" s="731" t="s">
        <v>4588</v>
      </c>
      <c r="H2408" s="1083">
        <v>42370</v>
      </c>
      <c r="I2408" s="1084">
        <v>42480</v>
      </c>
      <c r="J2408" s="957">
        <v>-4010.62</v>
      </c>
    </row>
    <row r="2409" spans="1:10" s="852" customFormat="1" ht="28.5" outlineLevel="2">
      <c r="A2409" s="815" t="s">
        <v>748</v>
      </c>
      <c r="B2409" s="816" t="s">
        <v>7890</v>
      </c>
      <c r="C2409" s="729" t="s">
        <v>460</v>
      </c>
      <c r="D2409" s="460"/>
      <c r="E2409" s="878" t="s">
        <v>1909</v>
      </c>
      <c r="F2409" s="881" t="s">
        <v>4704</v>
      </c>
      <c r="G2409" s="731" t="s">
        <v>4634</v>
      </c>
      <c r="H2409" s="1083">
        <v>42401</v>
      </c>
      <c r="I2409" s="1084">
        <v>42480</v>
      </c>
      <c r="J2409" s="957">
        <v>35.04</v>
      </c>
    </row>
    <row r="2410" spans="1:10" s="852" customFormat="1" ht="42.75" outlineLevel="2">
      <c r="A2410" s="815" t="s">
        <v>1042</v>
      </c>
      <c r="B2410" s="816" t="s">
        <v>7867</v>
      </c>
      <c r="C2410" s="729" t="s">
        <v>460</v>
      </c>
      <c r="D2410" s="460"/>
      <c r="E2410" s="878" t="s">
        <v>5586</v>
      </c>
      <c r="F2410" s="881" t="s">
        <v>1044</v>
      </c>
      <c r="G2410" s="731" t="s">
        <v>5587</v>
      </c>
      <c r="H2410" s="1083">
        <v>42461</v>
      </c>
      <c r="I2410" s="1084">
        <v>42467</v>
      </c>
      <c r="J2410" s="957">
        <v>700</v>
      </c>
    </row>
    <row r="2411" spans="1:10" s="852" customFormat="1" outlineLevel="2">
      <c r="A2411" s="815" t="s">
        <v>1763</v>
      </c>
      <c r="B2411" s="816" t="s">
        <v>7871</v>
      </c>
      <c r="C2411" s="729" t="s">
        <v>460</v>
      </c>
      <c r="D2411" s="460"/>
      <c r="E2411" s="878" t="s">
        <v>1752</v>
      </c>
      <c r="F2411" s="881" t="s">
        <v>1753</v>
      </c>
      <c r="G2411" s="731" t="s">
        <v>5833</v>
      </c>
      <c r="H2411" s="1083">
        <v>42430</v>
      </c>
      <c r="I2411" s="1084">
        <v>42489</v>
      </c>
      <c r="J2411" s="957">
        <v>16574.66</v>
      </c>
    </row>
    <row r="2412" spans="1:10" s="852" customFormat="1" ht="42.75" outlineLevel="2">
      <c r="A2412" s="815" t="s">
        <v>5683</v>
      </c>
      <c r="B2412" s="816" t="s">
        <v>7867</v>
      </c>
      <c r="C2412" s="729" t="s">
        <v>460</v>
      </c>
      <c r="D2412" s="460"/>
      <c r="E2412" s="878" t="s">
        <v>5684</v>
      </c>
      <c r="F2412" s="881" t="s">
        <v>1044</v>
      </c>
      <c r="G2412" s="731" t="s">
        <v>5685</v>
      </c>
      <c r="H2412" s="1083">
        <v>42461</v>
      </c>
      <c r="I2412" s="1084">
        <v>42479</v>
      </c>
      <c r="J2412" s="957">
        <v>91201.98</v>
      </c>
    </row>
    <row r="2413" spans="1:10" s="852" customFormat="1" outlineLevel="2">
      <c r="A2413" s="815" t="s">
        <v>2295</v>
      </c>
      <c r="B2413" s="816" t="s">
        <v>2518</v>
      </c>
      <c r="C2413" s="729" t="s">
        <v>460</v>
      </c>
      <c r="D2413" s="460"/>
      <c r="E2413" s="878" t="s">
        <v>5659</v>
      </c>
      <c r="F2413" s="881" t="s">
        <v>439</v>
      </c>
      <c r="G2413" s="731" t="s">
        <v>5660</v>
      </c>
      <c r="H2413" s="1083">
        <v>42430</v>
      </c>
      <c r="I2413" s="1084">
        <v>42475</v>
      </c>
      <c r="J2413" s="957">
        <v>10913</v>
      </c>
    </row>
    <row r="2414" spans="1:10" s="852" customFormat="1" outlineLevel="2">
      <c r="A2414" s="815" t="s">
        <v>1658</v>
      </c>
      <c r="B2414" s="816" t="s">
        <v>7884</v>
      </c>
      <c r="C2414" s="729" t="s">
        <v>460</v>
      </c>
      <c r="D2414" s="460"/>
      <c r="E2414" s="878" t="s">
        <v>1662</v>
      </c>
      <c r="F2414" s="881" t="s">
        <v>1634</v>
      </c>
      <c r="G2414" s="731" t="s">
        <v>5722</v>
      </c>
      <c r="H2414" s="1083">
        <v>42461</v>
      </c>
      <c r="I2414" s="1084">
        <v>42485</v>
      </c>
      <c r="J2414" s="957">
        <v>22.89</v>
      </c>
    </row>
    <row r="2415" spans="1:10" s="852" customFormat="1" outlineLevel="2">
      <c r="A2415" s="815" t="s">
        <v>5700</v>
      </c>
      <c r="B2415" s="816" t="s">
        <v>7897</v>
      </c>
      <c r="C2415" s="729" t="s">
        <v>460</v>
      </c>
      <c r="D2415" s="460"/>
      <c r="E2415" s="878" t="s">
        <v>5701</v>
      </c>
      <c r="F2415" s="881" t="s">
        <v>2456</v>
      </c>
      <c r="G2415" s="731" t="s">
        <v>5702</v>
      </c>
      <c r="H2415" s="1083">
        <v>42461</v>
      </c>
      <c r="I2415" s="1084">
        <v>42480</v>
      </c>
      <c r="J2415" s="957">
        <v>990</v>
      </c>
    </row>
    <row r="2416" spans="1:10" s="852" customFormat="1" outlineLevel="2">
      <c r="A2416" s="815" t="s">
        <v>2302</v>
      </c>
      <c r="B2416" s="816" t="s">
        <v>7873</v>
      </c>
      <c r="C2416" s="729" t="s">
        <v>460</v>
      </c>
      <c r="D2416" s="460"/>
      <c r="E2416" s="878" t="s">
        <v>441</v>
      </c>
      <c r="F2416" s="881" t="s">
        <v>2299</v>
      </c>
      <c r="G2416" s="731" t="s">
        <v>5661</v>
      </c>
      <c r="H2416" s="1083">
        <v>42430</v>
      </c>
      <c r="I2416" s="1084">
        <v>42475</v>
      </c>
      <c r="J2416" s="957">
        <v>312.23</v>
      </c>
    </row>
    <row r="2417" spans="1:10" s="852" customFormat="1" outlineLevel="1">
      <c r="A2417" s="815"/>
      <c r="B2417" s="816" t="s">
        <v>258</v>
      </c>
      <c r="C2417" s="908" t="s">
        <v>460</v>
      </c>
      <c r="D2417" s="928" t="str">
        <f>VLOOKUP(C2417,$C$3691:$D$3771,2,FALSE)</f>
        <v>TOTAL POUPATEMPO  ITAQUERA</v>
      </c>
      <c r="E2417" s="1085"/>
      <c r="F2417" s="929"/>
      <c r="G2417" s="910"/>
      <c r="H2417" s="1086"/>
      <c r="I2417" s="1087"/>
      <c r="J2417" s="930">
        <f>SUBTOTAL(9,J2317:J2416)</f>
        <v>1228005.0599999996</v>
      </c>
    </row>
    <row r="2418" spans="1:10" s="852" customFormat="1" outlineLevel="2">
      <c r="A2418" s="815" t="s">
        <v>5899</v>
      </c>
      <c r="B2418" s="816" t="s">
        <v>7881</v>
      </c>
      <c r="C2418" s="729" t="s">
        <v>461</v>
      </c>
      <c r="D2418" s="460"/>
      <c r="E2418" s="878" t="s">
        <v>695</v>
      </c>
      <c r="F2418" s="881" t="s">
        <v>943</v>
      </c>
      <c r="G2418" s="731" t="s">
        <v>5518</v>
      </c>
      <c r="H2418" s="1083">
        <v>42401</v>
      </c>
      <c r="I2418" s="1084">
        <v>42461</v>
      </c>
      <c r="J2418" s="957">
        <v>317.49</v>
      </c>
    </row>
    <row r="2419" spans="1:10" s="852" customFormat="1" outlineLevel="2">
      <c r="A2419" s="815" t="s">
        <v>1375</v>
      </c>
      <c r="B2419" s="816" t="s">
        <v>7889</v>
      </c>
      <c r="C2419" s="729" t="s">
        <v>461</v>
      </c>
      <c r="D2419" s="460"/>
      <c r="E2419" s="878" t="s">
        <v>1373</v>
      </c>
      <c r="F2419" s="881" t="s">
        <v>404</v>
      </c>
      <c r="G2419" s="731" t="s">
        <v>5532</v>
      </c>
      <c r="H2419" s="1083">
        <v>42370</v>
      </c>
      <c r="I2419" s="1084">
        <v>42464</v>
      </c>
      <c r="J2419" s="957">
        <v>1420</v>
      </c>
    </row>
    <row r="2420" spans="1:10" s="852" customFormat="1" outlineLevel="2">
      <c r="A2420" s="815" t="s">
        <v>1375</v>
      </c>
      <c r="B2420" s="816" t="s">
        <v>7889</v>
      </c>
      <c r="C2420" s="729" t="s">
        <v>461</v>
      </c>
      <c r="D2420" s="460"/>
      <c r="E2420" s="878" t="s">
        <v>1373</v>
      </c>
      <c r="F2420" s="881" t="s">
        <v>404</v>
      </c>
      <c r="G2420" s="731" t="s">
        <v>5705</v>
      </c>
      <c r="H2420" s="1083">
        <v>42401</v>
      </c>
      <c r="I2420" s="1084">
        <v>42482</v>
      </c>
      <c r="J2420" s="957">
        <v>2700</v>
      </c>
    </row>
    <row r="2421" spans="1:10" s="852" customFormat="1" outlineLevel="2">
      <c r="A2421" s="815" t="s">
        <v>1405</v>
      </c>
      <c r="B2421" s="816" t="s">
        <v>7892</v>
      </c>
      <c r="C2421" s="729" t="s">
        <v>461</v>
      </c>
      <c r="D2421" s="460"/>
      <c r="E2421" s="878" t="s">
        <v>1397</v>
      </c>
      <c r="F2421" s="881" t="s">
        <v>1398</v>
      </c>
      <c r="G2421" s="731" t="s">
        <v>5629</v>
      </c>
      <c r="H2421" s="1083">
        <v>42401</v>
      </c>
      <c r="I2421" s="1084">
        <v>42474</v>
      </c>
      <c r="J2421" s="957">
        <v>109.24</v>
      </c>
    </row>
    <row r="2422" spans="1:10" s="852" customFormat="1" outlineLevel="2">
      <c r="A2422" s="815" t="s">
        <v>5916</v>
      </c>
      <c r="B2422" s="816" t="s">
        <v>7882</v>
      </c>
      <c r="C2422" s="729" t="s">
        <v>461</v>
      </c>
      <c r="D2422" s="460"/>
      <c r="E2422" s="878" t="s">
        <v>721</v>
      </c>
      <c r="F2422" s="881" t="s">
        <v>426</v>
      </c>
      <c r="G2422" s="731" t="s">
        <v>5923</v>
      </c>
      <c r="H2422" s="1083">
        <v>42401</v>
      </c>
      <c r="I2422" s="1084">
        <v>42466</v>
      </c>
      <c r="J2422" s="957">
        <v>-46673.68</v>
      </c>
    </row>
    <row r="2423" spans="1:10" s="852" customFormat="1" outlineLevel="2">
      <c r="A2423" s="815" t="s">
        <v>5917</v>
      </c>
      <c r="B2423" s="816" t="s">
        <v>7883</v>
      </c>
      <c r="C2423" s="729" t="s">
        <v>461</v>
      </c>
      <c r="D2423" s="460"/>
      <c r="E2423" s="878" t="s">
        <v>721</v>
      </c>
      <c r="F2423" s="881" t="s">
        <v>426</v>
      </c>
      <c r="G2423" s="731" t="s">
        <v>5923</v>
      </c>
      <c r="H2423" s="1083">
        <v>42401</v>
      </c>
      <c r="I2423" s="1084">
        <v>42466</v>
      </c>
      <c r="J2423" s="957">
        <v>-10037.35</v>
      </c>
    </row>
    <row r="2424" spans="1:10" s="852" customFormat="1" outlineLevel="2">
      <c r="A2424" s="815" t="s">
        <v>5917</v>
      </c>
      <c r="B2424" s="816" t="s">
        <v>7883</v>
      </c>
      <c r="C2424" s="729" t="s">
        <v>461</v>
      </c>
      <c r="D2424" s="460"/>
      <c r="E2424" s="878" t="s">
        <v>721</v>
      </c>
      <c r="F2424" s="881" t="s">
        <v>1030</v>
      </c>
      <c r="G2424" s="731" t="str">
        <f>"2027"</f>
        <v>2027</v>
      </c>
      <c r="H2424" s="1083">
        <v>42401</v>
      </c>
      <c r="I2424" s="1084">
        <v>42466</v>
      </c>
      <c r="J2424" s="957">
        <v>94330.880000000005</v>
      </c>
    </row>
    <row r="2425" spans="1:10" s="852" customFormat="1" outlineLevel="2">
      <c r="A2425" s="815" t="s">
        <v>5916</v>
      </c>
      <c r="B2425" s="816" t="s">
        <v>7882</v>
      </c>
      <c r="C2425" s="729" t="s">
        <v>461</v>
      </c>
      <c r="D2425" s="460"/>
      <c r="E2425" s="878" t="s">
        <v>721</v>
      </c>
      <c r="F2425" s="881" t="s">
        <v>1030</v>
      </c>
      <c r="G2425" s="731" t="str">
        <f>"2027"</f>
        <v>2027</v>
      </c>
      <c r="H2425" s="1083">
        <v>42401</v>
      </c>
      <c r="I2425" s="1084">
        <v>42466</v>
      </c>
      <c r="J2425" s="957">
        <v>438638.56</v>
      </c>
    </row>
    <row r="2426" spans="1:10" s="852" customFormat="1" outlineLevel="2">
      <c r="A2426" s="815" t="s">
        <v>1315</v>
      </c>
      <c r="B2426" s="816" t="s">
        <v>7873</v>
      </c>
      <c r="C2426" s="729" t="s">
        <v>461</v>
      </c>
      <c r="D2426" s="460"/>
      <c r="E2426" s="878" t="s">
        <v>416</v>
      </c>
      <c r="F2426" s="881" t="s">
        <v>431</v>
      </c>
      <c r="G2426" s="731" t="s">
        <v>5619</v>
      </c>
      <c r="H2426" s="1083">
        <v>42430</v>
      </c>
      <c r="I2426" s="1084">
        <v>42473</v>
      </c>
      <c r="J2426" s="957">
        <v>349.49</v>
      </c>
    </row>
    <row r="2427" spans="1:10" s="852" customFormat="1" outlineLevel="2">
      <c r="A2427" s="815" t="s">
        <v>5762</v>
      </c>
      <c r="B2427" s="816" t="s">
        <v>7896</v>
      </c>
      <c r="C2427" s="729" t="s">
        <v>461</v>
      </c>
      <c r="D2427" s="460"/>
      <c r="E2427" s="878" t="s">
        <v>416</v>
      </c>
      <c r="F2427" s="881" t="s">
        <v>395</v>
      </c>
      <c r="G2427" s="731" t="s">
        <v>5763</v>
      </c>
      <c r="H2427" s="1083">
        <v>42461</v>
      </c>
      <c r="I2427" s="1084">
        <v>42489</v>
      </c>
      <c r="J2427" s="957">
        <v>2331.8000000000002</v>
      </c>
    </row>
    <row r="2428" spans="1:10" s="852" customFormat="1" outlineLevel="2">
      <c r="A2428" s="815" t="s">
        <v>1620</v>
      </c>
      <c r="B2428" s="816" t="s">
        <v>7875</v>
      </c>
      <c r="C2428" s="729" t="s">
        <v>461</v>
      </c>
      <c r="D2428" s="460"/>
      <c r="E2428" s="878" t="s">
        <v>1613</v>
      </c>
      <c r="F2428" s="881" t="s">
        <v>1614</v>
      </c>
      <c r="G2428" s="731" t="s">
        <v>5520</v>
      </c>
      <c r="H2428" s="1083">
        <v>42401</v>
      </c>
      <c r="I2428" s="1084">
        <v>42464</v>
      </c>
      <c r="J2428" s="957">
        <v>3875.54</v>
      </c>
    </row>
    <row r="2429" spans="1:10" s="852" customFormat="1" outlineLevel="2">
      <c r="A2429" s="815" t="s">
        <v>752</v>
      </c>
      <c r="B2429" s="816" t="s">
        <v>7885</v>
      </c>
      <c r="C2429" s="729" t="s">
        <v>461</v>
      </c>
      <c r="D2429" s="460"/>
      <c r="E2429" s="878" t="s">
        <v>733</v>
      </c>
      <c r="F2429" s="881" t="s">
        <v>1378</v>
      </c>
      <c r="G2429" s="731" t="s">
        <v>2577</v>
      </c>
      <c r="H2429" s="1083">
        <v>42401</v>
      </c>
      <c r="I2429" s="1084">
        <v>42464</v>
      </c>
      <c r="J2429" s="957">
        <v>17534.52</v>
      </c>
    </row>
    <row r="2430" spans="1:10" s="852" customFormat="1" ht="28.5" outlineLevel="2">
      <c r="A2430" s="815" t="s">
        <v>5529</v>
      </c>
      <c r="B2430" s="816" t="s">
        <v>7876</v>
      </c>
      <c r="C2430" s="729" t="s">
        <v>461</v>
      </c>
      <c r="D2430" s="460"/>
      <c r="E2430" s="878" t="s">
        <v>1410</v>
      </c>
      <c r="F2430" s="881" t="s">
        <v>1424</v>
      </c>
      <c r="G2430" s="731" t="s">
        <v>5525</v>
      </c>
      <c r="H2430" s="1083">
        <v>42430</v>
      </c>
      <c r="I2430" s="1084">
        <v>42461</v>
      </c>
      <c r="J2430" s="957">
        <v>1830.56</v>
      </c>
    </row>
    <row r="2431" spans="1:10" s="852" customFormat="1" outlineLevel="2">
      <c r="A2431" s="815" t="s">
        <v>754</v>
      </c>
      <c r="B2431" s="816" t="s">
        <v>7877</v>
      </c>
      <c r="C2431" s="729" t="s">
        <v>461</v>
      </c>
      <c r="D2431" s="460"/>
      <c r="E2431" s="878" t="s">
        <v>683</v>
      </c>
      <c r="F2431" s="881" t="s">
        <v>1071</v>
      </c>
      <c r="G2431" s="731" t="s">
        <v>5551</v>
      </c>
      <c r="H2431" s="1083">
        <v>42430</v>
      </c>
      <c r="I2431" s="1084">
        <v>42464</v>
      </c>
      <c r="J2431" s="957">
        <v>17423.12</v>
      </c>
    </row>
    <row r="2432" spans="1:10" s="852" customFormat="1" outlineLevel="2">
      <c r="A2432" s="815" t="s">
        <v>5932</v>
      </c>
      <c r="B2432" s="816" t="s">
        <v>7864</v>
      </c>
      <c r="C2432" s="729" t="s">
        <v>461</v>
      </c>
      <c r="D2432" s="460"/>
      <c r="E2432" s="878" t="s">
        <v>6470</v>
      </c>
      <c r="F2432" s="881" t="s">
        <v>434</v>
      </c>
      <c r="G2432" s="731" t="str">
        <f>"2617"</f>
        <v>2617</v>
      </c>
      <c r="H2432" s="1083">
        <v>42370</v>
      </c>
      <c r="I2432" s="1084">
        <v>42478</v>
      </c>
      <c r="J2432" s="957">
        <v>-12145.14</v>
      </c>
    </row>
    <row r="2433" spans="1:10" s="852" customFormat="1" outlineLevel="2">
      <c r="A2433" s="815" t="s">
        <v>5932</v>
      </c>
      <c r="B2433" s="816" t="s">
        <v>7864</v>
      </c>
      <c r="C2433" s="729" t="s">
        <v>461</v>
      </c>
      <c r="D2433" s="460"/>
      <c r="E2433" s="878" t="s">
        <v>6470</v>
      </c>
      <c r="F2433" s="881" t="s">
        <v>434</v>
      </c>
      <c r="G2433" s="731" t="str">
        <f>"2617"</f>
        <v>2617</v>
      </c>
      <c r="H2433" s="1083">
        <v>42370</v>
      </c>
      <c r="I2433" s="1084">
        <v>42478</v>
      </c>
      <c r="J2433" s="957">
        <v>12145.14</v>
      </c>
    </row>
    <row r="2434" spans="1:10" s="852" customFormat="1" outlineLevel="2">
      <c r="A2434" s="815" t="s">
        <v>5932</v>
      </c>
      <c r="B2434" s="816" t="s">
        <v>7864</v>
      </c>
      <c r="C2434" s="729" t="s">
        <v>461</v>
      </c>
      <c r="D2434" s="460"/>
      <c r="E2434" s="878" t="s">
        <v>6470</v>
      </c>
      <c r="F2434" s="881" t="s">
        <v>434</v>
      </c>
      <c r="G2434" s="731" t="str">
        <f>"2617"</f>
        <v>2617</v>
      </c>
      <c r="H2434" s="1083">
        <v>42370</v>
      </c>
      <c r="I2434" s="1084">
        <v>42478</v>
      </c>
      <c r="J2434" s="957">
        <v>12145.14</v>
      </c>
    </row>
    <row r="2435" spans="1:10" s="852" customFormat="1" outlineLevel="2">
      <c r="A2435" s="815" t="s">
        <v>5932</v>
      </c>
      <c r="B2435" s="816" t="s">
        <v>7864</v>
      </c>
      <c r="C2435" s="729" t="s">
        <v>461</v>
      </c>
      <c r="D2435" s="460"/>
      <c r="E2435" s="878" t="s">
        <v>6470</v>
      </c>
      <c r="F2435" s="881" t="s">
        <v>434</v>
      </c>
      <c r="G2435" s="731" t="str">
        <f>"2617"</f>
        <v>2617</v>
      </c>
      <c r="H2435" s="1083">
        <v>42370</v>
      </c>
      <c r="I2435" s="1084">
        <v>42478</v>
      </c>
      <c r="J2435" s="957">
        <v>-12145.14</v>
      </c>
    </row>
    <row r="2436" spans="1:10" s="852" customFormat="1" outlineLevel="2">
      <c r="A2436" s="815" t="s">
        <v>5932</v>
      </c>
      <c r="B2436" s="816" t="s">
        <v>7864</v>
      </c>
      <c r="C2436" s="729" t="s">
        <v>461</v>
      </c>
      <c r="D2436" s="460"/>
      <c r="E2436" s="878" t="s">
        <v>6470</v>
      </c>
      <c r="F2436" s="881" t="s">
        <v>434</v>
      </c>
      <c r="G2436" s="731" t="str">
        <f>"2617"</f>
        <v>2617</v>
      </c>
      <c r="H2436" s="1083">
        <v>42370</v>
      </c>
      <c r="I2436" s="1084">
        <v>42478</v>
      </c>
      <c r="J2436" s="957">
        <v>12145.14</v>
      </c>
    </row>
    <row r="2437" spans="1:10" s="852" customFormat="1" ht="28.5" outlineLevel="2">
      <c r="A2437" s="815" t="s">
        <v>2211</v>
      </c>
      <c r="B2437" s="816" t="s">
        <v>7883</v>
      </c>
      <c r="C2437" s="729" t="s">
        <v>461</v>
      </c>
      <c r="D2437" s="460"/>
      <c r="E2437" s="878" t="s">
        <v>2336</v>
      </c>
      <c r="F2437" s="881" t="s">
        <v>5174</v>
      </c>
      <c r="G2437" s="731" t="s">
        <v>4657</v>
      </c>
      <c r="H2437" s="1083">
        <v>42401</v>
      </c>
      <c r="I2437" s="1084">
        <v>42480</v>
      </c>
      <c r="J2437" s="957">
        <v>10055.86</v>
      </c>
    </row>
    <row r="2438" spans="1:10" s="852" customFormat="1" ht="28.5" outlineLevel="2">
      <c r="A2438" s="815" t="s">
        <v>2212</v>
      </c>
      <c r="B2438" s="816" t="s">
        <v>7882</v>
      </c>
      <c r="C2438" s="729" t="s">
        <v>461</v>
      </c>
      <c r="D2438" s="460"/>
      <c r="E2438" s="878" t="s">
        <v>2336</v>
      </c>
      <c r="F2438" s="881" t="s">
        <v>5174</v>
      </c>
      <c r="G2438" s="731" t="s">
        <v>4657</v>
      </c>
      <c r="H2438" s="1083">
        <v>42401</v>
      </c>
      <c r="I2438" s="1084">
        <v>42480</v>
      </c>
      <c r="J2438" s="957">
        <v>46759.77</v>
      </c>
    </row>
    <row r="2439" spans="1:10" s="852" customFormat="1" outlineLevel="2">
      <c r="A2439" s="815" t="s">
        <v>752</v>
      </c>
      <c r="B2439" s="816" t="s">
        <v>7885</v>
      </c>
      <c r="C2439" s="729" t="s">
        <v>461</v>
      </c>
      <c r="D2439" s="460"/>
      <c r="E2439" s="878" t="s">
        <v>2336</v>
      </c>
      <c r="F2439" s="881" t="s">
        <v>3046</v>
      </c>
      <c r="G2439" s="731" t="s">
        <v>4646</v>
      </c>
      <c r="H2439" s="1083">
        <v>42401</v>
      </c>
      <c r="I2439" s="1084">
        <v>42480</v>
      </c>
      <c r="J2439" s="957">
        <v>1945.6</v>
      </c>
    </row>
    <row r="2440" spans="1:10" s="852" customFormat="1" outlineLevel="2">
      <c r="A2440" s="815" t="s">
        <v>753</v>
      </c>
      <c r="B2440" s="816" t="s">
        <v>7864</v>
      </c>
      <c r="C2440" s="729" t="s">
        <v>461</v>
      </c>
      <c r="D2440" s="460"/>
      <c r="E2440" s="878" t="s">
        <v>2336</v>
      </c>
      <c r="F2440" s="881" t="s">
        <v>3733</v>
      </c>
      <c r="G2440" s="731" t="s">
        <v>4648</v>
      </c>
      <c r="H2440" s="1083">
        <v>42401</v>
      </c>
      <c r="I2440" s="1084">
        <v>42480</v>
      </c>
      <c r="J2440" s="957">
        <v>1642.25</v>
      </c>
    </row>
    <row r="2441" spans="1:10" s="852" customFormat="1" outlineLevel="2">
      <c r="A2441" s="815" t="s">
        <v>753</v>
      </c>
      <c r="B2441" s="816" t="s">
        <v>7864</v>
      </c>
      <c r="C2441" s="729" t="s">
        <v>461</v>
      </c>
      <c r="D2441" s="460"/>
      <c r="E2441" s="878" t="s">
        <v>2336</v>
      </c>
      <c r="F2441" s="881" t="s">
        <v>4559</v>
      </c>
      <c r="G2441" s="731" t="s">
        <v>4654</v>
      </c>
      <c r="H2441" s="1083">
        <v>42430</v>
      </c>
      <c r="I2441" s="1084">
        <v>42480</v>
      </c>
      <c r="J2441" s="957">
        <v>91.8</v>
      </c>
    </row>
    <row r="2442" spans="1:10" s="852" customFormat="1" outlineLevel="2">
      <c r="A2442" s="815" t="s">
        <v>753</v>
      </c>
      <c r="B2442" s="816" t="s">
        <v>7864</v>
      </c>
      <c r="C2442" s="729" t="s">
        <v>461</v>
      </c>
      <c r="D2442" s="460"/>
      <c r="E2442" s="878" t="s">
        <v>2336</v>
      </c>
      <c r="F2442" s="881" t="s">
        <v>3838</v>
      </c>
      <c r="G2442" s="731" t="s">
        <v>4650</v>
      </c>
      <c r="H2442" s="1083">
        <v>42401</v>
      </c>
      <c r="I2442" s="1084">
        <v>42480</v>
      </c>
      <c r="J2442" s="957">
        <v>1080.42</v>
      </c>
    </row>
    <row r="2443" spans="1:10" s="852" customFormat="1" outlineLevel="2">
      <c r="A2443" s="815" t="s">
        <v>753</v>
      </c>
      <c r="B2443" s="816" t="s">
        <v>7864</v>
      </c>
      <c r="C2443" s="729" t="s">
        <v>461</v>
      </c>
      <c r="D2443" s="460"/>
      <c r="E2443" s="878" t="s">
        <v>2336</v>
      </c>
      <c r="F2443" s="881" t="s">
        <v>4473</v>
      </c>
      <c r="G2443" s="731" t="s">
        <v>4652</v>
      </c>
      <c r="H2443" s="1083">
        <v>42430</v>
      </c>
      <c r="I2443" s="1084">
        <v>42480</v>
      </c>
      <c r="J2443" s="957">
        <v>60.4</v>
      </c>
    </row>
    <row r="2444" spans="1:10" s="852" customFormat="1" outlineLevel="2">
      <c r="A2444" s="815" t="s">
        <v>753</v>
      </c>
      <c r="B2444" s="816" t="s">
        <v>7864</v>
      </c>
      <c r="C2444" s="729" t="s">
        <v>461</v>
      </c>
      <c r="D2444" s="460"/>
      <c r="E2444" s="878" t="s">
        <v>2336</v>
      </c>
      <c r="F2444" s="881" t="s">
        <v>2991</v>
      </c>
      <c r="G2444" s="731" t="s">
        <v>4645</v>
      </c>
      <c r="H2444" s="1083">
        <v>42401</v>
      </c>
      <c r="I2444" s="1084">
        <v>42480</v>
      </c>
      <c r="J2444" s="957">
        <v>1599.03</v>
      </c>
    </row>
    <row r="2445" spans="1:10" s="852" customFormat="1" outlineLevel="2">
      <c r="A2445" s="815" t="s">
        <v>753</v>
      </c>
      <c r="B2445" s="816" t="s">
        <v>7864</v>
      </c>
      <c r="C2445" s="729" t="s">
        <v>461</v>
      </c>
      <c r="D2445" s="460"/>
      <c r="E2445" s="878" t="s">
        <v>2336</v>
      </c>
      <c r="F2445" s="881" t="s">
        <v>4566</v>
      </c>
      <c r="G2445" s="731" t="s">
        <v>4655</v>
      </c>
      <c r="H2445" s="1083">
        <v>42401</v>
      </c>
      <c r="I2445" s="1084">
        <v>42480</v>
      </c>
      <c r="J2445" s="957">
        <v>89.38</v>
      </c>
    </row>
    <row r="2446" spans="1:10" s="852" customFormat="1" outlineLevel="2">
      <c r="A2446" s="815" t="s">
        <v>756</v>
      </c>
      <c r="B2446" s="816" t="s">
        <v>7863</v>
      </c>
      <c r="C2446" s="729" t="s">
        <v>461</v>
      </c>
      <c r="D2446" s="460"/>
      <c r="E2446" s="878" t="s">
        <v>2336</v>
      </c>
      <c r="F2446" s="881" t="s">
        <v>6050</v>
      </c>
      <c r="G2446" s="731" t="s">
        <v>4643</v>
      </c>
      <c r="H2446" s="1083">
        <v>42401</v>
      </c>
      <c r="I2446" s="1084">
        <v>42480</v>
      </c>
      <c r="J2446" s="957">
        <v>7785.09</v>
      </c>
    </row>
    <row r="2447" spans="1:10" s="852" customFormat="1" outlineLevel="2">
      <c r="A2447" s="815" t="s">
        <v>5932</v>
      </c>
      <c r="B2447" s="816" t="s">
        <v>7864</v>
      </c>
      <c r="C2447" s="729" t="s">
        <v>461</v>
      </c>
      <c r="D2447" s="460"/>
      <c r="E2447" s="878" t="s">
        <v>2717</v>
      </c>
      <c r="F2447" s="881" t="s">
        <v>434</v>
      </c>
      <c r="G2447" s="731" t="str">
        <f>"3539"</f>
        <v>3539</v>
      </c>
      <c r="H2447" s="1083">
        <v>42401</v>
      </c>
      <c r="I2447" s="1084">
        <v>42467</v>
      </c>
      <c r="J2447" s="957">
        <v>7990.23</v>
      </c>
    </row>
    <row r="2448" spans="1:10" s="852" customFormat="1" outlineLevel="2">
      <c r="A2448" s="815" t="s">
        <v>753</v>
      </c>
      <c r="B2448" s="816" t="s">
        <v>7864</v>
      </c>
      <c r="C2448" s="729" t="s">
        <v>461</v>
      </c>
      <c r="D2448" s="460"/>
      <c r="E2448" s="878" t="s">
        <v>407</v>
      </c>
      <c r="F2448" s="881" t="s">
        <v>434</v>
      </c>
      <c r="G2448" s="731" t="s">
        <v>5711</v>
      </c>
      <c r="H2448" s="1083">
        <v>42430</v>
      </c>
      <c r="I2448" s="1084">
        <v>42482</v>
      </c>
      <c r="J2448" s="957">
        <v>457.63</v>
      </c>
    </row>
    <row r="2449" spans="1:10" s="852" customFormat="1" ht="42.75" outlineLevel="2">
      <c r="A2449" s="815" t="s">
        <v>5678</v>
      </c>
      <c r="B2449" s="816" t="s">
        <v>7867</v>
      </c>
      <c r="C2449" s="729" t="s">
        <v>461</v>
      </c>
      <c r="D2449" s="460"/>
      <c r="E2449" s="878" t="s">
        <v>5679</v>
      </c>
      <c r="F2449" s="881" t="s">
        <v>1044</v>
      </c>
      <c r="G2449" s="731" t="s">
        <v>5680</v>
      </c>
      <c r="H2449" s="1083">
        <v>42461</v>
      </c>
      <c r="I2449" s="1084">
        <v>42479</v>
      </c>
      <c r="J2449" s="957">
        <v>5469.55</v>
      </c>
    </row>
    <row r="2450" spans="1:10" s="852" customFormat="1" outlineLevel="2">
      <c r="A2450" s="815" t="s">
        <v>5932</v>
      </c>
      <c r="B2450" s="816" t="s">
        <v>7864</v>
      </c>
      <c r="C2450" s="729" t="s">
        <v>461</v>
      </c>
      <c r="D2450" s="460"/>
      <c r="E2450" s="878" t="s">
        <v>409</v>
      </c>
      <c r="F2450" s="881" t="s">
        <v>434</v>
      </c>
      <c r="G2450" s="731" t="str">
        <f>"6696"</f>
        <v>6696</v>
      </c>
      <c r="H2450" s="1083">
        <v>42401</v>
      </c>
      <c r="I2450" s="1084">
        <v>42475</v>
      </c>
      <c r="J2450" s="957">
        <v>11825.53</v>
      </c>
    </row>
    <row r="2451" spans="1:10" s="852" customFormat="1" outlineLevel="2">
      <c r="A2451" s="815" t="s">
        <v>753</v>
      </c>
      <c r="B2451" s="816" t="s">
        <v>7864</v>
      </c>
      <c r="C2451" s="729" t="s">
        <v>461</v>
      </c>
      <c r="D2451" s="460"/>
      <c r="E2451" s="878" t="s">
        <v>409</v>
      </c>
      <c r="F2451" s="881" t="s">
        <v>434</v>
      </c>
      <c r="G2451" s="731" t="s">
        <v>5719</v>
      </c>
      <c r="H2451" s="1083">
        <v>42401</v>
      </c>
      <c r="I2451" s="1084">
        <v>42485</v>
      </c>
      <c r="J2451" s="957">
        <v>677.29</v>
      </c>
    </row>
    <row r="2452" spans="1:10" s="852" customFormat="1" outlineLevel="2">
      <c r="A2452" s="815" t="s">
        <v>2738</v>
      </c>
      <c r="B2452" s="816" t="s">
        <v>7887</v>
      </c>
      <c r="C2452" s="729" t="s">
        <v>461</v>
      </c>
      <c r="D2452" s="460"/>
      <c r="E2452" s="878" t="s">
        <v>2306</v>
      </c>
      <c r="F2452" s="881" t="s">
        <v>2742</v>
      </c>
      <c r="G2452" s="731">
        <v>1282770</v>
      </c>
      <c r="H2452" s="1083">
        <v>42461</v>
      </c>
      <c r="I2452" s="1084">
        <v>42489</v>
      </c>
      <c r="J2452" s="957">
        <v>1225.47</v>
      </c>
    </row>
    <row r="2453" spans="1:10" s="852" customFormat="1" outlineLevel="2">
      <c r="A2453" s="815" t="s">
        <v>2737</v>
      </c>
      <c r="B2453" s="816" t="s">
        <v>7886</v>
      </c>
      <c r="C2453" s="729" t="s">
        <v>461</v>
      </c>
      <c r="D2453" s="460"/>
      <c r="E2453" s="878" t="s">
        <v>2306</v>
      </c>
      <c r="F2453" s="881" t="s">
        <v>2743</v>
      </c>
      <c r="G2453" s="731">
        <v>1282778</v>
      </c>
      <c r="H2453" s="1083">
        <v>42461</v>
      </c>
      <c r="I2453" s="1084">
        <v>42489</v>
      </c>
      <c r="J2453" s="957">
        <v>98.76</v>
      </c>
    </row>
    <row r="2454" spans="1:10" s="852" customFormat="1" outlineLevel="2">
      <c r="A2454" s="815" t="s">
        <v>5739</v>
      </c>
      <c r="B2454" s="816" t="s">
        <v>6993</v>
      </c>
      <c r="C2454" s="729" t="s">
        <v>461</v>
      </c>
      <c r="D2454" s="460"/>
      <c r="E2454" s="878" t="s">
        <v>424</v>
      </c>
      <c r="F2454" s="881" t="s">
        <v>422</v>
      </c>
      <c r="G2454" s="731" t="s">
        <v>5740</v>
      </c>
      <c r="H2454" s="1083">
        <v>42430</v>
      </c>
      <c r="I2454" s="1084">
        <v>42488</v>
      </c>
      <c r="J2454" s="957">
        <v>775</v>
      </c>
    </row>
    <row r="2455" spans="1:10" s="852" customFormat="1" outlineLevel="2">
      <c r="A2455" s="815" t="s">
        <v>5739</v>
      </c>
      <c r="B2455" s="816" t="s">
        <v>6993</v>
      </c>
      <c r="C2455" s="729" t="s">
        <v>461</v>
      </c>
      <c r="D2455" s="460"/>
      <c r="E2455" s="878" t="s">
        <v>424</v>
      </c>
      <c r="F2455" s="881" t="s">
        <v>422</v>
      </c>
      <c r="G2455" s="731" t="s">
        <v>5741</v>
      </c>
      <c r="H2455" s="1083">
        <v>42430</v>
      </c>
      <c r="I2455" s="1084">
        <v>42488</v>
      </c>
      <c r="J2455" s="957">
        <v>358.5</v>
      </c>
    </row>
    <row r="2456" spans="1:10" s="852" customFormat="1" outlineLevel="2">
      <c r="A2456" s="815" t="s">
        <v>1315</v>
      </c>
      <c r="B2456" s="816" t="s">
        <v>7873</v>
      </c>
      <c r="C2456" s="729" t="s">
        <v>461</v>
      </c>
      <c r="D2456" s="460"/>
      <c r="E2456" s="878" t="s">
        <v>430</v>
      </c>
      <c r="F2456" s="881" t="s">
        <v>431</v>
      </c>
      <c r="G2456" s="731" t="s">
        <v>5652</v>
      </c>
      <c r="H2456" s="1083">
        <v>42430</v>
      </c>
      <c r="I2456" s="1084">
        <v>42475</v>
      </c>
      <c r="J2456" s="957">
        <v>311.5</v>
      </c>
    </row>
    <row r="2457" spans="1:10" s="852" customFormat="1" outlineLevel="2">
      <c r="A2457" s="815" t="s">
        <v>960</v>
      </c>
      <c r="B2457" s="816" t="s">
        <v>7866</v>
      </c>
      <c r="C2457" s="729" t="s">
        <v>461</v>
      </c>
      <c r="D2457" s="460"/>
      <c r="E2457" s="878" t="s">
        <v>2282</v>
      </c>
      <c r="F2457" s="881" t="s">
        <v>3974</v>
      </c>
      <c r="G2457" s="731" t="s">
        <v>2779</v>
      </c>
      <c r="H2457" s="1083">
        <v>42401</v>
      </c>
      <c r="I2457" s="1084">
        <v>42471</v>
      </c>
      <c r="J2457" s="957">
        <v>2363.13</v>
      </c>
    </row>
    <row r="2458" spans="1:10" s="852" customFormat="1" outlineLevel="2">
      <c r="A2458" s="815" t="s">
        <v>960</v>
      </c>
      <c r="B2458" s="816" t="s">
        <v>7866</v>
      </c>
      <c r="C2458" s="729" t="s">
        <v>461</v>
      </c>
      <c r="D2458" s="460"/>
      <c r="E2458" s="878" t="s">
        <v>2282</v>
      </c>
      <c r="F2458" s="881" t="s">
        <v>4081</v>
      </c>
      <c r="G2458" s="731" t="s">
        <v>2781</v>
      </c>
      <c r="H2458" s="1083">
        <v>42401</v>
      </c>
      <c r="I2458" s="1084">
        <v>42471</v>
      </c>
      <c r="J2458" s="957">
        <v>75.56</v>
      </c>
    </row>
    <row r="2459" spans="1:10" s="852" customFormat="1" outlineLevel="2">
      <c r="A2459" s="815" t="s">
        <v>960</v>
      </c>
      <c r="B2459" s="816" t="s">
        <v>7866</v>
      </c>
      <c r="C2459" s="729" t="s">
        <v>461</v>
      </c>
      <c r="D2459" s="460"/>
      <c r="E2459" s="878" t="s">
        <v>2282</v>
      </c>
      <c r="F2459" s="881" t="s">
        <v>4165</v>
      </c>
      <c r="G2459" s="731" t="s">
        <v>2782</v>
      </c>
      <c r="H2459" s="1083">
        <v>42401</v>
      </c>
      <c r="I2459" s="1084">
        <v>42471</v>
      </c>
      <c r="J2459" s="957">
        <v>891.6</v>
      </c>
    </row>
    <row r="2460" spans="1:10" s="852" customFormat="1" outlineLevel="2">
      <c r="A2460" s="815" t="s">
        <v>2269</v>
      </c>
      <c r="B2460" s="816" t="s">
        <v>7888</v>
      </c>
      <c r="C2460" s="729" t="s">
        <v>461</v>
      </c>
      <c r="D2460" s="460"/>
      <c r="E2460" s="878" t="s">
        <v>2710</v>
      </c>
      <c r="F2460" s="881" t="s">
        <v>4555</v>
      </c>
      <c r="G2460" s="731" t="s">
        <v>4223</v>
      </c>
      <c r="H2460" s="1083">
        <v>42401</v>
      </c>
      <c r="I2460" s="1084">
        <v>42475</v>
      </c>
      <c r="J2460" s="957">
        <v>71.319999999999993</v>
      </c>
    </row>
    <row r="2461" spans="1:10" s="852" customFormat="1" outlineLevel="2">
      <c r="A2461" s="815" t="s">
        <v>753</v>
      </c>
      <c r="B2461" s="816" t="s">
        <v>7864</v>
      </c>
      <c r="C2461" s="729" t="s">
        <v>461</v>
      </c>
      <c r="D2461" s="460"/>
      <c r="E2461" s="878" t="s">
        <v>410</v>
      </c>
      <c r="F2461" s="881" t="s">
        <v>2993</v>
      </c>
      <c r="G2461" s="731" t="s">
        <v>4662</v>
      </c>
      <c r="H2461" s="1083">
        <v>42401</v>
      </c>
      <c r="I2461" s="1084">
        <v>42475</v>
      </c>
      <c r="J2461" s="957">
        <v>290.73</v>
      </c>
    </row>
    <row r="2462" spans="1:10" s="852" customFormat="1" outlineLevel="2">
      <c r="A2462" s="815" t="s">
        <v>752</v>
      </c>
      <c r="B2462" s="816" t="s">
        <v>7885</v>
      </c>
      <c r="C2462" s="729" t="s">
        <v>461</v>
      </c>
      <c r="D2462" s="460"/>
      <c r="E2462" s="878" t="s">
        <v>410</v>
      </c>
      <c r="F2462" s="881" t="s">
        <v>3048</v>
      </c>
      <c r="G2462" s="731" t="s">
        <v>4664</v>
      </c>
      <c r="H2462" s="1083">
        <v>42401</v>
      </c>
      <c r="I2462" s="1084">
        <v>42475</v>
      </c>
      <c r="J2462" s="957">
        <v>397.55</v>
      </c>
    </row>
    <row r="2463" spans="1:10" s="852" customFormat="1" outlineLevel="2">
      <c r="A2463" s="815" t="s">
        <v>753</v>
      </c>
      <c r="B2463" s="816" t="s">
        <v>7864</v>
      </c>
      <c r="C2463" s="729" t="s">
        <v>461</v>
      </c>
      <c r="D2463" s="460"/>
      <c r="E2463" s="878" t="s">
        <v>410</v>
      </c>
      <c r="F2463" s="881" t="s">
        <v>3734</v>
      </c>
      <c r="G2463" s="731" t="s">
        <v>4666</v>
      </c>
      <c r="H2463" s="1083">
        <v>42401</v>
      </c>
      <c r="I2463" s="1084">
        <v>42475</v>
      </c>
      <c r="J2463" s="957">
        <v>298.58999999999997</v>
      </c>
    </row>
    <row r="2464" spans="1:10" s="852" customFormat="1" outlineLevel="2">
      <c r="A2464" s="815" t="s">
        <v>753</v>
      </c>
      <c r="B2464" s="816" t="s">
        <v>7864</v>
      </c>
      <c r="C2464" s="729" t="s">
        <v>461</v>
      </c>
      <c r="D2464" s="460"/>
      <c r="E2464" s="878" t="s">
        <v>410</v>
      </c>
      <c r="F2464" s="881" t="s">
        <v>3840</v>
      </c>
      <c r="G2464" s="731" t="s">
        <v>4668</v>
      </c>
      <c r="H2464" s="1083">
        <v>42401</v>
      </c>
      <c r="I2464" s="1084">
        <v>42475</v>
      </c>
      <c r="J2464" s="957">
        <v>196.44</v>
      </c>
    </row>
    <row r="2465" spans="1:10" s="852" customFormat="1" ht="28.5" outlineLevel="2">
      <c r="A2465" s="815" t="s">
        <v>2211</v>
      </c>
      <c r="B2465" s="816" t="s">
        <v>7883</v>
      </c>
      <c r="C2465" s="729" t="s">
        <v>461</v>
      </c>
      <c r="D2465" s="460"/>
      <c r="E2465" s="878" t="s">
        <v>410</v>
      </c>
      <c r="F2465" s="881" t="s">
        <v>5177</v>
      </c>
      <c r="G2465" s="731" t="s">
        <v>4670</v>
      </c>
      <c r="H2465" s="1083">
        <v>42401</v>
      </c>
      <c r="I2465" s="1084">
        <v>42475</v>
      </c>
      <c r="J2465" s="957">
        <v>3428.13</v>
      </c>
    </row>
    <row r="2466" spans="1:10" s="852" customFormat="1" ht="28.5" outlineLevel="2">
      <c r="A2466" s="815" t="s">
        <v>2212</v>
      </c>
      <c r="B2466" s="816" t="s">
        <v>7882</v>
      </c>
      <c r="C2466" s="729" t="s">
        <v>461</v>
      </c>
      <c r="D2466" s="460"/>
      <c r="E2466" s="878" t="s">
        <v>410</v>
      </c>
      <c r="F2466" s="881" t="s">
        <v>5177</v>
      </c>
      <c r="G2466" s="731" t="s">
        <v>4670</v>
      </c>
      <c r="H2466" s="1083">
        <v>42401</v>
      </c>
      <c r="I2466" s="1084">
        <v>42475</v>
      </c>
      <c r="J2466" s="957">
        <v>15940.83</v>
      </c>
    </row>
    <row r="2467" spans="1:10" s="852" customFormat="1" outlineLevel="2">
      <c r="A2467" s="815" t="s">
        <v>756</v>
      </c>
      <c r="B2467" s="816" t="s">
        <v>7863</v>
      </c>
      <c r="C2467" s="729" t="s">
        <v>461</v>
      </c>
      <c r="D2467" s="460"/>
      <c r="E2467" s="878" t="s">
        <v>410</v>
      </c>
      <c r="F2467" s="881" t="s">
        <v>5501</v>
      </c>
      <c r="G2467" s="731" t="s">
        <v>4673</v>
      </c>
      <c r="H2467" s="1083">
        <v>42401</v>
      </c>
      <c r="I2467" s="1084">
        <v>42475</v>
      </c>
      <c r="J2467" s="957">
        <v>2123.21</v>
      </c>
    </row>
    <row r="2468" spans="1:10" s="852" customFormat="1" outlineLevel="2">
      <c r="A2468" s="815" t="s">
        <v>756</v>
      </c>
      <c r="B2468" s="816" t="s">
        <v>7863</v>
      </c>
      <c r="C2468" s="729" t="s">
        <v>461</v>
      </c>
      <c r="D2468" s="460"/>
      <c r="E2468" s="878" t="s">
        <v>523</v>
      </c>
      <c r="F2468" s="881" t="s">
        <v>2208</v>
      </c>
      <c r="G2468" s="731" t="s">
        <v>5565</v>
      </c>
      <c r="H2468" s="1083">
        <v>42401</v>
      </c>
      <c r="I2468" s="1084">
        <v>42464</v>
      </c>
      <c r="J2468" s="957">
        <v>56866.51</v>
      </c>
    </row>
    <row r="2469" spans="1:10" s="852" customFormat="1" ht="28.5" outlineLevel="2">
      <c r="A2469" s="815" t="s">
        <v>2211</v>
      </c>
      <c r="B2469" s="816" t="s">
        <v>7883</v>
      </c>
      <c r="C2469" s="729" t="s">
        <v>461</v>
      </c>
      <c r="D2469" s="460"/>
      <c r="E2469" s="878" t="s">
        <v>1909</v>
      </c>
      <c r="F2469" s="881" t="s">
        <v>5171</v>
      </c>
      <c r="G2469" s="731" t="s">
        <v>4720</v>
      </c>
      <c r="H2469" s="1083">
        <v>42401</v>
      </c>
      <c r="I2469" s="1084">
        <v>42480</v>
      </c>
      <c r="J2469" s="957">
        <v>1142.71</v>
      </c>
    </row>
    <row r="2470" spans="1:10" s="852" customFormat="1" ht="28.5" outlineLevel="2">
      <c r="A2470" s="815" t="s">
        <v>2212</v>
      </c>
      <c r="B2470" s="816" t="s">
        <v>7882</v>
      </c>
      <c r="C2470" s="729" t="s">
        <v>461</v>
      </c>
      <c r="D2470" s="460"/>
      <c r="E2470" s="878" t="s">
        <v>1909</v>
      </c>
      <c r="F2470" s="881" t="s">
        <v>5171</v>
      </c>
      <c r="G2470" s="731" t="s">
        <v>4720</v>
      </c>
      <c r="H2470" s="1083">
        <v>42401</v>
      </c>
      <c r="I2470" s="1084">
        <v>42480</v>
      </c>
      <c r="J2470" s="957">
        <v>5313.6</v>
      </c>
    </row>
    <row r="2471" spans="1:10" s="852" customFormat="1" outlineLevel="2">
      <c r="A2471" s="815" t="s">
        <v>960</v>
      </c>
      <c r="B2471" s="816" t="s">
        <v>7866</v>
      </c>
      <c r="C2471" s="729" t="s">
        <v>461</v>
      </c>
      <c r="D2471" s="460"/>
      <c r="E2471" s="878" t="s">
        <v>1909</v>
      </c>
      <c r="F2471" s="881" t="s">
        <v>3935</v>
      </c>
      <c r="G2471" s="731" t="s">
        <v>2817</v>
      </c>
      <c r="H2471" s="1083">
        <v>42401</v>
      </c>
      <c r="I2471" s="1084">
        <v>42480</v>
      </c>
      <c r="J2471" s="957">
        <v>708.94</v>
      </c>
    </row>
    <row r="2472" spans="1:10" s="852" customFormat="1" outlineLevel="2">
      <c r="A2472" s="815" t="s">
        <v>960</v>
      </c>
      <c r="B2472" s="816" t="s">
        <v>7866</v>
      </c>
      <c r="C2472" s="729" t="s">
        <v>461</v>
      </c>
      <c r="D2472" s="460"/>
      <c r="E2472" s="878" t="s">
        <v>1909</v>
      </c>
      <c r="F2472" s="881" t="s">
        <v>4027</v>
      </c>
      <c r="G2472" s="731" t="s">
        <v>2819</v>
      </c>
      <c r="H2472" s="1083">
        <v>42401</v>
      </c>
      <c r="I2472" s="1084">
        <v>42480</v>
      </c>
      <c r="J2472" s="957">
        <v>22.67</v>
      </c>
    </row>
    <row r="2473" spans="1:10" s="852" customFormat="1" outlineLevel="2">
      <c r="A2473" s="815" t="s">
        <v>960</v>
      </c>
      <c r="B2473" s="816" t="s">
        <v>7866</v>
      </c>
      <c r="C2473" s="729" t="s">
        <v>461</v>
      </c>
      <c r="D2473" s="460"/>
      <c r="E2473" s="878" t="s">
        <v>1909</v>
      </c>
      <c r="F2473" s="881" t="s">
        <v>4129</v>
      </c>
      <c r="G2473" s="731" t="s">
        <v>2821</v>
      </c>
      <c r="H2473" s="1083">
        <v>42401</v>
      </c>
      <c r="I2473" s="1084">
        <v>42480</v>
      </c>
      <c r="J2473" s="957">
        <v>267.48</v>
      </c>
    </row>
    <row r="2474" spans="1:10" s="852" customFormat="1" outlineLevel="2">
      <c r="A2474" s="815" t="s">
        <v>2269</v>
      </c>
      <c r="B2474" s="816" t="s">
        <v>7888</v>
      </c>
      <c r="C2474" s="729" t="s">
        <v>461</v>
      </c>
      <c r="D2474" s="460"/>
      <c r="E2474" s="878" t="s">
        <v>1909</v>
      </c>
      <c r="F2474" s="881" t="s">
        <v>4544</v>
      </c>
      <c r="G2474" s="731" t="s">
        <v>4260</v>
      </c>
      <c r="H2474" s="1083">
        <v>42401</v>
      </c>
      <c r="I2474" s="1084">
        <v>42480</v>
      </c>
      <c r="J2474" s="957">
        <v>53.49</v>
      </c>
    </row>
    <row r="2475" spans="1:10" s="852" customFormat="1" outlineLevel="2">
      <c r="A2475" s="815" t="s">
        <v>754</v>
      </c>
      <c r="B2475" s="816" t="s">
        <v>7877</v>
      </c>
      <c r="C2475" s="729" t="s">
        <v>461</v>
      </c>
      <c r="D2475" s="460"/>
      <c r="E2475" s="878" t="s">
        <v>1909</v>
      </c>
      <c r="F2475" s="881" t="s">
        <v>5214</v>
      </c>
      <c r="G2475" s="731" t="s">
        <v>4722</v>
      </c>
      <c r="H2475" s="1083">
        <v>42430</v>
      </c>
      <c r="I2475" s="1084">
        <v>42480</v>
      </c>
      <c r="J2475" s="957">
        <v>278.47000000000003</v>
      </c>
    </row>
    <row r="2476" spans="1:10" s="852" customFormat="1" outlineLevel="2">
      <c r="A2476" s="815" t="s">
        <v>753</v>
      </c>
      <c r="B2476" s="816" t="s">
        <v>7864</v>
      </c>
      <c r="C2476" s="729" t="s">
        <v>461</v>
      </c>
      <c r="D2476" s="460"/>
      <c r="E2476" s="878" t="s">
        <v>1909</v>
      </c>
      <c r="F2476" s="881" t="s">
        <v>3731</v>
      </c>
      <c r="G2476" s="731" t="s">
        <v>4705</v>
      </c>
      <c r="H2476" s="1083">
        <v>42401</v>
      </c>
      <c r="I2476" s="1084">
        <v>42480</v>
      </c>
      <c r="J2476" s="957">
        <v>149.30000000000001</v>
      </c>
    </row>
    <row r="2477" spans="1:10" s="852" customFormat="1" outlineLevel="2">
      <c r="A2477" s="815" t="s">
        <v>753</v>
      </c>
      <c r="B2477" s="816" t="s">
        <v>7864</v>
      </c>
      <c r="C2477" s="729" t="s">
        <v>461</v>
      </c>
      <c r="D2477" s="460"/>
      <c r="E2477" s="878" t="s">
        <v>1909</v>
      </c>
      <c r="F2477" s="881" t="s">
        <v>4558</v>
      </c>
      <c r="G2477" s="731" t="s">
        <v>4715</v>
      </c>
      <c r="H2477" s="1083">
        <v>42430</v>
      </c>
      <c r="I2477" s="1084">
        <v>42480</v>
      </c>
      <c r="J2477" s="957">
        <v>8.35</v>
      </c>
    </row>
    <row r="2478" spans="1:10" s="852" customFormat="1" outlineLevel="2">
      <c r="A2478" s="815" t="s">
        <v>753</v>
      </c>
      <c r="B2478" s="816" t="s">
        <v>7864</v>
      </c>
      <c r="C2478" s="729" t="s">
        <v>461</v>
      </c>
      <c r="D2478" s="460"/>
      <c r="E2478" s="878" t="s">
        <v>1909</v>
      </c>
      <c r="F2478" s="881" t="s">
        <v>3836</v>
      </c>
      <c r="G2478" s="731" t="s">
        <v>4709</v>
      </c>
      <c r="H2478" s="1083">
        <v>42401</v>
      </c>
      <c r="I2478" s="1084">
        <v>42480</v>
      </c>
      <c r="J2478" s="957">
        <v>98.22</v>
      </c>
    </row>
    <row r="2479" spans="1:10" s="852" customFormat="1" outlineLevel="2">
      <c r="A2479" s="815" t="s">
        <v>753</v>
      </c>
      <c r="B2479" s="816" t="s">
        <v>7864</v>
      </c>
      <c r="C2479" s="729" t="s">
        <v>461</v>
      </c>
      <c r="D2479" s="460"/>
      <c r="E2479" s="878" t="s">
        <v>1909</v>
      </c>
      <c r="F2479" s="881" t="s">
        <v>4471</v>
      </c>
      <c r="G2479" s="731" t="s">
        <v>4712</v>
      </c>
      <c r="H2479" s="1083">
        <v>42430</v>
      </c>
      <c r="I2479" s="1084">
        <v>42480</v>
      </c>
      <c r="J2479" s="957">
        <v>5.49</v>
      </c>
    </row>
    <row r="2480" spans="1:10" s="852" customFormat="1" outlineLevel="2">
      <c r="A2480" s="815" t="s">
        <v>753</v>
      </c>
      <c r="B2480" s="816" t="s">
        <v>7864</v>
      </c>
      <c r="C2480" s="729" t="s">
        <v>461</v>
      </c>
      <c r="D2480" s="460"/>
      <c r="E2480" s="878" t="s">
        <v>1909</v>
      </c>
      <c r="F2480" s="881" t="s">
        <v>2989</v>
      </c>
      <c r="G2480" s="731" t="s">
        <v>4699</v>
      </c>
      <c r="H2480" s="1083">
        <v>42401</v>
      </c>
      <c r="I2480" s="1084">
        <v>42480</v>
      </c>
      <c r="J2480" s="957">
        <v>145.37</v>
      </c>
    </row>
    <row r="2481" spans="1:10" s="852" customFormat="1" outlineLevel="2">
      <c r="A2481" s="815" t="s">
        <v>753</v>
      </c>
      <c r="B2481" s="816" t="s">
        <v>7864</v>
      </c>
      <c r="C2481" s="729" t="s">
        <v>461</v>
      </c>
      <c r="D2481" s="460"/>
      <c r="E2481" s="878" t="s">
        <v>1909</v>
      </c>
      <c r="F2481" s="881" t="s">
        <v>4564</v>
      </c>
      <c r="G2481" s="731" t="s">
        <v>4716</v>
      </c>
      <c r="H2481" s="1083">
        <v>42401</v>
      </c>
      <c r="I2481" s="1084">
        <v>42480</v>
      </c>
      <c r="J2481" s="957">
        <v>8.1300000000000008</v>
      </c>
    </row>
    <row r="2482" spans="1:10" s="852" customFormat="1" outlineLevel="2">
      <c r="A2482" s="815" t="s">
        <v>756</v>
      </c>
      <c r="B2482" s="816" t="s">
        <v>7863</v>
      </c>
      <c r="C2482" s="729" t="s">
        <v>461</v>
      </c>
      <c r="D2482" s="460"/>
      <c r="E2482" s="878" t="s">
        <v>1909</v>
      </c>
      <c r="F2482" s="881" t="s">
        <v>6341</v>
      </c>
      <c r="G2482" s="731" t="s">
        <v>4695</v>
      </c>
      <c r="H2482" s="1083">
        <v>42401</v>
      </c>
      <c r="I2482" s="1084">
        <v>42480</v>
      </c>
      <c r="J2482" s="957">
        <v>707.74</v>
      </c>
    </row>
    <row r="2483" spans="1:10" s="852" customFormat="1" ht="28.5" outlineLevel="2">
      <c r="A2483" s="815" t="s">
        <v>755</v>
      </c>
      <c r="B2483" s="816" t="s">
        <v>7881</v>
      </c>
      <c r="C2483" s="729" t="s">
        <v>461</v>
      </c>
      <c r="D2483" s="460"/>
      <c r="E2483" s="878" t="s">
        <v>1909</v>
      </c>
      <c r="F2483" s="881" t="s">
        <v>6306</v>
      </c>
      <c r="G2483" s="731" t="s">
        <v>4225</v>
      </c>
      <c r="H2483" s="1083">
        <v>42370</v>
      </c>
      <c r="I2483" s="1084">
        <v>42480</v>
      </c>
      <c r="J2483" s="957">
        <v>15.48</v>
      </c>
    </row>
    <row r="2484" spans="1:10" s="852" customFormat="1" ht="28.5" outlineLevel="2">
      <c r="A2484" s="815" t="s">
        <v>2211</v>
      </c>
      <c r="B2484" s="816" t="s">
        <v>7883</v>
      </c>
      <c r="C2484" s="729" t="s">
        <v>461</v>
      </c>
      <c r="D2484" s="460"/>
      <c r="E2484" s="878" t="s">
        <v>1909</v>
      </c>
      <c r="F2484" s="881" t="s">
        <v>6338</v>
      </c>
      <c r="G2484" s="731" t="s">
        <v>4675</v>
      </c>
      <c r="H2484" s="1083">
        <v>42370</v>
      </c>
      <c r="I2484" s="1084">
        <v>42480</v>
      </c>
      <c r="J2484" s="957">
        <v>5690.94</v>
      </c>
    </row>
    <row r="2485" spans="1:10" s="852" customFormat="1" ht="28.5" outlineLevel="2">
      <c r="A2485" s="815" t="s">
        <v>2212</v>
      </c>
      <c r="B2485" s="816" t="s">
        <v>7882</v>
      </c>
      <c r="C2485" s="729" t="s">
        <v>461</v>
      </c>
      <c r="D2485" s="460"/>
      <c r="E2485" s="878" t="s">
        <v>1909</v>
      </c>
      <c r="F2485" s="881" t="s">
        <v>6338</v>
      </c>
      <c r="G2485" s="731" t="s">
        <v>4675</v>
      </c>
      <c r="H2485" s="1083">
        <v>42370</v>
      </c>
      <c r="I2485" s="1084">
        <v>42480</v>
      </c>
      <c r="J2485" s="957">
        <v>26462.880000000001</v>
      </c>
    </row>
    <row r="2486" spans="1:10" s="852" customFormat="1" ht="28.5" outlineLevel="2">
      <c r="A2486" s="815" t="s">
        <v>2211</v>
      </c>
      <c r="B2486" s="816" t="s">
        <v>7883</v>
      </c>
      <c r="C2486" s="729" t="s">
        <v>461</v>
      </c>
      <c r="D2486" s="460"/>
      <c r="E2486" s="878" t="s">
        <v>1909</v>
      </c>
      <c r="F2486" s="881" t="s">
        <v>6338</v>
      </c>
      <c r="G2486" s="731" t="s">
        <v>4677</v>
      </c>
      <c r="H2486" s="1083">
        <v>42370</v>
      </c>
      <c r="I2486" s="1084">
        <v>42480</v>
      </c>
      <c r="J2486" s="957">
        <v>5690.94</v>
      </c>
    </row>
    <row r="2487" spans="1:10" s="852" customFormat="1" ht="28.5" outlineLevel="2">
      <c r="A2487" s="815" t="s">
        <v>2212</v>
      </c>
      <c r="B2487" s="816" t="s">
        <v>7882</v>
      </c>
      <c r="C2487" s="729" t="s">
        <v>461</v>
      </c>
      <c r="D2487" s="460"/>
      <c r="E2487" s="878" t="s">
        <v>1909</v>
      </c>
      <c r="F2487" s="881" t="s">
        <v>6338</v>
      </c>
      <c r="G2487" s="731" t="s">
        <v>4677</v>
      </c>
      <c r="H2487" s="1083">
        <v>42370</v>
      </c>
      <c r="I2487" s="1084">
        <v>42480</v>
      </c>
      <c r="J2487" s="957">
        <v>26462.880000000001</v>
      </c>
    </row>
    <row r="2488" spans="1:10" s="852" customFormat="1" ht="28.5" outlineLevel="2">
      <c r="A2488" s="815" t="s">
        <v>2211</v>
      </c>
      <c r="B2488" s="816" t="s">
        <v>7883</v>
      </c>
      <c r="C2488" s="729" t="s">
        <v>461</v>
      </c>
      <c r="D2488" s="460"/>
      <c r="E2488" s="878" t="s">
        <v>1909</v>
      </c>
      <c r="F2488" s="881" t="s">
        <v>6338</v>
      </c>
      <c r="G2488" s="731" t="s">
        <v>4679</v>
      </c>
      <c r="H2488" s="1083">
        <v>42370</v>
      </c>
      <c r="I2488" s="1084">
        <v>42480</v>
      </c>
      <c r="J2488" s="957">
        <v>-5690.94</v>
      </c>
    </row>
    <row r="2489" spans="1:10" s="852" customFormat="1" ht="28.5" outlineLevel="2">
      <c r="A2489" s="815" t="s">
        <v>2212</v>
      </c>
      <c r="B2489" s="816" t="s">
        <v>7882</v>
      </c>
      <c r="C2489" s="729" t="s">
        <v>461</v>
      </c>
      <c r="D2489" s="460"/>
      <c r="E2489" s="878" t="s">
        <v>1909</v>
      </c>
      <c r="F2489" s="881" t="s">
        <v>6338</v>
      </c>
      <c r="G2489" s="731" t="s">
        <v>4679</v>
      </c>
      <c r="H2489" s="1083">
        <v>42370</v>
      </c>
      <c r="I2489" s="1084">
        <v>42480</v>
      </c>
      <c r="J2489" s="957">
        <v>-26462.880000000001</v>
      </c>
    </row>
    <row r="2490" spans="1:10" s="852" customFormat="1" ht="28.5" outlineLevel="2">
      <c r="A2490" s="815" t="s">
        <v>960</v>
      </c>
      <c r="B2490" s="816" t="s">
        <v>7866</v>
      </c>
      <c r="C2490" s="729" t="s">
        <v>461</v>
      </c>
      <c r="D2490" s="460"/>
      <c r="E2490" s="878" t="s">
        <v>1909</v>
      </c>
      <c r="F2490" s="881" t="s">
        <v>4956</v>
      </c>
      <c r="G2490" s="731" t="s">
        <v>2833</v>
      </c>
      <c r="H2490" s="1083">
        <v>42401</v>
      </c>
      <c r="I2490" s="1084">
        <v>42480</v>
      </c>
      <c r="J2490" s="957">
        <v>2197.71</v>
      </c>
    </row>
    <row r="2491" spans="1:10" s="852" customFormat="1" ht="28.5" outlineLevel="2">
      <c r="A2491" s="815" t="s">
        <v>960</v>
      </c>
      <c r="B2491" s="816" t="s">
        <v>7866</v>
      </c>
      <c r="C2491" s="729" t="s">
        <v>461</v>
      </c>
      <c r="D2491" s="460"/>
      <c r="E2491" s="878" t="s">
        <v>1909</v>
      </c>
      <c r="F2491" s="881" t="s">
        <v>4903</v>
      </c>
      <c r="G2491" s="731" t="s">
        <v>2832</v>
      </c>
      <c r="H2491" s="1083">
        <v>42401</v>
      </c>
      <c r="I2491" s="1084">
        <v>42480</v>
      </c>
      <c r="J2491" s="957">
        <v>70.27</v>
      </c>
    </row>
    <row r="2492" spans="1:10" s="852" customFormat="1" ht="28.5" outlineLevel="2">
      <c r="A2492" s="815" t="s">
        <v>960</v>
      </c>
      <c r="B2492" s="816" t="s">
        <v>7866</v>
      </c>
      <c r="C2492" s="729" t="s">
        <v>461</v>
      </c>
      <c r="D2492" s="460"/>
      <c r="E2492" s="878" t="s">
        <v>1909</v>
      </c>
      <c r="F2492" s="881" t="s">
        <v>4853</v>
      </c>
      <c r="G2492" s="731" t="s">
        <v>2831</v>
      </c>
      <c r="H2492" s="1083">
        <v>42401</v>
      </c>
      <c r="I2492" s="1084">
        <v>42480</v>
      </c>
      <c r="J2492" s="957">
        <v>829.18</v>
      </c>
    </row>
    <row r="2493" spans="1:10" s="852" customFormat="1" ht="28.5" outlineLevel="2">
      <c r="A2493" s="815" t="s">
        <v>2269</v>
      </c>
      <c r="B2493" s="816" t="s">
        <v>7888</v>
      </c>
      <c r="C2493" s="729" t="s">
        <v>461</v>
      </c>
      <c r="D2493" s="460"/>
      <c r="E2493" s="878" t="s">
        <v>1909</v>
      </c>
      <c r="F2493" s="881" t="s">
        <v>6310</v>
      </c>
      <c r="G2493" s="731" t="s">
        <v>4234</v>
      </c>
      <c r="H2493" s="1083">
        <v>42370</v>
      </c>
      <c r="I2493" s="1084">
        <v>42480</v>
      </c>
      <c r="J2493" s="957">
        <v>74.260000000000005</v>
      </c>
    </row>
    <row r="2494" spans="1:10" s="852" customFormat="1" ht="28.5" outlineLevel="2">
      <c r="A2494" s="815" t="s">
        <v>2269</v>
      </c>
      <c r="B2494" s="816" t="s">
        <v>7888</v>
      </c>
      <c r="C2494" s="729" t="s">
        <v>461</v>
      </c>
      <c r="D2494" s="460"/>
      <c r="E2494" s="878" t="s">
        <v>1909</v>
      </c>
      <c r="F2494" s="881" t="s">
        <v>6310</v>
      </c>
      <c r="G2494" s="731" t="s">
        <v>4235</v>
      </c>
      <c r="H2494" s="1083">
        <v>42370</v>
      </c>
      <c r="I2494" s="1084">
        <v>42480</v>
      </c>
      <c r="J2494" s="957">
        <v>87.37</v>
      </c>
    </row>
    <row r="2495" spans="1:10" s="852" customFormat="1" ht="28.5" outlineLevel="2">
      <c r="A2495" s="815" t="s">
        <v>2269</v>
      </c>
      <c r="B2495" s="816" t="s">
        <v>7888</v>
      </c>
      <c r="C2495" s="729" t="s">
        <v>461</v>
      </c>
      <c r="D2495" s="460"/>
      <c r="E2495" s="878" t="s">
        <v>1909</v>
      </c>
      <c r="F2495" s="881" t="s">
        <v>4694</v>
      </c>
      <c r="G2495" s="731" t="s">
        <v>4262</v>
      </c>
      <c r="H2495" s="1083">
        <v>42401</v>
      </c>
      <c r="I2495" s="1084">
        <v>42480</v>
      </c>
      <c r="J2495" s="957">
        <v>76.11</v>
      </c>
    </row>
    <row r="2496" spans="1:10" s="852" customFormat="1" ht="28.5" outlineLevel="2">
      <c r="A2496" s="815" t="s">
        <v>2269</v>
      </c>
      <c r="B2496" s="816" t="s">
        <v>7888</v>
      </c>
      <c r="C2496" s="729" t="s">
        <v>461</v>
      </c>
      <c r="D2496" s="460"/>
      <c r="E2496" s="878" t="s">
        <v>1909</v>
      </c>
      <c r="F2496" s="881" t="s">
        <v>4694</v>
      </c>
      <c r="G2496" s="731" t="s">
        <v>4264</v>
      </c>
      <c r="H2496" s="1083">
        <v>42401</v>
      </c>
      <c r="I2496" s="1084">
        <v>42480</v>
      </c>
      <c r="J2496" s="957">
        <v>89.7</v>
      </c>
    </row>
    <row r="2497" spans="1:10" s="852" customFormat="1" ht="28.5" outlineLevel="2">
      <c r="A2497" s="815" t="s">
        <v>754</v>
      </c>
      <c r="B2497" s="816" t="s">
        <v>7877</v>
      </c>
      <c r="C2497" s="729" t="s">
        <v>461</v>
      </c>
      <c r="D2497" s="460"/>
      <c r="E2497" s="878" t="s">
        <v>1909</v>
      </c>
      <c r="F2497" s="881" t="s">
        <v>6339</v>
      </c>
      <c r="G2497" s="731" t="s">
        <v>4682</v>
      </c>
      <c r="H2497" s="1083">
        <v>42370</v>
      </c>
      <c r="I2497" s="1084">
        <v>42480</v>
      </c>
      <c r="J2497" s="957">
        <v>931.79</v>
      </c>
    </row>
    <row r="2498" spans="1:10" s="852" customFormat="1" ht="28.5" outlineLevel="2">
      <c r="A2498" s="815" t="s">
        <v>754</v>
      </c>
      <c r="B2498" s="816" t="s">
        <v>7877</v>
      </c>
      <c r="C2498" s="729" t="s">
        <v>461</v>
      </c>
      <c r="D2498" s="460"/>
      <c r="E2498" s="878" t="s">
        <v>1909</v>
      </c>
      <c r="F2498" s="881" t="s">
        <v>6339</v>
      </c>
      <c r="G2498" s="731" t="s">
        <v>4686</v>
      </c>
      <c r="H2498" s="1083">
        <v>42370</v>
      </c>
      <c r="I2498" s="1084">
        <v>42480</v>
      </c>
      <c r="J2498" s="957">
        <v>931.79</v>
      </c>
    </row>
    <row r="2499" spans="1:10" s="852" customFormat="1" ht="28.5" outlineLevel="2">
      <c r="A2499" s="815" t="s">
        <v>754</v>
      </c>
      <c r="B2499" s="816" t="s">
        <v>7877</v>
      </c>
      <c r="C2499" s="729" t="s">
        <v>461</v>
      </c>
      <c r="D2499" s="460"/>
      <c r="E2499" s="878" t="s">
        <v>1909</v>
      </c>
      <c r="F2499" s="881" t="s">
        <v>6339</v>
      </c>
      <c r="G2499" s="731" t="s">
        <v>4690</v>
      </c>
      <c r="H2499" s="1083">
        <v>42370</v>
      </c>
      <c r="I2499" s="1084">
        <v>42480</v>
      </c>
      <c r="J2499" s="957">
        <v>-931.79</v>
      </c>
    </row>
    <row r="2500" spans="1:10" s="852" customFormat="1" ht="28.5" outlineLevel="2">
      <c r="A2500" s="815" t="s">
        <v>753</v>
      </c>
      <c r="B2500" s="816" t="s">
        <v>7864</v>
      </c>
      <c r="C2500" s="729" t="s">
        <v>461</v>
      </c>
      <c r="D2500" s="460"/>
      <c r="E2500" s="878" t="s">
        <v>1909</v>
      </c>
      <c r="F2500" s="881" t="s">
        <v>2878</v>
      </c>
      <c r="G2500" s="731" t="s">
        <v>4696</v>
      </c>
      <c r="H2500" s="1083">
        <v>42370</v>
      </c>
      <c r="I2500" s="1084">
        <v>42480</v>
      </c>
      <c r="J2500" s="957">
        <v>-456.73</v>
      </c>
    </row>
    <row r="2501" spans="1:10" s="852" customFormat="1" ht="28.5" outlineLevel="2">
      <c r="A2501" s="815" t="s">
        <v>753</v>
      </c>
      <c r="B2501" s="816" t="s">
        <v>7864</v>
      </c>
      <c r="C2501" s="729" t="s">
        <v>461</v>
      </c>
      <c r="D2501" s="460"/>
      <c r="E2501" s="878" t="s">
        <v>1909</v>
      </c>
      <c r="F2501" s="881" t="s">
        <v>2878</v>
      </c>
      <c r="G2501" s="731" t="s">
        <v>4697</v>
      </c>
      <c r="H2501" s="1083">
        <v>42370</v>
      </c>
      <c r="I2501" s="1084">
        <v>42480</v>
      </c>
      <c r="J2501" s="957">
        <v>-456.73</v>
      </c>
    </row>
    <row r="2502" spans="1:10" s="852" customFormat="1" ht="28.5" outlineLevel="2">
      <c r="A2502" s="815" t="s">
        <v>753</v>
      </c>
      <c r="B2502" s="816" t="s">
        <v>7864</v>
      </c>
      <c r="C2502" s="729" t="s">
        <v>461</v>
      </c>
      <c r="D2502" s="460"/>
      <c r="E2502" s="878" t="s">
        <v>1909</v>
      </c>
      <c r="F2502" s="881" t="s">
        <v>2878</v>
      </c>
      <c r="G2502" s="731" t="s">
        <v>4698</v>
      </c>
      <c r="H2502" s="1083">
        <v>42370</v>
      </c>
      <c r="I2502" s="1084">
        <v>42480</v>
      </c>
      <c r="J2502" s="957">
        <v>456.73</v>
      </c>
    </row>
    <row r="2503" spans="1:10" s="852" customFormat="1" ht="28.5" outlineLevel="2">
      <c r="A2503" s="815" t="s">
        <v>753</v>
      </c>
      <c r="B2503" s="816" t="s">
        <v>7864</v>
      </c>
      <c r="C2503" s="729" t="s">
        <v>461</v>
      </c>
      <c r="D2503" s="460"/>
      <c r="E2503" s="878" t="s">
        <v>1909</v>
      </c>
      <c r="F2503" s="881" t="s">
        <v>2878</v>
      </c>
      <c r="G2503" s="731" t="s">
        <v>4700</v>
      </c>
      <c r="H2503" s="1083">
        <v>42370</v>
      </c>
      <c r="I2503" s="1084">
        <v>42480</v>
      </c>
      <c r="J2503" s="957">
        <v>456.73</v>
      </c>
    </row>
    <row r="2504" spans="1:10" s="852" customFormat="1" ht="28.5" outlineLevel="2">
      <c r="A2504" s="815" t="s">
        <v>753</v>
      </c>
      <c r="B2504" s="816" t="s">
        <v>7864</v>
      </c>
      <c r="C2504" s="729" t="s">
        <v>461</v>
      </c>
      <c r="D2504" s="460"/>
      <c r="E2504" s="878" t="s">
        <v>1909</v>
      </c>
      <c r="F2504" s="881" t="s">
        <v>2878</v>
      </c>
      <c r="G2504" s="731" t="s">
        <v>4701</v>
      </c>
      <c r="H2504" s="1083">
        <v>42370</v>
      </c>
      <c r="I2504" s="1084">
        <v>42480</v>
      </c>
      <c r="J2504" s="957">
        <v>456.72</v>
      </c>
    </row>
    <row r="2505" spans="1:10" s="852" customFormat="1" ht="28.5" outlineLevel="2">
      <c r="A2505" s="815" t="s">
        <v>753</v>
      </c>
      <c r="B2505" s="816" t="s">
        <v>7864</v>
      </c>
      <c r="C2505" s="729" t="s">
        <v>461</v>
      </c>
      <c r="D2505" s="460"/>
      <c r="E2505" s="878" t="s">
        <v>1909</v>
      </c>
      <c r="F2505" s="881" t="s">
        <v>3587</v>
      </c>
      <c r="G2505" s="731" t="s">
        <v>4702</v>
      </c>
      <c r="H2505" s="1083">
        <v>42370</v>
      </c>
      <c r="I2505" s="1084">
        <v>42480</v>
      </c>
      <c r="J2505" s="957">
        <v>-675.95</v>
      </c>
    </row>
    <row r="2506" spans="1:10" s="852" customFormat="1" ht="28.5" outlineLevel="2">
      <c r="A2506" s="815" t="s">
        <v>753</v>
      </c>
      <c r="B2506" s="816" t="s">
        <v>7864</v>
      </c>
      <c r="C2506" s="729" t="s">
        <v>461</v>
      </c>
      <c r="D2506" s="460"/>
      <c r="E2506" s="878" t="s">
        <v>1909</v>
      </c>
      <c r="F2506" s="881" t="s">
        <v>3587</v>
      </c>
      <c r="G2506" s="731" t="s">
        <v>4703</v>
      </c>
      <c r="H2506" s="1083">
        <v>42370</v>
      </c>
      <c r="I2506" s="1084">
        <v>42480</v>
      </c>
      <c r="J2506" s="957">
        <v>675.95</v>
      </c>
    </row>
    <row r="2507" spans="1:10" s="852" customFormat="1" ht="28.5" outlineLevel="2">
      <c r="A2507" s="815" t="s">
        <v>753</v>
      </c>
      <c r="B2507" s="816" t="s">
        <v>7864</v>
      </c>
      <c r="C2507" s="729" t="s">
        <v>461</v>
      </c>
      <c r="D2507" s="460"/>
      <c r="E2507" s="878" t="s">
        <v>1909</v>
      </c>
      <c r="F2507" s="881" t="s">
        <v>3587</v>
      </c>
      <c r="G2507" s="731" t="s">
        <v>4707</v>
      </c>
      <c r="H2507" s="1083">
        <v>42370</v>
      </c>
      <c r="I2507" s="1084">
        <v>42480</v>
      </c>
      <c r="J2507" s="957">
        <v>675.95</v>
      </c>
    </row>
    <row r="2508" spans="1:10" s="852" customFormat="1" ht="28.5" outlineLevel="2">
      <c r="A2508" s="815" t="s">
        <v>756</v>
      </c>
      <c r="B2508" s="816" t="s">
        <v>7863</v>
      </c>
      <c r="C2508" s="729" t="s">
        <v>461</v>
      </c>
      <c r="D2508" s="460"/>
      <c r="E2508" s="878" t="s">
        <v>1909</v>
      </c>
      <c r="F2508" s="881" t="s">
        <v>6340</v>
      </c>
      <c r="G2508" s="731" t="s">
        <v>4684</v>
      </c>
      <c r="H2508" s="1083">
        <v>42370</v>
      </c>
      <c r="I2508" s="1084">
        <v>42480</v>
      </c>
      <c r="J2508" s="957">
        <v>3481.49</v>
      </c>
    </row>
    <row r="2509" spans="1:10" s="852" customFormat="1" ht="28.5" outlineLevel="2">
      <c r="A2509" s="815" t="s">
        <v>756</v>
      </c>
      <c r="B2509" s="816" t="s">
        <v>7863</v>
      </c>
      <c r="C2509" s="729" t="s">
        <v>461</v>
      </c>
      <c r="D2509" s="460"/>
      <c r="E2509" s="878" t="s">
        <v>1909</v>
      </c>
      <c r="F2509" s="881" t="s">
        <v>6340</v>
      </c>
      <c r="G2509" s="731" t="s">
        <v>4688</v>
      </c>
      <c r="H2509" s="1083">
        <v>42370</v>
      </c>
      <c r="I2509" s="1084">
        <v>42480</v>
      </c>
      <c r="J2509" s="957">
        <v>3481.49</v>
      </c>
    </row>
    <row r="2510" spans="1:10" s="852" customFormat="1" ht="28.5" outlineLevel="2">
      <c r="A2510" s="815" t="s">
        <v>756</v>
      </c>
      <c r="B2510" s="816" t="s">
        <v>7863</v>
      </c>
      <c r="C2510" s="729" t="s">
        <v>461</v>
      </c>
      <c r="D2510" s="460"/>
      <c r="E2510" s="878" t="s">
        <v>1909</v>
      </c>
      <c r="F2510" s="881" t="s">
        <v>6340</v>
      </c>
      <c r="G2510" s="731" t="s">
        <v>4692</v>
      </c>
      <c r="H2510" s="1083">
        <v>42370</v>
      </c>
      <c r="I2510" s="1084">
        <v>42480</v>
      </c>
      <c r="J2510" s="957">
        <v>-3481.49</v>
      </c>
    </row>
    <row r="2511" spans="1:10" s="852" customFormat="1" outlineLevel="2">
      <c r="A2511" s="815" t="s">
        <v>1765</v>
      </c>
      <c r="B2511" s="816" t="s">
        <v>7871</v>
      </c>
      <c r="C2511" s="729" t="s">
        <v>461</v>
      </c>
      <c r="D2511" s="460"/>
      <c r="E2511" s="878" t="s">
        <v>1752</v>
      </c>
      <c r="F2511" s="881" t="s">
        <v>1753</v>
      </c>
      <c r="G2511" s="731" t="s">
        <v>5579</v>
      </c>
      <c r="H2511" s="1083">
        <v>42430</v>
      </c>
      <c r="I2511" s="1084">
        <v>42466</v>
      </c>
      <c r="J2511" s="957">
        <v>12508.28</v>
      </c>
    </row>
    <row r="2512" spans="1:10" s="852" customFormat="1" outlineLevel="2">
      <c r="A2512" s="815" t="s">
        <v>5712</v>
      </c>
      <c r="B2512" s="816" t="s">
        <v>7898</v>
      </c>
      <c r="C2512" s="729" t="s">
        <v>461</v>
      </c>
      <c r="D2512" s="460"/>
      <c r="E2512" s="878" t="s">
        <v>5627</v>
      </c>
      <c r="F2512" s="881" t="s">
        <v>440</v>
      </c>
      <c r="G2512" s="731" t="s">
        <v>5620</v>
      </c>
      <c r="H2512" s="1083">
        <v>42430</v>
      </c>
      <c r="I2512" s="1084">
        <v>42482</v>
      </c>
      <c r="J2512" s="957">
        <v>1677</v>
      </c>
    </row>
    <row r="2513" spans="1:10" s="852" customFormat="1" outlineLevel="2">
      <c r="A2513" s="815" t="s">
        <v>1315</v>
      </c>
      <c r="B2513" s="816" t="s">
        <v>7873</v>
      </c>
      <c r="C2513" s="729" t="s">
        <v>461</v>
      </c>
      <c r="D2513" s="460"/>
      <c r="E2513" s="878" t="s">
        <v>5745</v>
      </c>
      <c r="F2513" s="881" t="s">
        <v>431</v>
      </c>
      <c r="G2513" s="731" t="s">
        <v>5746</v>
      </c>
      <c r="H2513" s="1083">
        <v>42430</v>
      </c>
      <c r="I2513" s="1084">
        <v>42488</v>
      </c>
      <c r="J2513" s="957">
        <v>46.74</v>
      </c>
    </row>
    <row r="2514" spans="1:10" s="852" customFormat="1" outlineLevel="2">
      <c r="A2514" s="815" t="s">
        <v>1319</v>
      </c>
      <c r="B2514" s="816" t="s">
        <v>7873</v>
      </c>
      <c r="C2514" s="729" t="s">
        <v>461</v>
      </c>
      <c r="D2514" s="460"/>
      <c r="E2514" s="878" t="s">
        <v>441</v>
      </c>
      <c r="F2514" s="881" t="s">
        <v>2299</v>
      </c>
      <c r="G2514" s="731" t="s">
        <v>5661</v>
      </c>
      <c r="H2514" s="1083">
        <v>42430</v>
      </c>
      <c r="I2514" s="1084">
        <v>42475</v>
      </c>
      <c r="J2514" s="957">
        <v>312.23</v>
      </c>
    </row>
    <row r="2515" spans="1:10" s="852" customFormat="1" ht="42.75" outlineLevel="2">
      <c r="A2515" s="815" t="s">
        <v>5678</v>
      </c>
      <c r="B2515" s="816" t="s">
        <v>7867</v>
      </c>
      <c r="C2515" s="729" t="s">
        <v>461</v>
      </c>
      <c r="D2515" s="460"/>
      <c r="E2515" s="878" t="s">
        <v>5686</v>
      </c>
      <c r="F2515" s="881" t="s">
        <v>1044</v>
      </c>
      <c r="G2515" s="731" t="s">
        <v>5687</v>
      </c>
      <c r="H2515" s="1083">
        <v>42461</v>
      </c>
      <c r="I2515" s="1084">
        <v>42479</v>
      </c>
      <c r="J2515" s="957">
        <v>13837.75</v>
      </c>
    </row>
    <row r="2516" spans="1:10" s="852" customFormat="1" outlineLevel="1">
      <c r="A2516" s="815"/>
      <c r="B2516" s="816" t="s">
        <v>258</v>
      </c>
      <c r="C2516" s="908" t="s">
        <v>461</v>
      </c>
      <c r="D2516" s="928" t="str">
        <f>VLOOKUP(C2516,$C$3691:$D$3771,2,FALSE)</f>
        <v>TOTAL POUPATEMPO  SÃO BERNARDO DO CAMPO</v>
      </c>
      <c r="E2516" s="1085"/>
      <c r="F2516" s="929"/>
      <c r="G2516" s="910"/>
      <c r="H2516" s="1086"/>
      <c r="I2516" s="1087"/>
      <c r="J2516" s="930">
        <f>SUBTOTAL(9,J2418:J2515)</f>
        <v>797969.77999999968</v>
      </c>
    </row>
    <row r="2517" spans="1:10" s="852" customFormat="1" outlineLevel="2">
      <c r="A2517" s="815" t="s">
        <v>5895</v>
      </c>
      <c r="B2517" s="816" t="s">
        <v>7881</v>
      </c>
      <c r="C2517" s="729" t="s">
        <v>463</v>
      </c>
      <c r="D2517" s="460"/>
      <c r="E2517" s="878" t="s">
        <v>695</v>
      </c>
      <c r="F2517" s="881" t="s">
        <v>943</v>
      </c>
      <c r="G2517" s="731" t="s">
        <v>5518</v>
      </c>
      <c r="H2517" s="1083">
        <v>42401</v>
      </c>
      <c r="I2517" s="1084">
        <v>42461</v>
      </c>
      <c r="J2517" s="957">
        <v>253.98</v>
      </c>
    </row>
    <row r="2518" spans="1:10" s="852" customFormat="1" outlineLevel="2">
      <c r="A2518" s="815" t="s">
        <v>1321</v>
      </c>
      <c r="B2518" s="816" t="s">
        <v>7873</v>
      </c>
      <c r="C2518" s="729" t="s">
        <v>463</v>
      </c>
      <c r="D2518" s="460"/>
      <c r="E2518" s="878" t="s">
        <v>417</v>
      </c>
      <c r="F2518" s="881" t="s">
        <v>431</v>
      </c>
      <c r="G2518" s="731" t="s">
        <v>5581</v>
      </c>
      <c r="H2518" s="1083">
        <v>42430</v>
      </c>
      <c r="I2518" s="1084">
        <v>42467</v>
      </c>
      <c r="J2518" s="957">
        <v>88.21</v>
      </c>
    </row>
    <row r="2519" spans="1:10" s="852" customFormat="1" outlineLevel="2">
      <c r="A2519" s="815" t="s">
        <v>5617</v>
      </c>
      <c r="B2519" s="816" t="s">
        <v>7896</v>
      </c>
      <c r="C2519" s="729" t="s">
        <v>463</v>
      </c>
      <c r="D2519" s="460"/>
      <c r="E2519" s="878" t="s">
        <v>417</v>
      </c>
      <c r="F2519" s="881" t="s">
        <v>395</v>
      </c>
      <c r="G2519" s="731" t="s">
        <v>5618</v>
      </c>
      <c r="H2519" s="1083">
        <v>42461</v>
      </c>
      <c r="I2519" s="1084">
        <v>42473</v>
      </c>
      <c r="J2519" s="957">
        <v>1440</v>
      </c>
    </row>
    <row r="2520" spans="1:10" s="852" customFormat="1" outlineLevel="2">
      <c r="A2520" s="815" t="s">
        <v>1321</v>
      </c>
      <c r="B2520" s="816" t="s">
        <v>7873</v>
      </c>
      <c r="C2520" s="729" t="s">
        <v>463</v>
      </c>
      <c r="D2520" s="460"/>
      <c r="E2520" s="878" t="s">
        <v>417</v>
      </c>
      <c r="F2520" s="881" t="s">
        <v>431</v>
      </c>
      <c r="G2520" s="731" t="s">
        <v>5662</v>
      </c>
      <c r="H2520" s="1083">
        <v>42461</v>
      </c>
      <c r="I2520" s="1084">
        <v>42478</v>
      </c>
      <c r="J2520" s="957">
        <v>177.19</v>
      </c>
    </row>
    <row r="2521" spans="1:10" s="852" customFormat="1" outlineLevel="2">
      <c r="A2521" s="815" t="s">
        <v>1321</v>
      </c>
      <c r="B2521" s="816" t="s">
        <v>7873</v>
      </c>
      <c r="C2521" s="729" t="s">
        <v>463</v>
      </c>
      <c r="D2521" s="460"/>
      <c r="E2521" s="878" t="s">
        <v>417</v>
      </c>
      <c r="F2521" s="881" t="s">
        <v>431</v>
      </c>
      <c r="G2521" s="731" t="s">
        <v>5735</v>
      </c>
      <c r="H2521" s="1083">
        <v>42461</v>
      </c>
      <c r="I2521" s="1084">
        <v>42488</v>
      </c>
      <c r="J2521" s="957">
        <v>77.069999999999993</v>
      </c>
    </row>
    <row r="2522" spans="1:10" s="852" customFormat="1" outlineLevel="2">
      <c r="A2522" s="815" t="s">
        <v>5726</v>
      </c>
      <c r="B2522" s="816" t="s">
        <v>7872</v>
      </c>
      <c r="C2522" s="729" t="s">
        <v>463</v>
      </c>
      <c r="D2522" s="460"/>
      <c r="E2522" s="878" t="s">
        <v>1708</v>
      </c>
      <c r="F2522" s="881" t="s">
        <v>1696</v>
      </c>
      <c r="G2522" s="731" t="s">
        <v>5727</v>
      </c>
      <c r="H2522" s="1083">
        <v>42430</v>
      </c>
      <c r="I2522" s="1084">
        <v>42487</v>
      </c>
      <c r="J2522" s="957">
        <v>79482.460000000006</v>
      </c>
    </row>
    <row r="2523" spans="1:10" s="852" customFormat="1" outlineLevel="2">
      <c r="A2523" s="815" t="s">
        <v>6487</v>
      </c>
      <c r="B2523" s="816" t="s">
        <v>7883</v>
      </c>
      <c r="C2523" s="729" t="s">
        <v>463</v>
      </c>
      <c r="D2523" s="460"/>
      <c r="E2523" s="878" t="s">
        <v>7795</v>
      </c>
      <c r="F2523" s="881" t="s">
        <v>1030</v>
      </c>
      <c r="G2523" s="731" t="str">
        <f>"29450"</f>
        <v>29450</v>
      </c>
      <c r="H2523" s="1083">
        <v>42401</v>
      </c>
      <c r="I2523" s="1084">
        <v>42480</v>
      </c>
      <c r="J2523" s="957">
        <v>79425.81</v>
      </c>
    </row>
    <row r="2524" spans="1:10" s="852" customFormat="1" outlineLevel="2">
      <c r="A2524" s="815" t="s">
        <v>7797</v>
      </c>
      <c r="B2524" s="816" t="s">
        <v>7882</v>
      </c>
      <c r="C2524" s="729" t="s">
        <v>463</v>
      </c>
      <c r="D2524" s="460"/>
      <c r="E2524" s="878" t="s">
        <v>7795</v>
      </c>
      <c r="F2524" s="881" t="s">
        <v>1030</v>
      </c>
      <c r="G2524" s="731" t="str">
        <f>"29450"</f>
        <v>29450</v>
      </c>
      <c r="H2524" s="1083">
        <v>42401</v>
      </c>
      <c r="I2524" s="1084">
        <v>42480</v>
      </c>
      <c r="J2524" s="957">
        <v>273312.71999999997</v>
      </c>
    </row>
    <row r="2525" spans="1:10" s="852" customFormat="1" outlineLevel="2">
      <c r="A2525" s="815" t="s">
        <v>1622</v>
      </c>
      <c r="B2525" s="816" t="s">
        <v>7875</v>
      </c>
      <c r="C2525" s="729" t="s">
        <v>463</v>
      </c>
      <c r="D2525" s="460"/>
      <c r="E2525" s="878" t="s">
        <v>1613</v>
      </c>
      <c r="F2525" s="881" t="s">
        <v>1614</v>
      </c>
      <c r="G2525" s="731" t="s">
        <v>5536</v>
      </c>
      <c r="H2525" s="1083">
        <v>42401</v>
      </c>
      <c r="I2525" s="1084">
        <v>42464</v>
      </c>
      <c r="J2525" s="957">
        <v>3875.54</v>
      </c>
    </row>
    <row r="2526" spans="1:10" s="852" customFormat="1" outlineLevel="2">
      <c r="A2526" s="815" t="s">
        <v>6440</v>
      </c>
      <c r="B2526" s="816" t="s">
        <v>7863</v>
      </c>
      <c r="C2526" s="729" t="s">
        <v>463</v>
      </c>
      <c r="D2526" s="460"/>
      <c r="E2526" s="878" t="s">
        <v>483</v>
      </c>
      <c r="F2526" s="881" t="s">
        <v>2208</v>
      </c>
      <c r="G2526" s="731" t="str">
        <f>"16980"</f>
        <v>16980</v>
      </c>
      <c r="H2526" s="1083">
        <v>42401</v>
      </c>
      <c r="I2526" s="1084">
        <v>42473</v>
      </c>
      <c r="J2526" s="957">
        <v>59841.61</v>
      </c>
    </row>
    <row r="2527" spans="1:10" s="852" customFormat="1" outlineLevel="2">
      <c r="A2527" s="815" t="s">
        <v>5905</v>
      </c>
      <c r="B2527" s="816" t="s">
        <v>7889</v>
      </c>
      <c r="C2527" s="729" t="s">
        <v>463</v>
      </c>
      <c r="D2527" s="460"/>
      <c r="E2527" s="878" t="s">
        <v>2258</v>
      </c>
      <c r="F2527" s="881" t="s">
        <v>404</v>
      </c>
      <c r="G2527" s="731" t="str">
        <f>"159"</f>
        <v>159</v>
      </c>
      <c r="H2527" s="1083">
        <v>42401</v>
      </c>
      <c r="I2527" s="1084">
        <v>42461</v>
      </c>
      <c r="J2527" s="957">
        <v>2956.27</v>
      </c>
    </row>
    <row r="2528" spans="1:10" s="852" customFormat="1" outlineLevel="2">
      <c r="A2528" s="815" t="s">
        <v>5967</v>
      </c>
      <c r="B2528" s="816" t="s">
        <v>7899</v>
      </c>
      <c r="C2528" s="729" t="s">
        <v>463</v>
      </c>
      <c r="D2528" s="460"/>
      <c r="E2528" s="878" t="s">
        <v>5966</v>
      </c>
      <c r="F2528" s="881" t="s">
        <v>2280</v>
      </c>
      <c r="G2528" s="731" t="str">
        <f>"3363"</f>
        <v>3363</v>
      </c>
      <c r="H2528" s="1083"/>
      <c r="I2528" s="1084">
        <v>42467</v>
      </c>
      <c r="J2528" s="957">
        <v>699.27</v>
      </c>
    </row>
    <row r="2529" spans="1:10" s="852" customFormat="1" outlineLevel="2">
      <c r="A2529" s="815" t="s">
        <v>5911</v>
      </c>
      <c r="B2529" s="816" t="s">
        <v>7900</v>
      </c>
      <c r="C2529" s="729" t="s">
        <v>463</v>
      </c>
      <c r="D2529" s="460"/>
      <c r="E2529" s="878" t="s">
        <v>5912</v>
      </c>
      <c r="F2529" s="881" t="s">
        <v>404</v>
      </c>
      <c r="G2529" s="731" t="s">
        <v>5540</v>
      </c>
      <c r="H2529" s="1083">
        <v>42430</v>
      </c>
      <c r="I2529" s="1084">
        <v>42464</v>
      </c>
      <c r="J2529" s="957">
        <v>190</v>
      </c>
    </row>
    <row r="2530" spans="1:10" s="852" customFormat="1" outlineLevel="2">
      <c r="A2530" s="815" t="s">
        <v>762</v>
      </c>
      <c r="B2530" s="816" t="s">
        <v>7877</v>
      </c>
      <c r="C2530" s="729" t="s">
        <v>463</v>
      </c>
      <c r="D2530" s="460"/>
      <c r="E2530" s="878" t="s">
        <v>683</v>
      </c>
      <c r="F2530" s="881" t="s">
        <v>1071</v>
      </c>
      <c r="G2530" s="731" t="s">
        <v>5543</v>
      </c>
      <c r="H2530" s="1083">
        <v>42430</v>
      </c>
      <c r="I2530" s="1084">
        <v>42464</v>
      </c>
      <c r="J2530" s="957">
        <v>16948.16</v>
      </c>
    </row>
    <row r="2531" spans="1:10" s="852" customFormat="1" outlineLevel="2">
      <c r="A2531" s="815" t="s">
        <v>5945</v>
      </c>
      <c r="B2531" s="816" t="s">
        <v>7864</v>
      </c>
      <c r="C2531" s="729" t="s">
        <v>463</v>
      </c>
      <c r="D2531" s="460"/>
      <c r="E2531" s="878" t="s">
        <v>6470</v>
      </c>
      <c r="F2531" s="881" t="s">
        <v>434</v>
      </c>
      <c r="G2531" s="731" t="str">
        <f>"2646"</f>
        <v>2646</v>
      </c>
      <c r="H2531" s="1083">
        <v>42370</v>
      </c>
      <c r="I2531" s="1084">
        <v>42478</v>
      </c>
      <c r="J2531" s="957">
        <v>11622.5</v>
      </c>
    </row>
    <row r="2532" spans="1:10" s="852" customFormat="1" outlineLevel="2">
      <c r="A2532" s="815" t="s">
        <v>5945</v>
      </c>
      <c r="B2532" s="816" t="s">
        <v>7864</v>
      </c>
      <c r="C2532" s="729" t="s">
        <v>463</v>
      </c>
      <c r="D2532" s="460"/>
      <c r="E2532" s="878" t="s">
        <v>6470</v>
      </c>
      <c r="F2532" s="881" t="s">
        <v>434</v>
      </c>
      <c r="G2532" s="731" t="str">
        <f>"2646"</f>
        <v>2646</v>
      </c>
      <c r="H2532" s="1083">
        <v>42370</v>
      </c>
      <c r="I2532" s="1084">
        <v>42478</v>
      </c>
      <c r="J2532" s="957">
        <v>-11622.5</v>
      </c>
    </row>
    <row r="2533" spans="1:10" s="852" customFormat="1" outlineLevel="2">
      <c r="A2533" s="815" t="s">
        <v>5945</v>
      </c>
      <c r="B2533" s="816" t="s">
        <v>7864</v>
      </c>
      <c r="C2533" s="729" t="s">
        <v>463</v>
      </c>
      <c r="D2533" s="460"/>
      <c r="E2533" s="878" t="s">
        <v>6470</v>
      </c>
      <c r="F2533" s="881" t="s">
        <v>434</v>
      </c>
      <c r="G2533" s="731" t="str">
        <f>"2646"</f>
        <v>2646</v>
      </c>
      <c r="H2533" s="1083">
        <v>42370</v>
      </c>
      <c r="I2533" s="1084">
        <v>42478</v>
      </c>
      <c r="J2533" s="957">
        <v>11622.5</v>
      </c>
    </row>
    <row r="2534" spans="1:10" s="852" customFormat="1" outlineLevel="2">
      <c r="A2534" s="815" t="s">
        <v>5945</v>
      </c>
      <c r="B2534" s="816" t="s">
        <v>7864</v>
      </c>
      <c r="C2534" s="729" t="s">
        <v>463</v>
      </c>
      <c r="D2534" s="460"/>
      <c r="E2534" s="878" t="s">
        <v>6470</v>
      </c>
      <c r="F2534" s="881" t="s">
        <v>434</v>
      </c>
      <c r="G2534" s="731" t="str">
        <f>"2646"</f>
        <v>2646</v>
      </c>
      <c r="H2534" s="1083">
        <v>42370</v>
      </c>
      <c r="I2534" s="1084">
        <v>42478</v>
      </c>
      <c r="J2534" s="957">
        <v>11622.5</v>
      </c>
    </row>
    <row r="2535" spans="1:10" s="852" customFormat="1" outlineLevel="2">
      <c r="A2535" s="815" t="s">
        <v>5945</v>
      </c>
      <c r="B2535" s="816" t="s">
        <v>7864</v>
      </c>
      <c r="C2535" s="729" t="s">
        <v>463</v>
      </c>
      <c r="D2535" s="460"/>
      <c r="E2535" s="878" t="s">
        <v>6470</v>
      </c>
      <c r="F2535" s="881" t="s">
        <v>434</v>
      </c>
      <c r="G2535" s="731" t="str">
        <f>"2646"</f>
        <v>2646</v>
      </c>
      <c r="H2535" s="1083">
        <v>42370</v>
      </c>
      <c r="I2535" s="1084">
        <v>42478</v>
      </c>
      <c r="J2535" s="957">
        <v>-11622.5</v>
      </c>
    </row>
    <row r="2536" spans="1:10" s="852" customFormat="1" outlineLevel="2">
      <c r="A2536" s="815" t="s">
        <v>2589</v>
      </c>
      <c r="B2536" s="816" t="s">
        <v>7883</v>
      </c>
      <c r="C2536" s="729" t="s">
        <v>463</v>
      </c>
      <c r="D2536" s="460"/>
      <c r="E2536" s="878" t="s">
        <v>2336</v>
      </c>
      <c r="F2536" s="881" t="s">
        <v>6052</v>
      </c>
      <c r="G2536" s="731" t="s">
        <v>4727</v>
      </c>
      <c r="H2536" s="1083">
        <v>42370</v>
      </c>
      <c r="I2536" s="1084">
        <v>42480</v>
      </c>
      <c r="J2536" s="957">
        <v>749.14</v>
      </c>
    </row>
    <row r="2537" spans="1:10" s="852" customFormat="1" outlineLevel="2">
      <c r="A2537" s="815" t="s">
        <v>2590</v>
      </c>
      <c r="B2537" s="816" t="s">
        <v>7882</v>
      </c>
      <c r="C2537" s="729" t="s">
        <v>463</v>
      </c>
      <c r="D2537" s="460"/>
      <c r="E2537" s="878" t="s">
        <v>2336</v>
      </c>
      <c r="F2537" s="881" t="s">
        <v>6052</v>
      </c>
      <c r="G2537" s="731" t="s">
        <v>4727</v>
      </c>
      <c r="H2537" s="1083">
        <v>42370</v>
      </c>
      <c r="I2537" s="1084">
        <v>42480</v>
      </c>
      <c r="J2537" s="957">
        <v>2577.88</v>
      </c>
    </row>
    <row r="2538" spans="1:10" s="852" customFormat="1" outlineLevel="2">
      <c r="A2538" s="815" t="s">
        <v>2589</v>
      </c>
      <c r="B2538" s="816" t="s">
        <v>7883</v>
      </c>
      <c r="C2538" s="729" t="s">
        <v>463</v>
      </c>
      <c r="D2538" s="460"/>
      <c r="E2538" s="878" t="s">
        <v>2336</v>
      </c>
      <c r="F2538" s="881" t="s">
        <v>5455</v>
      </c>
      <c r="G2538" s="731" t="s">
        <v>4744</v>
      </c>
      <c r="H2538" s="1083">
        <v>42401</v>
      </c>
      <c r="I2538" s="1084">
        <v>42480</v>
      </c>
      <c r="J2538" s="957">
        <v>10806.23</v>
      </c>
    </row>
    <row r="2539" spans="1:10" s="852" customFormat="1" outlineLevel="2">
      <c r="A2539" s="815" t="s">
        <v>2590</v>
      </c>
      <c r="B2539" s="816" t="s">
        <v>7882</v>
      </c>
      <c r="C2539" s="729" t="s">
        <v>463</v>
      </c>
      <c r="D2539" s="460"/>
      <c r="E2539" s="878" t="s">
        <v>2336</v>
      </c>
      <c r="F2539" s="881" t="s">
        <v>5455</v>
      </c>
      <c r="G2539" s="731" t="s">
        <v>4744</v>
      </c>
      <c r="H2539" s="1083">
        <v>42401</v>
      </c>
      <c r="I2539" s="1084">
        <v>42480</v>
      </c>
      <c r="J2539" s="957">
        <v>37185.4</v>
      </c>
    </row>
    <row r="2540" spans="1:10" s="852" customFormat="1" outlineLevel="2">
      <c r="A2540" s="815" t="s">
        <v>764</v>
      </c>
      <c r="B2540" s="816" t="s">
        <v>7863</v>
      </c>
      <c r="C2540" s="729" t="s">
        <v>463</v>
      </c>
      <c r="D2540" s="460"/>
      <c r="E2540" s="878" t="s">
        <v>2336</v>
      </c>
      <c r="F2540" s="881" t="s">
        <v>4370</v>
      </c>
      <c r="G2540" s="731" t="s">
        <v>4742</v>
      </c>
      <c r="H2540" s="1083">
        <v>42401</v>
      </c>
      <c r="I2540" s="1084">
        <v>42480</v>
      </c>
      <c r="J2540" s="957">
        <v>8192.3799999999992</v>
      </c>
    </row>
    <row r="2541" spans="1:10" s="852" customFormat="1" outlineLevel="2">
      <c r="A2541" s="815" t="s">
        <v>761</v>
      </c>
      <c r="B2541" s="816" t="s">
        <v>7864</v>
      </c>
      <c r="C2541" s="729" t="s">
        <v>463</v>
      </c>
      <c r="D2541" s="460"/>
      <c r="E2541" s="878" t="s">
        <v>2336</v>
      </c>
      <c r="F2541" s="881" t="s">
        <v>3916</v>
      </c>
      <c r="G2541" s="731" t="s">
        <v>4737</v>
      </c>
      <c r="H2541" s="1083">
        <v>42401</v>
      </c>
      <c r="I2541" s="1084">
        <v>42480</v>
      </c>
      <c r="J2541" s="957">
        <v>1630.78</v>
      </c>
    </row>
    <row r="2542" spans="1:10" s="852" customFormat="1" outlineLevel="2">
      <c r="A2542" s="815" t="s">
        <v>761</v>
      </c>
      <c r="B2542" s="816" t="s">
        <v>7864</v>
      </c>
      <c r="C2542" s="729" t="s">
        <v>463</v>
      </c>
      <c r="D2542" s="460"/>
      <c r="E2542" s="878" t="s">
        <v>2336</v>
      </c>
      <c r="F2542" s="881" t="s">
        <v>4356</v>
      </c>
      <c r="G2542" s="731" t="s">
        <v>4740</v>
      </c>
      <c r="H2542" s="1083">
        <v>42401</v>
      </c>
      <c r="I2542" s="1084">
        <v>42480</v>
      </c>
      <c r="J2542" s="957">
        <v>453.23</v>
      </c>
    </row>
    <row r="2543" spans="1:10" s="852" customFormat="1" outlineLevel="2">
      <c r="A2543" s="815" t="s">
        <v>761</v>
      </c>
      <c r="B2543" s="816" t="s">
        <v>7864</v>
      </c>
      <c r="C2543" s="729" t="s">
        <v>463</v>
      </c>
      <c r="D2543" s="460"/>
      <c r="E2543" s="878" t="s">
        <v>2336</v>
      </c>
      <c r="F2543" s="881" t="s">
        <v>2826</v>
      </c>
      <c r="G2543" s="731" t="s">
        <v>4730</v>
      </c>
      <c r="H2543" s="1083">
        <v>42401</v>
      </c>
      <c r="I2543" s="1084">
        <v>42480</v>
      </c>
      <c r="J2543" s="957">
        <v>1072.8800000000001</v>
      </c>
    </row>
    <row r="2544" spans="1:10" s="852" customFormat="1" outlineLevel="2">
      <c r="A2544" s="815" t="s">
        <v>4731</v>
      </c>
      <c r="B2544" s="816" t="s">
        <v>7864</v>
      </c>
      <c r="C2544" s="729" t="s">
        <v>463</v>
      </c>
      <c r="D2544" s="460"/>
      <c r="E2544" s="878" t="s">
        <v>2336</v>
      </c>
      <c r="F2544" s="881" t="s">
        <v>3028</v>
      </c>
      <c r="G2544" s="731" t="s">
        <v>4733</v>
      </c>
      <c r="H2544" s="1083">
        <v>42401</v>
      </c>
      <c r="I2544" s="1084">
        <v>42480</v>
      </c>
      <c r="J2544" s="957">
        <v>89.38</v>
      </c>
    </row>
    <row r="2545" spans="1:10" s="852" customFormat="1" outlineLevel="2">
      <c r="A2545" s="815" t="s">
        <v>761</v>
      </c>
      <c r="B2545" s="816" t="s">
        <v>7864</v>
      </c>
      <c r="C2545" s="729" t="s">
        <v>463</v>
      </c>
      <c r="D2545" s="460"/>
      <c r="E2545" s="878" t="s">
        <v>2336</v>
      </c>
      <c r="F2545" s="881" t="s">
        <v>3438</v>
      </c>
      <c r="G2545" s="731" t="s">
        <v>4735</v>
      </c>
      <c r="H2545" s="1083">
        <v>42401</v>
      </c>
      <c r="I2545" s="1084">
        <v>42480</v>
      </c>
      <c r="J2545" s="957">
        <v>1587.86</v>
      </c>
    </row>
    <row r="2546" spans="1:10" s="852" customFormat="1" outlineLevel="2">
      <c r="A2546" s="815" t="s">
        <v>759</v>
      </c>
      <c r="B2546" s="816" t="s">
        <v>7882</v>
      </c>
      <c r="C2546" s="729" t="s">
        <v>463</v>
      </c>
      <c r="D2546" s="460"/>
      <c r="E2546" s="878" t="s">
        <v>2336</v>
      </c>
      <c r="F2546" s="881" t="s">
        <v>6051</v>
      </c>
      <c r="G2546" s="731" t="s">
        <v>4724</v>
      </c>
      <c r="H2546" s="1083">
        <v>42370</v>
      </c>
      <c r="I2546" s="1084">
        <v>42480</v>
      </c>
      <c r="J2546" s="957">
        <v>35153.620000000003</v>
      </c>
    </row>
    <row r="2547" spans="1:10" s="852" customFormat="1" outlineLevel="2">
      <c r="A2547" s="815" t="s">
        <v>760</v>
      </c>
      <c r="B2547" s="816" t="s">
        <v>7883</v>
      </c>
      <c r="C2547" s="729" t="s">
        <v>463</v>
      </c>
      <c r="D2547" s="460"/>
      <c r="E2547" s="878" t="s">
        <v>2336</v>
      </c>
      <c r="F2547" s="881" t="s">
        <v>6051</v>
      </c>
      <c r="G2547" s="731" t="s">
        <v>4724</v>
      </c>
      <c r="H2547" s="1083">
        <v>42370</v>
      </c>
      <c r="I2547" s="1084">
        <v>42480</v>
      </c>
      <c r="J2547" s="957">
        <v>5580.58</v>
      </c>
    </row>
    <row r="2548" spans="1:10" s="852" customFormat="1" outlineLevel="2">
      <c r="A2548" s="815" t="s">
        <v>757</v>
      </c>
      <c r="B2548" s="816" t="s">
        <v>7885</v>
      </c>
      <c r="C2548" s="729" t="s">
        <v>463</v>
      </c>
      <c r="D2548" s="460"/>
      <c r="E2548" s="878" t="s">
        <v>2336</v>
      </c>
      <c r="F2548" s="881" t="s">
        <v>4281</v>
      </c>
      <c r="G2548" s="731" t="s">
        <v>4738</v>
      </c>
      <c r="H2548" s="1083">
        <v>42401</v>
      </c>
      <c r="I2548" s="1084">
        <v>42480</v>
      </c>
      <c r="J2548" s="957">
        <v>655.41</v>
      </c>
    </row>
    <row r="2549" spans="1:10" s="852" customFormat="1" outlineLevel="2">
      <c r="A2549" s="815" t="s">
        <v>5945</v>
      </c>
      <c r="B2549" s="816" t="s">
        <v>7864</v>
      </c>
      <c r="C2549" s="729" t="s">
        <v>463</v>
      </c>
      <c r="D2549" s="460"/>
      <c r="E2549" s="878" t="s">
        <v>2717</v>
      </c>
      <c r="F2549" s="881" t="s">
        <v>434</v>
      </c>
      <c r="G2549" s="731" t="str">
        <f>"3565"</f>
        <v>3565</v>
      </c>
      <c r="H2549" s="1083">
        <v>42401</v>
      </c>
      <c r="I2549" s="1084">
        <v>42467</v>
      </c>
      <c r="J2549" s="957">
        <v>7641.86</v>
      </c>
    </row>
    <row r="2550" spans="1:10" s="852" customFormat="1" outlineLevel="2">
      <c r="A2550" s="815" t="s">
        <v>761</v>
      </c>
      <c r="B2550" s="816" t="s">
        <v>7864</v>
      </c>
      <c r="C2550" s="729" t="s">
        <v>463</v>
      </c>
      <c r="D2550" s="460"/>
      <c r="E2550" s="878" t="s">
        <v>407</v>
      </c>
      <c r="F2550" s="881" t="s">
        <v>434</v>
      </c>
      <c r="G2550" s="731">
        <v>3552</v>
      </c>
      <c r="H2550" s="1083">
        <v>42401</v>
      </c>
      <c r="I2550" s="1084">
        <v>42467</v>
      </c>
      <c r="J2550" s="957">
        <v>3351.88</v>
      </c>
    </row>
    <row r="2551" spans="1:10" s="852" customFormat="1" outlineLevel="2">
      <c r="A2551" s="815" t="s">
        <v>6464</v>
      </c>
      <c r="B2551" s="816" t="s">
        <v>7864</v>
      </c>
      <c r="C2551" s="729" t="s">
        <v>463</v>
      </c>
      <c r="D2551" s="460"/>
      <c r="E2551" s="878" t="s">
        <v>409</v>
      </c>
      <c r="F2551" s="881" t="s">
        <v>434</v>
      </c>
      <c r="G2551" s="731" t="str">
        <f>"6691"</f>
        <v>6691</v>
      </c>
      <c r="H2551" s="1083">
        <v>42401</v>
      </c>
      <c r="I2551" s="1084">
        <v>42475</v>
      </c>
      <c r="J2551" s="957">
        <v>677.3</v>
      </c>
    </row>
    <row r="2552" spans="1:10" s="852" customFormat="1" outlineLevel="2">
      <c r="A2552" s="815" t="s">
        <v>5945</v>
      </c>
      <c r="B2552" s="816" t="s">
        <v>7864</v>
      </c>
      <c r="C2552" s="729" t="s">
        <v>463</v>
      </c>
      <c r="D2552" s="460"/>
      <c r="E2552" s="878" t="s">
        <v>409</v>
      </c>
      <c r="F2552" s="881" t="s">
        <v>434</v>
      </c>
      <c r="G2552" s="731" t="str">
        <f>"6708"</f>
        <v>6708</v>
      </c>
      <c r="H2552" s="1083">
        <v>42401</v>
      </c>
      <c r="I2552" s="1084">
        <v>42475</v>
      </c>
      <c r="J2552" s="957">
        <v>11309.93</v>
      </c>
    </row>
    <row r="2553" spans="1:10" s="852" customFormat="1" outlineLevel="2">
      <c r="A2553" s="815" t="s">
        <v>2739</v>
      </c>
      <c r="B2553" s="816" t="s">
        <v>7887</v>
      </c>
      <c r="C2553" s="729" t="s">
        <v>463</v>
      </c>
      <c r="D2553" s="460"/>
      <c r="E2553" s="878" t="s">
        <v>2306</v>
      </c>
      <c r="F2553" s="881" t="s">
        <v>2742</v>
      </c>
      <c r="G2553" s="731">
        <v>1282561</v>
      </c>
      <c r="H2553" s="1083">
        <v>42461</v>
      </c>
      <c r="I2553" s="1084">
        <v>42489</v>
      </c>
      <c r="J2553" s="957">
        <v>754.14</v>
      </c>
    </row>
    <row r="2554" spans="1:10" s="852" customFormat="1" ht="28.5" outlineLevel="2">
      <c r="A2554" s="815" t="s">
        <v>1321</v>
      </c>
      <c r="B2554" s="816" t="s">
        <v>7873</v>
      </c>
      <c r="C2554" s="729" t="s">
        <v>463</v>
      </c>
      <c r="D2554" s="460"/>
      <c r="E2554" s="878" t="s">
        <v>2306</v>
      </c>
      <c r="F2554" s="881" t="s">
        <v>2744</v>
      </c>
      <c r="G2554" s="731">
        <v>1282555</v>
      </c>
      <c r="H2554" s="1083">
        <v>42461</v>
      </c>
      <c r="I2554" s="1084">
        <v>42489</v>
      </c>
      <c r="J2554" s="957">
        <v>93.66</v>
      </c>
    </row>
    <row r="2555" spans="1:10" s="852" customFormat="1" outlineLevel="2">
      <c r="A2555" s="815" t="s">
        <v>2739</v>
      </c>
      <c r="B2555" s="816" t="s">
        <v>7887</v>
      </c>
      <c r="C2555" s="729" t="s">
        <v>463</v>
      </c>
      <c r="D2555" s="460"/>
      <c r="E2555" s="878" t="s">
        <v>2306</v>
      </c>
      <c r="F2555" s="881" t="s">
        <v>2742</v>
      </c>
      <c r="G2555" s="731">
        <v>1290319</v>
      </c>
      <c r="H2555" s="1083">
        <v>42461</v>
      </c>
      <c r="I2555" s="1084">
        <v>42489</v>
      </c>
      <c r="J2555" s="957">
        <v>188.53</v>
      </c>
    </row>
    <row r="2556" spans="1:10" s="852" customFormat="1" outlineLevel="2">
      <c r="A2556" s="815" t="s">
        <v>961</v>
      </c>
      <c r="B2556" s="816" t="s">
        <v>7866</v>
      </c>
      <c r="C2556" s="729" t="s">
        <v>463</v>
      </c>
      <c r="D2556" s="460"/>
      <c r="E2556" s="878" t="s">
        <v>2282</v>
      </c>
      <c r="F2556" s="881" t="s">
        <v>3974</v>
      </c>
      <c r="G2556" s="731" t="s">
        <v>2779</v>
      </c>
      <c r="H2556" s="1083">
        <v>42401</v>
      </c>
      <c r="I2556" s="1084">
        <v>42471</v>
      </c>
      <c r="J2556" s="957">
        <v>2644.01</v>
      </c>
    </row>
    <row r="2557" spans="1:10" s="852" customFormat="1" outlineLevel="2">
      <c r="A2557" s="815" t="s">
        <v>961</v>
      </c>
      <c r="B2557" s="816" t="s">
        <v>7866</v>
      </c>
      <c r="C2557" s="729" t="s">
        <v>463</v>
      </c>
      <c r="D2557" s="460"/>
      <c r="E2557" s="878" t="s">
        <v>2282</v>
      </c>
      <c r="F2557" s="881" t="s">
        <v>4081</v>
      </c>
      <c r="G2557" s="731" t="s">
        <v>2781</v>
      </c>
      <c r="H2557" s="1083">
        <v>42401</v>
      </c>
      <c r="I2557" s="1084">
        <v>42471</v>
      </c>
      <c r="J2557" s="957">
        <v>84.55</v>
      </c>
    </row>
    <row r="2558" spans="1:10" s="852" customFormat="1" outlineLevel="2">
      <c r="A2558" s="815" t="s">
        <v>961</v>
      </c>
      <c r="B2558" s="816" t="s">
        <v>7866</v>
      </c>
      <c r="C2558" s="729" t="s">
        <v>463</v>
      </c>
      <c r="D2558" s="460"/>
      <c r="E2558" s="878" t="s">
        <v>2282</v>
      </c>
      <c r="F2558" s="881" t="s">
        <v>4165</v>
      </c>
      <c r="G2558" s="731" t="s">
        <v>2782</v>
      </c>
      <c r="H2558" s="1083">
        <v>42401</v>
      </c>
      <c r="I2558" s="1084">
        <v>42471</v>
      </c>
      <c r="J2558" s="957">
        <v>997.57</v>
      </c>
    </row>
    <row r="2559" spans="1:10" s="852" customFormat="1" outlineLevel="2">
      <c r="A2559" s="815" t="s">
        <v>2270</v>
      </c>
      <c r="B2559" s="816" t="s">
        <v>7888</v>
      </c>
      <c r="C2559" s="729" t="s">
        <v>463</v>
      </c>
      <c r="D2559" s="460"/>
      <c r="E2559" s="878" t="s">
        <v>2710</v>
      </c>
      <c r="F2559" s="881" t="s">
        <v>4555</v>
      </c>
      <c r="G2559" s="731" t="s">
        <v>4223</v>
      </c>
      <c r="H2559" s="1083">
        <v>42401</v>
      </c>
      <c r="I2559" s="1084">
        <v>42475</v>
      </c>
      <c r="J2559" s="957">
        <v>24.67</v>
      </c>
    </row>
    <row r="2560" spans="1:10" s="852" customFormat="1" outlineLevel="2">
      <c r="A2560" s="815" t="s">
        <v>757</v>
      </c>
      <c r="B2560" s="816" t="s">
        <v>7885</v>
      </c>
      <c r="C2560" s="729" t="s">
        <v>463</v>
      </c>
      <c r="D2560" s="460"/>
      <c r="E2560" s="878" t="s">
        <v>411</v>
      </c>
      <c r="F2560" s="881" t="s">
        <v>7804</v>
      </c>
      <c r="G2560" s="731" t="s">
        <v>7805</v>
      </c>
      <c r="H2560" s="1083">
        <v>42401</v>
      </c>
      <c r="I2560" s="1084">
        <v>42485</v>
      </c>
      <c r="J2560" s="957">
        <v>792.13</v>
      </c>
    </row>
    <row r="2561" spans="1:10" s="852" customFormat="1" outlineLevel="2">
      <c r="A2561" s="815" t="s">
        <v>760</v>
      </c>
      <c r="B2561" s="816" t="s">
        <v>7883</v>
      </c>
      <c r="C2561" s="729" t="s">
        <v>463</v>
      </c>
      <c r="D2561" s="460"/>
      <c r="E2561" s="878" t="s">
        <v>411</v>
      </c>
      <c r="F2561" s="881" t="s">
        <v>5515</v>
      </c>
      <c r="G2561" s="731" t="s">
        <v>4764</v>
      </c>
      <c r="H2561" s="1083">
        <v>42370</v>
      </c>
      <c r="I2561" s="1084">
        <v>42485</v>
      </c>
      <c r="J2561" s="957">
        <v>1014.65</v>
      </c>
    </row>
    <row r="2562" spans="1:10" s="852" customFormat="1" outlineLevel="2">
      <c r="A2562" s="815" t="s">
        <v>759</v>
      </c>
      <c r="B2562" s="816" t="s">
        <v>7882</v>
      </c>
      <c r="C2562" s="729" t="s">
        <v>463</v>
      </c>
      <c r="D2562" s="460"/>
      <c r="E2562" s="878" t="s">
        <v>411</v>
      </c>
      <c r="F2562" s="881" t="s">
        <v>5515</v>
      </c>
      <c r="G2562" s="731" t="s">
        <v>4764</v>
      </c>
      <c r="H2562" s="1083">
        <v>42370</v>
      </c>
      <c r="I2562" s="1084">
        <v>42485</v>
      </c>
      <c r="J2562" s="957">
        <v>6391.55</v>
      </c>
    </row>
    <row r="2563" spans="1:10" s="852" customFormat="1" outlineLevel="2">
      <c r="A2563" s="815" t="s">
        <v>761</v>
      </c>
      <c r="B2563" s="816" t="s">
        <v>7864</v>
      </c>
      <c r="C2563" s="729" t="s">
        <v>463</v>
      </c>
      <c r="D2563" s="460"/>
      <c r="E2563" s="878" t="s">
        <v>411</v>
      </c>
      <c r="F2563" s="881" t="s">
        <v>3918</v>
      </c>
      <c r="G2563" s="731" t="s">
        <v>4756</v>
      </c>
      <c r="H2563" s="1083">
        <v>42401</v>
      </c>
      <c r="I2563" s="1084">
        <v>42485</v>
      </c>
      <c r="J2563" s="957">
        <v>741.26</v>
      </c>
    </row>
    <row r="2564" spans="1:10" s="852" customFormat="1" outlineLevel="2">
      <c r="A2564" s="815" t="s">
        <v>761</v>
      </c>
      <c r="B2564" s="816" t="s">
        <v>7864</v>
      </c>
      <c r="C2564" s="729" t="s">
        <v>463</v>
      </c>
      <c r="D2564" s="460"/>
      <c r="E2564" s="878" t="s">
        <v>411</v>
      </c>
      <c r="F2564" s="881" t="s">
        <v>4358</v>
      </c>
      <c r="G2564" s="731" t="s">
        <v>4757</v>
      </c>
      <c r="H2564" s="1083">
        <v>42401</v>
      </c>
      <c r="I2564" s="1084">
        <v>42485</v>
      </c>
      <c r="J2564" s="957">
        <v>82.41</v>
      </c>
    </row>
    <row r="2565" spans="1:10" s="852" customFormat="1" outlineLevel="2">
      <c r="A2565" s="815" t="s">
        <v>761</v>
      </c>
      <c r="B2565" s="816" t="s">
        <v>7864</v>
      </c>
      <c r="C2565" s="729" t="s">
        <v>463</v>
      </c>
      <c r="D2565" s="460"/>
      <c r="E2565" s="878" t="s">
        <v>411</v>
      </c>
      <c r="F2565" s="881" t="s">
        <v>2828</v>
      </c>
      <c r="G2565" s="731" t="s">
        <v>4753</v>
      </c>
      <c r="H2565" s="1083">
        <v>42401</v>
      </c>
      <c r="I2565" s="1084">
        <v>42485</v>
      </c>
      <c r="J2565" s="957">
        <v>487.67</v>
      </c>
    </row>
    <row r="2566" spans="1:10" s="852" customFormat="1" outlineLevel="2">
      <c r="A2566" s="815" t="s">
        <v>761</v>
      </c>
      <c r="B2566" s="816" t="s">
        <v>7864</v>
      </c>
      <c r="C2566" s="729" t="s">
        <v>463</v>
      </c>
      <c r="D2566" s="460"/>
      <c r="E2566" s="878" t="s">
        <v>411</v>
      </c>
      <c r="F2566" s="881" t="s">
        <v>7806</v>
      </c>
      <c r="G2566" s="731" t="s">
        <v>7807</v>
      </c>
      <c r="H2566" s="1083">
        <v>42401</v>
      </c>
      <c r="I2566" s="1084">
        <v>42485</v>
      </c>
      <c r="J2566" s="957">
        <v>721.76</v>
      </c>
    </row>
    <row r="2567" spans="1:10" s="852" customFormat="1" outlineLevel="2">
      <c r="A2567" s="815" t="s">
        <v>764</v>
      </c>
      <c r="B2567" s="816" t="s">
        <v>7863</v>
      </c>
      <c r="C2567" s="729" t="s">
        <v>463</v>
      </c>
      <c r="D2567" s="460"/>
      <c r="E2567" s="878" t="s">
        <v>411</v>
      </c>
      <c r="F2567" s="881" t="s">
        <v>4372</v>
      </c>
      <c r="G2567" s="731" t="s">
        <v>4759</v>
      </c>
      <c r="H2567" s="1083">
        <v>42401</v>
      </c>
      <c r="I2567" s="1084">
        <v>42485</v>
      </c>
      <c r="J2567" s="957">
        <v>2234.29</v>
      </c>
    </row>
    <row r="2568" spans="1:10" s="852" customFormat="1" outlineLevel="2">
      <c r="A2568" s="815" t="s">
        <v>2590</v>
      </c>
      <c r="B2568" s="816" t="s">
        <v>7882</v>
      </c>
      <c r="C2568" s="729" t="s">
        <v>463</v>
      </c>
      <c r="D2568" s="460"/>
      <c r="E2568" s="878" t="s">
        <v>411</v>
      </c>
      <c r="F2568" s="881" t="s">
        <v>6134</v>
      </c>
      <c r="G2568" s="731" t="s">
        <v>4751</v>
      </c>
      <c r="H2568" s="1083">
        <v>42370</v>
      </c>
      <c r="I2568" s="1084">
        <v>42485</v>
      </c>
      <c r="J2568" s="957">
        <v>468.7</v>
      </c>
    </row>
    <row r="2569" spans="1:10" s="852" customFormat="1" outlineLevel="2">
      <c r="A2569" s="815" t="s">
        <v>2589</v>
      </c>
      <c r="B2569" s="816" t="s">
        <v>7883</v>
      </c>
      <c r="C2569" s="729" t="s">
        <v>463</v>
      </c>
      <c r="D2569" s="460"/>
      <c r="E2569" s="878" t="s">
        <v>411</v>
      </c>
      <c r="F2569" s="881" t="s">
        <v>6134</v>
      </c>
      <c r="G2569" s="731" t="s">
        <v>4751</v>
      </c>
      <c r="H2569" s="1083">
        <v>42370</v>
      </c>
      <c r="I2569" s="1084">
        <v>42485</v>
      </c>
      <c r="J2569" s="957">
        <v>136.19999999999999</v>
      </c>
    </row>
    <row r="2570" spans="1:10" s="852" customFormat="1" outlineLevel="2">
      <c r="A2570" s="815" t="s">
        <v>2589</v>
      </c>
      <c r="B2570" s="816" t="s">
        <v>7883</v>
      </c>
      <c r="C2570" s="729" t="s">
        <v>463</v>
      </c>
      <c r="D2570" s="460"/>
      <c r="E2570" s="878" t="s">
        <v>411</v>
      </c>
      <c r="F2570" s="881" t="s">
        <v>5458</v>
      </c>
      <c r="G2570" s="731" t="s">
        <v>4761</v>
      </c>
      <c r="H2570" s="1083">
        <v>42401</v>
      </c>
      <c r="I2570" s="1084">
        <v>42485</v>
      </c>
      <c r="J2570" s="957">
        <v>1964.76</v>
      </c>
    </row>
    <row r="2571" spans="1:10" s="852" customFormat="1" outlineLevel="2">
      <c r="A2571" s="815" t="s">
        <v>2590</v>
      </c>
      <c r="B2571" s="816" t="s">
        <v>7882</v>
      </c>
      <c r="C2571" s="729" t="s">
        <v>463</v>
      </c>
      <c r="D2571" s="460"/>
      <c r="E2571" s="878" t="s">
        <v>411</v>
      </c>
      <c r="F2571" s="881" t="s">
        <v>5458</v>
      </c>
      <c r="G2571" s="731" t="s">
        <v>4761</v>
      </c>
      <c r="H2571" s="1083">
        <v>42401</v>
      </c>
      <c r="I2571" s="1084">
        <v>42485</v>
      </c>
      <c r="J2571" s="957">
        <v>6760.98</v>
      </c>
    </row>
    <row r="2572" spans="1:10" s="852" customFormat="1" outlineLevel="2">
      <c r="A2572" s="815" t="s">
        <v>2589</v>
      </c>
      <c r="B2572" s="816" t="s">
        <v>7883</v>
      </c>
      <c r="C2572" s="729" t="s">
        <v>463</v>
      </c>
      <c r="D2572" s="460"/>
      <c r="E2572" s="878" t="s">
        <v>1909</v>
      </c>
      <c r="F2572" s="881" t="s">
        <v>6348</v>
      </c>
      <c r="G2572" s="731" t="s">
        <v>4784</v>
      </c>
      <c r="H2572" s="1083">
        <v>42370</v>
      </c>
      <c r="I2572" s="1084">
        <v>42480</v>
      </c>
      <c r="J2572" s="957">
        <v>102.15</v>
      </c>
    </row>
    <row r="2573" spans="1:10" s="852" customFormat="1" outlineLevel="2">
      <c r="A2573" s="815" t="s">
        <v>2590</v>
      </c>
      <c r="B2573" s="816" t="s">
        <v>7882</v>
      </c>
      <c r="C2573" s="729" t="s">
        <v>463</v>
      </c>
      <c r="D2573" s="460"/>
      <c r="E2573" s="878" t="s">
        <v>1909</v>
      </c>
      <c r="F2573" s="881" t="s">
        <v>6348</v>
      </c>
      <c r="G2573" s="731" t="s">
        <v>4784</v>
      </c>
      <c r="H2573" s="1083">
        <v>42370</v>
      </c>
      <c r="I2573" s="1084">
        <v>42480</v>
      </c>
      <c r="J2573" s="957">
        <v>351.53</v>
      </c>
    </row>
    <row r="2574" spans="1:10" s="852" customFormat="1" outlineLevel="2">
      <c r="A2574" s="815" t="s">
        <v>2589</v>
      </c>
      <c r="B2574" s="816" t="s">
        <v>7883</v>
      </c>
      <c r="C2574" s="729" t="s">
        <v>463</v>
      </c>
      <c r="D2574" s="460"/>
      <c r="E2574" s="878" t="s">
        <v>1909</v>
      </c>
      <c r="F2574" s="881" t="s">
        <v>5452</v>
      </c>
      <c r="G2574" s="731" t="s">
        <v>4807</v>
      </c>
      <c r="H2574" s="1083">
        <v>42401</v>
      </c>
      <c r="I2574" s="1084">
        <v>42480</v>
      </c>
      <c r="J2574" s="957">
        <v>1473.57</v>
      </c>
    </row>
    <row r="2575" spans="1:10" s="852" customFormat="1" outlineLevel="2">
      <c r="A2575" s="815" t="s">
        <v>2590</v>
      </c>
      <c r="B2575" s="816" t="s">
        <v>7882</v>
      </c>
      <c r="C2575" s="729" t="s">
        <v>463</v>
      </c>
      <c r="D2575" s="460"/>
      <c r="E2575" s="878" t="s">
        <v>1909</v>
      </c>
      <c r="F2575" s="881" t="s">
        <v>5452</v>
      </c>
      <c r="G2575" s="731" t="s">
        <v>4807</v>
      </c>
      <c r="H2575" s="1083">
        <v>42401</v>
      </c>
      <c r="I2575" s="1084">
        <v>42480</v>
      </c>
      <c r="J2575" s="957">
        <v>5070.7299999999996</v>
      </c>
    </row>
    <row r="2576" spans="1:10" s="852" customFormat="1" outlineLevel="2">
      <c r="A2576" s="815" t="s">
        <v>961</v>
      </c>
      <c r="B2576" s="816" t="s">
        <v>7866</v>
      </c>
      <c r="C2576" s="729" t="s">
        <v>463</v>
      </c>
      <c r="D2576" s="460"/>
      <c r="E2576" s="878" t="s">
        <v>1909</v>
      </c>
      <c r="F2576" s="881" t="s">
        <v>3935</v>
      </c>
      <c r="G2576" s="731" t="s">
        <v>2817</v>
      </c>
      <c r="H2576" s="1083">
        <v>42401</v>
      </c>
      <c r="I2576" s="1084">
        <v>42480</v>
      </c>
      <c r="J2576" s="957">
        <v>793.2</v>
      </c>
    </row>
    <row r="2577" spans="1:10" s="852" customFormat="1" outlineLevel="2">
      <c r="A2577" s="815" t="s">
        <v>961</v>
      </c>
      <c r="B2577" s="816" t="s">
        <v>7866</v>
      </c>
      <c r="C2577" s="729" t="s">
        <v>463</v>
      </c>
      <c r="D2577" s="460"/>
      <c r="E2577" s="878" t="s">
        <v>1909</v>
      </c>
      <c r="F2577" s="881" t="s">
        <v>4027</v>
      </c>
      <c r="G2577" s="731" t="s">
        <v>2819</v>
      </c>
      <c r="H2577" s="1083">
        <v>42401</v>
      </c>
      <c r="I2577" s="1084">
        <v>42480</v>
      </c>
      <c r="J2577" s="957">
        <v>25.36</v>
      </c>
    </row>
    <row r="2578" spans="1:10" s="852" customFormat="1" outlineLevel="2">
      <c r="A2578" s="815" t="s">
        <v>961</v>
      </c>
      <c r="B2578" s="816" t="s">
        <v>7866</v>
      </c>
      <c r="C2578" s="729" t="s">
        <v>463</v>
      </c>
      <c r="D2578" s="460"/>
      <c r="E2578" s="878" t="s">
        <v>1909</v>
      </c>
      <c r="F2578" s="881" t="s">
        <v>4129</v>
      </c>
      <c r="G2578" s="731" t="s">
        <v>2821</v>
      </c>
      <c r="H2578" s="1083">
        <v>42401</v>
      </c>
      <c r="I2578" s="1084">
        <v>42480</v>
      </c>
      <c r="J2578" s="957">
        <v>299.27</v>
      </c>
    </row>
    <row r="2579" spans="1:10" s="852" customFormat="1" outlineLevel="2">
      <c r="A2579" s="815" t="s">
        <v>764</v>
      </c>
      <c r="B2579" s="816" t="s">
        <v>7863</v>
      </c>
      <c r="C2579" s="729" t="s">
        <v>463</v>
      </c>
      <c r="D2579" s="460"/>
      <c r="E2579" s="878" t="s">
        <v>1909</v>
      </c>
      <c r="F2579" s="881" t="s">
        <v>4368</v>
      </c>
      <c r="G2579" s="731" t="s">
        <v>4805</v>
      </c>
      <c r="H2579" s="1083">
        <v>42401</v>
      </c>
      <c r="I2579" s="1084">
        <v>42480</v>
      </c>
      <c r="J2579" s="957">
        <v>744.76</v>
      </c>
    </row>
    <row r="2580" spans="1:10" s="852" customFormat="1" ht="28.5" outlineLevel="2">
      <c r="A2580" s="815" t="s">
        <v>2257</v>
      </c>
      <c r="B2580" s="816" t="s">
        <v>7889</v>
      </c>
      <c r="C2580" s="729" t="s">
        <v>463</v>
      </c>
      <c r="D2580" s="460"/>
      <c r="E2580" s="878" t="s">
        <v>1909</v>
      </c>
      <c r="F2580" s="881" t="s">
        <v>3886</v>
      </c>
      <c r="G2580" s="731" t="s">
        <v>4802</v>
      </c>
      <c r="H2580" s="1083">
        <v>42401</v>
      </c>
      <c r="I2580" s="1084">
        <v>42480</v>
      </c>
      <c r="J2580" s="957">
        <v>47.25</v>
      </c>
    </row>
    <row r="2581" spans="1:10" s="852" customFormat="1" outlineLevel="2">
      <c r="A2581" s="815" t="s">
        <v>2270</v>
      </c>
      <c r="B2581" s="816" t="s">
        <v>7888</v>
      </c>
      <c r="C2581" s="729" t="s">
        <v>463</v>
      </c>
      <c r="D2581" s="460"/>
      <c r="E2581" s="878" t="s">
        <v>1909</v>
      </c>
      <c r="F2581" s="881" t="s">
        <v>4544</v>
      </c>
      <c r="G2581" s="731" t="s">
        <v>4260</v>
      </c>
      <c r="H2581" s="1083">
        <v>42401</v>
      </c>
      <c r="I2581" s="1084">
        <v>42480</v>
      </c>
      <c r="J2581" s="957">
        <v>18.5</v>
      </c>
    </row>
    <row r="2582" spans="1:10" s="852" customFormat="1" outlineLevel="2">
      <c r="A2582" s="815" t="s">
        <v>762</v>
      </c>
      <c r="B2582" s="816" t="s">
        <v>7877</v>
      </c>
      <c r="C2582" s="729" t="s">
        <v>463</v>
      </c>
      <c r="D2582" s="460"/>
      <c r="E2582" s="878" t="s">
        <v>1909</v>
      </c>
      <c r="F2582" s="881" t="s">
        <v>5208</v>
      </c>
      <c r="G2582" s="731" t="s">
        <v>4806</v>
      </c>
      <c r="H2582" s="1083">
        <v>42430</v>
      </c>
      <c r="I2582" s="1084">
        <v>42480</v>
      </c>
      <c r="J2582" s="957">
        <v>270.88</v>
      </c>
    </row>
    <row r="2583" spans="1:10" s="852" customFormat="1" outlineLevel="2">
      <c r="A2583" s="815" t="s">
        <v>761</v>
      </c>
      <c r="B2583" s="816" t="s">
        <v>7864</v>
      </c>
      <c r="C2583" s="729" t="s">
        <v>463</v>
      </c>
      <c r="D2583" s="460"/>
      <c r="E2583" s="878" t="s">
        <v>1909</v>
      </c>
      <c r="F2583" s="881" t="s">
        <v>3915</v>
      </c>
      <c r="G2583" s="731" t="s">
        <v>4803</v>
      </c>
      <c r="H2583" s="1083">
        <v>42401</v>
      </c>
      <c r="I2583" s="1084">
        <v>42480</v>
      </c>
      <c r="J2583" s="957">
        <v>148.25</v>
      </c>
    </row>
    <row r="2584" spans="1:10" s="852" customFormat="1" outlineLevel="2">
      <c r="A2584" s="815" t="s">
        <v>761</v>
      </c>
      <c r="B2584" s="816" t="s">
        <v>7864</v>
      </c>
      <c r="C2584" s="729" t="s">
        <v>463</v>
      </c>
      <c r="D2584" s="460"/>
      <c r="E2584" s="878" t="s">
        <v>1909</v>
      </c>
      <c r="F2584" s="881" t="s">
        <v>4354</v>
      </c>
      <c r="G2584" s="731" t="s">
        <v>4804</v>
      </c>
      <c r="H2584" s="1083">
        <v>42401</v>
      </c>
      <c r="I2584" s="1084">
        <v>42480</v>
      </c>
      <c r="J2584" s="957">
        <v>41.2</v>
      </c>
    </row>
    <row r="2585" spans="1:10" s="852" customFormat="1" outlineLevel="2">
      <c r="A2585" s="815" t="s">
        <v>761</v>
      </c>
      <c r="B2585" s="816" t="s">
        <v>7864</v>
      </c>
      <c r="C2585" s="729" t="s">
        <v>463</v>
      </c>
      <c r="D2585" s="460"/>
      <c r="E2585" s="878" t="s">
        <v>1909</v>
      </c>
      <c r="F2585" s="881" t="s">
        <v>2824</v>
      </c>
      <c r="G2585" s="731" t="s">
        <v>4790</v>
      </c>
      <c r="H2585" s="1083">
        <v>42401</v>
      </c>
      <c r="I2585" s="1084">
        <v>42480</v>
      </c>
      <c r="J2585" s="957">
        <v>97.53</v>
      </c>
    </row>
    <row r="2586" spans="1:10" s="852" customFormat="1" outlineLevel="2">
      <c r="A2586" s="815" t="s">
        <v>4731</v>
      </c>
      <c r="B2586" s="816" t="s">
        <v>7864</v>
      </c>
      <c r="C2586" s="729" t="s">
        <v>463</v>
      </c>
      <c r="D2586" s="460"/>
      <c r="E2586" s="878" t="s">
        <v>1909</v>
      </c>
      <c r="F2586" s="881" t="s">
        <v>3026</v>
      </c>
      <c r="G2586" s="731" t="s">
        <v>4793</v>
      </c>
      <c r="H2586" s="1083">
        <v>42401</v>
      </c>
      <c r="I2586" s="1084">
        <v>42480</v>
      </c>
      <c r="J2586" s="957">
        <v>8.1300000000000008</v>
      </c>
    </row>
    <row r="2587" spans="1:10" s="852" customFormat="1" outlineLevel="2">
      <c r="A2587" s="815" t="s">
        <v>761</v>
      </c>
      <c r="B2587" s="816" t="s">
        <v>7864</v>
      </c>
      <c r="C2587" s="729" t="s">
        <v>463</v>
      </c>
      <c r="D2587" s="460"/>
      <c r="E2587" s="878" t="s">
        <v>1909</v>
      </c>
      <c r="F2587" s="881" t="s">
        <v>3436</v>
      </c>
      <c r="G2587" s="731" t="s">
        <v>4798</v>
      </c>
      <c r="H2587" s="1083">
        <v>42401</v>
      </c>
      <c r="I2587" s="1084">
        <v>42480</v>
      </c>
      <c r="J2587" s="957">
        <v>144.35</v>
      </c>
    </row>
    <row r="2588" spans="1:10" s="852" customFormat="1" outlineLevel="2">
      <c r="A2588" s="815" t="s">
        <v>759</v>
      </c>
      <c r="B2588" s="816" t="s">
        <v>7882</v>
      </c>
      <c r="C2588" s="729" t="s">
        <v>463</v>
      </c>
      <c r="D2588" s="460"/>
      <c r="E2588" s="878" t="s">
        <v>1909</v>
      </c>
      <c r="F2588" s="881" t="s">
        <v>6346</v>
      </c>
      <c r="G2588" s="731" t="s">
        <v>4780</v>
      </c>
      <c r="H2588" s="1083">
        <v>42370</v>
      </c>
      <c r="I2588" s="1084">
        <v>42480</v>
      </c>
      <c r="J2588" s="957">
        <v>4793.67</v>
      </c>
    </row>
    <row r="2589" spans="1:10" s="852" customFormat="1" outlineLevel="2">
      <c r="A2589" s="815" t="s">
        <v>760</v>
      </c>
      <c r="B2589" s="816" t="s">
        <v>7883</v>
      </c>
      <c r="C2589" s="729" t="s">
        <v>463</v>
      </c>
      <c r="D2589" s="460"/>
      <c r="E2589" s="878" t="s">
        <v>1909</v>
      </c>
      <c r="F2589" s="881" t="s">
        <v>6346</v>
      </c>
      <c r="G2589" s="731" t="s">
        <v>4780</v>
      </c>
      <c r="H2589" s="1083">
        <v>42370</v>
      </c>
      <c r="I2589" s="1084">
        <v>42480</v>
      </c>
      <c r="J2589" s="957">
        <v>760.98</v>
      </c>
    </row>
    <row r="2590" spans="1:10" s="852" customFormat="1" ht="28.5" outlineLevel="2">
      <c r="A2590" s="815" t="s">
        <v>763</v>
      </c>
      <c r="B2590" s="816" t="s">
        <v>7881</v>
      </c>
      <c r="C2590" s="729" t="s">
        <v>463</v>
      </c>
      <c r="D2590" s="460"/>
      <c r="E2590" s="878" t="s">
        <v>1909</v>
      </c>
      <c r="F2590" s="881" t="s">
        <v>6306</v>
      </c>
      <c r="G2590" s="731" t="s">
        <v>4225</v>
      </c>
      <c r="H2590" s="1083">
        <v>42370</v>
      </c>
      <c r="I2590" s="1084">
        <v>42480</v>
      </c>
      <c r="J2590" s="957">
        <v>12.38</v>
      </c>
    </row>
    <row r="2591" spans="1:10" s="852" customFormat="1" ht="28.5" outlineLevel="2">
      <c r="A2591" s="815" t="s">
        <v>2589</v>
      </c>
      <c r="B2591" s="816" t="s">
        <v>7883</v>
      </c>
      <c r="C2591" s="729" t="s">
        <v>463</v>
      </c>
      <c r="D2591" s="460"/>
      <c r="E2591" s="878" t="s">
        <v>1909</v>
      </c>
      <c r="F2591" s="881" t="s">
        <v>2808</v>
      </c>
      <c r="G2591" s="731" t="s">
        <v>4789</v>
      </c>
      <c r="H2591" s="1083">
        <v>42370</v>
      </c>
      <c r="I2591" s="1084">
        <v>42480</v>
      </c>
      <c r="J2591" s="957">
        <v>316.68</v>
      </c>
    </row>
    <row r="2592" spans="1:10" s="852" customFormat="1" ht="28.5" outlineLevel="2">
      <c r="A2592" s="815" t="s">
        <v>2590</v>
      </c>
      <c r="B2592" s="816" t="s">
        <v>7882</v>
      </c>
      <c r="C2592" s="729" t="s">
        <v>463</v>
      </c>
      <c r="D2592" s="460"/>
      <c r="E2592" s="878" t="s">
        <v>1909</v>
      </c>
      <c r="F2592" s="881" t="s">
        <v>2808</v>
      </c>
      <c r="G2592" s="731" t="s">
        <v>4789</v>
      </c>
      <c r="H2592" s="1083">
        <v>42370</v>
      </c>
      <c r="I2592" s="1084">
        <v>42480</v>
      </c>
      <c r="J2592" s="957">
        <v>1089.74</v>
      </c>
    </row>
    <row r="2593" spans="1:10" s="852" customFormat="1" ht="28.5" outlineLevel="2">
      <c r="A2593" s="815" t="s">
        <v>961</v>
      </c>
      <c r="B2593" s="816" t="s">
        <v>7866</v>
      </c>
      <c r="C2593" s="729" t="s">
        <v>463</v>
      </c>
      <c r="D2593" s="460"/>
      <c r="E2593" s="878" t="s">
        <v>1909</v>
      </c>
      <c r="F2593" s="881" t="s">
        <v>4956</v>
      </c>
      <c r="G2593" s="731" t="s">
        <v>2833</v>
      </c>
      <c r="H2593" s="1083">
        <v>42401</v>
      </c>
      <c r="I2593" s="1084">
        <v>42480</v>
      </c>
      <c r="J2593" s="957">
        <v>2458.92</v>
      </c>
    </row>
    <row r="2594" spans="1:10" s="852" customFormat="1" ht="28.5" outlineLevel="2">
      <c r="A2594" s="815" t="s">
        <v>961</v>
      </c>
      <c r="B2594" s="816" t="s">
        <v>7866</v>
      </c>
      <c r="C2594" s="729" t="s">
        <v>463</v>
      </c>
      <c r="D2594" s="460"/>
      <c r="E2594" s="878" t="s">
        <v>1909</v>
      </c>
      <c r="F2594" s="881" t="s">
        <v>4903</v>
      </c>
      <c r="G2594" s="731" t="s">
        <v>2832</v>
      </c>
      <c r="H2594" s="1083">
        <v>42401</v>
      </c>
      <c r="I2594" s="1084">
        <v>42480</v>
      </c>
      <c r="J2594" s="957">
        <v>78.63</v>
      </c>
    </row>
    <row r="2595" spans="1:10" s="852" customFormat="1" ht="28.5" outlineLevel="2">
      <c r="A2595" s="815" t="s">
        <v>961</v>
      </c>
      <c r="B2595" s="816" t="s">
        <v>7866</v>
      </c>
      <c r="C2595" s="729" t="s">
        <v>463</v>
      </c>
      <c r="D2595" s="460"/>
      <c r="E2595" s="878" t="s">
        <v>1909</v>
      </c>
      <c r="F2595" s="881" t="s">
        <v>4853</v>
      </c>
      <c r="G2595" s="731" t="s">
        <v>2831</v>
      </c>
      <c r="H2595" s="1083">
        <v>42401</v>
      </c>
      <c r="I2595" s="1084">
        <v>42480</v>
      </c>
      <c r="J2595" s="957">
        <v>927.74</v>
      </c>
    </row>
    <row r="2596" spans="1:10" s="852" customFormat="1" ht="28.5" outlineLevel="2">
      <c r="A2596" s="815" t="s">
        <v>764</v>
      </c>
      <c r="B2596" s="816" t="s">
        <v>7863</v>
      </c>
      <c r="C2596" s="729" t="s">
        <v>463</v>
      </c>
      <c r="D2596" s="460"/>
      <c r="E2596" s="878" t="s">
        <v>1909</v>
      </c>
      <c r="F2596" s="881" t="s">
        <v>6345</v>
      </c>
      <c r="G2596" s="731" t="s">
        <v>4777</v>
      </c>
      <c r="H2596" s="1083">
        <v>42370</v>
      </c>
      <c r="I2596" s="1084">
        <v>42480</v>
      </c>
      <c r="J2596" s="957">
        <v>3696.67</v>
      </c>
    </row>
    <row r="2597" spans="1:10" s="852" customFormat="1" ht="28.5" outlineLevel="2">
      <c r="A2597" s="815" t="s">
        <v>764</v>
      </c>
      <c r="B2597" s="816" t="s">
        <v>7863</v>
      </c>
      <c r="C2597" s="729" t="s">
        <v>463</v>
      </c>
      <c r="D2597" s="460"/>
      <c r="E2597" s="878" t="s">
        <v>1909</v>
      </c>
      <c r="F2597" s="881" t="s">
        <v>6345</v>
      </c>
      <c r="G2597" s="731" t="s">
        <v>4779</v>
      </c>
      <c r="H2597" s="1083">
        <v>42370</v>
      </c>
      <c r="I2597" s="1084">
        <v>42480</v>
      </c>
      <c r="J2597" s="957">
        <v>3696.67</v>
      </c>
    </row>
    <row r="2598" spans="1:10" s="852" customFormat="1" ht="28.5" outlineLevel="2">
      <c r="A2598" s="815" t="s">
        <v>764</v>
      </c>
      <c r="B2598" s="816" t="s">
        <v>7863</v>
      </c>
      <c r="C2598" s="729" t="s">
        <v>463</v>
      </c>
      <c r="D2598" s="460"/>
      <c r="E2598" s="878" t="s">
        <v>1909</v>
      </c>
      <c r="F2598" s="881" t="s">
        <v>6345</v>
      </c>
      <c r="G2598" s="731" t="s">
        <v>4781</v>
      </c>
      <c r="H2598" s="1083">
        <v>42370</v>
      </c>
      <c r="I2598" s="1084">
        <v>42480</v>
      </c>
      <c r="J2598" s="957">
        <v>-3696.67</v>
      </c>
    </row>
    <row r="2599" spans="1:10" s="852" customFormat="1" ht="28.5" outlineLevel="2">
      <c r="A2599" s="815" t="s">
        <v>462</v>
      </c>
      <c r="B2599" s="816" t="s">
        <v>7901</v>
      </c>
      <c r="C2599" s="729" t="s">
        <v>463</v>
      </c>
      <c r="D2599" s="460"/>
      <c r="E2599" s="878" t="s">
        <v>1909</v>
      </c>
      <c r="F2599" s="881" t="s">
        <v>6343</v>
      </c>
      <c r="G2599" s="731" t="s">
        <v>4768</v>
      </c>
      <c r="H2599" s="1083">
        <v>42401</v>
      </c>
      <c r="I2599" s="1084">
        <v>42480</v>
      </c>
      <c r="J2599" s="957">
        <v>318.35000000000002</v>
      </c>
    </row>
    <row r="2600" spans="1:10" s="852" customFormat="1" ht="28.5" outlineLevel="2">
      <c r="A2600" s="815" t="s">
        <v>462</v>
      </c>
      <c r="B2600" s="816" t="s">
        <v>7901</v>
      </c>
      <c r="C2600" s="729" t="s">
        <v>463</v>
      </c>
      <c r="D2600" s="460"/>
      <c r="E2600" s="878" t="s">
        <v>1909</v>
      </c>
      <c r="F2600" s="881" t="s">
        <v>6343</v>
      </c>
      <c r="G2600" s="731" t="s">
        <v>4772</v>
      </c>
      <c r="H2600" s="1083">
        <v>42401</v>
      </c>
      <c r="I2600" s="1084">
        <v>42480</v>
      </c>
      <c r="J2600" s="957">
        <v>318.35000000000002</v>
      </c>
    </row>
    <row r="2601" spans="1:10" s="852" customFormat="1" ht="28.5" outlineLevel="2">
      <c r="A2601" s="815" t="s">
        <v>462</v>
      </c>
      <c r="B2601" s="816" t="s">
        <v>7901</v>
      </c>
      <c r="C2601" s="729" t="s">
        <v>463</v>
      </c>
      <c r="D2601" s="460"/>
      <c r="E2601" s="878" t="s">
        <v>1909</v>
      </c>
      <c r="F2601" s="881" t="s">
        <v>6343</v>
      </c>
      <c r="G2601" s="731" t="s">
        <v>4774</v>
      </c>
      <c r="H2601" s="1083">
        <v>42401</v>
      </c>
      <c r="I2601" s="1084">
        <v>42480</v>
      </c>
      <c r="J2601" s="957">
        <v>-318.35000000000002</v>
      </c>
    </row>
    <row r="2602" spans="1:10" s="852" customFormat="1" ht="28.5" outlineLevel="2">
      <c r="A2602" s="815" t="s">
        <v>2257</v>
      </c>
      <c r="B2602" s="816" t="s">
        <v>7889</v>
      </c>
      <c r="C2602" s="729" t="s">
        <v>463</v>
      </c>
      <c r="D2602" s="460"/>
      <c r="E2602" s="878" t="s">
        <v>1909</v>
      </c>
      <c r="F2602" s="881" t="s">
        <v>6342</v>
      </c>
      <c r="G2602" s="731" t="s">
        <v>4767</v>
      </c>
      <c r="H2602" s="1083">
        <v>42370</v>
      </c>
      <c r="I2602" s="1084">
        <v>42480</v>
      </c>
      <c r="J2602" s="957">
        <v>146.47999999999999</v>
      </c>
    </row>
    <row r="2603" spans="1:10" s="852" customFormat="1" ht="28.5" outlineLevel="2">
      <c r="A2603" s="815" t="s">
        <v>2257</v>
      </c>
      <c r="B2603" s="816" t="s">
        <v>7889</v>
      </c>
      <c r="C2603" s="729" t="s">
        <v>463</v>
      </c>
      <c r="D2603" s="460"/>
      <c r="E2603" s="878" t="s">
        <v>1909</v>
      </c>
      <c r="F2603" s="881" t="s">
        <v>6342</v>
      </c>
      <c r="G2603" s="731" t="s">
        <v>4770</v>
      </c>
      <c r="H2603" s="1083">
        <v>42370</v>
      </c>
      <c r="I2603" s="1084">
        <v>42480</v>
      </c>
      <c r="J2603" s="957">
        <v>146.47999999999999</v>
      </c>
    </row>
    <row r="2604" spans="1:10" s="852" customFormat="1" ht="28.5" outlineLevel="2">
      <c r="A2604" s="815" t="s">
        <v>2257</v>
      </c>
      <c r="B2604" s="816" t="s">
        <v>7889</v>
      </c>
      <c r="C2604" s="729" t="s">
        <v>463</v>
      </c>
      <c r="D2604" s="460"/>
      <c r="E2604" s="878" t="s">
        <v>1909</v>
      </c>
      <c r="F2604" s="881" t="s">
        <v>6342</v>
      </c>
      <c r="G2604" s="731" t="s">
        <v>4775</v>
      </c>
      <c r="H2604" s="1083">
        <v>42370</v>
      </c>
      <c r="I2604" s="1084">
        <v>42480</v>
      </c>
      <c r="J2604" s="957">
        <v>-146.47999999999999</v>
      </c>
    </row>
    <row r="2605" spans="1:10" s="852" customFormat="1" ht="28.5" outlineLevel="2">
      <c r="A2605" s="815" t="s">
        <v>2270</v>
      </c>
      <c r="B2605" s="816" t="s">
        <v>7888</v>
      </c>
      <c r="C2605" s="729" t="s">
        <v>463</v>
      </c>
      <c r="D2605" s="460"/>
      <c r="E2605" s="878" t="s">
        <v>1909</v>
      </c>
      <c r="F2605" s="881" t="s">
        <v>6310</v>
      </c>
      <c r="G2605" s="731" t="s">
        <v>4234</v>
      </c>
      <c r="H2605" s="1083">
        <v>42370</v>
      </c>
      <c r="I2605" s="1084">
        <v>42480</v>
      </c>
      <c r="J2605" s="957">
        <v>26.29</v>
      </c>
    </row>
    <row r="2606" spans="1:10" s="852" customFormat="1" ht="28.5" outlineLevel="2">
      <c r="A2606" s="815" t="s">
        <v>2270</v>
      </c>
      <c r="B2606" s="816" t="s">
        <v>7888</v>
      </c>
      <c r="C2606" s="729" t="s">
        <v>463</v>
      </c>
      <c r="D2606" s="460"/>
      <c r="E2606" s="878" t="s">
        <v>1909</v>
      </c>
      <c r="F2606" s="881" t="s">
        <v>6310</v>
      </c>
      <c r="G2606" s="731" t="s">
        <v>4235</v>
      </c>
      <c r="H2606" s="1083">
        <v>42370</v>
      </c>
      <c r="I2606" s="1084">
        <v>42480</v>
      </c>
      <c r="J2606" s="957">
        <v>30.93</v>
      </c>
    </row>
    <row r="2607" spans="1:10" s="852" customFormat="1" ht="28.5" outlineLevel="2">
      <c r="A2607" s="815" t="s">
        <v>2270</v>
      </c>
      <c r="B2607" s="816" t="s">
        <v>7888</v>
      </c>
      <c r="C2607" s="729" t="s">
        <v>463</v>
      </c>
      <c r="D2607" s="460"/>
      <c r="E2607" s="878" t="s">
        <v>1909</v>
      </c>
      <c r="F2607" s="881" t="s">
        <v>4694</v>
      </c>
      <c r="G2607" s="731" t="s">
        <v>4262</v>
      </c>
      <c r="H2607" s="1083">
        <v>42401</v>
      </c>
      <c r="I2607" s="1084">
        <v>42480</v>
      </c>
      <c r="J2607" s="957">
        <v>26.33</v>
      </c>
    </row>
    <row r="2608" spans="1:10" s="852" customFormat="1" ht="28.5" outlineLevel="2">
      <c r="A2608" s="815" t="s">
        <v>2270</v>
      </c>
      <c r="B2608" s="816" t="s">
        <v>7888</v>
      </c>
      <c r="C2608" s="729" t="s">
        <v>463</v>
      </c>
      <c r="D2608" s="460"/>
      <c r="E2608" s="878" t="s">
        <v>1909</v>
      </c>
      <c r="F2608" s="881" t="s">
        <v>4694</v>
      </c>
      <c r="G2608" s="731" t="s">
        <v>4264</v>
      </c>
      <c r="H2608" s="1083">
        <v>42401</v>
      </c>
      <c r="I2608" s="1084">
        <v>42480</v>
      </c>
      <c r="J2608" s="957">
        <v>31.03</v>
      </c>
    </row>
    <row r="2609" spans="1:10" s="852" customFormat="1" ht="28.5" outlineLevel="2">
      <c r="A2609" s="815" t="s">
        <v>762</v>
      </c>
      <c r="B2609" s="816" t="s">
        <v>7877</v>
      </c>
      <c r="C2609" s="729" t="s">
        <v>463</v>
      </c>
      <c r="D2609" s="460"/>
      <c r="E2609" s="878" t="s">
        <v>1909</v>
      </c>
      <c r="F2609" s="881" t="s">
        <v>6344</v>
      </c>
      <c r="G2609" s="731" t="s">
        <v>4776</v>
      </c>
      <c r="H2609" s="1083">
        <v>42370</v>
      </c>
      <c r="I2609" s="1084">
        <v>42480</v>
      </c>
      <c r="J2609" s="957">
        <v>932.69</v>
      </c>
    </row>
    <row r="2610" spans="1:10" s="852" customFormat="1" ht="28.5" outlineLevel="2">
      <c r="A2610" s="815" t="s">
        <v>762</v>
      </c>
      <c r="B2610" s="816" t="s">
        <v>7877</v>
      </c>
      <c r="C2610" s="729" t="s">
        <v>463</v>
      </c>
      <c r="D2610" s="460"/>
      <c r="E2610" s="878" t="s">
        <v>1909</v>
      </c>
      <c r="F2610" s="881" t="s">
        <v>6344</v>
      </c>
      <c r="G2610" s="731" t="s">
        <v>4778</v>
      </c>
      <c r="H2610" s="1083">
        <v>42370</v>
      </c>
      <c r="I2610" s="1084">
        <v>42480</v>
      </c>
      <c r="J2610" s="957">
        <v>932.7</v>
      </c>
    </row>
    <row r="2611" spans="1:10" s="852" customFormat="1" ht="28.5" outlineLevel="2">
      <c r="A2611" s="815" t="s">
        <v>762</v>
      </c>
      <c r="B2611" s="816" t="s">
        <v>7877</v>
      </c>
      <c r="C2611" s="729" t="s">
        <v>463</v>
      </c>
      <c r="D2611" s="460"/>
      <c r="E2611" s="878" t="s">
        <v>1909</v>
      </c>
      <c r="F2611" s="881" t="s">
        <v>6344</v>
      </c>
      <c r="G2611" s="731" t="s">
        <v>4782</v>
      </c>
      <c r="H2611" s="1083">
        <v>42370</v>
      </c>
      <c r="I2611" s="1084">
        <v>42480</v>
      </c>
      <c r="J2611" s="957">
        <v>-932.69</v>
      </c>
    </row>
    <row r="2612" spans="1:10" s="852" customFormat="1" ht="28.5" outlineLevel="2">
      <c r="A2612" s="815" t="s">
        <v>761</v>
      </c>
      <c r="B2612" s="816" t="s">
        <v>7864</v>
      </c>
      <c r="C2612" s="729" t="s">
        <v>463</v>
      </c>
      <c r="D2612" s="460"/>
      <c r="E2612" s="878" t="s">
        <v>1909</v>
      </c>
      <c r="F2612" s="881" t="s">
        <v>2929</v>
      </c>
      <c r="G2612" s="731" t="s">
        <v>4785</v>
      </c>
      <c r="H2612" s="1083">
        <v>42370</v>
      </c>
      <c r="I2612" s="1084">
        <v>42480</v>
      </c>
      <c r="J2612" s="957">
        <v>-453.81</v>
      </c>
    </row>
    <row r="2613" spans="1:10" s="852" customFormat="1" ht="28.5" outlineLevel="2">
      <c r="A2613" s="815" t="s">
        <v>761</v>
      </c>
      <c r="B2613" s="816" t="s">
        <v>7864</v>
      </c>
      <c r="C2613" s="729" t="s">
        <v>463</v>
      </c>
      <c r="D2613" s="460"/>
      <c r="E2613" s="878" t="s">
        <v>1909</v>
      </c>
      <c r="F2613" s="881" t="s">
        <v>2929</v>
      </c>
      <c r="G2613" s="731" t="s">
        <v>4786</v>
      </c>
      <c r="H2613" s="1083">
        <v>42370</v>
      </c>
      <c r="I2613" s="1084">
        <v>42480</v>
      </c>
      <c r="J2613" s="957">
        <v>-453.81</v>
      </c>
    </row>
    <row r="2614" spans="1:10" s="852" customFormat="1" ht="28.5" outlineLevel="2">
      <c r="A2614" s="815" t="s">
        <v>761</v>
      </c>
      <c r="B2614" s="816" t="s">
        <v>7864</v>
      </c>
      <c r="C2614" s="729" t="s">
        <v>463</v>
      </c>
      <c r="D2614" s="460"/>
      <c r="E2614" s="878" t="s">
        <v>1909</v>
      </c>
      <c r="F2614" s="881" t="s">
        <v>2929</v>
      </c>
      <c r="G2614" s="731" t="s">
        <v>4792</v>
      </c>
      <c r="H2614" s="1083">
        <v>42370</v>
      </c>
      <c r="I2614" s="1084">
        <v>42480</v>
      </c>
      <c r="J2614" s="957">
        <v>453.81</v>
      </c>
    </row>
    <row r="2615" spans="1:10" s="852" customFormat="1" ht="28.5" outlineLevel="2">
      <c r="A2615" s="815" t="s">
        <v>761</v>
      </c>
      <c r="B2615" s="816" t="s">
        <v>7864</v>
      </c>
      <c r="C2615" s="729" t="s">
        <v>463</v>
      </c>
      <c r="D2615" s="460"/>
      <c r="E2615" s="878" t="s">
        <v>1909</v>
      </c>
      <c r="F2615" s="881" t="s">
        <v>2929</v>
      </c>
      <c r="G2615" s="731" t="s">
        <v>4795</v>
      </c>
      <c r="H2615" s="1083">
        <v>42370</v>
      </c>
      <c r="I2615" s="1084">
        <v>42480</v>
      </c>
      <c r="J2615" s="957">
        <v>453.81</v>
      </c>
    </row>
    <row r="2616" spans="1:10" s="852" customFormat="1" ht="28.5" outlineLevel="2">
      <c r="A2616" s="815" t="s">
        <v>761</v>
      </c>
      <c r="B2616" s="816" t="s">
        <v>7864</v>
      </c>
      <c r="C2616" s="729" t="s">
        <v>463</v>
      </c>
      <c r="D2616" s="460"/>
      <c r="E2616" s="878" t="s">
        <v>1909</v>
      </c>
      <c r="F2616" s="881" t="s">
        <v>2929</v>
      </c>
      <c r="G2616" s="731" t="s">
        <v>4797</v>
      </c>
      <c r="H2616" s="1083">
        <v>42370</v>
      </c>
      <c r="I2616" s="1084">
        <v>42480</v>
      </c>
      <c r="J2616" s="957">
        <v>453.81</v>
      </c>
    </row>
    <row r="2617" spans="1:10" s="852" customFormat="1" ht="28.5" outlineLevel="2">
      <c r="A2617" s="815" t="s">
        <v>761</v>
      </c>
      <c r="B2617" s="816" t="s">
        <v>7864</v>
      </c>
      <c r="C2617" s="729" t="s">
        <v>463</v>
      </c>
      <c r="D2617" s="460"/>
      <c r="E2617" s="878" t="s">
        <v>1909</v>
      </c>
      <c r="F2617" s="881" t="s">
        <v>3569</v>
      </c>
      <c r="G2617" s="731" t="s">
        <v>4799</v>
      </c>
      <c r="H2617" s="1083">
        <v>42370</v>
      </c>
      <c r="I2617" s="1084">
        <v>42480</v>
      </c>
      <c r="J2617" s="957">
        <v>-671.63</v>
      </c>
    </row>
    <row r="2618" spans="1:10" s="852" customFormat="1" ht="28.5" outlineLevel="2">
      <c r="A2618" s="815" t="s">
        <v>761</v>
      </c>
      <c r="B2618" s="816" t="s">
        <v>7864</v>
      </c>
      <c r="C2618" s="729" t="s">
        <v>463</v>
      </c>
      <c r="D2618" s="460"/>
      <c r="E2618" s="878" t="s">
        <v>1909</v>
      </c>
      <c r="F2618" s="881" t="s">
        <v>3569</v>
      </c>
      <c r="G2618" s="731" t="s">
        <v>4800</v>
      </c>
      <c r="H2618" s="1083">
        <v>42370</v>
      </c>
      <c r="I2618" s="1084">
        <v>42480</v>
      </c>
      <c r="J2618" s="957">
        <v>671.63</v>
      </c>
    </row>
    <row r="2619" spans="1:10" s="852" customFormat="1" ht="28.5" outlineLevel="2">
      <c r="A2619" s="815" t="s">
        <v>761</v>
      </c>
      <c r="B2619" s="816" t="s">
        <v>7864</v>
      </c>
      <c r="C2619" s="729" t="s">
        <v>463</v>
      </c>
      <c r="D2619" s="460"/>
      <c r="E2619" s="878" t="s">
        <v>1909</v>
      </c>
      <c r="F2619" s="881" t="s">
        <v>3569</v>
      </c>
      <c r="G2619" s="731" t="s">
        <v>4801</v>
      </c>
      <c r="H2619" s="1083">
        <v>42370</v>
      </c>
      <c r="I2619" s="1084">
        <v>42480</v>
      </c>
      <c r="J2619" s="957">
        <v>671.63</v>
      </c>
    </row>
    <row r="2620" spans="1:10" s="852" customFormat="1" ht="28.5" outlineLevel="2">
      <c r="A2620" s="815" t="s">
        <v>759</v>
      </c>
      <c r="B2620" s="816" t="s">
        <v>7882</v>
      </c>
      <c r="C2620" s="729" t="s">
        <v>463</v>
      </c>
      <c r="D2620" s="460"/>
      <c r="E2620" s="878" t="s">
        <v>1909</v>
      </c>
      <c r="F2620" s="881" t="s">
        <v>2924</v>
      </c>
      <c r="G2620" s="731" t="s">
        <v>4787</v>
      </c>
      <c r="H2620" s="1083">
        <v>42309</v>
      </c>
      <c r="I2620" s="1084">
        <v>42480</v>
      </c>
      <c r="J2620" s="957">
        <v>-1538.28</v>
      </c>
    </row>
    <row r="2621" spans="1:10" s="852" customFormat="1" ht="28.5" outlineLevel="2">
      <c r="A2621" s="815" t="s">
        <v>760</v>
      </c>
      <c r="B2621" s="816" t="s">
        <v>7883</v>
      </c>
      <c r="C2621" s="729" t="s">
        <v>463</v>
      </c>
      <c r="D2621" s="460"/>
      <c r="E2621" s="878" t="s">
        <v>1909</v>
      </c>
      <c r="F2621" s="881" t="s">
        <v>2924</v>
      </c>
      <c r="G2621" s="731" t="s">
        <v>4787</v>
      </c>
      <c r="H2621" s="1083">
        <v>42309</v>
      </c>
      <c r="I2621" s="1084">
        <v>42480</v>
      </c>
      <c r="J2621" s="957">
        <v>-244.19</v>
      </c>
    </row>
    <row r="2622" spans="1:10" s="852" customFormat="1" ht="28.5" outlineLevel="2">
      <c r="A2622" s="815" t="s">
        <v>759</v>
      </c>
      <c r="B2622" s="816" t="s">
        <v>7882</v>
      </c>
      <c r="C2622" s="729" t="s">
        <v>463</v>
      </c>
      <c r="D2622" s="460"/>
      <c r="E2622" s="878" t="s">
        <v>1909</v>
      </c>
      <c r="F2622" s="881" t="s">
        <v>2924</v>
      </c>
      <c r="G2622" s="731" t="s">
        <v>4788</v>
      </c>
      <c r="H2622" s="1083">
        <v>42309</v>
      </c>
      <c r="I2622" s="1084">
        <v>42480</v>
      </c>
      <c r="J2622" s="957">
        <v>-1538.28</v>
      </c>
    </row>
    <row r="2623" spans="1:10" s="852" customFormat="1" ht="28.5" outlineLevel="2">
      <c r="A2623" s="815" t="s">
        <v>760</v>
      </c>
      <c r="B2623" s="816" t="s">
        <v>7883</v>
      </c>
      <c r="C2623" s="729" t="s">
        <v>463</v>
      </c>
      <c r="D2623" s="460"/>
      <c r="E2623" s="878" t="s">
        <v>1909</v>
      </c>
      <c r="F2623" s="881" t="s">
        <v>2924</v>
      </c>
      <c r="G2623" s="731" t="s">
        <v>4788</v>
      </c>
      <c r="H2623" s="1083">
        <v>42309</v>
      </c>
      <c r="I2623" s="1084">
        <v>42480</v>
      </c>
      <c r="J2623" s="957">
        <v>-244.19</v>
      </c>
    </row>
    <row r="2624" spans="1:10" s="852" customFormat="1" ht="28.5" outlineLevel="2">
      <c r="A2624" s="815" t="s">
        <v>759</v>
      </c>
      <c r="B2624" s="816" t="s">
        <v>7882</v>
      </c>
      <c r="C2624" s="729" t="s">
        <v>463</v>
      </c>
      <c r="D2624" s="460"/>
      <c r="E2624" s="878" t="s">
        <v>1909</v>
      </c>
      <c r="F2624" s="881" t="s">
        <v>2924</v>
      </c>
      <c r="G2624" s="731" t="s">
        <v>4791</v>
      </c>
      <c r="H2624" s="1083">
        <v>42309</v>
      </c>
      <c r="I2624" s="1084">
        <v>42480</v>
      </c>
      <c r="J2624" s="957">
        <v>1538.28</v>
      </c>
    </row>
    <row r="2625" spans="1:10" s="852" customFormat="1" ht="28.5" outlineLevel="2">
      <c r="A2625" s="815" t="s">
        <v>760</v>
      </c>
      <c r="B2625" s="816" t="s">
        <v>7883</v>
      </c>
      <c r="C2625" s="729" t="s">
        <v>463</v>
      </c>
      <c r="D2625" s="460"/>
      <c r="E2625" s="878" t="s">
        <v>1909</v>
      </c>
      <c r="F2625" s="881" t="s">
        <v>2924</v>
      </c>
      <c r="G2625" s="731" t="s">
        <v>4791</v>
      </c>
      <c r="H2625" s="1083">
        <v>42309</v>
      </c>
      <c r="I2625" s="1084">
        <v>42480</v>
      </c>
      <c r="J2625" s="957">
        <v>244.19</v>
      </c>
    </row>
    <row r="2626" spans="1:10" s="852" customFormat="1" ht="28.5" outlineLevel="2">
      <c r="A2626" s="815" t="s">
        <v>759</v>
      </c>
      <c r="B2626" s="816" t="s">
        <v>7882</v>
      </c>
      <c r="C2626" s="729" t="s">
        <v>463</v>
      </c>
      <c r="D2626" s="460"/>
      <c r="E2626" s="878" t="s">
        <v>1909</v>
      </c>
      <c r="F2626" s="881" t="s">
        <v>2924</v>
      </c>
      <c r="G2626" s="731" t="s">
        <v>4794</v>
      </c>
      <c r="H2626" s="1083">
        <v>42309</v>
      </c>
      <c r="I2626" s="1084">
        <v>42480</v>
      </c>
      <c r="J2626" s="957">
        <v>1538.28</v>
      </c>
    </row>
    <row r="2627" spans="1:10" s="852" customFormat="1" ht="28.5" outlineLevel="2">
      <c r="A2627" s="815" t="s">
        <v>760</v>
      </c>
      <c r="B2627" s="816" t="s">
        <v>7883</v>
      </c>
      <c r="C2627" s="729" t="s">
        <v>463</v>
      </c>
      <c r="D2627" s="460"/>
      <c r="E2627" s="878" t="s">
        <v>1909</v>
      </c>
      <c r="F2627" s="881" t="s">
        <v>2924</v>
      </c>
      <c r="G2627" s="731" t="s">
        <v>4794</v>
      </c>
      <c r="H2627" s="1083">
        <v>42309</v>
      </c>
      <c r="I2627" s="1084">
        <v>42480</v>
      </c>
      <c r="J2627" s="957">
        <v>244.19</v>
      </c>
    </row>
    <row r="2628" spans="1:10" s="852" customFormat="1" ht="28.5" outlineLevel="2">
      <c r="A2628" s="815" t="s">
        <v>759</v>
      </c>
      <c r="B2628" s="816" t="s">
        <v>7882</v>
      </c>
      <c r="C2628" s="729" t="s">
        <v>463</v>
      </c>
      <c r="D2628" s="460"/>
      <c r="E2628" s="878" t="s">
        <v>1909</v>
      </c>
      <c r="F2628" s="881" t="s">
        <v>2924</v>
      </c>
      <c r="G2628" s="731" t="s">
        <v>4796</v>
      </c>
      <c r="H2628" s="1083">
        <v>42309</v>
      </c>
      <c r="I2628" s="1084">
        <v>42480</v>
      </c>
      <c r="J2628" s="957">
        <v>1538.28</v>
      </c>
    </row>
    <row r="2629" spans="1:10" s="852" customFormat="1" ht="28.5" outlineLevel="2">
      <c r="A2629" s="815" t="s">
        <v>760</v>
      </c>
      <c r="B2629" s="816" t="s">
        <v>7883</v>
      </c>
      <c r="C2629" s="729" t="s">
        <v>463</v>
      </c>
      <c r="D2629" s="460"/>
      <c r="E2629" s="878" t="s">
        <v>1909</v>
      </c>
      <c r="F2629" s="881" t="s">
        <v>2924</v>
      </c>
      <c r="G2629" s="731" t="s">
        <v>4796</v>
      </c>
      <c r="H2629" s="1083">
        <v>42309</v>
      </c>
      <c r="I2629" s="1084">
        <v>42480</v>
      </c>
      <c r="J2629" s="957">
        <v>244.19</v>
      </c>
    </row>
    <row r="2630" spans="1:10" s="852" customFormat="1" ht="28.5" outlineLevel="2">
      <c r="A2630" s="815" t="s">
        <v>759</v>
      </c>
      <c r="B2630" s="816" t="s">
        <v>7882</v>
      </c>
      <c r="C2630" s="729" t="s">
        <v>463</v>
      </c>
      <c r="D2630" s="460"/>
      <c r="E2630" s="878" t="s">
        <v>1909</v>
      </c>
      <c r="F2630" s="881" t="s">
        <v>6347</v>
      </c>
      <c r="G2630" s="731" t="s">
        <v>4783</v>
      </c>
      <c r="H2630" s="1083">
        <v>42370</v>
      </c>
      <c r="I2630" s="1084">
        <v>42480</v>
      </c>
      <c r="J2630" s="957">
        <v>14860.39</v>
      </c>
    </row>
    <row r="2631" spans="1:10" s="852" customFormat="1" ht="28.5" outlineLevel="2">
      <c r="A2631" s="815" t="s">
        <v>760</v>
      </c>
      <c r="B2631" s="816" t="s">
        <v>7883</v>
      </c>
      <c r="C2631" s="729" t="s">
        <v>463</v>
      </c>
      <c r="D2631" s="460"/>
      <c r="E2631" s="878" t="s">
        <v>1909</v>
      </c>
      <c r="F2631" s="881" t="s">
        <v>6347</v>
      </c>
      <c r="G2631" s="731" t="s">
        <v>4783</v>
      </c>
      <c r="H2631" s="1083">
        <v>42370</v>
      </c>
      <c r="I2631" s="1084">
        <v>42480</v>
      </c>
      <c r="J2631" s="957">
        <v>2359.06</v>
      </c>
    </row>
    <row r="2632" spans="1:10" s="852" customFormat="1" outlineLevel="2">
      <c r="A2632" s="815" t="s">
        <v>1767</v>
      </c>
      <c r="B2632" s="816" t="s">
        <v>7871</v>
      </c>
      <c r="C2632" s="729" t="s">
        <v>463</v>
      </c>
      <c r="D2632" s="460"/>
      <c r="E2632" s="878" t="s">
        <v>1768</v>
      </c>
      <c r="F2632" s="881" t="s">
        <v>1753</v>
      </c>
      <c r="G2632" s="731" t="s">
        <v>5698</v>
      </c>
      <c r="H2632" s="1083">
        <v>42430</v>
      </c>
      <c r="I2632" s="1084">
        <v>42480</v>
      </c>
      <c r="J2632" s="957">
        <v>5858.67</v>
      </c>
    </row>
    <row r="2633" spans="1:10" s="852" customFormat="1" ht="28.5" outlineLevel="2">
      <c r="A2633" s="815" t="s">
        <v>1321</v>
      </c>
      <c r="B2633" s="816" t="s">
        <v>7873</v>
      </c>
      <c r="C2633" s="729" t="s">
        <v>463</v>
      </c>
      <c r="D2633" s="460"/>
      <c r="E2633" s="878" t="s">
        <v>438</v>
      </c>
      <c r="F2633" s="881" t="s">
        <v>2406</v>
      </c>
      <c r="G2633" s="731" t="s">
        <v>5725</v>
      </c>
      <c r="H2633" s="1083">
        <v>42461</v>
      </c>
      <c r="I2633" s="1084">
        <v>42486</v>
      </c>
      <c r="J2633" s="957">
        <v>66.19</v>
      </c>
    </row>
    <row r="2634" spans="1:10" s="852" customFormat="1" outlineLevel="2">
      <c r="A2634" s="815" t="s">
        <v>6418</v>
      </c>
      <c r="B2634" s="816" t="s">
        <v>7873</v>
      </c>
      <c r="C2634" s="729" t="s">
        <v>463</v>
      </c>
      <c r="D2634" s="460"/>
      <c r="E2634" s="878" t="s">
        <v>441</v>
      </c>
      <c r="F2634" s="881" t="s">
        <v>431</v>
      </c>
      <c r="G2634" s="731" t="str">
        <f>"1462"</f>
        <v>1462</v>
      </c>
      <c r="H2634" s="1083">
        <v>42370</v>
      </c>
      <c r="I2634" s="1084">
        <v>42468</v>
      </c>
      <c r="J2634" s="957">
        <v>650.65</v>
      </c>
    </row>
    <row r="2635" spans="1:10" s="852" customFormat="1" outlineLevel="2">
      <c r="A2635" s="815" t="s">
        <v>2303</v>
      </c>
      <c r="B2635" s="816" t="s">
        <v>7873</v>
      </c>
      <c r="C2635" s="729" t="s">
        <v>463</v>
      </c>
      <c r="D2635" s="460"/>
      <c r="E2635" s="878" t="s">
        <v>441</v>
      </c>
      <c r="F2635" s="881" t="s">
        <v>2299</v>
      </c>
      <c r="G2635" s="731" t="s">
        <v>5661</v>
      </c>
      <c r="H2635" s="1083">
        <v>42430</v>
      </c>
      <c r="I2635" s="1084">
        <v>42475</v>
      </c>
      <c r="J2635" s="957">
        <v>312.23</v>
      </c>
    </row>
    <row r="2636" spans="1:10" s="852" customFormat="1" outlineLevel="1">
      <c r="A2636" s="815"/>
      <c r="B2636" s="816" t="s">
        <v>258</v>
      </c>
      <c r="C2636" s="908" t="s">
        <v>463</v>
      </c>
      <c r="D2636" s="928" t="str">
        <f>VLOOKUP(C2636,$C$3691:$D$3771,2,FALSE)</f>
        <v>TOTAL POUPATEMPO  GUARULHOS</v>
      </c>
      <c r="E2636" s="1085"/>
      <c r="F2636" s="929"/>
      <c r="G2636" s="910"/>
      <c r="H2636" s="1086"/>
      <c r="I2636" s="1087"/>
      <c r="J2636" s="930">
        <f>SUBTOTAL(9,J2517:J2635)</f>
        <v>737989.3000000004</v>
      </c>
    </row>
    <row r="2637" spans="1:10" s="852" customFormat="1" outlineLevel="2">
      <c r="A2637" s="815" t="s">
        <v>1334</v>
      </c>
      <c r="B2637" s="816" t="s">
        <v>7873</v>
      </c>
      <c r="C2637" s="729" t="s">
        <v>465</v>
      </c>
      <c r="D2637" s="460"/>
      <c r="E2637" s="878" t="s">
        <v>418</v>
      </c>
      <c r="F2637" s="881" t="s">
        <v>431</v>
      </c>
      <c r="G2637" s="731" t="s">
        <v>5597</v>
      </c>
      <c r="H2637" s="1083">
        <v>42430</v>
      </c>
      <c r="I2637" s="1084">
        <v>42471</v>
      </c>
      <c r="J2637" s="957">
        <v>203.9</v>
      </c>
    </row>
    <row r="2638" spans="1:10" s="852" customFormat="1" outlineLevel="2">
      <c r="A2638" s="815" t="s">
        <v>1334</v>
      </c>
      <c r="B2638" s="816" t="s">
        <v>7873</v>
      </c>
      <c r="C2638" s="729" t="s">
        <v>465</v>
      </c>
      <c r="D2638" s="460"/>
      <c r="E2638" s="878" t="s">
        <v>418</v>
      </c>
      <c r="F2638" s="881" t="s">
        <v>431</v>
      </c>
      <c r="G2638" s="731" t="s">
        <v>5706</v>
      </c>
      <c r="H2638" s="1083">
        <v>42461</v>
      </c>
      <c r="I2638" s="1084">
        <v>42482</v>
      </c>
      <c r="J2638" s="957">
        <v>865.55</v>
      </c>
    </row>
    <row r="2639" spans="1:10" s="852" customFormat="1" outlineLevel="2">
      <c r="A2639" s="815" t="s">
        <v>7796</v>
      </c>
      <c r="B2639" s="816" t="s">
        <v>7883</v>
      </c>
      <c r="C2639" s="729" t="s">
        <v>465</v>
      </c>
      <c r="D2639" s="460"/>
      <c r="E2639" s="878" t="s">
        <v>7795</v>
      </c>
      <c r="F2639" s="881" t="s">
        <v>1030</v>
      </c>
      <c r="G2639" s="731" t="str">
        <f>"29202"</f>
        <v>29202</v>
      </c>
      <c r="H2639" s="1083">
        <v>42401</v>
      </c>
      <c r="I2639" s="1084">
        <v>42480</v>
      </c>
      <c r="J2639" s="957">
        <v>59033.440000000002</v>
      </c>
    </row>
    <row r="2640" spans="1:10" s="852" customFormat="1" outlineLevel="2">
      <c r="A2640" s="815" t="s">
        <v>7798</v>
      </c>
      <c r="B2640" s="816" t="s">
        <v>7882</v>
      </c>
      <c r="C2640" s="729" t="s">
        <v>465</v>
      </c>
      <c r="D2640" s="460"/>
      <c r="E2640" s="878" t="s">
        <v>7795</v>
      </c>
      <c r="F2640" s="881" t="s">
        <v>1030</v>
      </c>
      <c r="G2640" s="731" t="str">
        <f>"29202"</f>
        <v>29202</v>
      </c>
      <c r="H2640" s="1083">
        <v>42401</v>
      </c>
      <c r="I2640" s="1084">
        <v>42480</v>
      </c>
      <c r="J2640" s="957">
        <v>223300.4</v>
      </c>
    </row>
    <row r="2641" spans="1:10" s="852" customFormat="1" outlineLevel="2">
      <c r="A2641" s="815" t="s">
        <v>1672</v>
      </c>
      <c r="B2641" s="816" t="s">
        <v>7884</v>
      </c>
      <c r="C2641" s="729" t="s">
        <v>465</v>
      </c>
      <c r="D2641" s="460"/>
      <c r="E2641" s="878" t="s">
        <v>1641</v>
      </c>
      <c r="F2641" s="881" t="s">
        <v>1634</v>
      </c>
      <c r="G2641" s="731" t="s">
        <v>5639</v>
      </c>
      <c r="H2641" s="1083">
        <v>42461</v>
      </c>
      <c r="I2641" s="1084">
        <v>42475</v>
      </c>
      <c r="J2641" s="957">
        <v>5.52</v>
      </c>
    </row>
    <row r="2642" spans="1:10" s="852" customFormat="1" outlineLevel="2">
      <c r="A2642" s="815" t="s">
        <v>5664</v>
      </c>
      <c r="B2642" s="816" t="s">
        <v>7872</v>
      </c>
      <c r="C2642" s="729" t="s">
        <v>465</v>
      </c>
      <c r="D2642" s="460"/>
      <c r="E2642" s="878" t="s">
        <v>1699</v>
      </c>
      <c r="F2642" s="881" t="s">
        <v>1696</v>
      </c>
      <c r="G2642" s="731" t="s">
        <v>5665</v>
      </c>
      <c r="H2642" s="1083">
        <v>42430</v>
      </c>
      <c r="I2642" s="1084">
        <v>42478</v>
      </c>
      <c r="J2642" s="957">
        <v>51420.87</v>
      </c>
    </row>
    <row r="2643" spans="1:10" s="852" customFormat="1" outlineLevel="2">
      <c r="A2643" s="815" t="s">
        <v>5913</v>
      </c>
      <c r="B2643" s="816" t="s">
        <v>7900</v>
      </c>
      <c r="C2643" s="729" t="s">
        <v>465</v>
      </c>
      <c r="D2643" s="460"/>
      <c r="E2643" s="878" t="s">
        <v>5912</v>
      </c>
      <c r="F2643" s="881" t="s">
        <v>404</v>
      </c>
      <c r="G2643" s="731" t="s">
        <v>5540</v>
      </c>
      <c r="H2643" s="1083">
        <v>42430</v>
      </c>
      <c r="I2643" s="1084">
        <v>42464</v>
      </c>
      <c r="J2643" s="957">
        <v>25</v>
      </c>
    </row>
    <row r="2644" spans="1:10" s="852" customFormat="1" outlineLevel="2">
      <c r="A2644" s="815" t="s">
        <v>5913</v>
      </c>
      <c r="B2644" s="816" t="s">
        <v>7900</v>
      </c>
      <c r="C2644" s="729" t="s">
        <v>465</v>
      </c>
      <c r="D2644" s="460"/>
      <c r="E2644" s="878" t="s">
        <v>5912</v>
      </c>
      <c r="F2644" s="881" t="s">
        <v>404</v>
      </c>
      <c r="G2644" s="731" t="s">
        <v>5540</v>
      </c>
      <c r="H2644" s="1083">
        <v>42430</v>
      </c>
      <c r="I2644" s="1084">
        <v>42464</v>
      </c>
      <c r="J2644" s="957">
        <v>50</v>
      </c>
    </row>
    <row r="2645" spans="1:10" s="852" customFormat="1" outlineLevel="2">
      <c r="A2645" s="815" t="s">
        <v>771</v>
      </c>
      <c r="B2645" s="816" t="s">
        <v>7889</v>
      </c>
      <c r="C2645" s="729" t="s">
        <v>465</v>
      </c>
      <c r="D2645" s="460"/>
      <c r="E2645" s="878" t="s">
        <v>772</v>
      </c>
      <c r="F2645" s="881" t="s">
        <v>404</v>
      </c>
      <c r="G2645" s="731" t="s">
        <v>5789</v>
      </c>
      <c r="H2645" s="1083">
        <v>42430</v>
      </c>
      <c r="I2645" s="1084">
        <v>42489</v>
      </c>
      <c r="J2645" s="957">
        <v>1561.47</v>
      </c>
    </row>
    <row r="2646" spans="1:10" s="852" customFormat="1" outlineLevel="2">
      <c r="A2646" s="815" t="s">
        <v>771</v>
      </c>
      <c r="B2646" s="816" t="s">
        <v>7889</v>
      </c>
      <c r="C2646" s="729" t="s">
        <v>465</v>
      </c>
      <c r="D2646" s="460"/>
      <c r="E2646" s="878" t="s">
        <v>772</v>
      </c>
      <c r="F2646" s="881" t="s">
        <v>404</v>
      </c>
      <c r="G2646" s="731" t="s">
        <v>5790</v>
      </c>
      <c r="H2646" s="1083">
        <v>42401</v>
      </c>
      <c r="I2646" s="1084">
        <v>42489</v>
      </c>
      <c r="J2646" s="957">
        <v>832.81</v>
      </c>
    </row>
    <row r="2647" spans="1:10" s="852" customFormat="1" ht="28.5" outlineLevel="2">
      <c r="A2647" s="815" t="s">
        <v>5530</v>
      </c>
      <c r="B2647" s="816" t="s">
        <v>7876</v>
      </c>
      <c r="C2647" s="729" t="s">
        <v>465</v>
      </c>
      <c r="D2647" s="460"/>
      <c r="E2647" s="878" t="s">
        <v>1410</v>
      </c>
      <c r="F2647" s="881" t="s">
        <v>1424</v>
      </c>
      <c r="G2647" s="731" t="s">
        <v>5525</v>
      </c>
      <c r="H2647" s="1083">
        <v>42430</v>
      </c>
      <c r="I2647" s="1084">
        <v>42461</v>
      </c>
      <c r="J2647" s="957">
        <v>1220.8</v>
      </c>
    </row>
    <row r="2648" spans="1:10" s="852" customFormat="1" ht="28.5" outlineLevel="2">
      <c r="A2648" s="815" t="s">
        <v>1420</v>
      </c>
      <c r="B2648" s="816" t="s">
        <v>7876</v>
      </c>
      <c r="C2648" s="729" t="s">
        <v>465</v>
      </c>
      <c r="D2648" s="460"/>
      <c r="E2648" s="878" t="s">
        <v>1410</v>
      </c>
      <c r="F2648" s="881" t="s">
        <v>1424</v>
      </c>
      <c r="G2648" s="731" t="s">
        <v>5525</v>
      </c>
      <c r="H2648" s="1083">
        <v>42430</v>
      </c>
      <c r="I2648" s="1084">
        <v>42461</v>
      </c>
      <c r="J2648" s="957">
        <v>518.64</v>
      </c>
    </row>
    <row r="2649" spans="1:10" s="852" customFormat="1" ht="28.5" outlineLevel="2">
      <c r="A2649" s="815" t="s">
        <v>6475</v>
      </c>
      <c r="B2649" s="816" t="s">
        <v>7870</v>
      </c>
      <c r="C2649" s="729" t="s">
        <v>465</v>
      </c>
      <c r="D2649" s="460"/>
      <c r="E2649" s="878" t="s">
        <v>1599</v>
      </c>
      <c r="F2649" s="881" t="s">
        <v>426</v>
      </c>
      <c r="G2649" s="731" t="s">
        <v>5708</v>
      </c>
      <c r="H2649" s="1083">
        <v>42401</v>
      </c>
      <c r="I2649" s="1084">
        <v>42482</v>
      </c>
      <c r="J2649" s="957">
        <v>-4.53</v>
      </c>
    </row>
    <row r="2650" spans="1:10" s="852" customFormat="1" outlineLevel="2">
      <c r="A2650" s="815" t="s">
        <v>6475</v>
      </c>
      <c r="B2650" s="816" t="s">
        <v>7870</v>
      </c>
      <c r="C2650" s="729" t="s">
        <v>465</v>
      </c>
      <c r="D2650" s="460"/>
      <c r="E2650" s="878" t="s">
        <v>1599</v>
      </c>
      <c r="F2650" s="881" t="s">
        <v>2274</v>
      </c>
      <c r="G2650" s="731" t="s">
        <v>5709</v>
      </c>
      <c r="H2650" s="1083">
        <v>42401</v>
      </c>
      <c r="I2650" s="1084">
        <v>42482</v>
      </c>
      <c r="J2650" s="957">
        <v>79.87</v>
      </c>
    </row>
    <row r="2651" spans="1:10" s="852" customFormat="1" outlineLevel="2">
      <c r="A2651" s="815" t="s">
        <v>2275</v>
      </c>
      <c r="B2651" s="816" t="s">
        <v>7877</v>
      </c>
      <c r="C2651" s="729" t="s">
        <v>465</v>
      </c>
      <c r="D2651" s="460"/>
      <c r="E2651" s="878" t="s">
        <v>683</v>
      </c>
      <c r="F2651" s="881" t="s">
        <v>1071</v>
      </c>
      <c r="G2651" s="731" t="s">
        <v>5549</v>
      </c>
      <c r="H2651" s="1083">
        <v>42430</v>
      </c>
      <c r="I2651" s="1084">
        <v>42464</v>
      </c>
      <c r="J2651" s="957">
        <v>12676.47</v>
      </c>
    </row>
    <row r="2652" spans="1:10" s="852" customFormat="1" outlineLevel="2">
      <c r="A2652" s="815" t="s">
        <v>770</v>
      </c>
      <c r="B2652" s="816" t="s">
        <v>7877</v>
      </c>
      <c r="C2652" s="729" t="s">
        <v>465</v>
      </c>
      <c r="D2652" s="460"/>
      <c r="E2652" s="878" t="s">
        <v>683</v>
      </c>
      <c r="F2652" s="881" t="s">
        <v>1071</v>
      </c>
      <c r="G2652" s="731" t="s">
        <v>5553</v>
      </c>
      <c r="H2652" s="1083">
        <v>42430</v>
      </c>
      <c r="I2652" s="1084">
        <v>42464</v>
      </c>
      <c r="J2652" s="957">
        <v>4425.83</v>
      </c>
    </row>
    <row r="2653" spans="1:10" s="852" customFormat="1" outlineLevel="2">
      <c r="A2653" s="815" t="s">
        <v>768</v>
      </c>
      <c r="B2653" s="816" t="s">
        <v>7863</v>
      </c>
      <c r="C2653" s="729" t="s">
        <v>465</v>
      </c>
      <c r="D2653" s="460"/>
      <c r="E2653" s="878" t="s">
        <v>490</v>
      </c>
      <c r="F2653" s="881" t="s">
        <v>2208</v>
      </c>
      <c r="G2653" s="731" t="s">
        <v>5584</v>
      </c>
      <c r="H2653" s="1083">
        <v>42401</v>
      </c>
      <c r="I2653" s="1084">
        <v>42467</v>
      </c>
      <c r="J2653" s="957">
        <v>24863.68</v>
      </c>
    </row>
    <row r="2654" spans="1:10" s="852" customFormat="1" outlineLevel="2">
      <c r="A2654" s="815" t="s">
        <v>5961</v>
      </c>
      <c r="B2654" s="816" t="s">
        <v>7864</v>
      </c>
      <c r="C2654" s="729" t="s">
        <v>465</v>
      </c>
      <c r="D2654" s="460"/>
      <c r="E2654" s="878" t="s">
        <v>6470</v>
      </c>
      <c r="F2654" s="881" t="s">
        <v>434</v>
      </c>
      <c r="G2654" s="731" t="str">
        <f>"2585"</f>
        <v>2585</v>
      </c>
      <c r="H2654" s="1083">
        <v>42370</v>
      </c>
      <c r="I2654" s="1084">
        <v>42478</v>
      </c>
      <c r="J2654" s="957">
        <v>-7355.27</v>
      </c>
    </row>
    <row r="2655" spans="1:10" s="852" customFormat="1" outlineLevel="2">
      <c r="A2655" s="815" t="s">
        <v>5961</v>
      </c>
      <c r="B2655" s="816" t="s">
        <v>7864</v>
      </c>
      <c r="C2655" s="729" t="s">
        <v>465</v>
      </c>
      <c r="D2655" s="460"/>
      <c r="E2655" s="878" t="s">
        <v>6470</v>
      </c>
      <c r="F2655" s="881" t="s">
        <v>434</v>
      </c>
      <c r="G2655" s="731" t="str">
        <f>"2585"</f>
        <v>2585</v>
      </c>
      <c r="H2655" s="1083">
        <v>42370</v>
      </c>
      <c r="I2655" s="1084">
        <v>42478</v>
      </c>
      <c r="J2655" s="957">
        <v>7355.27</v>
      </c>
    </row>
    <row r="2656" spans="1:10" s="852" customFormat="1" outlineLevel="2">
      <c r="A2656" s="815" t="s">
        <v>5961</v>
      </c>
      <c r="B2656" s="816" t="s">
        <v>7864</v>
      </c>
      <c r="C2656" s="729" t="s">
        <v>465</v>
      </c>
      <c r="D2656" s="460"/>
      <c r="E2656" s="878" t="s">
        <v>6470</v>
      </c>
      <c r="F2656" s="881" t="s">
        <v>434</v>
      </c>
      <c r="G2656" s="731" t="str">
        <f>"2585"</f>
        <v>2585</v>
      </c>
      <c r="H2656" s="1083">
        <v>42370</v>
      </c>
      <c r="I2656" s="1084">
        <v>42478</v>
      </c>
      <c r="J2656" s="957">
        <v>7355.27</v>
      </c>
    </row>
    <row r="2657" spans="1:10" s="852" customFormat="1" outlineLevel="2">
      <c r="A2657" s="815" t="s">
        <v>5961</v>
      </c>
      <c r="B2657" s="816" t="s">
        <v>7864</v>
      </c>
      <c r="C2657" s="729" t="s">
        <v>465</v>
      </c>
      <c r="D2657" s="460"/>
      <c r="E2657" s="878" t="s">
        <v>6470</v>
      </c>
      <c r="F2657" s="881" t="s">
        <v>434</v>
      </c>
      <c r="G2657" s="731" t="str">
        <f>"2585"</f>
        <v>2585</v>
      </c>
      <c r="H2657" s="1083">
        <v>42370</v>
      </c>
      <c r="I2657" s="1084">
        <v>42478</v>
      </c>
      <c r="J2657" s="957">
        <v>7355.27</v>
      </c>
    </row>
    <row r="2658" spans="1:10" s="852" customFormat="1" outlineLevel="2">
      <c r="A2658" s="815" t="s">
        <v>5961</v>
      </c>
      <c r="B2658" s="816" t="s">
        <v>7864</v>
      </c>
      <c r="C2658" s="729" t="s">
        <v>465</v>
      </c>
      <c r="D2658" s="460"/>
      <c r="E2658" s="878" t="s">
        <v>6470</v>
      </c>
      <c r="F2658" s="881" t="s">
        <v>434</v>
      </c>
      <c r="G2658" s="731" t="str">
        <f>"2585"</f>
        <v>2585</v>
      </c>
      <c r="H2658" s="1083">
        <v>42370</v>
      </c>
      <c r="I2658" s="1084">
        <v>42478</v>
      </c>
      <c r="J2658" s="957">
        <v>-7355.27</v>
      </c>
    </row>
    <row r="2659" spans="1:10" s="852" customFormat="1" outlineLevel="2">
      <c r="A2659" s="815" t="s">
        <v>5961</v>
      </c>
      <c r="B2659" s="816" t="s">
        <v>7864</v>
      </c>
      <c r="C2659" s="729" t="s">
        <v>465</v>
      </c>
      <c r="D2659" s="460"/>
      <c r="E2659" s="878" t="s">
        <v>6470</v>
      </c>
      <c r="F2659" s="881" t="s">
        <v>434</v>
      </c>
      <c r="G2659" s="731" t="str">
        <f>"2655"</f>
        <v>2655</v>
      </c>
      <c r="H2659" s="1083">
        <v>42370</v>
      </c>
      <c r="I2659" s="1084">
        <v>42478</v>
      </c>
      <c r="J2659" s="957">
        <v>695.6</v>
      </c>
    </row>
    <row r="2660" spans="1:10" s="852" customFormat="1" outlineLevel="2">
      <c r="A2660" s="815" t="s">
        <v>5961</v>
      </c>
      <c r="B2660" s="816" t="s">
        <v>7864</v>
      </c>
      <c r="C2660" s="729" t="s">
        <v>465</v>
      </c>
      <c r="D2660" s="460"/>
      <c r="E2660" s="878" t="s">
        <v>6470</v>
      </c>
      <c r="F2660" s="881" t="s">
        <v>434</v>
      </c>
      <c r="G2660" s="731" t="str">
        <f>"2655"</f>
        <v>2655</v>
      </c>
      <c r="H2660" s="1083">
        <v>42370</v>
      </c>
      <c r="I2660" s="1084">
        <v>42478</v>
      </c>
      <c r="J2660" s="957">
        <v>695.6</v>
      </c>
    </row>
    <row r="2661" spans="1:10" s="852" customFormat="1" outlineLevel="2">
      <c r="A2661" s="815" t="s">
        <v>5961</v>
      </c>
      <c r="B2661" s="816" t="s">
        <v>7864</v>
      </c>
      <c r="C2661" s="729" t="s">
        <v>465</v>
      </c>
      <c r="D2661" s="460"/>
      <c r="E2661" s="878" t="s">
        <v>6470</v>
      </c>
      <c r="F2661" s="881" t="s">
        <v>434</v>
      </c>
      <c r="G2661" s="731" t="str">
        <f>"2655"</f>
        <v>2655</v>
      </c>
      <c r="H2661" s="1083">
        <v>42370</v>
      </c>
      <c r="I2661" s="1084">
        <v>42478</v>
      </c>
      <c r="J2661" s="957">
        <v>-695.6</v>
      </c>
    </row>
    <row r="2662" spans="1:10" s="852" customFormat="1" outlineLevel="2">
      <c r="A2662" s="815" t="s">
        <v>5961</v>
      </c>
      <c r="B2662" s="816" t="s">
        <v>7864</v>
      </c>
      <c r="C2662" s="729" t="s">
        <v>465</v>
      </c>
      <c r="D2662" s="460"/>
      <c r="E2662" s="878" t="s">
        <v>6470</v>
      </c>
      <c r="F2662" s="881" t="s">
        <v>434</v>
      </c>
      <c r="G2662" s="731" t="str">
        <f>"2655"</f>
        <v>2655</v>
      </c>
      <c r="H2662" s="1083">
        <v>42370</v>
      </c>
      <c r="I2662" s="1084">
        <v>42478</v>
      </c>
      <c r="J2662" s="957">
        <v>695.6</v>
      </c>
    </row>
    <row r="2663" spans="1:10" s="852" customFormat="1" outlineLevel="2">
      <c r="A2663" s="815" t="s">
        <v>5961</v>
      </c>
      <c r="B2663" s="816" t="s">
        <v>7864</v>
      </c>
      <c r="C2663" s="729" t="s">
        <v>465</v>
      </c>
      <c r="D2663" s="460"/>
      <c r="E2663" s="878" t="s">
        <v>6470</v>
      </c>
      <c r="F2663" s="881" t="s">
        <v>434</v>
      </c>
      <c r="G2663" s="731" t="str">
        <f>"2655"</f>
        <v>2655</v>
      </c>
      <c r="H2663" s="1083">
        <v>42370</v>
      </c>
      <c r="I2663" s="1084">
        <v>42478</v>
      </c>
      <c r="J2663" s="957">
        <v>-695.6</v>
      </c>
    </row>
    <row r="2664" spans="1:10" s="852" customFormat="1" outlineLevel="2">
      <c r="A2664" s="815" t="s">
        <v>2591</v>
      </c>
      <c r="B2664" s="816" t="s">
        <v>7883</v>
      </c>
      <c r="C2664" s="729" t="s">
        <v>465</v>
      </c>
      <c r="D2664" s="460"/>
      <c r="E2664" s="878" t="s">
        <v>2336</v>
      </c>
      <c r="F2664" s="881" t="s">
        <v>6056</v>
      </c>
      <c r="G2664" s="731" t="s">
        <v>4811</v>
      </c>
      <c r="H2664" s="1083">
        <v>42370</v>
      </c>
      <c r="I2664" s="1084">
        <v>42480</v>
      </c>
      <c r="J2664" s="957">
        <v>6369.07</v>
      </c>
    </row>
    <row r="2665" spans="1:10" s="852" customFormat="1" outlineLevel="2">
      <c r="A2665" s="815" t="s">
        <v>2592</v>
      </c>
      <c r="B2665" s="816" t="s">
        <v>7882</v>
      </c>
      <c r="C2665" s="729" t="s">
        <v>465</v>
      </c>
      <c r="D2665" s="460"/>
      <c r="E2665" s="878" t="s">
        <v>2336</v>
      </c>
      <c r="F2665" s="881" t="s">
        <v>6056</v>
      </c>
      <c r="G2665" s="731" t="s">
        <v>4811</v>
      </c>
      <c r="H2665" s="1083">
        <v>42370</v>
      </c>
      <c r="I2665" s="1084">
        <v>42480</v>
      </c>
      <c r="J2665" s="957">
        <v>24091.7</v>
      </c>
    </row>
    <row r="2666" spans="1:10" s="852" customFormat="1" outlineLevel="2">
      <c r="A2666" s="815" t="s">
        <v>2591</v>
      </c>
      <c r="B2666" s="816" t="s">
        <v>7883</v>
      </c>
      <c r="C2666" s="729" t="s">
        <v>465</v>
      </c>
      <c r="D2666" s="460"/>
      <c r="E2666" s="878" t="s">
        <v>2336</v>
      </c>
      <c r="F2666" s="881" t="s">
        <v>5432</v>
      </c>
      <c r="G2666" s="731" t="s">
        <v>4814</v>
      </c>
      <c r="H2666" s="1083">
        <v>42401</v>
      </c>
      <c r="I2666" s="1084">
        <v>42480</v>
      </c>
      <c r="J2666" s="957">
        <v>8081.74</v>
      </c>
    </row>
    <row r="2667" spans="1:10" s="852" customFormat="1" outlineLevel="2">
      <c r="A2667" s="815" t="s">
        <v>2592</v>
      </c>
      <c r="B2667" s="816" t="s">
        <v>7882</v>
      </c>
      <c r="C2667" s="729" t="s">
        <v>465</v>
      </c>
      <c r="D2667" s="460"/>
      <c r="E2667" s="878" t="s">
        <v>2336</v>
      </c>
      <c r="F2667" s="881" t="s">
        <v>5432</v>
      </c>
      <c r="G2667" s="731" t="s">
        <v>4814</v>
      </c>
      <c r="H2667" s="1083">
        <v>42401</v>
      </c>
      <c r="I2667" s="1084">
        <v>42480</v>
      </c>
      <c r="J2667" s="957">
        <v>30570.05</v>
      </c>
    </row>
    <row r="2668" spans="1:10" s="852" customFormat="1" ht="28.5" outlineLevel="2">
      <c r="A2668" s="815" t="s">
        <v>768</v>
      </c>
      <c r="B2668" s="816" t="s">
        <v>7863</v>
      </c>
      <c r="C2668" s="729" t="s">
        <v>465</v>
      </c>
      <c r="D2668" s="460"/>
      <c r="E2668" s="878" t="s">
        <v>2336</v>
      </c>
      <c r="F2668" s="881" t="s">
        <v>6054</v>
      </c>
      <c r="G2668" s="731" t="s">
        <v>4809</v>
      </c>
      <c r="H2668" s="1083">
        <v>42401</v>
      </c>
      <c r="I2668" s="1084">
        <v>42480</v>
      </c>
      <c r="J2668" s="957">
        <v>3362.02</v>
      </c>
    </row>
    <row r="2669" spans="1:10" s="852" customFormat="1" outlineLevel="2">
      <c r="A2669" s="815" t="s">
        <v>769</v>
      </c>
      <c r="B2669" s="816" t="s">
        <v>7864</v>
      </c>
      <c r="C2669" s="729" t="s">
        <v>465</v>
      </c>
      <c r="D2669" s="460"/>
      <c r="E2669" s="878" t="s">
        <v>2336</v>
      </c>
      <c r="F2669" s="881" t="s">
        <v>6055</v>
      </c>
      <c r="G2669" s="731" t="s">
        <v>4810</v>
      </c>
      <c r="H2669" s="1083">
        <v>42401</v>
      </c>
      <c r="I2669" s="1084">
        <v>42480</v>
      </c>
      <c r="J2669" s="957">
        <v>994.57</v>
      </c>
    </row>
    <row r="2670" spans="1:10" s="852" customFormat="1" outlineLevel="2">
      <c r="A2670" s="815" t="s">
        <v>769</v>
      </c>
      <c r="B2670" s="816" t="s">
        <v>7864</v>
      </c>
      <c r="C2670" s="729" t="s">
        <v>465</v>
      </c>
      <c r="D2670" s="460"/>
      <c r="E2670" s="878" t="s">
        <v>2336</v>
      </c>
      <c r="F2670" s="881" t="s">
        <v>6053</v>
      </c>
      <c r="G2670" s="731" t="s">
        <v>4808</v>
      </c>
      <c r="H2670" s="1083">
        <v>42401</v>
      </c>
      <c r="I2670" s="1084">
        <v>42480</v>
      </c>
      <c r="J2670" s="957">
        <v>654.32000000000005</v>
      </c>
    </row>
    <row r="2671" spans="1:10" s="852" customFormat="1" outlineLevel="2">
      <c r="A2671" s="815" t="s">
        <v>769</v>
      </c>
      <c r="B2671" s="816" t="s">
        <v>7864</v>
      </c>
      <c r="C2671" s="729" t="s">
        <v>465</v>
      </c>
      <c r="D2671" s="460"/>
      <c r="E2671" s="878" t="s">
        <v>2336</v>
      </c>
      <c r="F2671" s="881" t="s">
        <v>6057</v>
      </c>
      <c r="G2671" s="731" t="s">
        <v>4812</v>
      </c>
      <c r="H2671" s="1083">
        <v>42401</v>
      </c>
      <c r="I2671" s="1084">
        <v>42480</v>
      </c>
      <c r="J2671" s="957">
        <v>968.39</v>
      </c>
    </row>
    <row r="2672" spans="1:10" s="852" customFormat="1" outlineLevel="2">
      <c r="A2672" s="815" t="s">
        <v>2305</v>
      </c>
      <c r="B2672" s="816" t="s">
        <v>7885</v>
      </c>
      <c r="C2672" s="729" t="s">
        <v>465</v>
      </c>
      <c r="D2672" s="460"/>
      <c r="E2672" s="878" t="s">
        <v>2336</v>
      </c>
      <c r="F2672" s="881" t="s">
        <v>4287</v>
      </c>
      <c r="G2672" s="731" t="s">
        <v>4813</v>
      </c>
      <c r="H2672" s="1083">
        <v>42401</v>
      </c>
      <c r="I2672" s="1084">
        <v>42480</v>
      </c>
      <c r="J2672" s="957">
        <v>419.41</v>
      </c>
    </row>
    <row r="2673" spans="1:10" s="852" customFormat="1" outlineLevel="2">
      <c r="A2673" s="815" t="s">
        <v>5961</v>
      </c>
      <c r="B2673" s="816" t="s">
        <v>7864</v>
      </c>
      <c r="C2673" s="729" t="s">
        <v>465</v>
      </c>
      <c r="D2673" s="460"/>
      <c r="E2673" s="878" t="s">
        <v>2717</v>
      </c>
      <c r="F2673" s="881" t="s">
        <v>434</v>
      </c>
      <c r="G2673" s="731" t="str">
        <f>"3508"</f>
        <v>3508</v>
      </c>
      <c r="H2673" s="1083">
        <v>42401</v>
      </c>
      <c r="I2673" s="1084">
        <v>42467</v>
      </c>
      <c r="J2673" s="957">
        <v>4838.99</v>
      </c>
    </row>
    <row r="2674" spans="1:10" s="852" customFormat="1" outlineLevel="2">
      <c r="A2674" s="815" t="s">
        <v>5961</v>
      </c>
      <c r="B2674" s="816" t="s">
        <v>7864</v>
      </c>
      <c r="C2674" s="729" t="s">
        <v>465</v>
      </c>
      <c r="D2674" s="460"/>
      <c r="E2674" s="878" t="s">
        <v>409</v>
      </c>
      <c r="F2674" s="881" t="s">
        <v>434</v>
      </c>
      <c r="G2674" s="731" t="str">
        <f>"6682"</f>
        <v>6682</v>
      </c>
      <c r="H2674" s="1083">
        <v>42401</v>
      </c>
      <c r="I2674" s="1084">
        <v>42475</v>
      </c>
      <c r="J2674" s="957">
        <v>7161.72</v>
      </c>
    </row>
    <row r="2675" spans="1:10" s="852" customFormat="1" outlineLevel="2">
      <c r="A2675" s="815" t="s">
        <v>2740</v>
      </c>
      <c r="B2675" s="816" t="s">
        <v>7887</v>
      </c>
      <c r="C2675" s="729" t="s">
        <v>465</v>
      </c>
      <c r="D2675" s="460"/>
      <c r="E2675" s="878" t="s">
        <v>2306</v>
      </c>
      <c r="F2675" s="881" t="s">
        <v>2742</v>
      </c>
      <c r="G2675" s="731">
        <v>1282792</v>
      </c>
      <c r="H2675" s="1083">
        <v>42461</v>
      </c>
      <c r="I2675" s="1084">
        <v>42489</v>
      </c>
      <c r="J2675" s="957">
        <v>659.87</v>
      </c>
    </row>
    <row r="2676" spans="1:10" s="852" customFormat="1" ht="28.5" outlineLevel="2">
      <c r="A2676" s="815" t="s">
        <v>1331</v>
      </c>
      <c r="B2676" s="816" t="s">
        <v>7873</v>
      </c>
      <c r="C2676" s="729" t="s">
        <v>465</v>
      </c>
      <c r="D2676" s="460"/>
      <c r="E2676" s="878" t="s">
        <v>2306</v>
      </c>
      <c r="F2676" s="881" t="s">
        <v>2744</v>
      </c>
      <c r="G2676" s="731">
        <v>1282790</v>
      </c>
      <c r="H2676" s="1083">
        <v>42461</v>
      </c>
      <c r="I2676" s="1084">
        <v>42489</v>
      </c>
      <c r="J2676" s="957">
        <v>187.32</v>
      </c>
    </row>
    <row r="2677" spans="1:10" s="852" customFormat="1" outlineLevel="2">
      <c r="A2677" s="815" t="s">
        <v>962</v>
      </c>
      <c r="B2677" s="816" t="s">
        <v>7866</v>
      </c>
      <c r="C2677" s="729" t="s">
        <v>465</v>
      </c>
      <c r="D2677" s="460"/>
      <c r="E2677" s="878" t="s">
        <v>2282</v>
      </c>
      <c r="F2677" s="881" t="s">
        <v>3974</v>
      </c>
      <c r="G2677" s="731" t="s">
        <v>2779</v>
      </c>
      <c r="H2677" s="1083">
        <v>42401</v>
      </c>
      <c r="I2677" s="1084">
        <v>42471</v>
      </c>
      <c r="J2677" s="957">
        <v>1906.16</v>
      </c>
    </row>
    <row r="2678" spans="1:10" s="852" customFormat="1" outlineLevel="2">
      <c r="A2678" s="815" t="s">
        <v>962</v>
      </c>
      <c r="B2678" s="816" t="s">
        <v>7866</v>
      </c>
      <c r="C2678" s="729" t="s">
        <v>465</v>
      </c>
      <c r="D2678" s="460"/>
      <c r="E2678" s="878" t="s">
        <v>2282</v>
      </c>
      <c r="F2678" s="881" t="s">
        <v>4081</v>
      </c>
      <c r="G2678" s="731" t="s">
        <v>2781</v>
      </c>
      <c r="H2678" s="1083">
        <v>42401</v>
      </c>
      <c r="I2678" s="1084">
        <v>42471</v>
      </c>
      <c r="J2678" s="957">
        <v>60.95</v>
      </c>
    </row>
    <row r="2679" spans="1:10" s="852" customFormat="1" outlineLevel="2">
      <c r="A2679" s="815" t="s">
        <v>962</v>
      </c>
      <c r="B2679" s="816" t="s">
        <v>7866</v>
      </c>
      <c r="C2679" s="729" t="s">
        <v>465</v>
      </c>
      <c r="D2679" s="460"/>
      <c r="E2679" s="878" t="s">
        <v>2282</v>
      </c>
      <c r="F2679" s="881" t="s">
        <v>4165</v>
      </c>
      <c r="G2679" s="731" t="s">
        <v>2782</v>
      </c>
      <c r="H2679" s="1083">
        <v>42401</v>
      </c>
      <c r="I2679" s="1084">
        <v>42471</v>
      </c>
      <c r="J2679" s="957">
        <v>719.18</v>
      </c>
    </row>
    <row r="2680" spans="1:10" s="852" customFormat="1" outlineLevel="2">
      <c r="A2680" s="815" t="s">
        <v>2271</v>
      </c>
      <c r="B2680" s="816" t="s">
        <v>7888</v>
      </c>
      <c r="C2680" s="729" t="s">
        <v>465</v>
      </c>
      <c r="D2680" s="460"/>
      <c r="E2680" s="878" t="s">
        <v>2710</v>
      </c>
      <c r="F2680" s="881" t="s">
        <v>4555</v>
      </c>
      <c r="G2680" s="731" t="s">
        <v>4223</v>
      </c>
      <c r="H2680" s="1083">
        <v>42401</v>
      </c>
      <c r="I2680" s="1084">
        <v>42475</v>
      </c>
      <c r="J2680" s="957">
        <v>28.25</v>
      </c>
    </row>
    <row r="2681" spans="1:10" s="852" customFormat="1" outlineLevel="2">
      <c r="A2681" s="815" t="s">
        <v>769</v>
      </c>
      <c r="B2681" s="816" t="s">
        <v>7864</v>
      </c>
      <c r="C2681" s="729" t="s">
        <v>465</v>
      </c>
      <c r="D2681" s="460"/>
      <c r="E2681" s="878" t="s">
        <v>2348</v>
      </c>
      <c r="F2681" s="881" t="s">
        <v>6168</v>
      </c>
      <c r="G2681" s="731" t="s">
        <v>4815</v>
      </c>
      <c r="H2681" s="1083">
        <v>42401</v>
      </c>
      <c r="I2681" s="1084">
        <v>42475</v>
      </c>
      <c r="J2681" s="957">
        <v>118.97</v>
      </c>
    </row>
    <row r="2682" spans="1:10" s="852" customFormat="1" outlineLevel="2">
      <c r="A2682" s="815" t="s">
        <v>768</v>
      </c>
      <c r="B2682" s="816" t="s">
        <v>7863</v>
      </c>
      <c r="C2682" s="729" t="s">
        <v>465</v>
      </c>
      <c r="D2682" s="460"/>
      <c r="E2682" s="878" t="s">
        <v>2348</v>
      </c>
      <c r="F2682" s="881" t="s">
        <v>6169</v>
      </c>
      <c r="G2682" s="731" t="s">
        <v>4816</v>
      </c>
      <c r="H2682" s="1083">
        <v>42401</v>
      </c>
      <c r="I2682" s="1084">
        <v>42475</v>
      </c>
      <c r="J2682" s="957">
        <v>611.28</v>
      </c>
    </row>
    <row r="2683" spans="1:10" s="852" customFormat="1" outlineLevel="2">
      <c r="A2683" s="815" t="s">
        <v>769</v>
      </c>
      <c r="B2683" s="816" t="s">
        <v>7864</v>
      </c>
      <c r="C2683" s="729" t="s">
        <v>465</v>
      </c>
      <c r="D2683" s="460"/>
      <c r="E2683" s="878" t="s">
        <v>2348</v>
      </c>
      <c r="F2683" s="881" t="s">
        <v>6170</v>
      </c>
      <c r="G2683" s="731" t="s">
        <v>4817</v>
      </c>
      <c r="H2683" s="1083">
        <v>42401</v>
      </c>
      <c r="I2683" s="1084">
        <v>42475</v>
      </c>
      <c r="J2683" s="957">
        <v>180.83</v>
      </c>
    </row>
    <row r="2684" spans="1:10" s="852" customFormat="1" outlineLevel="2">
      <c r="A2684" s="815" t="s">
        <v>2591</v>
      </c>
      <c r="B2684" s="816" t="s">
        <v>7883</v>
      </c>
      <c r="C2684" s="729" t="s">
        <v>465</v>
      </c>
      <c r="D2684" s="460"/>
      <c r="E2684" s="878" t="s">
        <v>2348</v>
      </c>
      <c r="F2684" s="881" t="s">
        <v>6171</v>
      </c>
      <c r="G2684" s="731" t="s">
        <v>4818</v>
      </c>
      <c r="H2684" s="1083">
        <v>42370</v>
      </c>
      <c r="I2684" s="1084">
        <v>42475</v>
      </c>
      <c r="J2684" s="957">
        <v>1447.51</v>
      </c>
    </row>
    <row r="2685" spans="1:10" s="852" customFormat="1" outlineLevel="2">
      <c r="A2685" s="815" t="s">
        <v>2592</v>
      </c>
      <c r="B2685" s="816" t="s">
        <v>7882</v>
      </c>
      <c r="C2685" s="729" t="s">
        <v>465</v>
      </c>
      <c r="D2685" s="460"/>
      <c r="E2685" s="878" t="s">
        <v>2348</v>
      </c>
      <c r="F2685" s="881" t="s">
        <v>6171</v>
      </c>
      <c r="G2685" s="731" t="s">
        <v>4818</v>
      </c>
      <c r="H2685" s="1083">
        <v>42370</v>
      </c>
      <c r="I2685" s="1084">
        <v>42475</v>
      </c>
      <c r="J2685" s="957">
        <v>5475.38</v>
      </c>
    </row>
    <row r="2686" spans="1:10" s="852" customFormat="1" outlineLevel="2">
      <c r="A2686" s="815" t="s">
        <v>769</v>
      </c>
      <c r="B2686" s="816" t="s">
        <v>7864</v>
      </c>
      <c r="C2686" s="729" t="s">
        <v>465</v>
      </c>
      <c r="D2686" s="460"/>
      <c r="E2686" s="878" t="s">
        <v>2348</v>
      </c>
      <c r="F2686" s="881" t="s">
        <v>6172</v>
      </c>
      <c r="G2686" s="731" t="s">
        <v>4819</v>
      </c>
      <c r="H2686" s="1083">
        <v>42401</v>
      </c>
      <c r="I2686" s="1084">
        <v>42475</v>
      </c>
      <c r="J2686" s="957">
        <v>176.07</v>
      </c>
    </row>
    <row r="2687" spans="1:10" s="852" customFormat="1" outlineLevel="2">
      <c r="A2687" s="815" t="s">
        <v>2305</v>
      </c>
      <c r="B2687" s="816" t="s">
        <v>7885</v>
      </c>
      <c r="C2687" s="729" t="s">
        <v>465</v>
      </c>
      <c r="D2687" s="460"/>
      <c r="E2687" s="878" t="s">
        <v>2348</v>
      </c>
      <c r="F2687" s="881" t="s">
        <v>4288</v>
      </c>
      <c r="G2687" s="731" t="s">
        <v>4820</v>
      </c>
      <c r="H2687" s="1083">
        <v>42401</v>
      </c>
      <c r="I2687" s="1084">
        <v>42475</v>
      </c>
      <c r="J2687" s="957">
        <v>506.88</v>
      </c>
    </row>
    <row r="2688" spans="1:10" s="852" customFormat="1" outlineLevel="2">
      <c r="A2688" s="815" t="s">
        <v>2591</v>
      </c>
      <c r="B2688" s="816" t="s">
        <v>7883</v>
      </c>
      <c r="C2688" s="729" t="s">
        <v>465</v>
      </c>
      <c r="D2688" s="460"/>
      <c r="E2688" s="878" t="s">
        <v>2348</v>
      </c>
      <c r="F2688" s="881" t="s">
        <v>5435</v>
      </c>
      <c r="G2688" s="731" t="s">
        <v>4821</v>
      </c>
      <c r="H2688" s="1083">
        <v>42401</v>
      </c>
      <c r="I2688" s="1084">
        <v>42475</v>
      </c>
      <c r="J2688" s="957">
        <v>1836.75</v>
      </c>
    </row>
    <row r="2689" spans="1:10" s="852" customFormat="1" outlineLevel="2">
      <c r="A2689" s="815" t="s">
        <v>2592</v>
      </c>
      <c r="B2689" s="816" t="s">
        <v>7882</v>
      </c>
      <c r="C2689" s="729" t="s">
        <v>465</v>
      </c>
      <c r="D2689" s="460"/>
      <c r="E2689" s="878" t="s">
        <v>2348</v>
      </c>
      <c r="F2689" s="881" t="s">
        <v>5435</v>
      </c>
      <c r="G2689" s="731" t="s">
        <v>4821</v>
      </c>
      <c r="H2689" s="1083">
        <v>42401</v>
      </c>
      <c r="I2689" s="1084">
        <v>42475</v>
      </c>
      <c r="J2689" s="957">
        <v>6947.74</v>
      </c>
    </row>
    <row r="2690" spans="1:10" s="852" customFormat="1" outlineLevel="2">
      <c r="A2690" s="815" t="s">
        <v>2591</v>
      </c>
      <c r="B2690" s="816" t="s">
        <v>7883</v>
      </c>
      <c r="C2690" s="729" t="s">
        <v>465</v>
      </c>
      <c r="D2690" s="460"/>
      <c r="E2690" s="878" t="s">
        <v>1909</v>
      </c>
      <c r="F2690" s="881" t="s">
        <v>6355</v>
      </c>
      <c r="G2690" s="731" t="s">
        <v>4833</v>
      </c>
      <c r="H2690" s="1083">
        <v>42370</v>
      </c>
      <c r="I2690" s="1084">
        <v>42480</v>
      </c>
      <c r="J2690" s="957">
        <v>868.5</v>
      </c>
    </row>
    <row r="2691" spans="1:10" s="852" customFormat="1" outlineLevel="2">
      <c r="A2691" s="815" t="s">
        <v>2592</v>
      </c>
      <c r="B2691" s="816" t="s">
        <v>7882</v>
      </c>
      <c r="C2691" s="729" t="s">
        <v>465</v>
      </c>
      <c r="D2691" s="460"/>
      <c r="E2691" s="878" t="s">
        <v>1909</v>
      </c>
      <c r="F2691" s="881" t="s">
        <v>6355</v>
      </c>
      <c r="G2691" s="731" t="s">
        <v>4833</v>
      </c>
      <c r="H2691" s="1083">
        <v>42370</v>
      </c>
      <c r="I2691" s="1084">
        <v>42480</v>
      </c>
      <c r="J2691" s="957">
        <v>3285.23</v>
      </c>
    </row>
    <row r="2692" spans="1:10" s="852" customFormat="1" outlineLevel="2">
      <c r="A2692" s="815" t="s">
        <v>2591</v>
      </c>
      <c r="B2692" s="816" t="s">
        <v>7883</v>
      </c>
      <c r="C2692" s="729" t="s">
        <v>465</v>
      </c>
      <c r="D2692" s="460"/>
      <c r="E2692" s="878" t="s">
        <v>1909</v>
      </c>
      <c r="F2692" s="881" t="s">
        <v>5429</v>
      </c>
      <c r="G2692" s="731" t="s">
        <v>4874</v>
      </c>
      <c r="H2692" s="1083">
        <v>42401</v>
      </c>
      <c r="I2692" s="1084">
        <v>42480</v>
      </c>
      <c r="J2692" s="957">
        <v>1102.05</v>
      </c>
    </row>
    <row r="2693" spans="1:10" s="852" customFormat="1" outlineLevel="2">
      <c r="A2693" s="815" t="s">
        <v>2592</v>
      </c>
      <c r="B2693" s="816" t="s">
        <v>7882</v>
      </c>
      <c r="C2693" s="729" t="s">
        <v>465</v>
      </c>
      <c r="D2693" s="460"/>
      <c r="E2693" s="878" t="s">
        <v>1909</v>
      </c>
      <c r="F2693" s="881" t="s">
        <v>5429</v>
      </c>
      <c r="G2693" s="731" t="s">
        <v>4874</v>
      </c>
      <c r="H2693" s="1083">
        <v>42401</v>
      </c>
      <c r="I2693" s="1084">
        <v>42480</v>
      </c>
      <c r="J2693" s="957">
        <v>4168.6400000000003</v>
      </c>
    </row>
    <row r="2694" spans="1:10" s="852" customFormat="1" outlineLevel="2">
      <c r="A2694" s="815" t="s">
        <v>962</v>
      </c>
      <c r="B2694" s="816" t="s">
        <v>7866</v>
      </c>
      <c r="C2694" s="729" t="s">
        <v>465</v>
      </c>
      <c r="D2694" s="460"/>
      <c r="E2694" s="878" t="s">
        <v>1909</v>
      </c>
      <c r="F2694" s="881" t="s">
        <v>3935</v>
      </c>
      <c r="G2694" s="731" t="s">
        <v>2817</v>
      </c>
      <c r="H2694" s="1083">
        <v>42401</v>
      </c>
      <c r="I2694" s="1084">
        <v>42480</v>
      </c>
      <c r="J2694" s="957">
        <v>571.84</v>
      </c>
    </row>
    <row r="2695" spans="1:10" s="852" customFormat="1" outlineLevel="2">
      <c r="A2695" s="815" t="s">
        <v>962</v>
      </c>
      <c r="B2695" s="816" t="s">
        <v>7866</v>
      </c>
      <c r="C2695" s="729" t="s">
        <v>465</v>
      </c>
      <c r="D2695" s="460"/>
      <c r="E2695" s="878" t="s">
        <v>1909</v>
      </c>
      <c r="F2695" s="881" t="s">
        <v>4027</v>
      </c>
      <c r="G2695" s="731" t="s">
        <v>2819</v>
      </c>
      <c r="H2695" s="1083">
        <v>42401</v>
      </c>
      <c r="I2695" s="1084">
        <v>42480</v>
      </c>
      <c r="J2695" s="957">
        <v>18.28</v>
      </c>
    </row>
    <row r="2696" spans="1:10" s="852" customFormat="1" outlineLevel="2">
      <c r="A2696" s="815" t="s">
        <v>962</v>
      </c>
      <c r="B2696" s="816" t="s">
        <v>7866</v>
      </c>
      <c r="C2696" s="729" t="s">
        <v>465</v>
      </c>
      <c r="D2696" s="460"/>
      <c r="E2696" s="878" t="s">
        <v>1909</v>
      </c>
      <c r="F2696" s="881" t="s">
        <v>4129</v>
      </c>
      <c r="G2696" s="731" t="s">
        <v>2821</v>
      </c>
      <c r="H2696" s="1083">
        <v>42401</v>
      </c>
      <c r="I2696" s="1084">
        <v>42480</v>
      </c>
      <c r="J2696" s="957">
        <v>215.75</v>
      </c>
    </row>
    <row r="2697" spans="1:10" s="852" customFormat="1" outlineLevel="2">
      <c r="A2697" s="815" t="s">
        <v>2271</v>
      </c>
      <c r="B2697" s="816" t="s">
        <v>7888</v>
      </c>
      <c r="C2697" s="729" t="s">
        <v>465</v>
      </c>
      <c r="D2697" s="460"/>
      <c r="E2697" s="878" t="s">
        <v>1909</v>
      </c>
      <c r="F2697" s="881" t="s">
        <v>4544</v>
      </c>
      <c r="G2697" s="731" t="s">
        <v>4260</v>
      </c>
      <c r="H2697" s="1083">
        <v>42401</v>
      </c>
      <c r="I2697" s="1084">
        <v>42480</v>
      </c>
      <c r="J2697" s="957">
        <v>21.19</v>
      </c>
    </row>
    <row r="2698" spans="1:10" s="852" customFormat="1" outlineLevel="2">
      <c r="A2698" s="815" t="s">
        <v>2275</v>
      </c>
      <c r="B2698" s="816" t="s">
        <v>7877</v>
      </c>
      <c r="C2698" s="729" t="s">
        <v>465</v>
      </c>
      <c r="D2698" s="460"/>
      <c r="E2698" s="878" t="s">
        <v>1909</v>
      </c>
      <c r="F2698" s="881" t="s">
        <v>5212</v>
      </c>
      <c r="G2698" s="731" t="s">
        <v>4873</v>
      </c>
      <c r="H2698" s="1083">
        <v>42430</v>
      </c>
      <c r="I2698" s="1084">
        <v>42480</v>
      </c>
      <c r="J2698" s="957">
        <v>202.61</v>
      </c>
    </row>
    <row r="2699" spans="1:10" s="852" customFormat="1" outlineLevel="2">
      <c r="A2699" s="815" t="s">
        <v>770</v>
      </c>
      <c r="B2699" s="816" t="s">
        <v>7877</v>
      </c>
      <c r="C2699" s="729" t="s">
        <v>465</v>
      </c>
      <c r="D2699" s="460"/>
      <c r="E2699" s="878" t="s">
        <v>1909</v>
      </c>
      <c r="F2699" s="881" t="s">
        <v>4542</v>
      </c>
      <c r="G2699" s="731" t="s">
        <v>4872</v>
      </c>
      <c r="H2699" s="1083">
        <v>42430</v>
      </c>
      <c r="I2699" s="1084">
        <v>42480</v>
      </c>
      <c r="J2699" s="957">
        <v>70.739999999999995</v>
      </c>
    </row>
    <row r="2700" spans="1:10" s="852" customFormat="1" ht="28.5" outlineLevel="2">
      <c r="A2700" s="815" t="s">
        <v>768</v>
      </c>
      <c r="B2700" s="816" t="s">
        <v>7863</v>
      </c>
      <c r="C2700" s="729" t="s">
        <v>465</v>
      </c>
      <c r="D2700" s="460"/>
      <c r="E2700" s="878" t="s">
        <v>1909</v>
      </c>
      <c r="F2700" s="881" t="s">
        <v>6352</v>
      </c>
      <c r="G2700" s="731" t="s">
        <v>4827</v>
      </c>
      <c r="H2700" s="1083">
        <v>42401</v>
      </c>
      <c r="I2700" s="1084">
        <v>42480</v>
      </c>
      <c r="J2700" s="957">
        <v>305.64</v>
      </c>
    </row>
    <row r="2701" spans="1:10" s="852" customFormat="1" outlineLevel="2">
      <c r="A2701" s="815" t="s">
        <v>769</v>
      </c>
      <c r="B2701" s="816" t="s">
        <v>7864</v>
      </c>
      <c r="C2701" s="729" t="s">
        <v>465</v>
      </c>
      <c r="D2701" s="460"/>
      <c r="E2701" s="878" t="s">
        <v>1909</v>
      </c>
      <c r="F2701" s="881" t="s">
        <v>6354</v>
      </c>
      <c r="G2701" s="731" t="s">
        <v>4830</v>
      </c>
      <c r="H2701" s="1083">
        <v>42401</v>
      </c>
      <c r="I2701" s="1084">
        <v>42480</v>
      </c>
      <c r="J2701" s="957">
        <v>90.42</v>
      </c>
    </row>
    <row r="2702" spans="1:10" s="852" customFormat="1" outlineLevel="2">
      <c r="A2702" s="815" t="s">
        <v>769</v>
      </c>
      <c r="B2702" s="816" t="s">
        <v>7864</v>
      </c>
      <c r="C2702" s="729" t="s">
        <v>465</v>
      </c>
      <c r="D2702" s="460"/>
      <c r="E2702" s="878" t="s">
        <v>1909</v>
      </c>
      <c r="F2702" s="881" t="s">
        <v>6350</v>
      </c>
      <c r="G2702" s="731" t="s">
        <v>4824</v>
      </c>
      <c r="H2702" s="1083">
        <v>42401</v>
      </c>
      <c r="I2702" s="1084">
        <v>42480</v>
      </c>
      <c r="J2702" s="957">
        <v>59.48</v>
      </c>
    </row>
    <row r="2703" spans="1:10" s="852" customFormat="1" outlineLevel="2">
      <c r="A2703" s="815" t="s">
        <v>769</v>
      </c>
      <c r="B2703" s="816" t="s">
        <v>7864</v>
      </c>
      <c r="C2703" s="729" t="s">
        <v>465</v>
      </c>
      <c r="D2703" s="460"/>
      <c r="E2703" s="878" t="s">
        <v>1909</v>
      </c>
      <c r="F2703" s="881" t="s">
        <v>6356</v>
      </c>
      <c r="G2703" s="731" t="s">
        <v>4840</v>
      </c>
      <c r="H2703" s="1083">
        <v>42401</v>
      </c>
      <c r="I2703" s="1084">
        <v>42480</v>
      </c>
      <c r="J2703" s="957">
        <v>88.04</v>
      </c>
    </row>
    <row r="2704" spans="1:10" s="852" customFormat="1" ht="28.5" outlineLevel="2">
      <c r="A2704" s="815" t="s">
        <v>2591</v>
      </c>
      <c r="B2704" s="816" t="s">
        <v>7883</v>
      </c>
      <c r="C2704" s="729" t="s">
        <v>465</v>
      </c>
      <c r="D2704" s="460"/>
      <c r="E2704" s="878" t="s">
        <v>1909</v>
      </c>
      <c r="F2704" s="881" t="s">
        <v>2805</v>
      </c>
      <c r="G2704" s="731" t="s">
        <v>4851</v>
      </c>
      <c r="H2704" s="1083">
        <v>42370</v>
      </c>
      <c r="I2704" s="1084">
        <v>42480</v>
      </c>
      <c r="J2704" s="957">
        <v>2692.38</v>
      </c>
    </row>
    <row r="2705" spans="1:10" s="852" customFormat="1" ht="28.5" outlineLevel="2">
      <c r="A2705" s="815" t="s">
        <v>2592</v>
      </c>
      <c r="B2705" s="816" t="s">
        <v>7882</v>
      </c>
      <c r="C2705" s="729" t="s">
        <v>465</v>
      </c>
      <c r="D2705" s="460"/>
      <c r="E2705" s="878" t="s">
        <v>1909</v>
      </c>
      <c r="F2705" s="881" t="s">
        <v>2805</v>
      </c>
      <c r="G2705" s="731" t="s">
        <v>4851</v>
      </c>
      <c r="H2705" s="1083">
        <v>42370</v>
      </c>
      <c r="I2705" s="1084">
        <v>42480</v>
      </c>
      <c r="J2705" s="957">
        <v>10184.209999999999</v>
      </c>
    </row>
    <row r="2706" spans="1:10" s="852" customFormat="1" ht="28.5" outlineLevel="2">
      <c r="A2706" s="815" t="s">
        <v>962</v>
      </c>
      <c r="B2706" s="816" t="s">
        <v>7866</v>
      </c>
      <c r="C2706" s="729" t="s">
        <v>465</v>
      </c>
      <c r="D2706" s="460"/>
      <c r="E2706" s="878" t="s">
        <v>1909</v>
      </c>
      <c r="F2706" s="881" t="s">
        <v>4956</v>
      </c>
      <c r="G2706" s="731" t="s">
        <v>2833</v>
      </c>
      <c r="H2706" s="1083">
        <v>42401</v>
      </c>
      <c r="I2706" s="1084">
        <v>42480</v>
      </c>
      <c r="J2706" s="957">
        <v>1772.72</v>
      </c>
    </row>
    <row r="2707" spans="1:10" s="852" customFormat="1" ht="28.5" outlineLevel="2">
      <c r="A2707" s="815" t="s">
        <v>962</v>
      </c>
      <c r="B2707" s="816" t="s">
        <v>7866</v>
      </c>
      <c r="C2707" s="729" t="s">
        <v>465</v>
      </c>
      <c r="D2707" s="460"/>
      <c r="E2707" s="878" t="s">
        <v>1909</v>
      </c>
      <c r="F2707" s="881" t="s">
        <v>4903</v>
      </c>
      <c r="G2707" s="731" t="s">
        <v>2832</v>
      </c>
      <c r="H2707" s="1083">
        <v>42401</v>
      </c>
      <c r="I2707" s="1084">
        <v>42480</v>
      </c>
      <c r="J2707" s="957">
        <v>56.68</v>
      </c>
    </row>
    <row r="2708" spans="1:10" s="852" customFormat="1" ht="28.5" outlineLevel="2">
      <c r="A2708" s="815" t="s">
        <v>962</v>
      </c>
      <c r="B2708" s="816" t="s">
        <v>7866</v>
      </c>
      <c r="C2708" s="729" t="s">
        <v>465</v>
      </c>
      <c r="D2708" s="460"/>
      <c r="E2708" s="878" t="s">
        <v>1909</v>
      </c>
      <c r="F2708" s="881" t="s">
        <v>4853</v>
      </c>
      <c r="G2708" s="731" t="s">
        <v>2831</v>
      </c>
      <c r="H2708" s="1083">
        <v>42401</v>
      </c>
      <c r="I2708" s="1084">
        <v>42480</v>
      </c>
      <c r="J2708" s="957">
        <v>668.84</v>
      </c>
    </row>
    <row r="2709" spans="1:10" s="852" customFormat="1" ht="28.5" outlineLevel="2">
      <c r="A2709" s="815" t="s">
        <v>2271</v>
      </c>
      <c r="B2709" s="816" t="s">
        <v>7888</v>
      </c>
      <c r="C2709" s="729" t="s">
        <v>465</v>
      </c>
      <c r="D2709" s="460"/>
      <c r="E2709" s="878" t="s">
        <v>1909</v>
      </c>
      <c r="F2709" s="881" t="s">
        <v>6310</v>
      </c>
      <c r="G2709" s="731" t="s">
        <v>4234</v>
      </c>
      <c r="H2709" s="1083">
        <v>42370</v>
      </c>
      <c r="I2709" s="1084">
        <v>42480</v>
      </c>
      <c r="J2709" s="957">
        <v>43.77</v>
      </c>
    </row>
    <row r="2710" spans="1:10" s="852" customFormat="1" ht="28.5" outlineLevel="2">
      <c r="A2710" s="815" t="s">
        <v>2271</v>
      </c>
      <c r="B2710" s="816" t="s">
        <v>7888</v>
      </c>
      <c r="C2710" s="729" t="s">
        <v>465</v>
      </c>
      <c r="D2710" s="460"/>
      <c r="E2710" s="878" t="s">
        <v>1909</v>
      </c>
      <c r="F2710" s="881" t="s">
        <v>6310</v>
      </c>
      <c r="G2710" s="731" t="s">
        <v>4235</v>
      </c>
      <c r="H2710" s="1083">
        <v>42370</v>
      </c>
      <c r="I2710" s="1084">
        <v>42480</v>
      </c>
      <c r="J2710" s="957">
        <v>51.5</v>
      </c>
    </row>
    <row r="2711" spans="1:10" s="852" customFormat="1" ht="28.5" outlineLevel="2">
      <c r="A2711" s="815" t="s">
        <v>2271</v>
      </c>
      <c r="B2711" s="816" t="s">
        <v>7888</v>
      </c>
      <c r="C2711" s="729" t="s">
        <v>465</v>
      </c>
      <c r="D2711" s="460"/>
      <c r="E2711" s="878" t="s">
        <v>1909</v>
      </c>
      <c r="F2711" s="881" t="s">
        <v>4694</v>
      </c>
      <c r="G2711" s="731" t="s">
        <v>4262</v>
      </c>
      <c r="H2711" s="1083">
        <v>42401</v>
      </c>
      <c r="I2711" s="1084">
        <v>42480</v>
      </c>
      <c r="J2711" s="957">
        <v>30.15</v>
      </c>
    </row>
    <row r="2712" spans="1:10" s="852" customFormat="1" ht="28.5" outlineLevel="2">
      <c r="A2712" s="815" t="s">
        <v>2271</v>
      </c>
      <c r="B2712" s="816" t="s">
        <v>7888</v>
      </c>
      <c r="C2712" s="729" t="s">
        <v>465</v>
      </c>
      <c r="D2712" s="460"/>
      <c r="E2712" s="878" t="s">
        <v>1909</v>
      </c>
      <c r="F2712" s="881" t="s">
        <v>4694</v>
      </c>
      <c r="G2712" s="731" t="s">
        <v>4264</v>
      </c>
      <c r="H2712" s="1083">
        <v>42401</v>
      </c>
      <c r="I2712" s="1084">
        <v>42480</v>
      </c>
      <c r="J2712" s="957">
        <v>35.53</v>
      </c>
    </row>
    <row r="2713" spans="1:10" s="852" customFormat="1" ht="28.5" outlineLevel="2">
      <c r="A2713" s="815" t="s">
        <v>771</v>
      </c>
      <c r="B2713" s="816" t="s">
        <v>7889</v>
      </c>
      <c r="C2713" s="729" t="s">
        <v>465</v>
      </c>
      <c r="D2713" s="460"/>
      <c r="E2713" s="878" t="s">
        <v>1909</v>
      </c>
      <c r="F2713" s="881" t="s">
        <v>2958</v>
      </c>
      <c r="G2713" s="731" t="s">
        <v>4857</v>
      </c>
      <c r="H2713" s="1083">
        <v>42370</v>
      </c>
      <c r="I2713" s="1084">
        <v>42480</v>
      </c>
      <c r="J2713" s="957">
        <v>375.49</v>
      </c>
    </row>
    <row r="2714" spans="1:10" s="852" customFormat="1" ht="28.5" outlineLevel="2">
      <c r="A2714" s="815" t="s">
        <v>771</v>
      </c>
      <c r="B2714" s="816" t="s">
        <v>7889</v>
      </c>
      <c r="C2714" s="729" t="s">
        <v>465</v>
      </c>
      <c r="D2714" s="460"/>
      <c r="E2714" s="878" t="s">
        <v>1909</v>
      </c>
      <c r="F2714" s="881" t="s">
        <v>2958</v>
      </c>
      <c r="G2714" s="731" t="s">
        <v>4861</v>
      </c>
      <c r="H2714" s="1083">
        <v>42370</v>
      </c>
      <c r="I2714" s="1084">
        <v>42480</v>
      </c>
      <c r="J2714" s="957">
        <v>375.49</v>
      </c>
    </row>
    <row r="2715" spans="1:10" s="852" customFormat="1" ht="28.5" outlineLevel="2">
      <c r="A2715" s="815" t="s">
        <v>771</v>
      </c>
      <c r="B2715" s="816" t="s">
        <v>7889</v>
      </c>
      <c r="C2715" s="729" t="s">
        <v>465</v>
      </c>
      <c r="D2715" s="460"/>
      <c r="E2715" s="878" t="s">
        <v>1909</v>
      </c>
      <c r="F2715" s="881" t="s">
        <v>2958</v>
      </c>
      <c r="G2715" s="731" t="s">
        <v>4862</v>
      </c>
      <c r="H2715" s="1083">
        <v>42370</v>
      </c>
      <c r="I2715" s="1084">
        <v>42480</v>
      </c>
      <c r="J2715" s="957">
        <v>-375.49</v>
      </c>
    </row>
    <row r="2716" spans="1:10" s="852" customFormat="1" ht="28.5" outlineLevel="2">
      <c r="A2716" s="815" t="s">
        <v>2275</v>
      </c>
      <c r="B2716" s="816" t="s">
        <v>7877</v>
      </c>
      <c r="C2716" s="729" t="s">
        <v>465</v>
      </c>
      <c r="D2716" s="460"/>
      <c r="E2716" s="878" t="s">
        <v>1909</v>
      </c>
      <c r="F2716" s="881" t="s">
        <v>6349</v>
      </c>
      <c r="G2716" s="731" t="s">
        <v>4822</v>
      </c>
      <c r="H2716" s="1083">
        <v>42370</v>
      </c>
      <c r="I2716" s="1084">
        <v>42480</v>
      </c>
      <c r="J2716" s="957">
        <v>871.98</v>
      </c>
    </row>
    <row r="2717" spans="1:10" s="852" customFormat="1" ht="28.5" outlineLevel="2">
      <c r="A2717" s="815" t="s">
        <v>2275</v>
      </c>
      <c r="B2717" s="816" t="s">
        <v>7877</v>
      </c>
      <c r="C2717" s="729" t="s">
        <v>465</v>
      </c>
      <c r="D2717" s="460"/>
      <c r="E2717" s="878" t="s">
        <v>1909</v>
      </c>
      <c r="F2717" s="881" t="s">
        <v>6349</v>
      </c>
      <c r="G2717" s="731" t="s">
        <v>4823</v>
      </c>
      <c r="H2717" s="1083">
        <v>42370</v>
      </c>
      <c r="I2717" s="1084">
        <v>42480</v>
      </c>
      <c r="J2717" s="957">
        <v>871.98</v>
      </c>
    </row>
    <row r="2718" spans="1:10" s="852" customFormat="1" ht="28.5" outlineLevel="2">
      <c r="A2718" s="815" t="s">
        <v>2275</v>
      </c>
      <c r="B2718" s="816" t="s">
        <v>7877</v>
      </c>
      <c r="C2718" s="729" t="s">
        <v>465</v>
      </c>
      <c r="D2718" s="460"/>
      <c r="E2718" s="878" t="s">
        <v>1909</v>
      </c>
      <c r="F2718" s="881" t="s">
        <v>6349</v>
      </c>
      <c r="G2718" s="731" t="s">
        <v>4825</v>
      </c>
      <c r="H2718" s="1083">
        <v>42370</v>
      </c>
      <c r="I2718" s="1084">
        <v>42480</v>
      </c>
      <c r="J2718" s="957">
        <v>-871.98</v>
      </c>
    </row>
    <row r="2719" spans="1:10" s="852" customFormat="1" ht="28.5" outlineLevel="2">
      <c r="A2719" s="815" t="s">
        <v>768</v>
      </c>
      <c r="B2719" s="816" t="s">
        <v>7863</v>
      </c>
      <c r="C2719" s="729" t="s">
        <v>465</v>
      </c>
      <c r="D2719" s="460"/>
      <c r="E2719" s="878" t="s">
        <v>1909</v>
      </c>
      <c r="F2719" s="881" t="s">
        <v>6351</v>
      </c>
      <c r="G2719" s="731" t="s">
        <v>4826</v>
      </c>
      <c r="H2719" s="1083">
        <v>42370</v>
      </c>
      <c r="I2719" s="1084">
        <v>42480</v>
      </c>
      <c r="J2719" s="957">
        <v>1453.64</v>
      </c>
    </row>
    <row r="2720" spans="1:10" s="852" customFormat="1" ht="28.5" outlineLevel="2">
      <c r="A2720" s="815" t="s">
        <v>769</v>
      </c>
      <c r="B2720" s="816" t="s">
        <v>7864</v>
      </c>
      <c r="C2720" s="729" t="s">
        <v>465</v>
      </c>
      <c r="D2720" s="460"/>
      <c r="E2720" s="878" t="s">
        <v>1909</v>
      </c>
      <c r="F2720" s="881" t="s">
        <v>3548</v>
      </c>
      <c r="G2720" s="731" t="s">
        <v>4866</v>
      </c>
      <c r="H2720" s="1083">
        <v>42401</v>
      </c>
      <c r="I2720" s="1084">
        <v>42480</v>
      </c>
      <c r="J2720" s="957">
        <v>-38.81</v>
      </c>
    </row>
    <row r="2721" spans="1:10" s="852" customFormat="1" ht="28.5" outlineLevel="2">
      <c r="A2721" s="815" t="s">
        <v>769</v>
      </c>
      <c r="B2721" s="816" t="s">
        <v>7864</v>
      </c>
      <c r="C2721" s="729" t="s">
        <v>465</v>
      </c>
      <c r="D2721" s="460"/>
      <c r="E2721" s="878" t="s">
        <v>1909</v>
      </c>
      <c r="F2721" s="881" t="s">
        <v>3548</v>
      </c>
      <c r="G2721" s="731" t="s">
        <v>4868</v>
      </c>
      <c r="H2721" s="1083">
        <v>42401</v>
      </c>
      <c r="I2721" s="1084">
        <v>42480</v>
      </c>
      <c r="J2721" s="957">
        <v>38.81</v>
      </c>
    </row>
    <row r="2722" spans="1:10" s="852" customFormat="1" ht="28.5" outlineLevel="2">
      <c r="A2722" s="815" t="s">
        <v>769</v>
      </c>
      <c r="B2722" s="816" t="s">
        <v>7864</v>
      </c>
      <c r="C2722" s="729" t="s">
        <v>465</v>
      </c>
      <c r="D2722" s="460"/>
      <c r="E2722" s="878" t="s">
        <v>1909</v>
      </c>
      <c r="F2722" s="881" t="s">
        <v>2902</v>
      </c>
      <c r="G2722" s="731" t="s">
        <v>4836</v>
      </c>
      <c r="H2722" s="1083">
        <v>42370</v>
      </c>
      <c r="I2722" s="1084">
        <v>42480</v>
      </c>
      <c r="J2722" s="957">
        <v>-276.60000000000002</v>
      </c>
    </row>
    <row r="2723" spans="1:10" s="852" customFormat="1" ht="28.5" outlineLevel="2">
      <c r="A2723" s="815" t="s">
        <v>769</v>
      </c>
      <c r="B2723" s="816" t="s">
        <v>7864</v>
      </c>
      <c r="C2723" s="729" t="s">
        <v>465</v>
      </c>
      <c r="D2723" s="460"/>
      <c r="E2723" s="878" t="s">
        <v>1909</v>
      </c>
      <c r="F2723" s="881" t="s">
        <v>2902</v>
      </c>
      <c r="G2723" s="731" t="s">
        <v>4842</v>
      </c>
      <c r="H2723" s="1083">
        <v>42370</v>
      </c>
      <c r="I2723" s="1084">
        <v>42480</v>
      </c>
      <c r="J2723" s="957">
        <v>-276.60000000000002</v>
      </c>
    </row>
    <row r="2724" spans="1:10" s="852" customFormat="1" ht="28.5" outlineLevel="2">
      <c r="A2724" s="815" t="s">
        <v>769</v>
      </c>
      <c r="B2724" s="816" t="s">
        <v>7864</v>
      </c>
      <c r="C2724" s="729" t="s">
        <v>465</v>
      </c>
      <c r="D2724" s="460"/>
      <c r="E2724" s="878" t="s">
        <v>1909</v>
      </c>
      <c r="F2724" s="881" t="s">
        <v>2902</v>
      </c>
      <c r="G2724" s="731" t="s">
        <v>4854</v>
      </c>
      <c r="H2724" s="1083">
        <v>42370</v>
      </c>
      <c r="I2724" s="1084">
        <v>42480</v>
      </c>
      <c r="J2724" s="957">
        <v>276.60000000000002</v>
      </c>
    </row>
    <row r="2725" spans="1:10" s="852" customFormat="1" ht="28.5" outlineLevel="2">
      <c r="A2725" s="815" t="s">
        <v>769</v>
      </c>
      <c r="B2725" s="816" t="s">
        <v>7864</v>
      </c>
      <c r="C2725" s="729" t="s">
        <v>465</v>
      </c>
      <c r="D2725" s="460"/>
      <c r="E2725" s="878" t="s">
        <v>1909</v>
      </c>
      <c r="F2725" s="881" t="s">
        <v>2902</v>
      </c>
      <c r="G2725" s="731" t="s">
        <v>4858</v>
      </c>
      <c r="H2725" s="1083">
        <v>42370</v>
      </c>
      <c r="I2725" s="1084">
        <v>42480</v>
      </c>
      <c r="J2725" s="957">
        <v>276.60000000000002</v>
      </c>
    </row>
    <row r="2726" spans="1:10" s="852" customFormat="1" ht="28.5" outlineLevel="2">
      <c r="A2726" s="815" t="s">
        <v>769</v>
      </c>
      <c r="B2726" s="816" t="s">
        <v>7864</v>
      </c>
      <c r="C2726" s="729" t="s">
        <v>465</v>
      </c>
      <c r="D2726" s="460"/>
      <c r="E2726" s="878" t="s">
        <v>1909</v>
      </c>
      <c r="F2726" s="881" t="s">
        <v>2902</v>
      </c>
      <c r="G2726" s="731" t="s">
        <v>4863</v>
      </c>
      <c r="H2726" s="1083">
        <v>42370</v>
      </c>
      <c r="I2726" s="1084">
        <v>42480</v>
      </c>
      <c r="J2726" s="957">
        <v>276.60000000000002</v>
      </c>
    </row>
    <row r="2727" spans="1:10" s="852" customFormat="1" ht="28.5" outlineLevel="2">
      <c r="A2727" s="815" t="s">
        <v>769</v>
      </c>
      <c r="B2727" s="816" t="s">
        <v>7864</v>
      </c>
      <c r="C2727" s="729" t="s">
        <v>465</v>
      </c>
      <c r="D2727" s="460"/>
      <c r="E2727" s="878" t="s">
        <v>1909</v>
      </c>
      <c r="F2727" s="881" t="s">
        <v>2933</v>
      </c>
      <c r="G2727" s="731" t="s">
        <v>4838</v>
      </c>
      <c r="H2727" s="1083">
        <v>42370</v>
      </c>
      <c r="I2727" s="1084">
        <v>42480</v>
      </c>
      <c r="J2727" s="957">
        <v>-25.53</v>
      </c>
    </row>
    <row r="2728" spans="1:10" s="852" customFormat="1" ht="28.5" outlineLevel="2">
      <c r="A2728" s="815" t="s">
        <v>769</v>
      </c>
      <c r="B2728" s="816" t="s">
        <v>7864</v>
      </c>
      <c r="C2728" s="729" t="s">
        <v>465</v>
      </c>
      <c r="D2728" s="460"/>
      <c r="E2728" s="878" t="s">
        <v>1909</v>
      </c>
      <c r="F2728" s="881" t="s">
        <v>2933</v>
      </c>
      <c r="G2728" s="731" t="s">
        <v>4844</v>
      </c>
      <c r="H2728" s="1083">
        <v>42370</v>
      </c>
      <c r="I2728" s="1084">
        <v>42480</v>
      </c>
      <c r="J2728" s="957">
        <v>-25.53</v>
      </c>
    </row>
    <row r="2729" spans="1:10" s="852" customFormat="1" ht="28.5" outlineLevel="2">
      <c r="A2729" s="815" t="s">
        <v>769</v>
      </c>
      <c r="B2729" s="816" t="s">
        <v>7864</v>
      </c>
      <c r="C2729" s="729" t="s">
        <v>465</v>
      </c>
      <c r="D2729" s="460"/>
      <c r="E2729" s="878" t="s">
        <v>1909</v>
      </c>
      <c r="F2729" s="881" t="s">
        <v>2933</v>
      </c>
      <c r="G2729" s="731" t="s">
        <v>4856</v>
      </c>
      <c r="H2729" s="1083">
        <v>42370</v>
      </c>
      <c r="I2729" s="1084">
        <v>42480</v>
      </c>
      <c r="J2729" s="957">
        <v>25.53</v>
      </c>
    </row>
    <row r="2730" spans="1:10" s="852" customFormat="1" ht="28.5" outlineLevel="2">
      <c r="A2730" s="815" t="s">
        <v>769</v>
      </c>
      <c r="B2730" s="816" t="s">
        <v>7864</v>
      </c>
      <c r="C2730" s="729" t="s">
        <v>465</v>
      </c>
      <c r="D2730" s="460"/>
      <c r="E2730" s="878" t="s">
        <v>1909</v>
      </c>
      <c r="F2730" s="881" t="s">
        <v>2933</v>
      </c>
      <c r="G2730" s="731" t="s">
        <v>4860</v>
      </c>
      <c r="H2730" s="1083">
        <v>42370</v>
      </c>
      <c r="I2730" s="1084">
        <v>42480</v>
      </c>
      <c r="J2730" s="957">
        <v>25.53</v>
      </c>
    </row>
    <row r="2731" spans="1:10" s="852" customFormat="1" ht="28.5" outlineLevel="2">
      <c r="A2731" s="815" t="s">
        <v>769</v>
      </c>
      <c r="B2731" s="816" t="s">
        <v>7864</v>
      </c>
      <c r="C2731" s="729" t="s">
        <v>465</v>
      </c>
      <c r="D2731" s="460"/>
      <c r="E2731" s="878" t="s">
        <v>1909</v>
      </c>
      <c r="F2731" s="881" t="s">
        <v>2933</v>
      </c>
      <c r="G2731" s="731" t="s">
        <v>4865</v>
      </c>
      <c r="H2731" s="1083">
        <v>42370</v>
      </c>
      <c r="I2731" s="1084">
        <v>42480</v>
      </c>
      <c r="J2731" s="957">
        <v>25.53</v>
      </c>
    </row>
    <row r="2732" spans="1:10" s="852" customFormat="1" ht="28.5" outlineLevel="2">
      <c r="A2732" s="815" t="s">
        <v>769</v>
      </c>
      <c r="B2732" s="816" t="s">
        <v>7864</v>
      </c>
      <c r="C2732" s="729" t="s">
        <v>465</v>
      </c>
      <c r="D2732" s="460"/>
      <c r="E2732" s="878" t="s">
        <v>1909</v>
      </c>
      <c r="F2732" s="881" t="s">
        <v>3690</v>
      </c>
      <c r="G2732" s="731" t="s">
        <v>4867</v>
      </c>
      <c r="H2732" s="1083">
        <v>42370</v>
      </c>
      <c r="I2732" s="1084">
        <v>42480</v>
      </c>
      <c r="J2732" s="957">
        <v>-409.37</v>
      </c>
    </row>
    <row r="2733" spans="1:10" s="852" customFormat="1" ht="28.5" outlineLevel="2">
      <c r="A2733" s="815" t="s">
        <v>769</v>
      </c>
      <c r="B2733" s="816" t="s">
        <v>7864</v>
      </c>
      <c r="C2733" s="729" t="s">
        <v>465</v>
      </c>
      <c r="D2733" s="460"/>
      <c r="E2733" s="878" t="s">
        <v>1909</v>
      </c>
      <c r="F2733" s="881" t="s">
        <v>3690</v>
      </c>
      <c r="G2733" s="731" t="s">
        <v>4869</v>
      </c>
      <c r="H2733" s="1083">
        <v>42370</v>
      </c>
      <c r="I2733" s="1084">
        <v>42480</v>
      </c>
      <c r="J2733" s="957">
        <v>409.37</v>
      </c>
    </row>
    <row r="2734" spans="1:10" s="852" customFormat="1" ht="28.5" outlineLevel="2">
      <c r="A2734" s="815" t="s">
        <v>769</v>
      </c>
      <c r="B2734" s="816" t="s">
        <v>7864</v>
      </c>
      <c r="C2734" s="729" t="s">
        <v>465</v>
      </c>
      <c r="D2734" s="460"/>
      <c r="E2734" s="878" t="s">
        <v>1909</v>
      </c>
      <c r="F2734" s="881" t="s">
        <v>3690</v>
      </c>
      <c r="G2734" s="731" t="s">
        <v>4870</v>
      </c>
      <c r="H2734" s="1083">
        <v>42370</v>
      </c>
      <c r="I2734" s="1084">
        <v>42480</v>
      </c>
      <c r="J2734" s="957">
        <v>409.37</v>
      </c>
    </row>
    <row r="2735" spans="1:10" s="852" customFormat="1" ht="28.5" outlineLevel="2">
      <c r="A2735" s="815" t="s">
        <v>769</v>
      </c>
      <c r="B2735" s="816" t="s">
        <v>7864</v>
      </c>
      <c r="C2735" s="729" t="s">
        <v>465</v>
      </c>
      <c r="D2735" s="460"/>
      <c r="E2735" s="878" t="s">
        <v>1909</v>
      </c>
      <c r="F2735" s="881" t="s">
        <v>4463</v>
      </c>
      <c r="G2735" s="731" t="s">
        <v>4871</v>
      </c>
      <c r="H2735" s="1083">
        <v>42401</v>
      </c>
      <c r="I2735" s="1084">
        <v>42480</v>
      </c>
      <c r="J2735" s="957">
        <v>37.79</v>
      </c>
    </row>
    <row r="2736" spans="1:10" s="852" customFormat="1" ht="28.5" outlineLevel="2">
      <c r="A2736" s="815" t="s">
        <v>766</v>
      </c>
      <c r="B2736" s="816" t="s">
        <v>7883</v>
      </c>
      <c r="C2736" s="729" t="s">
        <v>465</v>
      </c>
      <c r="D2736" s="460"/>
      <c r="E2736" s="878" t="s">
        <v>1909</v>
      </c>
      <c r="F2736" s="881" t="s">
        <v>2921</v>
      </c>
      <c r="G2736" s="731" t="s">
        <v>4845</v>
      </c>
      <c r="H2736" s="1083">
        <v>42278</v>
      </c>
      <c r="I2736" s="1084">
        <v>42480</v>
      </c>
      <c r="J2736" s="957">
        <v>-399.37</v>
      </c>
    </row>
    <row r="2737" spans="1:10" s="852" customFormat="1" ht="28.5" outlineLevel="2">
      <c r="A2737" s="815" t="s">
        <v>767</v>
      </c>
      <c r="B2737" s="816" t="s">
        <v>7882</v>
      </c>
      <c r="C2737" s="729" t="s">
        <v>465</v>
      </c>
      <c r="D2737" s="460"/>
      <c r="E2737" s="878" t="s">
        <v>1909</v>
      </c>
      <c r="F2737" s="881" t="s">
        <v>2921</v>
      </c>
      <c r="G2737" s="731" t="s">
        <v>4845</v>
      </c>
      <c r="H2737" s="1083">
        <v>42278</v>
      </c>
      <c r="I2737" s="1084">
        <v>42480</v>
      </c>
      <c r="J2737" s="957">
        <v>-741.7</v>
      </c>
    </row>
    <row r="2738" spans="1:10" s="852" customFormat="1" ht="28.5" outlineLevel="2">
      <c r="A2738" s="815" t="s">
        <v>766</v>
      </c>
      <c r="B2738" s="816" t="s">
        <v>7883</v>
      </c>
      <c r="C2738" s="729" t="s">
        <v>465</v>
      </c>
      <c r="D2738" s="460"/>
      <c r="E2738" s="878" t="s">
        <v>1909</v>
      </c>
      <c r="F2738" s="881" t="s">
        <v>2921</v>
      </c>
      <c r="G2738" s="731" t="s">
        <v>4848</v>
      </c>
      <c r="H2738" s="1083">
        <v>42278</v>
      </c>
      <c r="I2738" s="1084">
        <v>42480</v>
      </c>
      <c r="J2738" s="957">
        <v>-399.37</v>
      </c>
    </row>
    <row r="2739" spans="1:10" s="852" customFormat="1" ht="28.5" outlineLevel="2">
      <c r="A2739" s="815" t="s">
        <v>767</v>
      </c>
      <c r="B2739" s="816" t="s">
        <v>7882</v>
      </c>
      <c r="C2739" s="729" t="s">
        <v>465</v>
      </c>
      <c r="D2739" s="460"/>
      <c r="E2739" s="878" t="s">
        <v>1909</v>
      </c>
      <c r="F2739" s="881" t="s">
        <v>2921</v>
      </c>
      <c r="G2739" s="731" t="s">
        <v>4848</v>
      </c>
      <c r="H2739" s="1083">
        <v>42278</v>
      </c>
      <c r="I2739" s="1084">
        <v>42480</v>
      </c>
      <c r="J2739" s="957">
        <v>-741.7</v>
      </c>
    </row>
    <row r="2740" spans="1:10" s="852" customFormat="1" ht="28.5" outlineLevel="2">
      <c r="A2740" s="815" t="s">
        <v>766</v>
      </c>
      <c r="B2740" s="816" t="s">
        <v>7883</v>
      </c>
      <c r="C2740" s="729" t="s">
        <v>465</v>
      </c>
      <c r="D2740" s="460"/>
      <c r="E2740" s="878" t="s">
        <v>1909</v>
      </c>
      <c r="F2740" s="881" t="s">
        <v>2921</v>
      </c>
      <c r="G2740" s="731" t="s">
        <v>4855</v>
      </c>
      <c r="H2740" s="1083">
        <v>42278</v>
      </c>
      <c r="I2740" s="1084">
        <v>42480</v>
      </c>
      <c r="J2740" s="957">
        <v>399.37</v>
      </c>
    </row>
    <row r="2741" spans="1:10" s="852" customFormat="1" ht="28.5" outlineLevel="2">
      <c r="A2741" s="815" t="s">
        <v>767</v>
      </c>
      <c r="B2741" s="816" t="s">
        <v>7882</v>
      </c>
      <c r="C2741" s="729" t="s">
        <v>465</v>
      </c>
      <c r="D2741" s="460"/>
      <c r="E2741" s="878" t="s">
        <v>1909</v>
      </c>
      <c r="F2741" s="881" t="s">
        <v>2921</v>
      </c>
      <c r="G2741" s="731" t="s">
        <v>4855</v>
      </c>
      <c r="H2741" s="1083">
        <v>42278</v>
      </c>
      <c r="I2741" s="1084">
        <v>42480</v>
      </c>
      <c r="J2741" s="957">
        <v>741.7</v>
      </c>
    </row>
    <row r="2742" spans="1:10" s="852" customFormat="1" ht="28.5" outlineLevel="2">
      <c r="A2742" s="815" t="s">
        <v>766</v>
      </c>
      <c r="B2742" s="816" t="s">
        <v>7883</v>
      </c>
      <c r="C2742" s="729" t="s">
        <v>465</v>
      </c>
      <c r="D2742" s="460"/>
      <c r="E2742" s="878" t="s">
        <v>1909</v>
      </c>
      <c r="F2742" s="881" t="s">
        <v>2921</v>
      </c>
      <c r="G2742" s="731" t="s">
        <v>4859</v>
      </c>
      <c r="H2742" s="1083">
        <v>42278</v>
      </c>
      <c r="I2742" s="1084">
        <v>42480</v>
      </c>
      <c r="J2742" s="957">
        <v>399.37</v>
      </c>
    </row>
    <row r="2743" spans="1:10" s="852" customFormat="1" ht="28.5" outlineLevel="2">
      <c r="A2743" s="815" t="s">
        <v>767</v>
      </c>
      <c r="B2743" s="816" t="s">
        <v>7882</v>
      </c>
      <c r="C2743" s="729" t="s">
        <v>465</v>
      </c>
      <c r="D2743" s="460"/>
      <c r="E2743" s="878" t="s">
        <v>1909</v>
      </c>
      <c r="F2743" s="881" t="s">
        <v>2921</v>
      </c>
      <c r="G2743" s="731" t="s">
        <v>4859</v>
      </c>
      <c r="H2743" s="1083">
        <v>42278</v>
      </c>
      <c r="I2743" s="1084">
        <v>42480</v>
      </c>
      <c r="J2743" s="957">
        <v>741.7</v>
      </c>
    </row>
    <row r="2744" spans="1:10" s="852" customFormat="1" ht="28.5" outlineLevel="2">
      <c r="A2744" s="815" t="s">
        <v>766</v>
      </c>
      <c r="B2744" s="816" t="s">
        <v>7883</v>
      </c>
      <c r="C2744" s="729" t="s">
        <v>465</v>
      </c>
      <c r="D2744" s="460"/>
      <c r="E2744" s="878" t="s">
        <v>1909</v>
      </c>
      <c r="F2744" s="881" t="s">
        <v>2921</v>
      </c>
      <c r="G2744" s="731" t="s">
        <v>4864</v>
      </c>
      <c r="H2744" s="1083">
        <v>42278</v>
      </c>
      <c r="I2744" s="1084">
        <v>42480</v>
      </c>
      <c r="J2744" s="957">
        <v>399.37</v>
      </c>
    </row>
    <row r="2745" spans="1:10" s="852" customFormat="1" ht="28.5" outlineLevel="2">
      <c r="A2745" s="815" t="s">
        <v>767</v>
      </c>
      <c r="B2745" s="816" t="s">
        <v>7882</v>
      </c>
      <c r="C2745" s="729" t="s">
        <v>465</v>
      </c>
      <c r="D2745" s="460"/>
      <c r="E2745" s="878" t="s">
        <v>1909</v>
      </c>
      <c r="F2745" s="881" t="s">
        <v>2921</v>
      </c>
      <c r="G2745" s="731" t="s">
        <v>4864</v>
      </c>
      <c r="H2745" s="1083">
        <v>42278</v>
      </c>
      <c r="I2745" s="1084">
        <v>42480</v>
      </c>
      <c r="J2745" s="957">
        <v>741.7</v>
      </c>
    </row>
    <row r="2746" spans="1:10" s="852" customFormat="1" ht="28.5" outlineLevel="2">
      <c r="A2746" s="815" t="s">
        <v>766</v>
      </c>
      <c r="B2746" s="816" t="s">
        <v>7883</v>
      </c>
      <c r="C2746" s="729" t="s">
        <v>465</v>
      </c>
      <c r="D2746" s="460"/>
      <c r="E2746" s="878" t="s">
        <v>1909</v>
      </c>
      <c r="F2746" s="881" t="s">
        <v>6353</v>
      </c>
      <c r="G2746" s="731" t="s">
        <v>4828</v>
      </c>
      <c r="H2746" s="1083">
        <v>42370</v>
      </c>
      <c r="I2746" s="1084">
        <v>42480</v>
      </c>
      <c r="J2746" s="957">
        <v>1202.5999999999999</v>
      </c>
    </row>
    <row r="2747" spans="1:10" s="852" customFormat="1" ht="28.5" outlineLevel="2">
      <c r="A2747" s="815" t="s">
        <v>767</v>
      </c>
      <c r="B2747" s="816" t="s">
        <v>7882</v>
      </c>
      <c r="C2747" s="729" t="s">
        <v>465</v>
      </c>
      <c r="D2747" s="460"/>
      <c r="E2747" s="878" t="s">
        <v>1909</v>
      </c>
      <c r="F2747" s="881" t="s">
        <v>6353</v>
      </c>
      <c r="G2747" s="731" t="s">
        <v>4828</v>
      </c>
      <c r="H2747" s="1083">
        <v>42370</v>
      </c>
      <c r="I2747" s="1084">
        <v>42480</v>
      </c>
      <c r="J2747" s="957">
        <v>2233.4</v>
      </c>
    </row>
    <row r="2748" spans="1:10" s="852" customFormat="1" ht="42.75" outlineLevel="2">
      <c r="A2748" s="815" t="s">
        <v>2289</v>
      </c>
      <c r="B2748" s="816" t="s">
        <v>7867</v>
      </c>
      <c r="C2748" s="729" t="s">
        <v>465</v>
      </c>
      <c r="D2748" s="460"/>
      <c r="E2748" s="878" t="s">
        <v>5831</v>
      </c>
      <c r="F2748" s="881" t="s">
        <v>1044</v>
      </c>
      <c r="G2748" s="731" t="s">
        <v>5832</v>
      </c>
      <c r="H2748" s="1083">
        <v>42461</v>
      </c>
      <c r="I2748" s="1084">
        <v>42489</v>
      </c>
      <c r="J2748" s="957">
        <v>3494.03</v>
      </c>
    </row>
    <row r="2749" spans="1:10" s="852" customFormat="1" outlineLevel="2">
      <c r="A2749" s="815" t="s">
        <v>865</v>
      </c>
      <c r="B2749" s="816" t="s">
        <v>7869</v>
      </c>
      <c r="C2749" s="729" t="s">
        <v>465</v>
      </c>
      <c r="D2749" s="460"/>
      <c r="E2749" s="878" t="s">
        <v>5627</v>
      </c>
      <c r="F2749" s="881" t="s">
        <v>863</v>
      </c>
      <c r="G2749" s="731" t="s">
        <v>5628</v>
      </c>
      <c r="H2749" s="1083">
        <v>42430</v>
      </c>
      <c r="I2749" s="1084">
        <v>42473</v>
      </c>
      <c r="J2749" s="957">
        <v>120</v>
      </c>
    </row>
    <row r="2750" spans="1:10" s="852" customFormat="1" outlineLevel="1">
      <c r="A2750" s="815"/>
      <c r="B2750" s="816" t="s">
        <v>258</v>
      </c>
      <c r="C2750" s="908" t="s">
        <v>465</v>
      </c>
      <c r="D2750" s="928" t="str">
        <f>VLOOKUP(C2750,$C$3691:$D$3771,2,FALSE)</f>
        <v>TOTAL POUPATEMPO  RIBEIRÃO PRETO</v>
      </c>
      <c r="E2750" s="1085"/>
      <c r="F2750" s="929"/>
      <c r="G2750" s="910"/>
      <c r="H2750" s="1086"/>
      <c r="I2750" s="1087"/>
      <c r="J2750" s="930">
        <f>SUBTOTAL(9,J2637:J2749)</f>
        <v>535751.4</v>
      </c>
    </row>
    <row r="2751" spans="1:10" s="852" customFormat="1" outlineLevel="2">
      <c r="A2751" s="815" t="s">
        <v>5900</v>
      </c>
      <c r="B2751" s="816" t="s">
        <v>7881</v>
      </c>
      <c r="C2751" s="729" t="s">
        <v>466</v>
      </c>
      <c r="D2751" s="460"/>
      <c r="E2751" s="878" t="s">
        <v>695</v>
      </c>
      <c r="F2751" s="881" t="s">
        <v>943</v>
      </c>
      <c r="G2751" s="731" t="s">
        <v>5518</v>
      </c>
      <c r="H2751" s="1083">
        <v>42401</v>
      </c>
      <c r="I2751" s="1084">
        <v>42461</v>
      </c>
      <c r="J2751" s="957">
        <v>126.99</v>
      </c>
    </row>
    <row r="2752" spans="1:10" s="852" customFormat="1" outlineLevel="2">
      <c r="A2752" s="815" t="s">
        <v>5630</v>
      </c>
      <c r="B2752" s="816" t="s">
        <v>7892</v>
      </c>
      <c r="C2752" s="729" t="s">
        <v>466</v>
      </c>
      <c r="D2752" s="460"/>
      <c r="E2752" s="878" t="s">
        <v>1397</v>
      </c>
      <c r="F2752" s="881" t="s">
        <v>1398</v>
      </c>
      <c r="G2752" s="731" t="s">
        <v>5629</v>
      </c>
      <c r="H2752" s="1083">
        <v>42401</v>
      </c>
      <c r="I2752" s="1084">
        <v>42474</v>
      </c>
      <c r="J2752" s="957">
        <v>6.53</v>
      </c>
    </row>
    <row r="2753" spans="1:10" s="852" customFormat="1" outlineLevel="2">
      <c r="A2753" s="815" t="s">
        <v>5901</v>
      </c>
      <c r="B2753" s="816" t="s">
        <v>7882</v>
      </c>
      <c r="C2753" s="729" t="s">
        <v>466</v>
      </c>
      <c r="D2753" s="460"/>
      <c r="E2753" s="878" t="s">
        <v>721</v>
      </c>
      <c r="F2753" s="881" t="s">
        <v>1030</v>
      </c>
      <c r="G2753" s="731" t="s">
        <v>5519</v>
      </c>
      <c r="H2753" s="1083">
        <v>42401</v>
      </c>
      <c r="I2753" s="1084">
        <v>42461</v>
      </c>
      <c r="J2753" s="957">
        <v>241750.92</v>
      </c>
    </row>
    <row r="2754" spans="1:10" s="852" customFormat="1" outlineLevel="2">
      <c r="A2754" s="815" t="s">
        <v>5902</v>
      </c>
      <c r="B2754" s="816" t="s">
        <v>7883</v>
      </c>
      <c r="C2754" s="729" t="s">
        <v>466</v>
      </c>
      <c r="D2754" s="460"/>
      <c r="E2754" s="878" t="s">
        <v>721</v>
      </c>
      <c r="F2754" s="881" t="s">
        <v>1030</v>
      </c>
      <c r="G2754" s="731" t="s">
        <v>5519</v>
      </c>
      <c r="H2754" s="1083">
        <v>42401</v>
      </c>
      <c r="I2754" s="1084">
        <v>42461</v>
      </c>
      <c r="J2754" s="957">
        <v>56707.01</v>
      </c>
    </row>
    <row r="2755" spans="1:10" s="852" customFormat="1" outlineLevel="2">
      <c r="A2755" s="815" t="s">
        <v>780</v>
      </c>
      <c r="B2755" s="816" t="s">
        <v>7863</v>
      </c>
      <c r="C2755" s="729" t="s">
        <v>466</v>
      </c>
      <c r="D2755" s="460"/>
      <c r="E2755" s="878" t="s">
        <v>781</v>
      </c>
      <c r="F2755" s="881" t="s">
        <v>2208</v>
      </c>
      <c r="G2755" s="731" t="s">
        <v>5631</v>
      </c>
      <c r="H2755" s="1083">
        <v>42401</v>
      </c>
      <c r="I2755" s="1084">
        <v>42474</v>
      </c>
      <c r="J2755" s="957">
        <v>25145.81</v>
      </c>
    </row>
    <row r="2756" spans="1:10" s="852" customFormat="1" outlineLevel="2">
      <c r="A2756" s="815" t="s">
        <v>6489</v>
      </c>
      <c r="B2756" s="816" t="s">
        <v>6503</v>
      </c>
      <c r="C2756" s="729" t="s">
        <v>466</v>
      </c>
      <c r="D2756" s="460"/>
      <c r="E2756" s="878" t="s">
        <v>866</v>
      </c>
      <c r="F2756" s="881" t="s">
        <v>428</v>
      </c>
      <c r="G2756" s="731" t="s">
        <v>5737</v>
      </c>
      <c r="H2756" s="1083">
        <v>42461</v>
      </c>
      <c r="I2756" s="1084">
        <v>42488</v>
      </c>
      <c r="J2756" s="957">
        <v>120</v>
      </c>
    </row>
    <row r="2757" spans="1:10" s="852" customFormat="1" outlineLevel="2">
      <c r="A2757" s="815" t="s">
        <v>6489</v>
      </c>
      <c r="B2757" s="816" t="s">
        <v>6503</v>
      </c>
      <c r="C2757" s="729" t="s">
        <v>466</v>
      </c>
      <c r="D2757" s="460"/>
      <c r="E2757" s="878" t="s">
        <v>866</v>
      </c>
      <c r="F2757" s="881" t="s">
        <v>428</v>
      </c>
      <c r="G2757" s="731" t="s">
        <v>5737</v>
      </c>
      <c r="H2757" s="1083">
        <v>42461</v>
      </c>
      <c r="I2757" s="1084">
        <v>42488</v>
      </c>
      <c r="J2757" s="957">
        <v>120</v>
      </c>
    </row>
    <row r="2758" spans="1:10" s="852" customFormat="1" outlineLevel="2">
      <c r="A2758" s="815" t="s">
        <v>5904</v>
      </c>
      <c r="B2758" s="816" t="s">
        <v>7889</v>
      </c>
      <c r="C2758" s="729" t="s">
        <v>466</v>
      </c>
      <c r="D2758" s="460"/>
      <c r="E2758" s="878" t="s">
        <v>2258</v>
      </c>
      <c r="F2758" s="881" t="s">
        <v>404</v>
      </c>
      <c r="G2758" s="731" t="str">
        <f>"161"</f>
        <v>161</v>
      </c>
      <c r="H2758" s="1083">
        <v>42401</v>
      </c>
      <c r="I2758" s="1084">
        <v>42461</v>
      </c>
      <c r="J2758" s="957">
        <v>2954.26</v>
      </c>
    </row>
    <row r="2759" spans="1:10" s="852" customFormat="1" outlineLevel="2">
      <c r="A2759" s="815" t="s">
        <v>2260</v>
      </c>
      <c r="B2759" s="816" t="s">
        <v>7889</v>
      </c>
      <c r="C2759" s="729" t="s">
        <v>466</v>
      </c>
      <c r="D2759" s="460"/>
      <c r="E2759" s="878" t="s">
        <v>2258</v>
      </c>
      <c r="F2759" s="881" t="s">
        <v>404</v>
      </c>
      <c r="G2759" s="731" t="s">
        <v>5535</v>
      </c>
      <c r="H2759" s="1083">
        <v>42401</v>
      </c>
      <c r="I2759" s="1084">
        <v>42464</v>
      </c>
      <c r="J2759" s="957">
        <v>93.5</v>
      </c>
    </row>
    <row r="2760" spans="1:10" s="852" customFormat="1" outlineLevel="2">
      <c r="A2760" s="815" t="s">
        <v>1337</v>
      </c>
      <c r="B2760" s="816" t="s">
        <v>7873</v>
      </c>
      <c r="C2760" s="729" t="s">
        <v>466</v>
      </c>
      <c r="D2760" s="460"/>
      <c r="E2760" s="878" t="s">
        <v>5728</v>
      </c>
      <c r="F2760" s="881" t="s">
        <v>406</v>
      </c>
      <c r="G2760" s="731" t="s">
        <v>5729</v>
      </c>
      <c r="H2760" s="1083">
        <v>42430</v>
      </c>
      <c r="I2760" s="1084">
        <v>42487</v>
      </c>
      <c r="J2760" s="957">
        <v>54.53</v>
      </c>
    </row>
    <row r="2761" spans="1:10" s="852" customFormat="1" ht="42.75" outlineLevel="2">
      <c r="A2761" s="815" t="s">
        <v>1770</v>
      </c>
      <c r="B2761" s="816" t="s">
        <v>7871</v>
      </c>
      <c r="C2761" s="729" t="s">
        <v>466</v>
      </c>
      <c r="D2761" s="460"/>
      <c r="E2761" s="878" t="s">
        <v>1244</v>
      </c>
      <c r="F2761" s="881" t="s">
        <v>1753</v>
      </c>
      <c r="G2761" s="731" t="s">
        <v>5603</v>
      </c>
      <c r="H2761" s="1083">
        <v>42430</v>
      </c>
      <c r="I2761" s="1084">
        <v>42471</v>
      </c>
      <c r="J2761" s="957">
        <v>1066.6600000000001</v>
      </c>
    </row>
    <row r="2762" spans="1:10" s="852" customFormat="1" ht="42.75" outlineLevel="2">
      <c r="A2762" s="815" t="s">
        <v>1243</v>
      </c>
      <c r="B2762" s="816" t="s">
        <v>7868</v>
      </c>
      <c r="C2762" s="729" t="s">
        <v>466</v>
      </c>
      <c r="D2762" s="460"/>
      <c r="E2762" s="878" t="s">
        <v>1244</v>
      </c>
      <c r="F2762" s="881" t="s">
        <v>1233</v>
      </c>
      <c r="G2762" s="731" t="s">
        <v>5604</v>
      </c>
      <c r="H2762" s="1083">
        <v>42430</v>
      </c>
      <c r="I2762" s="1084">
        <v>42471</v>
      </c>
      <c r="J2762" s="957">
        <v>24830.05</v>
      </c>
    </row>
    <row r="2763" spans="1:10" s="852" customFormat="1" ht="42.75" outlineLevel="2">
      <c r="A2763" s="815" t="s">
        <v>1243</v>
      </c>
      <c r="B2763" s="816" t="s">
        <v>7868</v>
      </c>
      <c r="C2763" s="729" t="s">
        <v>466</v>
      </c>
      <c r="D2763" s="460"/>
      <c r="E2763" s="878" t="s">
        <v>1244</v>
      </c>
      <c r="F2763" s="881" t="s">
        <v>1233</v>
      </c>
      <c r="G2763" s="731" t="s">
        <v>5605</v>
      </c>
      <c r="H2763" s="1083">
        <v>42430</v>
      </c>
      <c r="I2763" s="1084">
        <v>42471</v>
      </c>
      <c r="J2763" s="957">
        <v>46966.82</v>
      </c>
    </row>
    <row r="2764" spans="1:10" s="852" customFormat="1" ht="42.75" outlineLevel="2">
      <c r="A2764" s="815" t="s">
        <v>1264</v>
      </c>
      <c r="B2764" s="816" t="s">
        <v>7895</v>
      </c>
      <c r="C2764" s="729" t="s">
        <v>466</v>
      </c>
      <c r="D2764" s="460"/>
      <c r="E2764" s="878" t="s">
        <v>1244</v>
      </c>
      <c r="F2764" s="881" t="s">
        <v>1262</v>
      </c>
      <c r="G2764" s="731" t="s">
        <v>5606</v>
      </c>
      <c r="H2764" s="1083">
        <v>42430</v>
      </c>
      <c r="I2764" s="1084">
        <v>42471</v>
      </c>
      <c r="J2764" s="957">
        <v>3816.41</v>
      </c>
    </row>
    <row r="2765" spans="1:10" s="852" customFormat="1" ht="42.75" outlineLevel="2">
      <c r="A2765" s="815" t="s">
        <v>1770</v>
      </c>
      <c r="B2765" s="816" t="s">
        <v>7871</v>
      </c>
      <c r="C2765" s="729" t="s">
        <v>466</v>
      </c>
      <c r="D2765" s="460"/>
      <c r="E2765" s="878" t="s">
        <v>1244</v>
      </c>
      <c r="F2765" s="881" t="s">
        <v>1262</v>
      </c>
      <c r="G2765" s="731" t="s">
        <v>5606</v>
      </c>
      <c r="H2765" s="1083">
        <v>42430</v>
      </c>
      <c r="I2765" s="1084">
        <v>42471</v>
      </c>
      <c r="J2765" s="957">
        <v>4284.76</v>
      </c>
    </row>
    <row r="2766" spans="1:10" s="852" customFormat="1" outlineLevel="2">
      <c r="A2766" s="815" t="s">
        <v>5632</v>
      </c>
      <c r="B2766" s="816" t="s">
        <v>7872</v>
      </c>
      <c r="C2766" s="729" t="s">
        <v>466</v>
      </c>
      <c r="D2766" s="460"/>
      <c r="E2766" s="878" t="s">
        <v>1699</v>
      </c>
      <c r="F2766" s="881" t="s">
        <v>1696</v>
      </c>
      <c r="G2766" s="731" t="s">
        <v>5633</v>
      </c>
      <c r="H2766" s="1083">
        <v>42430</v>
      </c>
      <c r="I2766" s="1084">
        <v>42474</v>
      </c>
      <c r="J2766" s="957">
        <v>20536.419999999998</v>
      </c>
    </row>
    <row r="2767" spans="1:10" s="852" customFormat="1" ht="28.5" outlineLevel="2">
      <c r="A2767" s="815" t="s">
        <v>1421</v>
      </c>
      <c r="B2767" s="816" t="s">
        <v>7876</v>
      </c>
      <c r="C2767" s="729" t="s">
        <v>466</v>
      </c>
      <c r="D2767" s="460"/>
      <c r="E2767" s="878" t="s">
        <v>1410</v>
      </c>
      <c r="F2767" s="881" t="s">
        <v>1424</v>
      </c>
      <c r="G2767" s="731" t="s">
        <v>5525</v>
      </c>
      <c r="H2767" s="1083">
        <v>42430</v>
      </c>
      <c r="I2767" s="1084">
        <v>42461</v>
      </c>
      <c r="J2767" s="957">
        <v>923.8</v>
      </c>
    </row>
    <row r="2768" spans="1:10" s="852" customFormat="1" ht="28.5" outlineLevel="2">
      <c r="A2768" s="815" t="s">
        <v>6481</v>
      </c>
      <c r="B2768" s="816" t="s">
        <v>7870</v>
      </c>
      <c r="C2768" s="729" t="s">
        <v>466</v>
      </c>
      <c r="D2768" s="460"/>
      <c r="E2768" s="878" t="s">
        <v>1599</v>
      </c>
      <c r="F2768" s="881" t="s">
        <v>426</v>
      </c>
      <c r="G2768" s="731" t="s">
        <v>5708</v>
      </c>
      <c r="H2768" s="1083">
        <v>42401</v>
      </c>
      <c r="I2768" s="1084">
        <v>42482</v>
      </c>
      <c r="J2768" s="957">
        <v>-0.82</v>
      </c>
    </row>
    <row r="2769" spans="1:10" s="852" customFormat="1" outlineLevel="2">
      <c r="A2769" s="815" t="s">
        <v>6481</v>
      </c>
      <c r="B2769" s="816" t="s">
        <v>7870</v>
      </c>
      <c r="C2769" s="729" t="s">
        <v>466</v>
      </c>
      <c r="D2769" s="460"/>
      <c r="E2769" s="878" t="s">
        <v>1599</v>
      </c>
      <c r="F2769" s="881" t="s">
        <v>2274</v>
      </c>
      <c r="G2769" s="731" t="s">
        <v>5709</v>
      </c>
      <c r="H2769" s="1083">
        <v>42401</v>
      </c>
      <c r="I2769" s="1084">
        <v>42482</v>
      </c>
      <c r="J2769" s="957">
        <v>14.46</v>
      </c>
    </row>
    <row r="2770" spans="1:10" s="852" customFormat="1" outlineLevel="2">
      <c r="A2770" s="815" t="s">
        <v>778</v>
      </c>
      <c r="B2770" s="816" t="s">
        <v>7877</v>
      </c>
      <c r="C2770" s="729" t="s">
        <v>466</v>
      </c>
      <c r="D2770" s="460"/>
      <c r="E2770" s="878" t="s">
        <v>683</v>
      </c>
      <c r="F2770" s="881" t="s">
        <v>1071</v>
      </c>
      <c r="G2770" s="731" t="s">
        <v>5545</v>
      </c>
      <c r="H2770" s="1083">
        <v>42430</v>
      </c>
      <c r="I2770" s="1084">
        <v>42464</v>
      </c>
      <c r="J2770" s="957">
        <v>17611.150000000001</v>
      </c>
    </row>
    <row r="2771" spans="1:10" s="852" customFormat="1" outlineLevel="2">
      <c r="A2771" s="815" t="s">
        <v>5954</v>
      </c>
      <c r="B2771" s="816" t="s">
        <v>7864</v>
      </c>
      <c r="C2771" s="729" t="s">
        <v>466</v>
      </c>
      <c r="D2771" s="460"/>
      <c r="E2771" s="878" t="s">
        <v>6470</v>
      </c>
      <c r="F2771" s="881" t="s">
        <v>434</v>
      </c>
      <c r="G2771" s="731" t="str">
        <f>"2628"</f>
        <v>2628</v>
      </c>
      <c r="H2771" s="1083">
        <v>42370</v>
      </c>
      <c r="I2771" s="1084">
        <v>42478</v>
      </c>
      <c r="J2771" s="957">
        <v>-3357.54</v>
      </c>
    </row>
    <row r="2772" spans="1:10" s="852" customFormat="1" outlineLevel="2">
      <c r="A2772" s="815" t="s">
        <v>5954</v>
      </c>
      <c r="B2772" s="816" t="s">
        <v>7864</v>
      </c>
      <c r="C2772" s="729" t="s">
        <v>466</v>
      </c>
      <c r="D2772" s="460"/>
      <c r="E2772" s="878" t="s">
        <v>6470</v>
      </c>
      <c r="F2772" s="881" t="s">
        <v>434</v>
      </c>
      <c r="G2772" s="731" t="str">
        <f>"2628"</f>
        <v>2628</v>
      </c>
      <c r="H2772" s="1083">
        <v>42370</v>
      </c>
      <c r="I2772" s="1084">
        <v>42478</v>
      </c>
      <c r="J2772" s="957">
        <v>3357.54</v>
      </c>
    </row>
    <row r="2773" spans="1:10" s="852" customFormat="1" outlineLevel="2">
      <c r="A2773" s="815" t="s">
        <v>5954</v>
      </c>
      <c r="B2773" s="816" t="s">
        <v>7864</v>
      </c>
      <c r="C2773" s="729" t="s">
        <v>466</v>
      </c>
      <c r="D2773" s="460"/>
      <c r="E2773" s="878" t="s">
        <v>6470</v>
      </c>
      <c r="F2773" s="881" t="s">
        <v>434</v>
      </c>
      <c r="G2773" s="731" t="str">
        <f>"2628"</f>
        <v>2628</v>
      </c>
      <c r="H2773" s="1083">
        <v>42370</v>
      </c>
      <c r="I2773" s="1084">
        <v>42478</v>
      </c>
      <c r="J2773" s="957">
        <v>3357.54</v>
      </c>
    </row>
    <row r="2774" spans="1:10" s="852" customFormat="1" outlineLevel="2">
      <c r="A2774" s="815" t="s">
        <v>5954</v>
      </c>
      <c r="B2774" s="816" t="s">
        <v>7864</v>
      </c>
      <c r="C2774" s="729" t="s">
        <v>466</v>
      </c>
      <c r="D2774" s="460"/>
      <c r="E2774" s="878" t="s">
        <v>6470</v>
      </c>
      <c r="F2774" s="881" t="s">
        <v>434</v>
      </c>
      <c r="G2774" s="731" t="str">
        <f>"2628"</f>
        <v>2628</v>
      </c>
      <c r="H2774" s="1083">
        <v>42370</v>
      </c>
      <c r="I2774" s="1084">
        <v>42478</v>
      </c>
      <c r="J2774" s="957">
        <v>3357.54</v>
      </c>
    </row>
    <row r="2775" spans="1:10" s="852" customFormat="1" outlineLevel="2">
      <c r="A2775" s="815" t="s">
        <v>5954</v>
      </c>
      <c r="B2775" s="816" t="s">
        <v>7864</v>
      </c>
      <c r="C2775" s="729" t="s">
        <v>466</v>
      </c>
      <c r="D2775" s="460"/>
      <c r="E2775" s="878" t="s">
        <v>6470</v>
      </c>
      <c r="F2775" s="881" t="s">
        <v>434</v>
      </c>
      <c r="G2775" s="731" t="str">
        <f>"2628"</f>
        <v>2628</v>
      </c>
      <c r="H2775" s="1083">
        <v>42370</v>
      </c>
      <c r="I2775" s="1084">
        <v>42478</v>
      </c>
      <c r="J2775" s="957">
        <v>-3357.54</v>
      </c>
    </row>
    <row r="2776" spans="1:10" s="852" customFormat="1" ht="28.5" outlineLevel="2">
      <c r="A2776" s="815" t="s">
        <v>775</v>
      </c>
      <c r="B2776" s="816" t="s">
        <v>7883</v>
      </c>
      <c r="C2776" s="729" t="s">
        <v>466</v>
      </c>
      <c r="D2776" s="460"/>
      <c r="E2776" s="878" t="s">
        <v>2336</v>
      </c>
      <c r="F2776" s="881" t="s">
        <v>4218</v>
      </c>
      <c r="G2776" s="731" t="s">
        <v>4881</v>
      </c>
      <c r="H2776" s="1083">
        <v>42401</v>
      </c>
      <c r="I2776" s="1084">
        <v>42480</v>
      </c>
      <c r="J2776" s="957">
        <v>6195.17</v>
      </c>
    </row>
    <row r="2777" spans="1:10" s="852" customFormat="1" ht="28.5" outlineLevel="2">
      <c r="A2777" s="815" t="s">
        <v>776</v>
      </c>
      <c r="B2777" s="816" t="s">
        <v>7882</v>
      </c>
      <c r="C2777" s="729" t="s">
        <v>466</v>
      </c>
      <c r="D2777" s="460"/>
      <c r="E2777" s="878" t="s">
        <v>2336</v>
      </c>
      <c r="F2777" s="881" t="s">
        <v>4218</v>
      </c>
      <c r="G2777" s="731" t="s">
        <v>4881</v>
      </c>
      <c r="H2777" s="1083">
        <v>42401</v>
      </c>
      <c r="I2777" s="1084">
        <v>42480</v>
      </c>
      <c r="J2777" s="957">
        <v>26411.02</v>
      </c>
    </row>
    <row r="2778" spans="1:10" s="852" customFormat="1" ht="28.5" outlineLevel="2">
      <c r="A2778" s="815" t="s">
        <v>780</v>
      </c>
      <c r="B2778" s="816" t="s">
        <v>7863</v>
      </c>
      <c r="C2778" s="729" t="s">
        <v>466</v>
      </c>
      <c r="D2778" s="460"/>
      <c r="E2778" s="878" t="s">
        <v>2336</v>
      </c>
      <c r="F2778" s="881" t="s">
        <v>6062</v>
      </c>
      <c r="G2778" s="731" t="s">
        <v>4879</v>
      </c>
      <c r="H2778" s="1083">
        <v>42401</v>
      </c>
      <c r="I2778" s="1084">
        <v>42480</v>
      </c>
      <c r="J2778" s="957">
        <v>3530.36</v>
      </c>
    </row>
    <row r="2779" spans="1:10" s="852" customFormat="1" outlineLevel="2">
      <c r="A2779" s="815" t="s">
        <v>777</v>
      </c>
      <c r="B2779" s="816" t="s">
        <v>7864</v>
      </c>
      <c r="C2779" s="729" t="s">
        <v>466</v>
      </c>
      <c r="D2779" s="460"/>
      <c r="E2779" s="878" t="s">
        <v>2336</v>
      </c>
      <c r="F2779" s="881" t="s">
        <v>6058</v>
      </c>
      <c r="G2779" s="731" t="s">
        <v>4875</v>
      </c>
      <c r="H2779" s="1083">
        <v>42401</v>
      </c>
      <c r="I2779" s="1084">
        <v>42480</v>
      </c>
      <c r="J2779" s="957">
        <v>471.39</v>
      </c>
    </row>
    <row r="2780" spans="1:10" s="852" customFormat="1" outlineLevel="2">
      <c r="A2780" s="815" t="s">
        <v>777</v>
      </c>
      <c r="B2780" s="816" t="s">
        <v>7864</v>
      </c>
      <c r="C2780" s="729" t="s">
        <v>466</v>
      </c>
      <c r="D2780" s="460"/>
      <c r="E2780" s="878" t="s">
        <v>2336</v>
      </c>
      <c r="F2780" s="881" t="s">
        <v>6059</v>
      </c>
      <c r="G2780" s="731" t="s">
        <v>4876</v>
      </c>
      <c r="H2780" s="1083">
        <v>42401</v>
      </c>
      <c r="I2780" s="1084">
        <v>42480</v>
      </c>
      <c r="J2780" s="957">
        <v>91.8</v>
      </c>
    </row>
    <row r="2781" spans="1:10" s="852" customFormat="1" outlineLevel="2">
      <c r="A2781" s="815" t="s">
        <v>777</v>
      </c>
      <c r="B2781" s="816" t="s">
        <v>7864</v>
      </c>
      <c r="C2781" s="729" t="s">
        <v>466</v>
      </c>
      <c r="D2781" s="460"/>
      <c r="E2781" s="878" t="s">
        <v>2336</v>
      </c>
      <c r="F2781" s="881" t="s">
        <v>6061</v>
      </c>
      <c r="G2781" s="731" t="s">
        <v>4878</v>
      </c>
      <c r="H2781" s="1083">
        <v>42401</v>
      </c>
      <c r="I2781" s="1084">
        <v>42480</v>
      </c>
      <c r="J2781" s="957">
        <v>310.12</v>
      </c>
    </row>
    <row r="2782" spans="1:10" s="852" customFormat="1" outlineLevel="2">
      <c r="A2782" s="815" t="s">
        <v>777</v>
      </c>
      <c r="B2782" s="816" t="s">
        <v>7864</v>
      </c>
      <c r="C2782" s="729" t="s">
        <v>466</v>
      </c>
      <c r="D2782" s="460"/>
      <c r="E2782" s="878" t="s">
        <v>2336</v>
      </c>
      <c r="F2782" s="881" t="s">
        <v>6060</v>
      </c>
      <c r="G2782" s="731" t="s">
        <v>4877</v>
      </c>
      <c r="H2782" s="1083">
        <v>42401</v>
      </c>
      <c r="I2782" s="1084">
        <v>42480</v>
      </c>
      <c r="J2782" s="957">
        <v>60.4</v>
      </c>
    </row>
    <row r="2783" spans="1:10" s="852" customFormat="1" outlineLevel="2">
      <c r="A2783" s="815" t="s">
        <v>777</v>
      </c>
      <c r="B2783" s="816" t="s">
        <v>7864</v>
      </c>
      <c r="C2783" s="729" t="s">
        <v>466</v>
      </c>
      <c r="D2783" s="460"/>
      <c r="E2783" s="878" t="s">
        <v>2336</v>
      </c>
      <c r="F2783" s="881" t="s">
        <v>2855</v>
      </c>
      <c r="G2783" s="731" t="s">
        <v>4880</v>
      </c>
      <c r="H2783" s="1083">
        <v>42401</v>
      </c>
      <c r="I2783" s="1084">
        <v>42480</v>
      </c>
      <c r="J2783" s="957">
        <v>458.98</v>
      </c>
    </row>
    <row r="2784" spans="1:10" s="852" customFormat="1" outlineLevel="2">
      <c r="A2784" s="815" t="s">
        <v>4882</v>
      </c>
      <c r="B2784" s="816" t="s">
        <v>7885</v>
      </c>
      <c r="C2784" s="729" t="s">
        <v>466</v>
      </c>
      <c r="D2784" s="460"/>
      <c r="E2784" s="878" t="s">
        <v>2336</v>
      </c>
      <c r="F2784" s="881" t="s">
        <v>4289</v>
      </c>
      <c r="G2784" s="731" t="s">
        <v>4883</v>
      </c>
      <c r="H2784" s="1083">
        <v>42401</v>
      </c>
      <c r="I2784" s="1084">
        <v>42480</v>
      </c>
      <c r="J2784" s="957">
        <v>468.53</v>
      </c>
    </row>
    <row r="2785" spans="1:10" s="852" customFormat="1" outlineLevel="2">
      <c r="A2785" s="815" t="s">
        <v>5954</v>
      </c>
      <c r="B2785" s="816" t="s">
        <v>7864</v>
      </c>
      <c r="C2785" s="729" t="s">
        <v>466</v>
      </c>
      <c r="D2785" s="460"/>
      <c r="E2785" s="878" t="s">
        <v>2717</v>
      </c>
      <c r="F2785" s="881" t="s">
        <v>434</v>
      </c>
      <c r="G2785" s="731" t="str">
        <f>"3509"</f>
        <v>3509</v>
      </c>
      <c r="H2785" s="1083">
        <v>42401</v>
      </c>
      <c r="I2785" s="1084">
        <v>42467</v>
      </c>
      <c r="J2785" s="957">
        <v>2208.92</v>
      </c>
    </row>
    <row r="2786" spans="1:10" s="852" customFormat="1" outlineLevel="2">
      <c r="A2786" s="815" t="s">
        <v>5954</v>
      </c>
      <c r="B2786" s="816" t="s">
        <v>7864</v>
      </c>
      <c r="C2786" s="729" t="s">
        <v>466</v>
      </c>
      <c r="D2786" s="460"/>
      <c r="E2786" s="878" t="s">
        <v>2717</v>
      </c>
      <c r="F2786" s="881" t="s">
        <v>434</v>
      </c>
      <c r="G2786" s="731" t="str">
        <f>"3517"</f>
        <v>3517</v>
      </c>
      <c r="H2786" s="1083">
        <v>42401</v>
      </c>
      <c r="I2786" s="1084">
        <v>42467</v>
      </c>
      <c r="J2786" s="957">
        <v>457.63</v>
      </c>
    </row>
    <row r="2787" spans="1:10" s="852" customFormat="1" outlineLevel="2">
      <c r="A2787" s="815" t="s">
        <v>5954</v>
      </c>
      <c r="B2787" s="816" t="s">
        <v>7864</v>
      </c>
      <c r="C2787" s="729" t="s">
        <v>466</v>
      </c>
      <c r="D2787" s="460"/>
      <c r="E2787" s="878" t="s">
        <v>409</v>
      </c>
      <c r="F2787" s="881" t="s">
        <v>434</v>
      </c>
      <c r="G2787" s="731" t="str">
        <f>"6683"</f>
        <v>6683</v>
      </c>
      <c r="H2787" s="1083">
        <v>42401</v>
      </c>
      <c r="I2787" s="1084">
        <v>42475</v>
      </c>
      <c r="J2787" s="957">
        <v>3269.19</v>
      </c>
    </row>
    <row r="2788" spans="1:10" s="852" customFormat="1" ht="28.5" outlineLevel="2">
      <c r="A2788" s="815" t="s">
        <v>1337</v>
      </c>
      <c r="B2788" s="816" t="s">
        <v>7873</v>
      </c>
      <c r="C2788" s="729" t="s">
        <v>466</v>
      </c>
      <c r="D2788" s="460"/>
      <c r="E2788" s="878" t="s">
        <v>2306</v>
      </c>
      <c r="F2788" s="881" t="s">
        <v>2744</v>
      </c>
      <c r="G2788" s="731">
        <v>1282429</v>
      </c>
      <c r="H2788" s="1083">
        <v>42461</v>
      </c>
      <c r="I2788" s="1084">
        <v>42489</v>
      </c>
      <c r="J2788" s="957">
        <v>93.66</v>
      </c>
    </row>
    <row r="2789" spans="1:10" s="852" customFormat="1" outlineLevel="2">
      <c r="A2789" s="815" t="s">
        <v>2741</v>
      </c>
      <c r="B2789" s="816" t="s">
        <v>7887</v>
      </c>
      <c r="C2789" s="729" t="s">
        <v>466</v>
      </c>
      <c r="D2789" s="460"/>
      <c r="E2789" s="878" t="s">
        <v>2306</v>
      </c>
      <c r="F2789" s="881" t="s">
        <v>2742</v>
      </c>
      <c r="G2789" s="731">
        <v>1282431</v>
      </c>
      <c r="H2789" s="1083">
        <v>42461</v>
      </c>
      <c r="I2789" s="1084">
        <v>42489</v>
      </c>
      <c r="J2789" s="957">
        <v>688.15</v>
      </c>
    </row>
    <row r="2790" spans="1:10" s="852" customFormat="1" outlineLevel="2">
      <c r="A2790" s="815" t="s">
        <v>963</v>
      </c>
      <c r="B2790" s="816" t="s">
        <v>7866</v>
      </c>
      <c r="C2790" s="729" t="s">
        <v>466</v>
      </c>
      <c r="D2790" s="460"/>
      <c r="E2790" s="878" t="s">
        <v>2282</v>
      </c>
      <c r="F2790" s="881" t="s">
        <v>3974</v>
      </c>
      <c r="G2790" s="731" t="s">
        <v>2779</v>
      </c>
      <c r="H2790" s="1083">
        <v>42401</v>
      </c>
      <c r="I2790" s="1084">
        <v>42471</v>
      </c>
      <c r="J2790" s="957">
        <v>1334.28</v>
      </c>
    </row>
    <row r="2791" spans="1:10" s="852" customFormat="1" outlineLevel="2">
      <c r="A2791" s="815" t="s">
        <v>963</v>
      </c>
      <c r="B2791" s="816" t="s">
        <v>7866</v>
      </c>
      <c r="C2791" s="729" t="s">
        <v>466</v>
      </c>
      <c r="D2791" s="460"/>
      <c r="E2791" s="878" t="s">
        <v>2282</v>
      </c>
      <c r="F2791" s="881" t="s">
        <v>4081</v>
      </c>
      <c r="G2791" s="731" t="s">
        <v>2781</v>
      </c>
      <c r="H2791" s="1083">
        <v>42401</v>
      </c>
      <c r="I2791" s="1084">
        <v>42471</v>
      </c>
      <c r="J2791" s="957">
        <v>42.66</v>
      </c>
    </row>
    <row r="2792" spans="1:10" s="852" customFormat="1" outlineLevel="2">
      <c r="A2792" s="815" t="s">
        <v>963</v>
      </c>
      <c r="B2792" s="816" t="s">
        <v>7866</v>
      </c>
      <c r="C2792" s="729" t="s">
        <v>466</v>
      </c>
      <c r="D2792" s="460"/>
      <c r="E2792" s="878" t="s">
        <v>2282</v>
      </c>
      <c r="F2792" s="881" t="s">
        <v>4165</v>
      </c>
      <c r="G2792" s="731" t="s">
        <v>2782</v>
      </c>
      <c r="H2792" s="1083">
        <v>42401</v>
      </c>
      <c r="I2792" s="1084">
        <v>42471</v>
      </c>
      <c r="J2792" s="957">
        <v>503.42</v>
      </c>
    </row>
    <row r="2793" spans="1:10" s="852" customFormat="1" outlineLevel="2">
      <c r="A2793" s="815" t="s">
        <v>2272</v>
      </c>
      <c r="B2793" s="816" t="s">
        <v>7888</v>
      </c>
      <c r="C2793" s="729" t="s">
        <v>466</v>
      </c>
      <c r="D2793" s="460"/>
      <c r="E2793" s="878" t="s">
        <v>2710</v>
      </c>
      <c r="F2793" s="881" t="s">
        <v>4555</v>
      </c>
      <c r="G2793" s="731" t="s">
        <v>4223</v>
      </c>
      <c r="H2793" s="1083">
        <v>42401</v>
      </c>
      <c r="I2793" s="1084">
        <v>42475</v>
      </c>
      <c r="J2793" s="957">
        <v>18.07</v>
      </c>
    </row>
    <row r="2794" spans="1:10" s="852" customFormat="1" outlineLevel="2">
      <c r="A2794" s="815" t="s">
        <v>777</v>
      </c>
      <c r="B2794" s="816" t="s">
        <v>7864</v>
      </c>
      <c r="C2794" s="729" t="s">
        <v>466</v>
      </c>
      <c r="D2794" s="460"/>
      <c r="E2794" s="878" t="s">
        <v>2346</v>
      </c>
      <c r="F2794" s="881" t="s">
        <v>6116</v>
      </c>
      <c r="G2794" s="731" t="s">
        <v>4884</v>
      </c>
      <c r="H2794" s="1083">
        <v>42401</v>
      </c>
      <c r="I2794" s="1084">
        <v>42471</v>
      </c>
      <c r="J2794" s="957">
        <v>214.27</v>
      </c>
    </row>
    <row r="2795" spans="1:10" s="852" customFormat="1" outlineLevel="2">
      <c r="A2795" s="815" t="s">
        <v>777</v>
      </c>
      <c r="B2795" s="816" t="s">
        <v>7864</v>
      </c>
      <c r="C2795" s="729" t="s">
        <v>466</v>
      </c>
      <c r="D2795" s="460"/>
      <c r="E2795" s="878" t="s">
        <v>2346</v>
      </c>
      <c r="F2795" s="881" t="s">
        <v>6117</v>
      </c>
      <c r="G2795" s="731" t="s">
        <v>4885</v>
      </c>
      <c r="H2795" s="1083">
        <v>42401</v>
      </c>
      <c r="I2795" s="1084">
        <v>42471</v>
      </c>
      <c r="J2795" s="957">
        <v>140.96</v>
      </c>
    </row>
    <row r="2796" spans="1:10" s="852" customFormat="1" ht="28.5" outlineLevel="2">
      <c r="A2796" s="815" t="s">
        <v>780</v>
      </c>
      <c r="B2796" s="816" t="s">
        <v>7863</v>
      </c>
      <c r="C2796" s="729" t="s">
        <v>466</v>
      </c>
      <c r="D2796" s="460"/>
      <c r="E2796" s="878" t="s">
        <v>2346</v>
      </c>
      <c r="F2796" s="881" t="s">
        <v>6118</v>
      </c>
      <c r="G2796" s="731" t="s">
        <v>4886</v>
      </c>
      <c r="H2796" s="1083">
        <v>42401</v>
      </c>
      <c r="I2796" s="1084">
        <v>42471</v>
      </c>
      <c r="J2796" s="957">
        <v>1604.71</v>
      </c>
    </row>
    <row r="2797" spans="1:10" s="852" customFormat="1" ht="28.5" outlineLevel="2">
      <c r="A2797" s="815" t="s">
        <v>2260</v>
      </c>
      <c r="B2797" s="816" t="s">
        <v>7889</v>
      </c>
      <c r="C2797" s="729" t="s">
        <v>466</v>
      </c>
      <c r="D2797" s="460"/>
      <c r="E2797" s="878" t="s">
        <v>2346</v>
      </c>
      <c r="F2797" s="881" t="s">
        <v>6119</v>
      </c>
      <c r="G2797" s="731" t="s">
        <v>4887</v>
      </c>
      <c r="H2797" s="1083">
        <v>42401</v>
      </c>
      <c r="I2797" s="1084">
        <v>42471</v>
      </c>
      <c r="J2797" s="957">
        <v>5</v>
      </c>
    </row>
    <row r="2798" spans="1:10" s="852" customFormat="1" outlineLevel="2">
      <c r="A2798" s="815" t="s">
        <v>777</v>
      </c>
      <c r="B2798" s="816" t="s">
        <v>7864</v>
      </c>
      <c r="C2798" s="729" t="s">
        <v>466</v>
      </c>
      <c r="D2798" s="460"/>
      <c r="E2798" s="878" t="s">
        <v>2346</v>
      </c>
      <c r="F2798" s="881" t="s">
        <v>2857</v>
      </c>
      <c r="G2798" s="731" t="s">
        <v>4888</v>
      </c>
      <c r="H2798" s="1083">
        <v>42401</v>
      </c>
      <c r="I2798" s="1084">
        <v>42471</v>
      </c>
      <c r="J2798" s="957">
        <v>208.63</v>
      </c>
    </row>
    <row r="2799" spans="1:10" s="852" customFormat="1" ht="28.5" outlineLevel="2">
      <c r="A2799" s="815" t="s">
        <v>2260</v>
      </c>
      <c r="B2799" s="816" t="s">
        <v>7889</v>
      </c>
      <c r="C2799" s="729" t="s">
        <v>466</v>
      </c>
      <c r="D2799" s="460"/>
      <c r="E2799" s="878" t="s">
        <v>2346</v>
      </c>
      <c r="F2799" s="881" t="s">
        <v>3879</v>
      </c>
      <c r="G2799" s="731" t="s">
        <v>4889</v>
      </c>
      <c r="H2799" s="1083">
        <v>42401</v>
      </c>
      <c r="I2799" s="1084">
        <v>42471</v>
      </c>
      <c r="J2799" s="957">
        <v>166.25</v>
      </c>
    </row>
    <row r="2800" spans="1:10" s="852" customFormat="1" ht="28.5" outlineLevel="2">
      <c r="A2800" s="815" t="s">
        <v>775</v>
      </c>
      <c r="B2800" s="816" t="s">
        <v>7883</v>
      </c>
      <c r="C2800" s="729" t="s">
        <v>466</v>
      </c>
      <c r="D2800" s="460"/>
      <c r="E2800" s="878" t="s">
        <v>2346</v>
      </c>
      <c r="F2800" s="881" t="s">
        <v>4220</v>
      </c>
      <c r="G2800" s="731" t="s">
        <v>4890</v>
      </c>
      <c r="H2800" s="1083">
        <v>42401</v>
      </c>
      <c r="I2800" s="1084">
        <v>42471</v>
      </c>
      <c r="J2800" s="957">
        <v>3519.98</v>
      </c>
    </row>
    <row r="2801" spans="1:10" s="852" customFormat="1" ht="28.5" outlineLevel="2">
      <c r="A2801" s="815" t="s">
        <v>776</v>
      </c>
      <c r="B2801" s="816" t="s">
        <v>7882</v>
      </c>
      <c r="C2801" s="729" t="s">
        <v>466</v>
      </c>
      <c r="D2801" s="460"/>
      <c r="E2801" s="878" t="s">
        <v>2346</v>
      </c>
      <c r="F2801" s="881" t="s">
        <v>4220</v>
      </c>
      <c r="G2801" s="731" t="s">
        <v>4890</v>
      </c>
      <c r="H2801" s="1083">
        <v>42401</v>
      </c>
      <c r="I2801" s="1084">
        <v>42471</v>
      </c>
      <c r="J2801" s="957">
        <v>15006.28</v>
      </c>
    </row>
    <row r="2802" spans="1:10" s="852" customFormat="1" outlineLevel="2">
      <c r="A2802" s="815" t="s">
        <v>4882</v>
      </c>
      <c r="B2802" s="816" t="s">
        <v>7885</v>
      </c>
      <c r="C2802" s="729" t="s">
        <v>466</v>
      </c>
      <c r="D2802" s="460"/>
      <c r="E2802" s="878" t="s">
        <v>2346</v>
      </c>
      <c r="F2802" s="881" t="s">
        <v>4290</v>
      </c>
      <c r="G2802" s="731" t="s">
        <v>4891</v>
      </c>
      <c r="H2802" s="1083">
        <v>42401</v>
      </c>
      <c r="I2802" s="1084">
        <v>42471</v>
      </c>
      <c r="J2802" s="957">
        <v>566.25</v>
      </c>
    </row>
    <row r="2803" spans="1:10" s="852" customFormat="1" ht="28.5" outlineLevel="2">
      <c r="A2803" s="815" t="s">
        <v>775</v>
      </c>
      <c r="B2803" s="816" t="s">
        <v>7883</v>
      </c>
      <c r="C2803" s="729" t="s">
        <v>466</v>
      </c>
      <c r="D2803" s="460"/>
      <c r="E2803" s="878" t="s">
        <v>1909</v>
      </c>
      <c r="F2803" s="881" t="s">
        <v>4217</v>
      </c>
      <c r="G2803" s="731" t="s">
        <v>4919</v>
      </c>
      <c r="H2803" s="1083">
        <v>42401</v>
      </c>
      <c r="I2803" s="1084">
        <v>42480</v>
      </c>
      <c r="J2803" s="957">
        <v>703.99</v>
      </c>
    </row>
    <row r="2804" spans="1:10" s="852" customFormat="1" ht="28.5" outlineLevel="2">
      <c r="A2804" s="815" t="s">
        <v>776</v>
      </c>
      <c r="B2804" s="816" t="s">
        <v>7882</v>
      </c>
      <c r="C2804" s="729" t="s">
        <v>466</v>
      </c>
      <c r="D2804" s="460"/>
      <c r="E2804" s="878" t="s">
        <v>1909</v>
      </c>
      <c r="F2804" s="881" t="s">
        <v>4217</v>
      </c>
      <c r="G2804" s="731" t="s">
        <v>4919</v>
      </c>
      <c r="H2804" s="1083">
        <v>42401</v>
      </c>
      <c r="I2804" s="1084">
        <v>42480</v>
      </c>
      <c r="J2804" s="957">
        <v>3001.25</v>
      </c>
    </row>
    <row r="2805" spans="1:10" s="852" customFormat="1" ht="28.5" outlineLevel="2">
      <c r="A2805" s="815" t="s">
        <v>780</v>
      </c>
      <c r="B2805" s="816" t="s">
        <v>7863</v>
      </c>
      <c r="C2805" s="729" t="s">
        <v>466</v>
      </c>
      <c r="D2805" s="460"/>
      <c r="E2805" s="878" t="s">
        <v>1909</v>
      </c>
      <c r="F2805" s="881" t="s">
        <v>6364</v>
      </c>
      <c r="G2805" s="731" t="s">
        <v>4906</v>
      </c>
      <c r="H2805" s="1083">
        <v>42401</v>
      </c>
      <c r="I2805" s="1084">
        <v>42480</v>
      </c>
      <c r="J2805" s="957">
        <v>320.94</v>
      </c>
    </row>
    <row r="2806" spans="1:10" s="852" customFormat="1" outlineLevel="2">
      <c r="A2806" s="815" t="s">
        <v>963</v>
      </c>
      <c r="B2806" s="816" t="s">
        <v>7866</v>
      </c>
      <c r="C2806" s="729" t="s">
        <v>466</v>
      </c>
      <c r="D2806" s="460"/>
      <c r="E2806" s="878" t="s">
        <v>1909</v>
      </c>
      <c r="F2806" s="881" t="s">
        <v>3935</v>
      </c>
      <c r="G2806" s="731" t="s">
        <v>2817</v>
      </c>
      <c r="H2806" s="1083">
        <v>42401</v>
      </c>
      <c r="I2806" s="1084">
        <v>42480</v>
      </c>
      <c r="J2806" s="957">
        <v>400.28</v>
      </c>
    </row>
    <row r="2807" spans="1:10" s="852" customFormat="1" outlineLevel="2">
      <c r="A2807" s="815" t="s">
        <v>963</v>
      </c>
      <c r="B2807" s="816" t="s">
        <v>7866</v>
      </c>
      <c r="C2807" s="729" t="s">
        <v>466</v>
      </c>
      <c r="D2807" s="460"/>
      <c r="E2807" s="878" t="s">
        <v>1909</v>
      </c>
      <c r="F2807" s="881" t="s">
        <v>4027</v>
      </c>
      <c r="G2807" s="731" t="s">
        <v>2819</v>
      </c>
      <c r="H2807" s="1083">
        <v>42401</v>
      </c>
      <c r="I2807" s="1084">
        <v>42480</v>
      </c>
      <c r="J2807" s="957">
        <v>12.8</v>
      </c>
    </row>
    <row r="2808" spans="1:10" s="852" customFormat="1" outlineLevel="2">
      <c r="A2808" s="815" t="s">
        <v>963</v>
      </c>
      <c r="B2808" s="816" t="s">
        <v>7866</v>
      </c>
      <c r="C2808" s="729" t="s">
        <v>466</v>
      </c>
      <c r="D2808" s="460"/>
      <c r="E2808" s="878" t="s">
        <v>1909</v>
      </c>
      <c r="F2808" s="881" t="s">
        <v>4129</v>
      </c>
      <c r="G2808" s="731" t="s">
        <v>2821</v>
      </c>
      <c r="H2808" s="1083">
        <v>42401</v>
      </c>
      <c r="I2808" s="1084">
        <v>42480</v>
      </c>
      <c r="J2808" s="957">
        <v>151.02000000000001</v>
      </c>
    </row>
    <row r="2809" spans="1:10" s="852" customFormat="1" ht="28.5" outlineLevel="2">
      <c r="A2809" s="815" t="s">
        <v>2260</v>
      </c>
      <c r="B2809" s="816" t="s">
        <v>7889</v>
      </c>
      <c r="C2809" s="729" t="s">
        <v>466</v>
      </c>
      <c r="D2809" s="460"/>
      <c r="E2809" s="878" t="s">
        <v>1909</v>
      </c>
      <c r="F2809" s="881" t="s">
        <v>3877</v>
      </c>
      <c r="G2809" s="731" t="s">
        <v>4918</v>
      </c>
      <c r="H2809" s="1083">
        <v>42401</v>
      </c>
      <c r="I2809" s="1084">
        <v>42480</v>
      </c>
      <c r="J2809" s="957">
        <v>49.88</v>
      </c>
    </row>
    <row r="2810" spans="1:10" s="852" customFormat="1" ht="28.5" outlineLevel="2">
      <c r="A2810" s="815" t="s">
        <v>2260</v>
      </c>
      <c r="B2810" s="816" t="s">
        <v>7889</v>
      </c>
      <c r="C2810" s="729" t="s">
        <v>466</v>
      </c>
      <c r="D2810" s="460"/>
      <c r="E2810" s="878" t="s">
        <v>1909</v>
      </c>
      <c r="F2810" s="881" t="s">
        <v>6365</v>
      </c>
      <c r="G2810" s="731" t="s">
        <v>4907</v>
      </c>
      <c r="H2810" s="1083">
        <v>42401</v>
      </c>
      <c r="I2810" s="1084">
        <v>42480</v>
      </c>
      <c r="J2810" s="957">
        <v>1.5</v>
      </c>
    </row>
    <row r="2811" spans="1:10" s="852" customFormat="1" outlineLevel="2">
      <c r="A2811" s="815" t="s">
        <v>2272</v>
      </c>
      <c r="B2811" s="816" t="s">
        <v>7888</v>
      </c>
      <c r="C2811" s="729" t="s">
        <v>466</v>
      </c>
      <c r="D2811" s="460"/>
      <c r="E2811" s="878" t="s">
        <v>1909</v>
      </c>
      <c r="F2811" s="881" t="s">
        <v>4544</v>
      </c>
      <c r="G2811" s="731" t="s">
        <v>4260</v>
      </c>
      <c r="H2811" s="1083">
        <v>42401</v>
      </c>
      <c r="I2811" s="1084">
        <v>42480</v>
      </c>
      <c r="J2811" s="957">
        <v>13.55</v>
      </c>
    </row>
    <row r="2812" spans="1:10" s="852" customFormat="1" outlineLevel="2">
      <c r="A2812" s="815" t="s">
        <v>778</v>
      </c>
      <c r="B2812" s="816" t="s">
        <v>7877</v>
      </c>
      <c r="C2812" s="729" t="s">
        <v>466</v>
      </c>
      <c r="D2812" s="460"/>
      <c r="E2812" s="878" t="s">
        <v>1909</v>
      </c>
      <c r="F2812" s="881" t="s">
        <v>5209</v>
      </c>
      <c r="G2812" s="731" t="s">
        <v>4920</v>
      </c>
      <c r="H2812" s="1083">
        <v>42430</v>
      </c>
      <c r="I2812" s="1084">
        <v>42480</v>
      </c>
      <c r="J2812" s="957">
        <v>281.48</v>
      </c>
    </row>
    <row r="2813" spans="1:10" s="852" customFormat="1" outlineLevel="2">
      <c r="A2813" s="815" t="s">
        <v>777</v>
      </c>
      <c r="B2813" s="816" t="s">
        <v>7864</v>
      </c>
      <c r="C2813" s="729" t="s">
        <v>466</v>
      </c>
      <c r="D2813" s="460"/>
      <c r="E2813" s="878" t="s">
        <v>1909</v>
      </c>
      <c r="F2813" s="881" t="s">
        <v>6360</v>
      </c>
      <c r="G2813" s="731" t="s">
        <v>4900</v>
      </c>
      <c r="H2813" s="1083">
        <v>42401</v>
      </c>
      <c r="I2813" s="1084">
        <v>42480</v>
      </c>
      <c r="J2813" s="957">
        <v>42.85</v>
      </c>
    </row>
    <row r="2814" spans="1:10" s="852" customFormat="1" outlineLevel="2">
      <c r="A2814" s="815" t="s">
        <v>777</v>
      </c>
      <c r="B2814" s="816" t="s">
        <v>7864</v>
      </c>
      <c r="C2814" s="729" t="s">
        <v>466</v>
      </c>
      <c r="D2814" s="460"/>
      <c r="E2814" s="878" t="s">
        <v>1909</v>
      </c>
      <c r="F2814" s="881" t="s">
        <v>6361</v>
      </c>
      <c r="G2814" s="731" t="s">
        <v>4901</v>
      </c>
      <c r="H2814" s="1083">
        <v>42401</v>
      </c>
      <c r="I2814" s="1084">
        <v>42480</v>
      </c>
      <c r="J2814" s="957">
        <v>8.35</v>
      </c>
    </row>
    <row r="2815" spans="1:10" s="852" customFormat="1" outlineLevel="2">
      <c r="A2815" s="815" t="s">
        <v>777</v>
      </c>
      <c r="B2815" s="816" t="s">
        <v>7864</v>
      </c>
      <c r="C2815" s="729" t="s">
        <v>466</v>
      </c>
      <c r="D2815" s="460"/>
      <c r="E2815" s="878" t="s">
        <v>1909</v>
      </c>
      <c r="F2815" s="881" t="s">
        <v>6362</v>
      </c>
      <c r="G2815" s="731" t="s">
        <v>4902</v>
      </c>
      <c r="H2815" s="1083">
        <v>42401</v>
      </c>
      <c r="I2815" s="1084">
        <v>42480</v>
      </c>
      <c r="J2815" s="957">
        <v>28.19</v>
      </c>
    </row>
    <row r="2816" spans="1:10" s="852" customFormat="1" outlineLevel="2">
      <c r="A2816" s="815" t="s">
        <v>777</v>
      </c>
      <c r="B2816" s="816" t="s">
        <v>7864</v>
      </c>
      <c r="C2816" s="729" t="s">
        <v>466</v>
      </c>
      <c r="D2816" s="460"/>
      <c r="E2816" s="878" t="s">
        <v>1909</v>
      </c>
      <c r="F2816" s="881" t="s">
        <v>6363</v>
      </c>
      <c r="G2816" s="731" t="s">
        <v>4904</v>
      </c>
      <c r="H2816" s="1083">
        <v>42401</v>
      </c>
      <c r="I2816" s="1084">
        <v>42480</v>
      </c>
      <c r="J2816" s="957">
        <v>5.49</v>
      </c>
    </row>
    <row r="2817" spans="1:10" s="852" customFormat="1" outlineLevel="2">
      <c r="A2817" s="815" t="s">
        <v>777</v>
      </c>
      <c r="B2817" s="816" t="s">
        <v>7864</v>
      </c>
      <c r="C2817" s="729" t="s">
        <v>466</v>
      </c>
      <c r="D2817" s="460"/>
      <c r="E2817" s="878" t="s">
        <v>1909</v>
      </c>
      <c r="F2817" s="881" t="s">
        <v>2854</v>
      </c>
      <c r="G2817" s="731" t="s">
        <v>4911</v>
      </c>
      <c r="H2817" s="1083">
        <v>42401</v>
      </c>
      <c r="I2817" s="1084">
        <v>42480</v>
      </c>
      <c r="J2817" s="957">
        <v>41.73</v>
      </c>
    </row>
    <row r="2818" spans="1:10" s="852" customFormat="1" ht="28.5" outlineLevel="2">
      <c r="A2818" s="815" t="s">
        <v>779</v>
      </c>
      <c r="B2818" s="816" t="s">
        <v>7881</v>
      </c>
      <c r="C2818" s="729" t="s">
        <v>466</v>
      </c>
      <c r="D2818" s="460"/>
      <c r="E2818" s="878" t="s">
        <v>1909</v>
      </c>
      <c r="F2818" s="881" t="s">
        <v>6306</v>
      </c>
      <c r="G2818" s="731" t="s">
        <v>4225</v>
      </c>
      <c r="H2818" s="1083">
        <v>42370</v>
      </c>
      <c r="I2818" s="1084">
        <v>42480</v>
      </c>
      <c r="J2818" s="957">
        <v>6.19</v>
      </c>
    </row>
    <row r="2819" spans="1:10" s="852" customFormat="1" ht="28.5" outlineLevel="2">
      <c r="A2819" s="815" t="s">
        <v>775</v>
      </c>
      <c r="B2819" s="816" t="s">
        <v>7883</v>
      </c>
      <c r="C2819" s="729" t="s">
        <v>466</v>
      </c>
      <c r="D2819" s="460"/>
      <c r="E2819" s="878" t="s">
        <v>1909</v>
      </c>
      <c r="F2819" s="881" t="s">
        <v>6359</v>
      </c>
      <c r="G2819" s="731" t="s">
        <v>4898</v>
      </c>
      <c r="H2819" s="1083">
        <v>42370</v>
      </c>
      <c r="I2819" s="1084">
        <v>42480</v>
      </c>
      <c r="J2819" s="957">
        <v>4218.9799999999996</v>
      </c>
    </row>
    <row r="2820" spans="1:10" s="852" customFormat="1" ht="28.5" outlineLevel="2">
      <c r="A2820" s="815" t="s">
        <v>776</v>
      </c>
      <c r="B2820" s="816" t="s">
        <v>7882</v>
      </c>
      <c r="C2820" s="729" t="s">
        <v>466</v>
      </c>
      <c r="D2820" s="460"/>
      <c r="E2820" s="878" t="s">
        <v>1909</v>
      </c>
      <c r="F2820" s="881" t="s">
        <v>6359</v>
      </c>
      <c r="G2820" s="731" t="s">
        <v>4898</v>
      </c>
      <c r="H2820" s="1083">
        <v>42370</v>
      </c>
      <c r="I2820" s="1084">
        <v>42480</v>
      </c>
      <c r="J2820" s="957">
        <v>17986.189999999999</v>
      </c>
    </row>
    <row r="2821" spans="1:10" s="852" customFormat="1" ht="28.5" outlineLevel="2">
      <c r="A2821" s="815" t="s">
        <v>775</v>
      </c>
      <c r="B2821" s="816" t="s">
        <v>7883</v>
      </c>
      <c r="C2821" s="729" t="s">
        <v>466</v>
      </c>
      <c r="D2821" s="460"/>
      <c r="E2821" s="878" t="s">
        <v>1909</v>
      </c>
      <c r="F2821" s="881" t="s">
        <v>6359</v>
      </c>
      <c r="G2821" s="731" t="s">
        <v>4899</v>
      </c>
      <c r="H2821" s="1083">
        <v>42370</v>
      </c>
      <c r="I2821" s="1084">
        <v>42480</v>
      </c>
      <c r="J2821" s="957">
        <v>4218.9799999999996</v>
      </c>
    </row>
    <row r="2822" spans="1:10" s="852" customFormat="1" ht="28.5" outlineLevel="2">
      <c r="A2822" s="815" t="s">
        <v>776</v>
      </c>
      <c r="B2822" s="816" t="s">
        <v>7882</v>
      </c>
      <c r="C2822" s="729" t="s">
        <v>466</v>
      </c>
      <c r="D2822" s="460"/>
      <c r="E2822" s="878" t="s">
        <v>1909</v>
      </c>
      <c r="F2822" s="881" t="s">
        <v>6359</v>
      </c>
      <c r="G2822" s="731" t="s">
        <v>4899</v>
      </c>
      <c r="H2822" s="1083">
        <v>42370</v>
      </c>
      <c r="I2822" s="1084">
        <v>42480</v>
      </c>
      <c r="J2822" s="957">
        <v>17986.189999999999</v>
      </c>
    </row>
    <row r="2823" spans="1:10" s="852" customFormat="1" ht="28.5" outlineLevel="2">
      <c r="A2823" s="815" t="s">
        <v>775</v>
      </c>
      <c r="B2823" s="816" t="s">
        <v>7883</v>
      </c>
      <c r="C2823" s="729" t="s">
        <v>466</v>
      </c>
      <c r="D2823" s="460"/>
      <c r="E2823" s="878" t="s">
        <v>1909</v>
      </c>
      <c r="F2823" s="881" t="s">
        <v>6359</v>
      </c>
      <c r="G2823" s="731" t="s">
        <v>4905</v>
      </c>
      <c r="H2823" s="1083">
        <v>42370</v>
      </c>
      <c r="I2823" s="1084">
        <v>42480</v>
      </c>
      <c r="J2823" s="957">
        <v>-4218.9799999999996</v>
      </c>
    </row>
    <row r="2824" spans="1:10" s="852" customFormat="1" ht="28.5" outlineLevel="2">
      <c r="A2824" s="815" t="s">
        <v>776</v>
      </c>
      <c r="B2824" s="816" t="s">
        <v>7882</v>
      </c>
      <c r="C2824" s="729" t="s">
        <v>466</v>
      </c>
      <c r="D2824" s="460"/>
      <c r="E2824" s="878" t="s">
        <v>1909</v>
      </c>
      <c r="F2824" s="881" t="s">
        <v>6359</v>
      </c>
      <c r="G2824" s="731" t="s">
        <v>4905</v>
      </c>
      <c r="H2824" s="1083">
        <v>42370</v>
      </c>
      <c r="I2824" s="1084">
        <v>42480</v>
      </c>
      <c r="J2824" s="957">
        <v>-17986.189999999999</v>
      </c>
    </row>
    <row r="2825" spans="1:10" s="852" customFormat="1" ht="28.5" outlineLevel="2">
      <c r="A2825" s="815" t="s">
        <v>780</v>
      </c>
      <c r="B2825" s="816" t="s">
        <v>7863</v>
      </c>
      <c r="C2825" s="729" t="s">
        <v>466</v>
      </c>
      <c r="D2825" s="460"/>
      <c r="E2825" s="878" t="s">
        <v>1909</v>
      </c>
      <c r="F2825" s="881" t="s">
        <v>6366</v>
      </c>
      <c r="G2825" s="731" t="s">
        <v>4908</v>
      </c>
      <c r="H2825" s="1083">
        <v>42370</v>
      </c>
      <c r="I2825" s="1084">
        <v>42480</v>
      </c>
      <c r="J2825" s="957">
        <v>1557.27</v>
      </c>
    </row>
    <row r="2826" spans="1:10" s="852" customFormat="1" ht="28.5" outlineLevel="2">
      <c r="A2826" s="815" t="s">
        <v>963</v>
      </c>
      <c r="B2826" s="816" t="s">
        <v>7866</v>
      </c>
      <c r="C2826" s="729" t="s">
        <v>466</v>
      </c>
      <c r="D2826" s="460"/>
      <c r="E2826" s="878" t="s">
        <v>1909</v>
      </c>
      <c r="F2826" s="881" t="s">
        <v>4956</v>
      </c>
      <c r="G2826" s="731" t="s">
        <v>2833</v>
      </c>
      <c r="H2826" s="1083">
        <v>42401</v>
      </c>
      <c r="I2826" s="1084">
        <v>42480</v>
      </c>
      <c r="J2826" s="957">
        <v>1240.8800000000001</v>
      </c>
    </row>
    <row r="2827" spans="1:10" s="852" customFormat="1" ht="28.5" outlineLevel="2">
      <c r="A2827" s="815" t="s">
        <v>963</v>
      </c>
      <c r="B2827" s="816" t="s">
        <v>7866</v>
      </c>
      <c r="C2827" s="729" t="s">
        <v>466</v>
      </c>
      <c r="D2827" s="460"/>
      <c r="E2827" s="878" t="s">
        <v>1909</v>
      </c>
      <c r="F2827" s="881" t="s">
        <v>4903</v>
      </c>
      <c r="G2827" s="731" t="s">
        <v>2832</v>
      </c>
      <c r="H2827" s="1083">
        <v>42401</v>
      </c>
      <c r="I2827" s="1084">
        <v>42480</v>
      </c>
      <c r="J2827" s="957">
        <v>39.68</v>
      </c>
    </row>
    <row r="2828" spans="1:10" s="852" customFormat="1" ht="28.5" outlineLevel="2">
      <c r="A2828" s="815" t="s">
        <v>963</v>
      </c>
      <c r="B2828" s="816" t="s">
        <v>7866</v>
      </c>
      <c r="C2828" s="729" t="s">
        <v>466</v>
      </c>
      <c r="D2828" s="460"/>
      <c r="E2828" s="878" t="s">
        <v>1909</v>
      </c>
      <c r="F2828" s="881" t="s">
        <v>4853</v>
      </c>
      <c r="G2828" s="731" t="s">
        <v>2831</v>
      </c>
      <c r="H2828" s="1083">
        <v>42401</v>
      </c>
      <c r="I2828" s="1084">
        <v>42480</v>
      </c>
      <c r="J2828" s="957">
        <v>468.18</v>
      </c>
    </row>
    <row r="2829" spans="1:10" s="852" customFormat="1" ht="28.5" outlineLevel="2">
      <c r="A2829" s="815" t="s">
        <v>2260</v>
      </c>
      <c r="B2829" s="816" t="s">
        <v>7889</v>
      </c>
      <c r="C2829" s="729" t="s">
        <v>466</v>
      </c>
      <c r="D2829" s="460"/>
      <c r="E2829" s="878" t="s">
        <v>1909</v>
      </c>
      <c r="F2829" s="881" t="s">
        <v>6358</v>
      </c>
      <c r="G2829" s="731" t="s">
        <v>4893</v>
      </c>
      <c r="H2829" s="1083">
        <v>42370</v>
      </c>
      <c r="I2829" s="1084">
        <v>42480</v>
      </c>
      <c r="J2829" s="957">
        <v>154.61000000000001</v>
      </c>
    </row>
    <row r="2830" spans="1:10" s="852" customFormat="1" ht="28.5" outlineLevel="2">
      <c r="A2830" s="815" t="s">
        <v>2260</v>
      </c>
      <c r="B2830" s="816" t="s">
        <v>7889</v>
      </c>
      <c r="C2830" s="729" t="s">
        <v>466</v>
      </c>
      <c r="D2830" s="460"/>
      <c r="E2830" s="878" t="s">
        <v>1909</v>
      </c>
      <c r="F2830" s="881" t="s">
        <v>6358</v>
      </c>
      <c r="G2830" s="731" t="s">
        <v>4895</v>
      </c>
      <c r="H2830" s="1083">
        <v>42370</v>
      </c>
      <c r="I2830" s="1084">
        <v>42480</v>
      </c>
      <c r="J2830" s="957">
        <v>154.61000000000001</v>
      </c>
    </row>
    <row r="2831" spans="1:10" s="852" customFormat="1" ht="28.5" outlineLevel="2">
      <c r="A2831" s="815" t="s">
        <v>2260</v>
      </c>
      <c r="B2831" s="816" t="s">
        <v>7889</v>
      </c>
      <c r="C2831" s="729" t="s">
        <v>466</v>
      </c>
      <c r="D2831" s="460"/>
      <c r="E2831" s="878" t="s">
        <v>1909</v>
      </c>
      <c r="F2831" s="881" t="s">
        <v>6358</v>
      </c>
      <c r="G2831" s="731" t="s">
        <v>4896</v>
      </c>
      <c r="H2831" s="1083">
        <v>42370</v>
      </c>
      <c r="I2831" s="1084">
        <v>42480</v>
      </c>
      <c r="J2831" s="957">
        <v>-154.61000000000001</v>
      </c>
    </row>
    <row r="2832" spans="1:10" s="852" customFormat="1" ht="28.5" outlineLevel="2">
      <c r="A2832" s="815" t="s">
        <v>2272</v>
      </c>
      <c r="B2832" s="816" t="s">
        <v>7888</v>
      </c>
      <c r="C2832" s="729" t="s">
        <v>466</v>
      </c>
      <c r="D2832" s="460"/>
      <c r="E2832" s="878" t="s">
        <v>1909</v>
      </c>
      <c r="F2832" s="881" t="s">
        <v>6310</v>
      </c>
      <c r="G2832" s="731" t="s">
        <v>4234</v>
      </c>
      <c r="H2832" s="1083">
        <v>42370</v>
      </c>
      <c r="I2832" s="1084">
        <v>42480</v>
      </c>
      <c r="J2832" s="957">
        <v>28.47</v>
      </c>
    </row>
    <row r="2833" spans="1:10" s="852" customFormat="1" ht="28.5" outlineLevel="2">
      <c r="A2833" s="815" t="s">
        <v>2272</v>
      </c>
      <c r="B2833" s="816" t="s">
        <v>7888</v>
      </c>
      <c r="C2833" s="729" t="s">
        <v>466</v>
      </c>
      <c r="D2833" s="460"/>
      <c r="E2833" s="878" t="s">
        <v>1909</v>
      </c>
      <c r="F2833" s="881" t="s">
        <v>6310</v>
      </c>
      <c r="G2833" s="731" t="s">
        <v>4235</v>
      </c>
      <c r="H2833" s="1083">
        <v>42370</v>
      </c>
      <c r="I2833" s="1084">
        <v>42480</v>
      </c>
      <c r="J2833" s="957">
        <v>33.5</v>
      </c>
    </row>
    <row r="2834" spans="1:10" s="852" customFormat="1" ht="28.5" outlineLevel="2">
      <c r="A2834" s="815" t="s">
        <v>2272</v>
      </c>
      <c r="B2834" s="816" t="s">
        <v>7888</v>
      </c>
      <c r="C2834" s="729" t="s">
        <v>466</v>
      </c>
      <c r="D2834" s="460"/>
      <c r="E2834" s="878" t="s">
        <v>1909</v>
      </c>
      <c r="F2834" s="881" t="s">
        <v>4694</v>
      </c>
      <c r="G2834" s="731" t="s">
        <v>4262</v>
      </c>
      <c r="H2834" s="1083">
        <v>42401</v>
      </c>
      <c r="I2834" s="1084">
        <v>42480</v>
      </c>
      <c r="J2834" s="957">
        <v>19.29</v>
      </c>
    </row>
    <row r="2835" spans="1:10" s="852" customFormat="1" ht="28.5" outlineLevel="2">
      <c r="A2835" s="815" t="s">
        <v>2272</v>
      </c>
      <c r="B2835" s="816" t="s">
        <v>7888</v>
      </c>
      <c r="C2835" s="729" t="s">
        <v>466</v>
      </c>
      <c r="D2835" s="460"/>
      <c r="E2835" s="878" t="s">
        <v>1909</v>
      </c>
      <c r="F2835" s="881" t="s">
        <v>4694</v>
      </c>
      <c r="G2835" s="731" t="s">
        <v>4264</v>
      </c>
      <c r="H2835" s="1083">
        <v>42401</v>
      </c>
      <c r="I2835" s="1084">
        <v>42480</v>
      </c>
      <c r="J2835" s="957">
        <v>22.73</v>
      </c>
    </row>
    <row r="2836" spans="1:10" s="852" customFormat="1" ht="28.5" outlineLevel="2">
      <c r="A2836" s="815" t="s">
        <v>778</v>
      </c>
      <c r="B2836" s="816" t="s">
        <v>7877</v>
      </c>
      <c r="C2836" s="729" t="s">
        <v>466</v>
      </c>
      <c r="D2836" s="460"/>
      <c r="E2836" s="878" t="s">
        <v>1909</v>
      </c>
      <c r="F2836" s="881" t="s">
        <v>6357</v>
      </c>
      <c r="G2836" s="731" t="s">
        <v>4892</v>
      </c>
      <c r="H2836" s="1083">
        <v>42401</v>
      </c>
      <c r="I2836" s="1084">
        <v>42480</v>
      </c>
      <c r="J2836" s="957">
        <v>973.43</v>
      </c>
    </row>
    <row r="2837" spans="1:10" s="852" customFormat="1" ht="28.5" outlineLevel="2">
      <c r="A2837" s="815" t="s">
        <v>778</v>
      </c>
      <c r="B2837" s="816" t="s">
        <v>7877</v>
      </c>
      <c r="C2837" s="729" t="s">
        <v>466</v>
      </c>
      <c r="D2837" s="460"/>
      <c r="E2837" s="878" t="s">
        <v>1909</v>
      </c>
      <c r="F2837" s="881" t="s">
        <v>6357</v>
      </c>
      <c r="G2837" s="731" t="s">
        <v>4894</v>
      </c>
      <c r="H2837" s="1083">
        <v>42401</v>
      </c>
      <c r="I2837" s="1084">
        <v>42480</v>
      </c>
      <c r="J2837" s="957">
        <v>973.43</v>
      </c>
    </row>
    <row r="2838" spans="1:10" s="852" customFormat="1" ht="28.5" outlineLevel="2">
      <c r="A2838" s="815" t="s">
        <v>778</v>
      </c>
      <c r="B2838" s="816" t="s">
        <v>7877</v>
      </c>
      <c r="C2838" s="729" t="s">
        <v>466</v>
      </c>
      <c r="D2838" s="460"/>
      <c r="E2838" s="878" t="s">
        <v>1909</v>
      </c>
      <c r="F2838" s="881" t="s">
        <v>6357</v>
      </c>
      <c r="G2838" s="731" t="s">
        <v>4897</v>
      </c>
      <c r="H2838" s="1083">
        <v>42401</v>
      </c>
      <c r="I2838" s="1084">
        <v>42480</v>
      </c>
      <c r="J2838" s="957">
        <v>-973.43</v>
      </c>
    </row>
    <row r="2839" spans="1:10" s="852" customFormat="1" ht="28.5" outlineLevel="2">
      <c r="A2839" s="815" t="s">
        <v>777</v>
      </c>
      <c r="B2839" s="816" t="s">
        <v>7864</v>
      </c>
      <c r="C2839" s="729" t="s">
        <v>466</v>
      </c>
      <c r="D2839" s="460"/>
      <c r="E2839" s="878" t="s">
        <v>1909</v>
      </c>
      <c r="F2839" s="881" t="s">
        <v>2900</v>
      </c>
      <c r="G2839" s="731" t="s">
        <v>4909</v>
      </c>
      <c r="H2839" s="1083">
        <v>42370</v>
      </c>
      <c r="I2839" s="1084">
        <v>42480</v>
      </c>
      <c r="J2839" s="957">
        <v>-131.1</v>
      </c>
    </row>
    <row r="2840" spans="1:10" s="852" customFormat="1" ht="28.5" outlineLevel="2">
      <c r="A2840" s="815" t="s">
        <v>777</v>
      </c>
      <c r="B2840" s="816" t="s">
        <v>7864</v>
      </c>
      <c r="C2840" s="729" t="s">
        <v>466</v>
      </c>
      <c r="D2840" s="460"/>
      <c r="E2840" s="878" t="s">
        <v>1909</v>
      </c>
      <c r="F2840" s="881" t="s">
        <v>2900</v>
      </c>
      <c r="G2840" s="731" t="s">
        <v>4910</v>
      </c>
      <c r="H2840" s="1083">
        <v>42370</v>
      </c>
      <c r="I2840" s="1084">
        <v>42480</v>
      </c>
      <c r="J2840" s="957">
        <v>-131.09</v>
      </c>
    </row>
    <row r="2841" spans="1:10" s="852" customFormat="1" ht="28.5" outlineLevel="2">
      <c r="A2841" s="815" t="s">
        <v>777</v>
      </c>
      <c r="B2841" s="816" t="s">
        <v>7864</v>
      </c>
      <c r="C2841" s="729" t="s">
        <v>466</v>
      </c>
      <c r="D2841" s="460"/>
      <c r="E2841" s="878" t="s">
        <v>1909</v>
      </c>
      <c r="F2841" s="881" t="s">
        <v>2900</v>
      </c>
      <c r="G2841" s="731" t="s">
        <v>4912</v>
      </c>
      <c r="H2841" s="1083">
        <v>42370</v>
      </c>
      <c r="I2841" s="1084">
        <v>42480</v>
      </c>
      <c r="J2841" s="957">
        <v>131.09</v>
      </c>
    </row>
    <row r="2842" spans="1:10" s="852" customFormat="1" ht="28.5" outlineLevel="2">
      <c r="A2842" s="815" t="s">
        <v>777</v>
      </c>
      <c r="B2842" s="816" t="s">
        <v>7864</v>
      </c>
      <c r="C2842" s="729" t="s">
        <v>466</v>
      </c>
      <c r="D2842" s="460"/>
      <c r="E2842" s="878" t="s">
        <v>1909</v>
      </c>
      <c r="F2842" s="881" t="s">
        <v>2900</v>
      </c>
      <c r="G2842" s="731" t="s">
        <v>4913</v>
      </c>
      <c r="H2842" s="1083">
        <v>42370</v>
      </c>
      <c r="I2842" s="1084">
        <v>42480</v>
      </c>
      <c r="J2842" s="957">
        <v>131.1</v>
      </c>
    </row>
    <row r="2843" spans="1:10" s="852" customFormat="1" ht="28.5" outlineLevel="2">
      <c r="A2843" s="815" t="s">
        <v>777</v>
      </c>
      <c r="B2843" s="816" t="s">
        <v>7864</v>
      </c>
      <c r="C2843" s="729" t="s">
        <v>466</v>
      </c>
      <c r="D2843" s="460"/>
      <c r="E2843" s="878" t="s">
        <v>1909</v>
      </c>
      <c r="F2843" s="881" t="s">
        <v>2900</v>
      </c>
      <c r="G2843" s="731" t="s">
        <v>4914</v>
      </c>
      <c r="H2843" s="1083">
        <v>42370</v>
      </c>
      <c r="I2843" s="1084">
        <v>42480</v>
      </c>
      <c r="J2843" s="957">
        <v>131.1</v>
      </c>
    </row>
    <row r="2844" spans="1:10" s="852" customFormat="1" ht="28.5" outlineLevel="2">
      <c r="A2844" s="815" t="s">
        <v>777</v>
      </c>
      <c r="B2844" s="816" t="s">
        <v>7864</v>
      </c>
      <c r="C2844" s="729" t="s">
        <v>466</v>
      </c>
      <c r="D2844" s="460"/>
      <c r="E2844" s="878" t="s">
        <v>1909</v>
      </c>
      <c r="F2844" s="881" t="s">
        <v>3552</v>
      </c>
      <c r="G2844" s="731" t="s">
        <v>4915</v>
      </c>
      <c r="H2844" s="1083">
        <v>42370</v>
      </c>
      <c r="I2844" s="1084">
        <v>42480</v>
      </c>
      <c r="J2844" s="957">
        <v>-194.02</v>
      </c>
    </row>
    <row r="2845" spans="1:10" s="852" customFormat="1" ht="28.5" outlineLevel="2">
      <c r="A2845" s="815" t="s">
        <v>777</v>
      </c>
      <c r="B2845" s="816" t="s">
        <v>7864</v>
      </c>
      <c r="C2845" s="729" t="s">
        <v>466</v>
      </c>
      <c r="D2845" s="460"/>
      <c r="E2845" s="878" t="s">
        <v>1909</v>
      </c>
      <c r="F2845" s="881" t="s">
        <v>3552</v>
      </c>
      <c r="G2845" s="731" t="s">
        <v>4916</v>
      </c>
      <c r="H2845" s="1083">
        <v>42370</v>
      </c>
      <c r="I2845" s="1084">
        <v>42480</v>
      </c>
      <c r="J2845" s="957">
        <v>194.02</v>
      </c>
    </row>
    <row r="2846" spans="1:10" s="852" customFormat="1" ht="28.5" outlineLevel="2">
      <c r="A2846" s="815" t="s">
        <v>777</v>
      </c>
      <c r="B2846" s="816" t="s">
        <v>7864</v>
      </c>
      <c r="C2846" s="729" t="s">
        <v>466</v>
      </c>
      <c r="D2846" s="460"/>
      <c r="E2846" s="878" t="s">
        <v>1909</v>
      </c>
      <c r="F2846" s="881" t="s">
        <v>3552</v>
      </c>
      <c r="G2846" s="731" t="s">
        <v>4917</v>
      </c>
      <c r="H2846" s="1083">
        <v>42370</v>
      </c>
      <c r="I2846" s="1084">
        <v>42480</v>
      </c>
      <c r="J2846" s="957">
        <v>194.02</v>
      </c>
    </row>
    <row r="2847" spans="1:10" s="852" customFormat="1" outlineLevel="2">
      <c r="A2847" s="815" t="s">
        <v>2304</v>
      </c>
      <c r="B2847" s="816" t="s">
        <v>7873</v>
      </c>
      <c r="C2847" s="729" t="s">
        <v>466</v>
      </c>
      <c r="D2847" s="460"/>
      <c r="E2847" s="878" t="s">
        <v>441</v>
      </c>
      <c r="F2847" s="881" t="s">
        <v>2299</v>
      </c>
      <c r="G2847" s="731" t="s">
        <v>5661</v>
      </c>
      <c r="H2847" s="1083">
        <v>42430</v>
      </c>
      <c r="I2847" s="1084">
        <v>42475</v>
      </c>
      <c r="J2847" s="957">
        <v>312.23</v>
      </c>
    </row>
    <row r="2848" spans="1:10" s="852" customFormat="1" outlineLevel="1">
      <c r="A2848" s="815"/>
      <c r="B2848" s="816" t="s">
        <v>258</v>
      </c>
      <c r="C2848" s="908" t="s">
        <v>466</v>
      </c>
      <c r="D2848" s="928" t="str">
        <f>VLOOKUP(C2848,$C$3691:$D$3771,2,FALSE)</f>
        <v>TOTAL POUPATEMPO  CAMPINAS SHOPPING</v>
      </c>
      <c r="E2848" s="1085"/>
      <c r="F2848" s="929"/>
      <c r="G2848" s="910"/>
      <c r="H2848" s="1086"/>
      <c r="I2848" s="1087"/>
      <c r="J2848" s="930">
        <f>SUBTOTAL(9,J2751:J2847)</f>
        <v>550982.93000000005</v>
      </c>
    </row>
    <row r="2849" spans="1:10" s="852" customFormat="1" outlineLevel="2">
      <c r="A2849" s="815" t="s">
        <v>6469</v>
      </c>
      <c r="B2849" s="816" t="s">
        <v>7868</v>
      </c>
      <c r="C2849" s="729" t="s">
        <v>468</v>
      </c>
      <c r="D2849" s="460"/>
      <c r="E2849" s="878" t="s">
        <v>6467</v>
      </c>
      <c r="F2849" s="881" t="s">
        <v>1233</v>
      </c>
      <c r="G2849" s="731" t="s">
        <v>6468</v>
      </c>
      <c r="H2849" s="1083">
        <v>42430</v>
      </c>
      <c r="I2849" s="1084">
        <v>42475</v>
      </c>
      <c r="J2849" s="957">
        <v>20100</v>
      </c>
    </row>
    <row r="2850" spans="1:10" s="852" customFormat="1" outlineLevel="2">
      <c r="A2850" s="815" t="s">
        <v>6485</v>
      </c>
      <c r="B2850" s="816" t="s">
        <v>7872</v>
      </c>
      <c r="C2850" s="729" t="s">
        <v>468</v>
      </c>
      <c r="D2850" s="460"/>
      <c r="E2850" s="878" t="s">
        <v>6484</v>
      </c>
      <c r="F2850" s="881" t="s">
        <v>1696</v>
      </c>
      <c r="G2850" s="731">
        <v>3173</v>
      </c>
      <c r="H2850" s="1083">
        <v>42430</v>
      </c>
      <c r="I2850" s="1084">
        <v>42482</v>
      </c>
      <c r="J2850" s="957">
        <v>645.58000000000004</v>
      </c>
    </row>
    <row r="2851" spans="1:10" s="852" customFormat="1" outlineLevel="2">
      <c r="A2851" s="815" t="s">
        <v>6485</v>
      </c>
      <c r="B2851" s="816" t="s">
        <v>7872</v>
      </c>
      <c r="C2851" s="729" t="s">
        <v>468</v>
      </c>
      <c r="D2851" s="460"/>
      <c r="E2851" s="878" t="s">
        <v>6484</v>
      </c>
      <c r="F2851" s="881" t="s">
        <v>1696</v>
      </c>
      <c r="G2851" s="731">
        <v>3173</v>
      </c>
      <c r="H2851" s="1083">
        <v>42430</v>
      </c>
      <c r="I2851" s="1084">
        <v>42482</v>
      </c>
      <c r="J2851" s="957">
        <v>430.4</v>
      </c>
    </row>
    <row r="2852" spans="1:10" s="852" customFormat="1" outlineLevel="2">
      <c r="A2852" s="815" t="s">
        <v>4921</v>
      </c>
      <c r="B2852" s="816" t="s">
        <v>7864</v>
      </c>
      <c r="C2852" s="729" t="s">
        <v>468</v>
      </c>
      <c r="D2852" s="460"/>
      <c r="E2852" s="878" t="s">
        <v>2336</v>
      </c>
      <c r="F2852" s="881" t="s">
        <v>4320</v>
      </c>
      <c r="G2852" s="731" t="s">
        <v>4922</v>
      </c>
      <c r="H2852" s="1083">
        <v>42401</v>
      </c>
      <c r="I2852" s="1084">
        <v>42480</v>
      </c>
      <c r="J2852" s="957">
        <v>84.14</v>
      </c>
    </row>
    <row r="2853" spans="1:10" s="852" customFormat="1" outlineLevel="2">
      <c r="A2853" s="815" t="s">
        <v>4921</v>
      </c>
      <c r="B2853" s="816" t="s">
        <v>7864</v>
      </c>
      <c r="C2853" s="729" t="s">
        <v>468</v>
      </c>
      <c r="D2853" s="460"/>
      <c r="E2853" s="878" t="s">
        <v>2710</v>
      </c>
      <c r="F2853" s="881" t="s">
        <v>4323</v>
      </c>
      <c r="G2853" s="731" t="s">
        <v>4923</v>
      </c>
      <c r="H2853" s="1083">
        <v>42401</v>
      </c>
      <c r="I2853" s="1084">
        <v>42475</v>
      </c>
      <c r="J2853" s="957">
        <v>38.24</v>
      </c>
    </row>
    <row r="2854" spans="1:10" s="852" customFormat="1" outlineLevel="2">
      <c r="A2854" s="815" t="s">
        <v>4921</v>
      </c>
      <c r="B2854" s="816" t="s">
        <v>7864</v>
      </c>
      <c r="C2854" s="729" t="s">
        <v>468</v>
      </c>
      <c r="D2854" s="460"/>
      <c r="E2854" s="878" t="s">
        <v>1909</v>
      </c>
      <c r="F2854" s="881" t="s">
        <v>4317</v>
      </c>
      <c r="G2854" s="731" t="s">
        <v>4924</v>
      </c>
      <c r="H2854" s="1083">
        <v>42401</v>
      </c>
      <c r="I2854" s="1084">
        <v>42480</v>
      </c>
      <c r="J2854" s="957">
        <v>7.64</v>
      </c>
    </row>
    <row r="2855" spans="1:10" s="852" customFormat="1" outlineLevel="2">
      <c r="A2855" s="815" t="s">
        <v>7793</v>
      </c>
      <c r="B2855" s="816" t="s">
        <v>7871</v>
      </c>
      <c r="C2855" s="729" t="s">
        <v>468</v>
      </c>
      <c r="D2855" s="460"/>
      <c r="E2855" s="878" t="s">
        <v>1752</v>
      </c>
      <c r="F2855" s="881" t="s">
        <v>1753</v>
      </c>
      <c r="G2855" s="731" t="s">
        <v>7794</v>
      </c>
      <c r="H2855" s="1083">
        <v>42430</v>
      </c>
      <c r="I2855" s="1084">
        <v>42480</v>
      </c>
      <c r="J2855" s="957">
        <v>34.81</v>
      </c>
    </row>
    <row r="2856" spans="1:10" s="852" customFormat="1" outlineLevel="1">
      <c r="A2856" s="815"/>
      <c r="B2856" s="816" t="s">
        <v>258</v>
      </c>
      <c r="C2856" s="908" t="s">
        <v>468</v>
      </c>
      <c r="D2856" s="928" t="str">
        <f>VLOOKUP(C2856,$C$3691:$D$3771,2,FALSE)</f>
        <v>TOTAL POUPATEMPO  MÓVEL</v>
      </c>
      <c r="E2856" s="1085"/>
      <c r="F2856" s="929"/>
      <c r="G2856" s="910"/>
      <c r="H2856" s="1086"/>
      <c r="I2856" s="1087"/>
      <c r="J2856" s="930">
        <f>SUBTOTAL(9,J2849:J2855)</f>
        <v>21340.810000000005</v>
      </c>
    </row>
    <row r="2857" spans="1:10" s="852" customFormat="1" outlineLevel="2">
      <c r="A2857" s="815" t="s">
        <v>782</v>
      </c>
      <c r="B2857" s="816" t="s">
        <v>7865</v>
      </c>
      <c r="C2857" s="729" t="s">
        <v>783</v>
      </c>
      <c r="D2857" s="460"/>
      <c r="E2857" s="878" t="s">
        <v>560</v>
      </c>
      <c r="F2857" s="881" t="s">
        <v>1094</v>
      </c>
      <c r="G2857" s="731" t="s">
        <v>5757</v>
      </c>
      <c r="H2857" s="1083">
        <v>42430</v>
      </c>
      <c r="I2857" s="1084">
        <v>42489</v>
      </c>
      <c r="J2857" s="957">
        <v>192013.13</v>
      </c>
    </row>
    <row r="2858" spans="1:10" s="852" customFormat="1" outlineLevel="2">
      <c r="A2858" s="815" t="s">
        <v>782</v>
      </c>
      <c r="B2858" s="816" t="s">
        <v>7865</v>
      </c>
      <c r="C2858" s="729" t="s">
        <v>783</v>
      </c>
      <c r="D2858" s="460"/>
      <c r="E2858" s="878" t="s">
        <v>560</v>
      </c>
      <c r="F2858" s="881" t="s">
        <v>1094</v>
      </c>
      <c r="G2858" s="731" t="s">
        <v>5759</v>
      </c>
      <c r="H2858" s="1083">
        <v>42430</v>
      </c>
      <c r="I2858" s="1084">
        <v>42489</v>
      </c>
      <c r="J2858" s="957">
        <v>202603.41</v>
      </c>
    </row>
    <row r="2859" spans="1:10" s="852" customFormat="1" outlineLevel="2">
      <c r="A2859" s="815" t="s">
        <v>6456</v>
      </c>
      <c r="B2859" s="816" t="s">
        <v>7863</v>
      </c>
      <c r="C2859" s="729" t="s">
        <v>783</v>
      </c>
      <c r="D2859" s="460"/>
      <c r="E2859" s="878" t="s">
        <v>483</v>
      </c>
      <c r="F2859" s="881" t="s">
        <v>2208</v>
      </c>
      <c r="G2859" s="731" t="str">
        <f>"17004"</f>
        <v>17004</v>
      </c>
      <c r="H2859" s="1083">
        <v>42401</v>
      </c>
      <c r="I2859" s="1084">
        <v>42475</v>
      </c>
      <c r="J2859" s="957">
        <v>30812.38</v>
      </c>
    </row>
    <row r="2860" spans="1:10" s="852" customFormat="1" outlineLevel="2">
      <c r="A2860" s="815" t="s">
        <v>5960</v>
      </c>
      <c r="B2860" s="816" t="s">
        <v>7864</v>
      </c>
      <c r="C2860" s="729" t="s">
        <v>783</v>
      </c>
      <c r="D2860" s="460"/>
      <c r="E2860" s="878" t="s">
        <v>6470</v>
      </c>
      <c r="F2860" s="881" t="s">
        <v>434</v>
      </c>
      <c r="G2860" s="731" t="str">
        <f>"2587"</f>
        <v>2587</v>
      </c>
      <c r="H2860" s="1083">
        <v>42370</v>
      </c>
      <c r="I2860" s="1084">
        <v>42478</v>
      </c>
      <c r="J2860" s="957">
        <v>-10189.16</v>
      </c>
    </row>
    <row r="2861" spans="1:10" s="852" customFormat="1" outlineLevel="2">
      <c r="A2861" s="815" t="s">
        <v>5960</v>
      </c>
      <c r="B2861" s="816" t="s">
        <v>7864</v>
      </c>
      <c r="C2861" s="729" t="s">
        <v>783</v>
      </c>
      <c r="D2861" s="460"/>
      <c r="E2861" s="878" t="s">
        <v>6470</v>
      </c>
      <c r="F2861" s="881" t="s">
        <v>434</v>
      </c>
      <c r="G2861" s="731" t="str">
        <f>"2587"</f>
        <v>2587</v>
      </c>
      <c r="H2861" s="1083">
        <v>42370</v>
      </c>
      <c r="I2861" s="1084">
        <v>42478</v>
      </c>
      <c r="J2861" s="957">
        <v>10189.16</v>
      </c>
    </row>
    <row r="2862" spans="1:10" s="852" customFormat="1" outlineLevel="2">
      <c r="A2862" s="815" t="s">
        <v>5960</v>
      </c>
      <c r="B2862" s="816" t="s">
        <v>7864</v>
      </c>
      <c r="C2862" s="729" t="s">
        <v>783</v>
      </c>
      <c r="D2862" s="460"/>
      <c r="E2862" s="878" t="s">
        <v>6470</v>
      </c>
      <c r="F2862" s="881" t="s">
        <v>434</v>
      </c>
      <c r="G2862" s="731" t="str">
        <f>"2587"</f>
        <v>2587</v>
      </c>
      <c r="H2862" s="1083">
        <v>42370</v>
      </c>
      <c r="I2862" s="1084">
        <v>42478</v>
      </c>
      <c r="J2862" s="957">
        <v>10189.16</v>
      </c>
    </row>
    <row r="2863" spans="1:10" s="852" customFormat="1" outlineLevel="2">
      <c r="A2863" s="815" t="s">
        <v>5960</v>
      </c>
      <c r="B2863" s="816" t="s">
        <v>7864</v>
      </c>
      <c r="C2863" s="729" t="s">
        <v>783</v>
      </c>
      <c r="D2863" s="460"/>
      <c r="E2863" s="878" t="s">
        <v>6470</v>
      </c>
      <c r="F2863" s="881" t="s">
        <v>434</v>
      </c>
      <c r="G2863" s="731" t="str">
        <f>"2587"</f>
        <v>2587</v>
      </c>
      <c r="H2863" s="1083">
        <v>42370</v>
      </c>
      <c r="I2863" s="1084">
        <v>42478</v>
      </c>
      <c r="J2863" s="957">
        <v>10189.16</v>
      </c>
    </row>
    <row r="2864" spans="1:10" s="852" customFormat="1" outlineLevel="2">
      <c r="A2864" s="815" t="s">
        <v>5960</v>
      </c>
      <c r="B2864" s="816" t="s">
        <v>7864</v>
      </c>
      <c r="C2864" s="729" t="s">
        <v>783</v>
      </c>
      <c r="D2864" s="460"/>
      <c r="E2864" s="878" t="s">
        <v>6470</v>
      </c>
      <c r="F2864" s="881" t="s">
        <v>434</v>
      </c>
      <c r="G2864" s="731" t="str">
        <f>"2587"</f>
        <v>2587</v>
      </c>
      <c r="H2864" s="1083">
        <v>42370</v>
      </c>
      <c r="I2864" s="1084">
        <v>42478</v>
      </c>
      <c r="J2864" s="957">
        <v>-10189.16</v>
      </c>
    </row>
    <row r="2865" spans="1:10" s="852" customFormat="1" ht="28.5" outlineLevel="2">
      <c r="A2865" s="815" t="s">
        <v>782</v>
      </c>
      <c r="B2865" s="816" t="s">
        <v>7865</v>
      </c>
      <c r="C2865" s="729" t="s">
        <v>783</v>
      </c>
      <c r="D2865" s="460"/>
      <c r="E2865" s="878" t="s">
        <v>2336</v>
      </c>
      <c r="F2865" s="881" t="s">
        <v>5063</v>
      </c>
      <c r="G2865" s="731" t="s">
        <v>4930</v>
      </c>
      <c r="H2865" s="1083">
        <v>42430</v>
      </c>
      <c r="I2865" s="1084">
        <v>42480</v>
      </c>
      <c r="J2865" s="957">
        <v>22248.18</v>
      </c>
    </row>
    <row r="2866" spans="1:10" s="852" customFormat="1" outlineLevel="2">
      <c r="A2866" s="815" t="s">
        <v>787</v>
      </c>
      <c r="B2866" s="816" t="s">
        <v>7863</v>
      </c>
      <c r="C2866" s="729" t="s">
        <v>783</v>
      </c>
      <c r="D2866" s="460"/>
      <c r="E2866" s="878" t="s">
        <v>2336</v>
      </c>
      <c r="F2866" s="881" t="s">
        <v>4226</v>
      </c>
      <c r="G2866" s="731" t="s">
        <v>4929</v>
      </c>
      <c r="H2866" s="1083">
        <v>42401</v>
      </c>
      <c r="I2866" s="1084">
        <v>42480</v>
      </c>
      <c r="J2866" s="957">
        <v>4166.3999999999996</v>
      </c>
    </row>
    <row r="2867" spans="1:10" s="852" customFormat="1" outlineLevel="2">
      <c r="A2867" s="815" t="s">
        <v>786</v>
      </c>
      <c r="B2867" s="816" t="s">
        <v>7864</v>
      </c>
      <c r="C2867" s="729" t="s">
        <v>783</v>
      </c>
      <c r="D2867" s="460"/>
      <c r="E2867" s="878" t="s">
        <v>2336</v>
      </c>
      <c r="F2867" s="881" t="s">
        <v>6064</v>
      </c>
      <c r="G2867" s="731" t="s">
        <v>4926</v>
      </c>
      <c r="H2867" s="1083">
        <v>42401</v>
      </c>
      <c r="I2867" s="1084">
        <v>42480</v>
      </c>
      <c r="J2867" s="957">
        <v>1377.76</v>
      </c>
    </row>
    <row r="2868" spans="1:10" s="852" customFormat="1" outlineLevel="2">
      <c r="A2868" s="815" t="s">
        <v>786</v>
      </c>
      <c r="B2868" s="816" t="s">
        <v>7864</v>
      </c>
      <c r="C2868" s="729" t="s">
        <v>783</v>
      </c>
      <c r="D2868" s="460"/>
      <c r="E2868" s="878" t="s">
        <v>2336</v>
      </c>
      <c r="F2868" s="881" t="s">
        <v>6063</v>
      </c>
      <c r="G2868" s="731" t="s">
        <v>4925</v>
      </c>
      <c r="H2868" s="1083">
        <v>42401</v>
      </c>
      <c r="I2868" s="1084">
        <v>42480</v>
      </c>
      <c r="J2868" s="957">
        <v>906.42</v>
      </c>
    </row>
    <row r="2869" spans="1:10" s="852" customFormat="1" outlineLevel="2">
      <c r="A2869" s="815" t="s">
        <v>786</v>
      </c>
      <c r="B2869" s="816" t="s">
        <v>7864</v>
      </c>
      <c r="C2869" s="729" t="s">
        <v>783</v>
      </c>
      <c r="D2869" s="460"/>
      <c r="E2869" s="878" t="s">
        <v>2336</v>
      </c>
      <c r="F2869" s="881" t="s">
        <v>2861</v>
      </c>
      <c r="G2869" s="731" t="s">
        <v>4927</v>
      </c>
      <c r="H2869" s="1083">
        <v>42401</v>
      </c>
      <c r="I2869" s="1084">
        <v>42480</v>
      </c>
      <c r="J2869" s="957">
        <v>1341.5</v>
      </c>
    </row>
    <row r="2870" spans="1:10" s="852" customFormat="1" ht="28.5" outlineLevel="2">
      <c r="A2870" s="815" t="s">
        <v>785</v>
      </c>
      <c r="B2870" s="816" t="s">
        <v>7865</v>
      </c>
      <c r="C2870" s="729" t="s">
        <v>783</v>
      </c>
      <c r="D2870" s="460"/>
      <c r="E2870" s="878" t="s">
        <v>2336</v>
      </c>
      <c r="F2870" s="881" t="s">
        <v>3378</v>
      </c>
      <c r="G2870" s="731" t="s">
        <v>4928</v>
      </c>
      <c r="H2870" s="1083">
        <v>42401</v>
      </c>
      <c r="I2870" s="1084">
        <v>42480</v>
      </c>
      <c r="J2870" s="957">
        <v>16356.87</v>
      </c>
    </row>
    <row r="2871" spans="1:10" s="852" customFormat="1" outlineLevel="2">
      <c r="A2871" s="815" t="s">
        <v>5960</v>
      </c>
      <c r="B2871" s="816" t="s">
        <v>7864</v>
      </c>
      <c r="C2871" s="729" t="s">
        <v>783</v>
      </c>
      <c r="D2871" s="460"/>
      <c r="E2871" s="878" t="s">
        <v>2717</v>
      </c>
      <c r="F2871" s="881" t="s">
        <v>434</v>
      </c>
      <c r="G2871" s="731" t="str">
        <f>"3510"</f>
        <v>3510</v>
      </c>
      <c r="H2871" s="1083">
        <v>42401</v>
      </c>
      <c r="I2871" s="1084">
        <v>42467</v>
      </c>
      <c r="J2871" s="957">
        <v>6703.41</v>
      </c>
    </row>
    <row r="2872" spans="1:10" s="852" customFormat="1" outlineLevel="2">
      <c r="A2872" s="815" t="s">
        <v>5960</v>
      </c>
      <c r="B2872" s="816" t="s">
        <v>7864</v>
      </c>
      <c r="C2872" s="729" t="s">
        <v>783</v>
      </c>
      <c r="D2872" s="460"/>
      <c r="E2872" s="878" t="s">
        <v>409</v>
      </c>
      <c r="F2872" s="881" t="s">
        <v>434</v>
      </c>
      <c r="G2872" s="731" t="str">
        <f>"6684"</f>
        <v>6684</v>
      </c>
      <c r="H2872" s="1083">
        <v>42401</v>
      </c>
      <c r="I2872" s="1084">
        <v>42475</v>
      </c>
      <c r="J2872" s="957">
        <v>9921.0300000000007</v>
      </c>
    </row>
    <row r="2873" spans="1:10" s="852" customFormat="1" outlineLevel="2">
      <c r="A2873" s="815" t="s">
        <v>964</v>
      </c>
      <c r="B2873" s="816" t="s">
        <v>7866</v>
      </c>
      <c r="C2873" s="729" t="s">
        <v>783</v>
      </c>
      <c r="D2873" s="460"/>
      <c r="E2873" s="878" t="s">
        <v>2282</v>
      </c>
      <c r="F2873" s="881" t="s">
        <v>3974</v>
      </c>
      <c r="G2873" s="731" t="s">
        <v>2779</v>
      </c>
      <c r="H2873" s="1083">
        <v>42401</v>
      </c>
      <c r="I2873" s="1084">
        <v>42471</v>
      </c>
      <c r="J2873" s="957">
        <v>1479.96</v>
      </c>
    </row>
    <row r="2874" spans="1:10" s="852" customFormat="1" outlineLevel="2">
      <c r="A2874" s="815" t="s">
        <v>964</v>
      </c>
      <c r="B2874" s="816" t="s">
        <v>7866</v>
      </c>
      <c r="C2874" s="729" t="s">
        <v>783</v>
      </c>
      <c r="D2874" s="460"/>
      <c r="E2874" s="878" t="s">
        <v>2282</v>
      </c>
      <c r="F2874" s="881" t="s">
        <v>4081</v>
      </c>
      <c r="G2874" s="731" t="s">
        <v>2781</v>
      </c>
      <c r="H2874" s="1083">
        <v>42401</v>
      </c>
      <c r="I2874" s="1084">
        <v>42471</v>
      </c>
      <c r="J2874" s="957">
        <v>47.32</v>
      </c>
    </row>
    <row r="2875" spans="1:10" s="852" customFormat="1" outlineLevel="2">
      <c r="A2875" s="815" t="s">
        <v>964</v>
      </c>
      <c r="B2875" s="816" t="s">
        <v>7866</v>
      </c>
      <c r="C2875" s="729" t="s">
        <v>783</v>
      </c>
      <c r="D2875" s="460"/>
      <c r="E2875" s="878" t="s">
        <v>2282</v>
      </c>
      <c r="F2875" s="881" t="s">
        <v>4165</v>
      </c>
      <c r="G2875" s="731" t="s">
        <v>2782</v>
      </c>
      <c r="H2875" s="1083">
        <v>42401</v>
      </c>
      <c r="I2875" s="1084">
        <v>42471</v>
      </c>
      <c r="J2875" s="957">
        <v>558.38</v>
      </c>
    </row>
    <row r="2876" spans="1:10" s="852" customFormat="1" outlineLevel="2">
      <c r="A2876" s="815" t="s">
        <v>786</v>
      </c>
      <c r="B2876" s="816" t="s">
        <v>7864</v>
      </c>
      <c r="C2876" s="729" t="s">
        <v>783</v>
      </c>
      <c r="D2876" s="460"/>
      <c r="E2876" s="878" t="s">
        <v>2349</v>
      </c>
      <c r="F2876" s="881" t="s">
        <v>6107</v>
      </c>
      <c r="G2876" s="731" t="s">
        <v>4931</v>
      </c>
      <c r="H2876" s="1083">
        <v>42401</v>
      </c>
      <c r="I2876" s="1084">
        <v>42475</v>
      </c>
      <c r="J2876" s="957">
        <v>164.8</v>
      </c>
    </row>
    <row r="2877" spans="1:10" s="852" customFormat="1" outlineLevel="2">
      <c r="A2877" s="815" t="s">
        <v>786</v>
      </c>
      <c r="B2877" s="816" t="s">
        <v>7864</v>
      </c>
      <c r="C2877" s="729" t="s">
        <v>783</v>
      </c>
      <c r="D2877" s="460"/>
      <c r="E2877" s="878" t="s">
        <v>2349</v>
      </c>
      <c r="F2877" s="881" t="s">
        <v>6108</v>
      </c>
      <c r="G2877" s="731" t="s">
        <v>4932</v>
      </c>
      <c r="H2877" s="1083">
        <v>42401</v>
      </c>
      <c r="I2877" s="1084">
        <v>42475</v>
      </c>
      <c r="J2877" s="957">
        <v>250.5</v>
      </c>
    </row>
    <row r="2878" spans="1:10" s="852" customFormat="1" outlineLevel="2">
      <c r="A2878" s="815" t="s">
        <v>786</v>
      </c>
      <c r="B2878" s="816" t="s">
        <v>7864</v>
      </c>
      <c r="C2878" s="729" t="s">
        <v>783</v>
      </c>
      <c r="D2878" s="460"/>
      <c r="E2878" s="878" t="s">
        <v>2349</v>
      </c>
      <c r="F2878" s="881" t="s">
        <v>2943</v>
      </c>
      <c r="G2878" s="731" t="s">
        <v>4933</v>
      </c>
      <c r="H2878" s="1083">
        <v>42401</v>
      </c>
      <c r="I2878" s="1084">
        <v>42475</v>
      </c>
      <c r="J2878" s="957">
        <v>243.91</v>
      </c>
    </row>
    <row r="2879" spans="1:10" s="852" customFormat="1" ht="28.5" outlineLevel="2">
      <c r="A2879" s="815" t="s">
        <v>785</v>
      </c>
      <c r="B2879" s="816" t="s">
        <v>7865</v>
      </c>
      <c r="C2879" s="729" t="s">
        <v>783</v>
      </c>
      <c r="D2879" s="460"/>
      <c r="E2879" s="878" t="s">
        <v>2349</v>
      </c>
      <c r="F2879" s="881" t="s">
        <v>3379</v>
      </c>
      <c r="G2879" s="731" t="s">
        <v>4934</v>
      </c>
      <c r="H2879" s="1083">
        <v>42401</v>
      </c>
      <c r="I2879" s="1084">
        <v>42475</v>
      </c>
      <c r="J2879" s="957">
        <v>3264.04</v>
      </c>
    </row>
    <row r="2880" spans="1:10" s="852" customFormat="1" ht="28.5" outlineLevel="2">
      <c r="A2880" s="815" t="s">
        <v>785</v>
      </c>
      <c r="B2880" s="816" t="s">
        <v>7865</v>
      </c>
      <c r="C2880" s="729" t="s">
        <v>783</v>
      </c>
      <c r="D2880" s="460"/>
      <c r="E2880" s="878" t="s">
        <v>2349</v>
      </c>
      <c r="F2880" s="881" t="s">
        <v>3382</v>
      </c>
      <c r="G2880" s="731" t="s">
        <v>4935</v>
      </c>
      <c r="H2880" s="1083">
        <v>42401</v>
      </c>
      <c r="I2880" s="1084">
        <v>42475</v>
      </c>
      <c r="J2880" s="957">
        <v>2787.35</v>
      </c>
    </row>
    <row r="2881" spans="1:10" s="852" customFormat="1" outlineLevel="2">
      <c r="A2881" s="815" t="s">
        <v>787</v>
      </c>
      <c r="B2881" s="816" t="s">
        <v>7863</v>
      </c>
      <c r="C2881" s="729" t="s">
        <v>783</v>
      </c>
      <c r="D2881" s="460"/>
      <c r="E2881" s="878" t="s">
        <v>2349</v>
      </c>
      <c r="F2881" s="881" t="s">
        <v>4228</v>
      </c>
      <c r="G2881" s="731" t="s">
        <v>4936</v>
      </c>
      <c r="H2881" s="1083">
        <v>42401</v>
      </c>
      <c r="I2881" s="1084">
        <v>42475</v>
      </c>
      <c r="J2881" s="957">
        <v>757.53</v>
      </c>
    </row>
    <row r="2882" spans="1:10" s="852" customFormat="1" ht="28.5" outlineLevel="2">
      <c r="A2882" s="815" t="s">
        <v>782</v>
      </c>
      <c r="B2882" s="816" t="s">
        <v>7865</v>
      </c>
      <c r="C2882" s="729" t="s">
        <v>783</v>
      </c>
      <c r="D2882" s="460"/>
      <c r="E2882" s="878" t="s">
        <v>2349</v>
      </c>
      <c r="F2882" s="881" t="s">
        <v>5065</v>
      </c>
      <c r="G2882" s="731" t="s">
        <v>4937</v>
      </c>
      <c r="H2882" s="1083">
        <v>42430</v>
      </c>
      <c r="I2882" s="1084">
        <v>42475</v>
      </c>
      <c r="J2882" s="957">
        <v>4896.0600000000004</v>
      </c>
    </row>
    <row r="2883" spans="1:10" s="852" customFormat="1" ht="28.5" outlineLevel="2">
      <c r="A2883" s="815" t="s">
        <v>782</v>
      </c>
      <c r="B2883" s="816" t="s">
        <v>7865</v>
      </c>
      <c r="C2883" s="729" t="s">
        <v>783</v>
      </c>
      <c r="D2883" s="460"/>
      <c r="E2883" s="878" t="s">
        <v>2349</v>
      </c>
      <c r="F2883" s="881" t="s">
        <v>5068</v>
      </c>
      <c r="G2883" s="731" t="s">
        <v>4938</v>
      </c>
      <c r="H2883" s="1083">
        <v>42430</v>
      </c>
      <c r="I2883" s="1084">
        <v>42475</v>
      </c>
      <c r="J2883" s="957">
        <v>4181.0200000000004</v>
      </c>
    </row>
    <row r="2884" spans="1:10" s="852" customFormat="1" ht="28.5" outlineLevel="2">
      <c r="A2884" s="815" t="s">
        <v>782</v>
      </c>
      <c r="B2884" s="816" t="s">
        <v>7865</v>
      </c>
      <c r="C2884" s="729" t="s">
        <v>783</v>
      </c>
      <c r="D2884" s="460"/>
      <c r="E2884" s="878" t="s">
        <v>1909</v>
      </c>
      <c r="F2884" s="881" t="s">
        <v>5067</v>
      </c>
      <c r="G2884" s="731" t="s">
        <v>4962</v>
      </c>
      <c r="H2884" s="1083">
        <v>42430</v>
      </c>
      <c r="I2884" s="1084">
        <v>42480</v>
      </c>
      <c r="J2884" s="957">
        <v>3135.76</v>
      </c>
    </row>
    <row r="2885" spans="1:10" s="852" customFormat="1" ht="28.5" outlineLevel="2">
      <c r="A2885" s="815" t="s">
        <v>782</v>
      </c>
      <c r="B2885" s="816" t="s">
        <v>7865</v>
      </c>
      <c r="C2885" s="729" t="s">
        <v>783</v>
      </c>
      <c r="D2885" s="460"/>
      <c r="E2885" s="878" t="s">
        <v>1909</v>
      </c>
      <c r="F2885" s="881" t="s">
        <v>5061</v>
      </c>
      <c r="G2885" s="731" t="s">
        <v>4961</v>
      </c>
      <c r="H2885" s="1083">
        <v>42430</v>
      </c>
      <c r="I2885" s="1084">
        <v>42480</v>
      </c>
      <c r="J2885" s="957">
        <v>3672.05</v>
      </c>
    </row>
    <row r="2886" spans="1:10" s="852" customFormat="1" outlineLevel="2">
      <c r="A2886" s="815" t="s">
        <v>964</v>
      </c>
      <c r="B2886" s="816" t="s">
        <v>7866</v>
      </c>
      <c r="C2886" s="729" t="s">
        <v>783</v>
      </c>
      <c r="D2886" s="460"/>
      <c r="E2886" s="878" t="s">
        <v>1909</v>
      </c>
      <c r="F2886" s="881" t="s">
        <v>3935</v>
      </c>
      <c r="G2886" s="731" t="s">
        <v>2817</v>
      </c>
      <c r="H2886" s="1083">
        <v>42401</v>
      </c>
      <c r="I2886" s="1084">
        <v>42480</v>
      </c>
      <c r="J2886" s="957">
        <v>443.99</v>
      </c>
    </row>
    <row r="2887" spans="1:10" s="852" customFormat="1" outlineLevel="2">
      <c r="A2887" s="815" t="s">
        <v>964</v>
      </c>
      <c r="B2887" s="816" t="s">
        <v>7866</v>
      </c>
      <c r="C2887" s="729" t="s">
        <v>783</v>
      </c>
      <c r="D2887" s="460"/>
      <c r="E2887" s="878" t="s">
        <v>1909</v>
      </c>
      <c r="F2887" s="881" t="s">
        <v>4027</v>
      </c>
      <c r="G2887" s="731" t="s">
        <v>2819</v>
      </c>
      <c r="H2887" s="1083">
        <v>42401</v>
      </c>
      <c r="I2887" s="1084">
        <v>42480</v>
      </c>
      <c r="J2887" s="957">
        <v>14.19</v>
      </c>
    </row>
    <row r="2888" spans="1:10" s="852" customFormat="1" outlineLevel="2">
      <c r="A2888" s="815" t="s">
        <v>964</v>
      </c>
      <c r="B2888" s="816" t="s">
        <v>7866</v>
      </c>
      <c r="C2888" s="729" t="s">
        <v>783</v>
      </c>
      <c r="D2888" s="460"/>
      <c r="E2888" s="878" t="s">
        <v>1909</v>
      </c>
      <c r="F2888" s="881" t="s">
        <v>4129</v>
      </c>
      <c r="G2888" s="731" t="s">
        <v>2821</v>
      </c>
      <c r="H2888" s="1083">
        <v>42401</v>
      </c>
      <c r="I2888" s="1084">
        <v>42480</v>
      </c>
      <c r="J2888" s="957">
        <v>167.51</v>
      </c>
    </row>
    <row r="2889" spans="1:10" s="852" customFormat="1" outlineLevel="2">
      <c r="A2889" s="815" t="s">
        <v>787</v>
      </c>
      <c r="B2889" s="816" t="s">
        <v>7863</v>
      </c>
      <c r="C2889" s="729" t="s">
        <v>783</v>
      </c>
      <c r="D2889" s="460"/>
      <c r="E2889" s="878" t="s">
        <v>1909</v>
      </c>
      <c r="F2889" s="881" t="s">
        <v>4224</v>
      </c>
      <c r="G2889" s="731" t="s">
        <v>4955</v>
      </c>
      <c r="H2889" s="1083">
        <v>42401</v>
      </c>
      <c r="I2889" s="1084">
        <v>42480</v>
      </c>
      <c r="J2889" s="957">
        <v>378.76</v>
      </c>
    </row>
    <row r="2890" spans="1:10" s="852" customFormat="1" outlineLevel="2">
      <c r="A2890" s="815" t="s">
        <v>786</v>
      </c>
      <c r="B2890" s="816" t="s">
        <v>7864</v>
      </c>
      <c r="C2890" s="729" t="s">
        <v>783</v>
      </c>
      <c r="D2890" s="460"/>
      <c r="E2890" s="878" t="s">
        <v>1909</v>
      </c>
      <c r="F2890" s="881" t="s">
        <v>6369</v>
      </c>
      <c r="G2890" s="731" t="s">
        <v>4943</v>
      </c>
      <c r="H2890" s="1083">
        <v>42401</v>
      </c>
      <c r="I2890" s="1084">
        <v>42480</v>
      </c>
      <c r="J2890" s="957">
        <v>125.25</v>
      </c>
    </row>
    <row r="2891" spans="1:10" s="852" customFormat="1" outlineLevel="2">
      <c r="A2891" s="815" t="s">
        <v>786</v>
      </c>
      <c r="B2891" s="816" t="s">
        <v>7864</v>
      </c>
      <c r="C2891" s="729" t="s">
        <v>783</v>
      </c>
      <c r="D2891" s="460"/>
      <c r="E2891" s="878" t="s">
        <v>1909</v>
      </c>
      <c r="F2891" s="881" t="s">
        <v>6368</v>
      </c>
      <c r="G2891" s="731" t="s">
        <v>4941</v>
      </c>
      <c r="H2891" s="1083">
        <v>42401</v>
      </c>
      <c r="I2891" s="1084">
        <v>42480</v>
      </c>
      <c r="J2891" s="957">
        <v>82.4</v>
      </c>
    </row>
    <row r="2892" spans="1:10" s="852" customFormat="1" outlineLevel="2">
      <c r="A2892" s="815" t="s">
        <v>786</v>
      </c>
      <c r="B2892" s="816" t="s">
        <v>7864</v>
      </c>
      <c r="C2892" s="729" t="s">
        <v>783</v>
      </c>
      <c r="D2892" s="460"/>
      <c r="E2892" s="878" t="s">
        <v>1909</v>
      </c>
      <c r="F2892" s="881" t="s">
        <v>2859</v>
      </c>
      <c r="G2892" s="731" t="s">
        <v>4946</v>
      </c>
      <c r="H2892" s="1083">
        <v>42401</v>
      </c>
      <c r="I2892" s="1084">
        <v>42480</v>
      </c>
      <c r="J2892" s="957">
        <v>121.95</v>
      </c>
    </row>
    <row r="2893" spans="1:10" s="852" customFormat="1" ht="28.5" outlineLevel="2">
      <c r="A2893" s="815" t="s">
        <v>785</v>
      </c>
      <c r="B2893" s="816" t="s">
        <v>7865</v>
      </c>
      <c r="C2893" s="729" t="s">
        <v>783</v>
      </c>
      <c r="D2893" s="460"/>
      <c r="E2893" s="878" t="s">
        <v>1909</v>
      </c>
      <c r="F2893" s="881" t="s">
        <v>3376</v>
      </c>
      <c r="G2893" s="731" t="s">
        <v>4950</v>
      </c>
      <c r="H2893" s="1083">
        <v>42401</v>
      </c>
      <c r="I2893" s="1084">
        <v>42480</v>
      </c>
      <c r="J2893" s="957">
        <v>2448.0300000000002</v>
      </c>
    </row>
    <row r="2894" spans="1:10" s="852" customFormat="1" ht="28.5" outlineLevel="2">
      <c r="A2894" s="815" t="s">
        <v>785</v>
      </c>
      <c r="B2894" s="816" t="s">
        <v>7865</v>
      </c>
      <c r="C2894" s="729" t="s">
        <v>783</v>
      </c>
      <c r="D2894" s="460"/>
      <c r="E2894" s="878" t="s">
        <v>1909</v>
      </c>
      <c r="F2894" s="881" t="s">
        <v>3381</v>
      </c>
      <c r="G2894" s="731" t="s">
        <v>4951</v>
      </c>
      <c r="H2894" s="1083">
        <v>42401</v>
      </c>
      <c r="I2894" s="1084">
        <v>42480</v>
      </c>
      <c r="J2894" s="957">
        <v>2090.5100000000002</v>
      </c>
    </row>
    <row r="2895" spans="1:10" s="852" customFormat="1" ht="42.75" outlineLevel="2">
      <c r="A2895" s="815" t="s">
        <v>782</v>
      </c>
      <c r="B2895" s="816" t="s">
        <v>7865</v>
      </c>
      <c r="C2895" s="729" t="s">
        <v>783</v>
      </c>
      <c r="D2895" s="460"/>
      <c r="E2895" s="878" t="s">
        <v>1909</v>
      </c>
      <c r="F2895" s="881" t="s">
        <v>5026</v>
      </c>
      <c r="G2895" s="731" t="s">
        <v>4960</v>
      </c>
      <c r="H2895" s="1083">
        <v>42401</v>
      </c>
      <c r="I2895" s="1084">
        <v>42480</v>
      </c>
      <c r="J2895" s="957">
        <v>9720.86</v>
      </c>
    </row>
    <row r="2896" spans="1:10" s="852" customFormat="1" ht="42.75" outlineLevel="2">
      <c r="A2896" s="815" t="s">
        <v>782</v>
      </c>
      <c r="B2896" s="816" t="s">
        <v>7865</v>
      </c>
      <c r="C2896" s="729" t="s">
        <v>783</v>
      </c>
      <c r="D2896" s="460"/>
      <c r="E2896" s="878" t="s">
        <v>1909</v>
      </c>
      <c r="F2896" s="881" t="s">
        <v>5024</v>
      </c>
      <c r="G2896" s="731" t="s">
        <v>4959</v>
      </c>
      <c r="H2896" s="1083">
        <v>42401</v>
      </c>
      <c r="I2896" s="1084">
        <v>42480</v>
      </c>
      <c r="J2896" s="957">
        <v>11383.36</v>
      </c>
    </row>
    <row r="2897" spans="1:10" s="852" customFormat="1" ht="28.5" outlineLevel="2">
      <c r="A2897" s="815" t="s">
        <v>964</v>
      </c>
      <c r="B2897" s="816" t="s">
        <v>7866</v>
      </c>
      <c r="C2897" s="729" t="s">
        <v>783</v>
      </c>
      <c r="D2897" s="460"/>
      <c r="E2897" s="878" t="s">
        <v>1909</v>
      </c>
      <c r="F2897" s="881" t="s">
        <v>4956</v>
      </c>
      <c r="G2897" s="731" t="s">
        <v>2833</v>
      </c>
      <c r="H2897" s="1083">
        <v>42401</v>
      </c>
      <c r="I2897" s="1084">
        <v>42480</v>
      </c>
      <c r="J2897" s="957">
        <v>1376.37</v>
      </c>
    </row>
    <row r="2898" spans="1:10" s="852" customFormat="1" ht="28.5" outlineLevel="2">
      <c r="A2898" s="815" t="s">
        <v>964</v>
      </c>
      <c r="B2898" s="816" t="s">
        <v>7866</v>
      </c>
      <c r="C2898" s="729" t="s">
        <v>783</v>
      </c>
      <c r="D2898" s="460"/>
      <c r="E2898" s="878" t="s">
        <v>1909</v>
      </c>
      <c r="F2898" s="881" t="s">
        <v>4903</v>
      </c>
      <c r="G2898" s="731" t="s">
        <v>2832</v>
      </c>
      <c r="H2898" s="1083">
        <v>42401</v>
      </c>
      <c r="I2898" s="1084">
        <v>42480</v>
      </c>
      <c r="J2898" s="957">
        <v>44.01</v>
      </c>
    </row>
    <row r="2899" spans="1:10" s="852" customFormat="1" ht="28.5" outlineLevel="2">
      <c r="A2899" s="815" t="s">
        <v>964</v>
      </c>
      <c r="B2899" s="816" t="s">
        <v>7866</v>
      </c>
      <c r="C2899" s="729" t="s">
        <v>783</v>
      </c>
      <c r="D2899" s="460"/>
      <c r="E2899" s="878" t="s">
        <v>1909</v>
      </c>
      <c r="F2899" s="881" t="s">
        <v>4853</v>
      </c>
      <c r="G2899" s="731" t="s">
        <v>2831</v>
      </c>
      <c r="H2899" s="1083">
        <v>42401</v>
      </c>
      <c r="I2899" s="1084">
        <v>42480</v>
      </c>
      <c r="J2899" s="957">
        <v>519.29</v>
      </c>
    </row>
    <row r="2900" spans="1:10" s="852" customFormat="1" ht="28.5" outlineLevel="2">
      <c r="A2900" s="815" t="s">
        <v>787</v>
      </c>
      <c r="B2900" s="816" t="s">
        <v>7863</v>
      </c>
      <c r="C2900" s="729" t="s">
        <v>783</v>
      </c>
      <c r="D2900" s="460"/>
      <c r="E2900" s="878" t="s">
        <v>1909</v>
      </c>
      <c r="F2900" s="881" t="s">
        <v>6367</v>
      </c>
      <c r="G2900" s="731" t="s">
        <v>4939</v>
      </c>
      <c r="H2900" s="1083">
        <v>42370</v>
      </c>
      <c r="I2900" s="1084">
        <v>42480</v>
      </c>
      <c r="J2900" s="957">
        <v>1882.71</v>
      </c>
    </row>
    <row r="2901" spans="1:10" s="852" customFormat="1" ht="28.5" outlineLevel="2">
      <c r="A2901" s="815" t="s">
        <v>787</v>
      </c>
      <c r="B2901" s="816" t="s">
        <v>7863</v>
      </c>
      <c r="C2901" s="729" t="s">
        <v>783</v>
      </c>
      <c r="D2901" s="460"/>
      <c r="E2901" s="878" t="s">
        <v>1909</v>
      </c>
      <c r="F2901" s="881" t="s">
        <v>6367</v>
      </c>
      <c r="G2901" s="731" t="s">
        <v>4940</v>
      </c>
      <c r="H2901" s="1083">
        <v>42370</v>
      </c>
      <c r="I2901" s="1084">
        <v>42480</v>
      </c>
      <c r="J2901" s="957">
        <v>1882.71</v>
      </c>
    </row>
    <row r="2902" spans="1:10" s="852" customFormat="1" ht="28.5" outlineLevel="2">
      <c r="A2902" s="815" t="s">
        <v>787</v>
      </c>
      <c r="B2902" s="816" t="s">
        <v>7863</v>
      </c>
      <c r="C2902" s="729" t="s">
        <v>783</v>
      </c>
      <c r="D2902" s="460"/>
      <c r="E2902" s="878" t="s">
        <v>1909</v>
      </c>
      <c r="F2902" s="881" t="s">
        <v>6367</v>
      </c>
      <c r="G2902" s="731" t="s">
        <v>4942</v>
      </c>
      <c r="H2902" s="1083">
        <v>42370</v>
      </c>
      <c r="I2902" s="1084">
        <v>42480</v>
      </c>
      <c r="J2902" s="957">
        <v>-1882.71</v>
      </c>
    </row>
    <row r="2903" spans="1:10" s="852" customFormat="1" ht="28.5" outlineLevel="2">
      <c r="A2903" s="815" t="s">
        <v>786</v>
      </c>
      <c r="B2903" s="816" t="s">
        <v>7864</v>
      </c>
      <c r="C2903" s="729" t="s">
        <v>783</v>
      </c>
      <c r="D2903" s="460"/>
      <c r="E2903" s="878" t="s">
        <v>1909</v>
      </c>
      <c r="F2903" s="881" t="s">
        <v>2874</v>
      </c>
      <c r="G2903" s="731" t="s">
        <v>4944</v>
      </c>
      <c r="H2903" s="1083">
        <v>42370</v>
      </c>
      <c r="I2903" s="1084">
        <v>42480</v>
      </c>
      <c r="J2903" s="957">
        <v>-383.17</v>
      </c>
    </row>
    <row r="2904" spans="1:10" s="852" customFormat="1" ht="28.5" outlineLevel="2">
      <c r="A2904" s="815" t="s">
        <v>786</v>
      </c>
      <c r="B2904" s="816" t="s">
        <v>7864</v>
      </c>
      <c r="C2904" s="729" t="s">
        <v>783</v>
      </c>
      <c r="D2904" s="460"/>
      <c r="E2904" s="878" t="s">
        <v>1909</v>
      </c>
      <c r="F2904" s="881" t="s">
        <v>2874</v>
      </c>
      <c r="G2904" s="731" t="s">
        <v>4945</v>
      </c>
      <c r="H2904" s="1083">
        <v>42370</v>
      </c>
      <c r="I2904" s="1084">
        <v>42480</v>
      </c>
      <c r="J2904" s="957">
        <v>-383.17</v>
      </c>
    </row>
    <row r="2905" spans="1:10" s="852" customFormat="1" ht="28.5" outlineLevel="2">
      <c r="A2905" s="815" t="s">
        <v>786</v>
      </c>
      <c r="B2905" s="816" t="s">
        <v>7864</v>
      </c>
      <c r="C2905" s="729" t="s">
        <v>783</v>
      </c>
      <c r="D2905" s="460"/>
      <c r="E2905" s="878" t="s">
        <v>1909</v>
      </c>
      <c r="F2905" s="881" t="s">
        <v>2874</v>
      </c>
      <c r="G2905" s="731" t="s">
        <v>4947</v>
      </c>
      <c r="H2905" s="1083">
        <v>42370</v>
      </c>
      <c r="I2905" s="1084">
        <v>42480</v>
      </c>
      <c r="J2905" s="957">
        <v>383.17</v>
      </c>
    </row>
    <row r="2906" spans="1:10" s="852" customFormat="1" ht="28.5" outlineLevel="2">
      <c r="A2906" s="815" t="s">
        <v>786</v>
      </c>
      <c r="B2906" s="816" t="s">
        <v>7864</v>
      </c>
      <c r="C2906" s="729" t="s">
        <v>783</v>
      </c>
      <c r="D2906" s="460"/>
      <c r="E2906" s="878" t="s">
        <v>1909</v>
      </c>
      <c r="F2906" s="881" t="s">
        <v>2874</v>
      </c>
      <c r="G2906" s="731" t="s">
        <v>4948</v>
      </c>
      <c r="H2906" s="1083">
        <v>42370</v>
      </c>
      <c r="I2906" s="1084">
        <v>42480</v>
      </c>
      <c r="J2906" s="957">
        <v>383.17</v>
      </c>
    </row>
    <row r="2907" spans="1:10" s="852" customFormat="1" ht="28.5" outlineLevel="2">
      <c r="A2907" s="815" t="s">
        <v>786</v>
      </c>
      <c r="B2907" s="816" t="s">
        <v>7864</v>
      </c>
      <c r="C2907" s="729" t="s">
        <v>783</v>
      </c>
      <c r="D2907" s="460"/>
      <c r="E2907" s="878" t="s">
        <v>1909</v>
      </c>
      <c r="F2907" s="881" t="s">
        <v>2874</v>
      </c>
      <c r="G2907" s="731" t="s">
        <v>4949</v>
      </c>
      <c r="H2907" s="1083">
        <v>42370</v>
      </c>
      <c r="I2907" s="1084">
        <v>42480</v>
      </c>
      <c r="J2907" s="957">
        <v>383.17</v>
      </c>
    </row>
    <row r="2908" spans="1:10" s="852" customFormat="1" ht="28.5" outlineLevel="2">
      <c r="A2908" s="815" t="s">
        <v>786</v>
      </c>
      <c r="B2908" s="816" t="s">
        <v>7864</v>
      </c>
      <c r="C2908" s="729" t="s">
        <v>783</v>
      </c>
      <c r="D2908" s="460"/>
      <c r="E2908" s="878" t="s">
        <v>1909</v>
      </c>
      <c r="F2908" s="881" t="s">
        <v>3556</v>
      </c>
      <c r="G2908" s="731" t="s">
        <v>4952</v>
      </c>
      <c r="H2908" s="1083">
        <v>42370</v>
      </c>
      <c r="I2908" s="1084">
        <v>42480</v>
      </c>
      <c r="J2908" s="957">
        <v>-567.09</v>
      </c>
    </row>
    <row r="2909" spans="1:10" s="852" customFormat="1" ht="28.5" outlineLevel="2">
      <c r="A2909" s="815" t="s">
        <v>786</v>
      </c>
      <c r="B2909" s="816" t="s">
        <v>7864</v>
      </c>
      <c r="C2909" s="729" t="s">
        <v>783</v>
      </c>
      <c r="D2909" s="460"/>
      <c r="E2909" s="878" t="s">
        <v>1909</v>
      </c>
      <c r="F2909" s="881" t="s">
        <v>3556</v>
      </c>
      <c r="G2909" s="731" t="s">
        <v>4953</v>
      </c>
      <c r="H2909" s="1083">
        <v>42370</v>
      </c>
      <c r="I2909" s="1084">
        <v>42480</v>
      </c>
      <c r="J2909" s="957">
        <v>567.09</v>
      </c>
    </row>
    <row r="2910" spans="1:10" s="852" customFormat="1" ht="28.5" outlineLevel="2">
      <c r="A2910" s="815" t="s">
        <v>786</v>
      </c>
      <c r="B2910" s="816" t="s">
        <v>7864</v>
      </c>
      <c r="C2910" s="729" t="s">
        <v>783</v>
      </c>
      <c r="D2910" s="460"/>
      <c r="E2910" s="878" t="s">
        <v>1909</v>
      </c>
      <c r="F2910" s="881" t="s">
        <v>3556</v>
      </c>
      <c r="G2910" s="731" t="s">
        <v>4954</v>
      </c>
      <c r="H2910" s="1083">
        <v>42370</v>
      </c>
      <c r="I2910" s="1084">
        <v>42480</v>
      </c>
      <c r="J2910" s="957">
        <v>567.09</v>
      </c>
    </row>
    <row r="2911" spans="1:10" s="852" customFormat="1" ht="28.5" outlineLevel="2">
      <c r="A2911" s="815" t="s">
        <v>785</v>
      </c>
      <c r="B2911" s="816" t="s">
        <v>7865</v>
      </c>
      <c r="C2911" s="729" t="s">
        <v>783</v>
      </c>
      <c r="D2911" s="460"/>
      <c r="E2911" s="878" t="s">
        <v>1909</v>
      </c>
      <c r="F2911" s="881" t="s">
        <v>4631</v>
      </c>
      <c r="G2911" s="731" t="s">
        <v>4958</v>
      </c>
      <c r="H2911" s="1083">
        <v>42401</v>
      </c>
      <c r="I2911" s="1084">
        <v>42480</v>
      </c>
      <c r="J2911" s="957">
        <v>7588.9</v>
      </c>
    </row>
    <row r="2912" spans="1:10" s="852" customFormat="1" ht="28.5" outlineLevel="2">
      <c r="A2912" s="815" t="s">
        <v>785</v>
      </c>
      <c r="B2912" s="816" t="s">
        <v>7865</v>
      </c>
      <c r="C2912" s="729" t="s">
        <v>783</v>
      </c>
      <c r="D2912" s="460"/>
      <c r="E2912" s="878" t="s">
        <v>1909</v>
      </c>
      <c r="F2912" s="881" t="s">
        <v>4629</v>
      </c>
      <c r="G2912" s="731" t="s">
        <v>4957</v>
      </c>
      <c r="H2912" s="1083">
        <v>42401</v>
      </c>
      <c r="I2912" s="1084">
        <v>42480</v>
      </c>
      <c r="J2912" s="957">
        <v>6480.57</v>
      </c>
    </row>
    <row r="2913" spans="1:10" s="852" customFormat="1" outlineLevel="2">
      <c r="A2913" s="815" t="s">
        <v>785</v>
      </c>
      <c r="B2913" s="816" t="s">
        <v>7865</v>
      </c>
      <c r="C2913" s="729" t="s">
        <v>783</v>
      </c>
      <c r="D2913" s="460"/>
      <c r="E2913" s="878" t="s">
        <v>488</v>
      </c>
      <c r="F2913" s="881" t="s">
        <v>1094</v>
      </c>
      <c r="G2913" s="731" t="s">
        <v>5853</v>
      </c>
      <c r="H2913" s="1083">
        <v>42430</v>
      </c>
      <c r="I2913" s="1084">
        <v>42489</v>
      </c>
      <c r="J2913" s="957">
        <v>133544.28</v>
      </c>
    </row>
    <row r="2914" spans="1:10" s="852" customFormat="1" outlineLevel="1">
      <c r="A2914" s="815"/>
      <c r="B2914" s="816" t="s">
        <v>258</v>
      </c>
      <c r="C2914" s="908" t="s">
        <v>783</v>
      </c>
      <c r="D2914" s="928" t="str">
        <f>VLOOKUP(C2914,$C$3691:$D$3771,2,FALSE)</f>
        <v>TOTAL POUPATEMPO  BAURU</v>
      </c>
      <c r="E2914" s="1085"/>
      <c r="F2914" s="929"/>
      <c r="G2914" s="910"/>
      <c r="H2914" s="1086"/>
      <c r="I2914" s="1087"/>
      <c r="J2914" s="930">
        <f>SUBTOTAL(9,J2857:J2913)</f>
        <v>703441.53</v>
      </c>
    </row>
    <row r="2915" spans="1:10" s="852" customFormat="1" outlineLevel="2">
      <c r="A2915" s="815" t="s">
        <v>788</v>
      </c>
      <c r="B2915" s="816" t="s">
        <v>7865</v>
      </c>
      <c r="C2915" s="729" t="s">
        <v>789</v>
      </c>
      <c r="D2915" s="460"/>
      <c r="E2915" s="878" t="s">
        <v>560</v>
      </c>
      <c r="F2915" s="881" t="s">
        <v>1094</v>
      </c>
      <c r="G2915" s="731" t="s">
        <v>5758</v>
      </c>
      <c r="H2915" s="1083">
        <v>42401</v>
      </c>
      <c r="I2915" s="1084">
        <v>42489</v>
      </c>
      <c r="J2915" s="957">
        <v>72098.880000000005</v>
      </c>
    </row>
    <row r="2916" spans="1:10" s="852" customFormat="1" outlineLevel="2">
      <c r="A2916" s="815" t="s">
        <v>6445</v>
      </c>
      <c r="B2916" s="816" t="s">
        <v>7863</v>
      </c>
      <c r="C2916" s="729" t="s">
        <v>789</v>
      </c>
      <c r="D2916" s="460"/>
      <c r="E2916" s="878" t="s">
        <v>483</v>
      </c>
      <c r="F2916" s="881" t="s">
        <v>2208</v>
      </c>
      <c r="G2916" s="731" t="str">
        <f>"16990"</f>
        <v>16990</v>
      </c>
      <c r="H2916" s="1083">
        <v>42401</v>
      </c>
      <c r="I2916" s="1084">
        <v>42473</v>
      </c>
      <c r="J2916" s="957">
        <v>34975.93</v>
      </c>
    </row>
    <row r="2917" spans="1:10" s="852" customFormat="1" outlineLevel="2">
      <c r="A2917" s="815" t="s">
        <v>5946</v>
      </c>
      <c r="B2917" s="816" t="s">
        <v>7864</v>
      </c>
      <c r="C2917" s="729" t="s">
        <v>789</v>
      </c>
      <c r="D2917" s="460"/>
      <c r="E2917" s="878" t="s">
        <v>6470</v>
      </c>
      <c r="F2917" s="881" t="s">
        <v>434</v>
      </c>
      <c r="G2917" s="731" t="str">
        <f>"2649"</f>
        <v>2649</v>
      </c>
      <c r="H2917" s="1083">
        <v>42370</v>
      </c>
      <c r="I2917" s="1084">
        <v>42478</v>
      </c>
      <c r="J2917" s="957">
        <v>9597.85</v>
      </c>
    </row>
    <row r="2918" spans="1:10" s="852" customFormat="1" outlineLevel="2">
      <c r="A2918" s="815" t="s">
        <v>5946</v>
      </c>
      <c r="B2918" s="816" t="s">
        <v>7864</v>
      </c>
      <c r="C2918" s="729" t="s">
        <v>789</v>
      </c>
      <c r="D2918" s="460"/>
      <c r="E2918" s="878" t="s">
        <v>6470</v>
      </c>
      <c r="F2918" s="881" t="s">
        <v>434</v>
      </c>
      <c r="G2918" s="731" t="str">
        <f>"2649"</f>
        <v>2649</v>
      </c>
      <c r="H2918" s="1083">
        <v>42370</v>
      </c>
      <c r="I2918" s="1084">
        <v>42478</v>
      </c>
      <c r="J2918" s="957">
        <v>-9597.85</v>
      </c>
    </row>
    <row r="2919" spans="1:10" s="852" customFormat="1" outlineLevel="2">
      <c r="A2919" s="815" t="s">
        <v>5946</v>
      </c>
      <c r="B2919" s="816" t="s">
        <v>7864</v>
      </c>
      <c r="C2919" s="729" t="s">
        <v>789</v>
      </c>
      <c r="D2919" s="460"/>
      <c r="E2919" s="878" t="s">
        <v>6470</v>
      </c>
      <c r="F2919" s="881" t="s">
        <v>434</v>
      </c>
      <c r="G2919" s="731" t="str">
        <f>"2649"</f>
        <v>2649</v>
      </c>
      <c r="H2919" s="1083">
        <v>42370</v>
      </c>
      <c r="I2919" s="1084">
        <v>42478</v>
      </c>
      <c r="J2919" s="957">
        <v>9597.84</v>
      </c>
    </row>
    <row r="2920" spans="1:10" s="852" customFormat="1" outlineLevel="2">
      <c r="A2920" s="815" t="s">
        <v>5946</v>
      </c>
      <c r="B2920" s="816" t="s">
        <v>7864</v>
      </c>
      <c r="C2920" s="729" t="s">
        <v>789</v>
      </c>
      <c r="D2920" s="460"/>
      <c r="E2920" s="878" t="s">
        <v>6470</v>
      </c>
      <c r="F2920" s="881" t="s">
        <v>434</v>
      </c>
      <c r="G2920" s="731" t="str">
        <f>"2649"</f>
        <v>2649</v>
      </c>
      <c r="H2920" s="1083">
        <v>42370</v>
      </c>
      <c r="I2920" s="1084">
        <v>42478</v>
      </c>
      <c r="J2920" s="957">
        <v>9597.84</v>
      </c>
    </row>
    <row r="2921" spans="1:10" s="852" customFormat="1" outlineLevel="2">
      <c r="A2921" s="815" t="s">
        <v>5946</v>
      </c>
      <c r="B2921" s="816" t="s">
        <v>7864</v>
      </c>
      <c r="C2921" s="729" t="s">
        <v>789</v>
      </c>
      <c r="D2921" s="460"/>
      <c r="E2921" s="878" t="s">
        <v>6470</v>
      </c>
      <c r="F2921" s="881" t="s">
        <v>434</v>
      </c>
      <c r="G2921" s="731" t="str">
        <f>"2649"</f>
        <v>2649</v>
      </c>
      <c r="H2921" s="1083">
        <v>42370</v>
      </c>
      <c r="I2921" s="1084">
        <v>42478</v>
      </c>
      <c r="J2921" s="957">
        <v>-9597.84</v>
      </c>
    </row>
    <row r="2922" spans="1:10" s="852" customFormat="1" ht="28.5" outlineLevel="2">
      <c r="A2922" s="815" t="s">
        <v>788</v>
      </c>
      <c r="B2922" s="816" t="s">
        <v>7865</v>
      </c>
      <c r="C2922" s="729" t="s">
        <v>789</v>
      </c>
      <c r="D2922" s="460"/>
      <c r="E2922" s="878" t="s">
        <v>2336</v>
      </c>
      <c r="F2922" s="881" t="s">
        <v>5256</v>
      </c>
      <c r="G2922" s="731" t="s">
        <v>4969</v>
      </c>
      <c r="H2922" s="1083">
        <v>42401</v>
      </c>
      <c r="I2922" s="1084">
        <v>42480</v>
      </c>
      <c r="J2922" s="957">
        <v>9932.2199999999993</v>
      </c>
    </row>
    <row r="2923" spans="1:10" s="852" customFormat="1" outlineLevel="2">
      <c r="A2923" s="815" t="s">
        <v>792</v>
      </c>
      <c r="B2923" s="816" t="s">
        <v>7863</v>
      </c>
      <c r="C2923" s="729" t="s">
        <v>789</v>
      </c>
      <c r="D2923" s="460"/>
      <c r="E2923" s="878" t="s">
        <v>2336</v>
      </c>
      <c r="F2923" s="881" t="s">
        <v>4411</v>
      </c>
      <c r="G2923" s="731" t="s">
        <v>4968</v>
      </c>
      <c r="H2923" s="1083">
        <v>42401</v>
      </c>
      <c r="I2923" s="1084">
        <v>42480</v>
      </c>
      <c r="J2923" s="957">
        <v>4788.24</v>
      </c>
    </row>
    <row r="2924" spans="1:10" s="852" customFormat="1" outlineLevel="2">
      <c r="A2924" s="815" t="s">
        <v>791</v>
      </c>
      <c r="B2924" s="816" t="s">
        <v>7864</v>
      </c>
      <c r="C2924" s="729" t="s">
        <v>789</v>
      </c>
      <c r="D2924" s="460"/>
      <c r="E2924" s="878" t="s">
        <v>2336</v>
      </c>
      <c r="F2924" s="881" t="s">
        <v>3538</v>
      </c>
      <c r="G2924" s="731" t="s">
        <v>4967</v>
      </c>
      <c r="H2924" s="1083">
        <v>42401</v>
      </c>
      <c r="I2924" s="1084">
        <v>42480</v>
      </c>
      <c r="J2924" s="957">
        <v>1330.51</v>
      </c>
    </row>
    <row r="2925" spans="1:10" s="852" customFormat="1" outlineLevel="2">
      <c r="A2925" s="815" t="s">
        <v>791</v>
      </c>
      <c r="B2925" s="816" t="s">
        <v>7864</v>
      </c>
      <c r="C2925" s="729" t="s">
        <v>789</v>
      </c>
      <c r="D2925" s="460"/>
      <c r="E2925" s="878" t="s">
        <v>2336</v>
      </c>
      <c r="F2925" s="881" t="s">
        <v>3051</v>
      </c>
      <c r="G2925" s="731" t="s">
        <v>4964</v>
      </c>
      <c r="H2925" s="1083">
        <v>42401</v>
      </c>
      <c r="I2925" s="1084">
        <v>42480</v>
      </c>
      <c r="J2925" s="957">
        <v>875.34</v>
      </c>
    </row>
    <row r="2926" spans="1:10" s="852" customFormat="1" outlineLevel="2">
      <c r="A2926" s="815" t="s">
        <v>791</v>
      </c>
      <c r="B2926" s="816" t="s">
        <v>7864</v>
      </c>
      <c r="C2926" s="729" t="s">
        <v>789</v>
      </c>
      <c r="D2926" s="460"/>
      <c r="E2926" s="878" t="s">
        <v>2336</v>
      </c>
      <c r="F2926" s="881" t="s">
        <v>3527</v>
      </c>
      <c r="G2926" s="731" t="s">
        <v>4966</v>
      </c>
      <c r="H2926" s="1083">
        <v>42401</v>
      </c>
      <c r="I2926" s="1084">
        <v>42480</v>
      </c>
      <c r="J2926" s="957">
        <v>1295.5</v>
      </c>
    </row>
    <row r="2927" spans="1:10" s="852" customFormat="1" outlineLevel="2">
      <c r="A2927" s="815" t="s">
        <v>788</v>
      </c>
      <c r="B2927" s="816" t="s">
        <v>7865</v>
      </c>
      <c r="C2927" s="729" t="s">
        <v>789</v>
      </c>
      <c r="D2927" s="460"/>
      <c r="E2927" s="878" t="s">
        <v>2336</v>
      </c>
      <c r="F2927" s="881" t="s">
        <v>6065</v>
      </c>
      <c r="G2927" s="731" t="s">
        <v>4963</v>
      </c>
      <c r="H2927" s="1083">
        <v>42401</v>
      </c>
      <c r="I2927" s="1084">
        <v>42480</v>
      </c>
      <c r="J2927" s="957">
        <v>9932.2199999999993</v>
      </c>
    </row>
    <row r="2928" spans="1:10" s="852" customFormat="1" outlineLevel="2">
      <c r="A2928" s="815" t="s">
        <v>788</v>
      </c>
      <c r="B2928" s="816" t="s">
        <v>7865</v>
      </c>
      <c r="C2928" s="729" t="s">
        <v>789</v>
      </c>
      <c r="D2928" s="460"/>
      <c r="E2928" s="878" t="s">
        <v>2336</v>
      </c>
      <c r="F2928" s="881" t="s">
        <v>3519</v>
      </c>
      <c r="G2928" s="731" t="s">
        <v>4965</v>
      </c>
      <c r="H2928" s="1083">
        <v>42401</v>
      </c>
      <c r="I2928" s="1084">
        <v>42480</v>
      </c>
      <c r="J2928" s="957">
        <v>79457.75</v>
      </c>
    </row>
    <row r="2929" spans="1:10" s="852" customFormat="1" outlineLevel="2">
      <c r="A2929" s="815" t="s">
        <v>5946</v>
      </c>
      <c r="B2929" s="816" t="s">
        <v>7864</v>
      </c>
      <c r="C2929" s="729" t="s">
        <v>789</v>
      </c>
      <c r="D2929" s="460"/>
      <c r="E2929" s="878" t="s">
        <v>2717</v>
      </c>
      <c r="F2929" s="881" t="s">
        <v>434</v>
      </c>
      <c r="G2929" s="731" t="str">
        <f>"3569"</f>
        <v>3569</v>
      </c>
      <c r="H2929" s="1083">
        <v>42401</v>
      </c>
      <c r="I2929" s="1084">
        <v>42467</v>
      </c>
      <c r="J2929" s="957">
        <v>6314.37</v>
      </c>
    </row>
    <row r="2930" spans="1:10" s="852" customFormat="1" outlineLevel="2">
      <c r="A2930" s="815" t="s">
        <v>5946</v>
      </c>
      <c r="B2930" s="816" t="s">
        <v>7864</v>
      </c>
      <c r="C2930" s="729" t="s">
        <v>789</v>
      </c>
      <c r="D2930" s="460"/>
      <c r="E2930" s="878" t="s">
        <v>409</v>
      </c>
      <c r="F2930" s="881" t="s">
        <v>434</v>
      </c>
      <c r="G2930" s="731" t="str">
        <f>"6712"</f>
        <v>6712</v>
      </c>
      <c r="H2930" s="1083">
        <v>42401</v>
      </c>
      <c r="I2930" s="1084">
        <v>42475</v>
      </c>
      <c r="J2930" s="957">
        <v>9345.27</v>
      </c>
    </row>
    <row r="2931" spans="1:10" s="852" customFormat="1" outlineLevel="2">
      <c r="A2931" s="815" t="s">
        <v>788</v>
      </c>
      <c r="B2931" s="816" t="s">
        <v>7865</v>
      </c>
      <c r="C2931" s="729" t="s">
        <v>789</v>
      </c>
      <c r="D2931" s="460"/>
      <c r="E2931" s="878" t="s">
        <v>484</v>
      </c>
      <c r="F2931" s="881" t="s">
        <v>1094</v>
      </c>
      <c r="G2931" s="731" t="s">
        <v>5803</v>
      </c>
      <c r="H2931" s="1083">
        <v>42430</v>
      </c>
      <c r="I2931" s="1084">
        <v>42489</v>
      </c>
      <c r="J2931" s="957">
        <v>72098.89</v>
      </c>
    </row>
    <row r="2932" spans="1:10" s="852" customFormat="1" outlineLevel="2">
      <c r="A2932" s="815" t="s">
        <v>967</v>
      </c>
      <c r="B2932" s="816" t="s">
        <v>7866</v>
      </c>
      <c r="C2932" s="729" t="s">
        <v>789</v>
      </c>
      <c r="D2932" s="460"/>
      <c r="E2932" s="878" t="s">
        <v>2282</v>
      </c>
      <c r="F2932" s="881" t="s">
        <v>3974</v>
      </c>
      <c r="G2932" s="731" t="s">
        <v>2779</v>
      </c>
      <c r="H2932" s="1083">
        <v>42401</v>
      </c>
      <c r="I2932" s="1084">
        <v>42471</v>
      </c>
      <c r="J2932" s="957">
        <v>1757.24</v>
      </c>
    </row>
    <row r="2933" spans="1:10" s="852" customFormat="1" outlineLevel="2">
      <c r="A2933" s="815" t="s">
        <v>967</v>
      </c>
      <c r="B2933" s="816" t="s">
        <v>7866</v>
      </c>
      <c r="C2933" s="729" t="s">
        <v>789</v>
      </c>
      <c r="D2933" s="460"/>
      <c r="E2933" s="878" t="s">
        <v>2282</v>
      </c>
      <c r="F2933" s="881" t="s">
        <v>4081</v>
      </c>
      <c r="G2933" s="731" t="s">
        <v>2781</v>
      </c>
      <c r="H2933" s="1083">
        <v>42401</v>
      </c>
      <c r="I2933" s="1084">
        <v>42471</v>
      </c>
      <c r="J2933" s="957">
        <v>56.19</v>
      </c>
    </row>
    <row r="2934" spans="1:10" s="852" customFormat="1" outlineLevel="2">
      <c r="A2934" s="815" t="s">
        <v>967</v>
      </c>
      <c r="B2934" s="816" t="s">
        <v>7866</v>
      </c>
      <c r="C2934" s="729" t="s">
        <v>789</v>
      </c>
      <c r="D2934" s="460"/>
      <c r="E2934" s="878" t="s">
        <v>2282</v>
      </c>
      <c r="F2934" s="881" t="s">
        <v>4165</v>
      </c>
      <c r="G2934" s="731" t="s">
        <v>2782</v>
      </c>
      <c r="H2934" s="1083">
        <v>42401</v>
      </c>
      <c r="I2934" s="1084">
        <v>42471</v>
      </c>
      <c r="J2934" s="957">
        <v>663</v>
      </c>
    </row>
    <row r="2935" spans="1:10" s="852" customFormat="1" outlineLevel="2">
      <c r="A2935" s="815" t="s">
        <v>788</v>
      </c>
      <c r="B2935" s="816" t="s">
        <v>7865</v>
      </c>
      <c r="C2935" s="729" t="s">
        <v>789</v>
      </c>
      <c r="D2935" s="460"/>
      <c r="E2935" s="878" t="s">
        <v>2350</v>
      </c>
      <c r="F2935" s="881" t="s">
        <v>6177</v>
      </c>
      <c r="G2935" s="731" t="s">
        <v>4970</v>
      </c>
      <c r="H2935" s="1083">
        <v>42401</v>
      </c>
      <c r="I2935" s="1084">
        <v>42473</v>
      </c>
      <c r="J2935" s="957">
        <v>2708.78</v>
      </c>
    </row>
    <row r="2936" spans="1:10" s="852" customFormat="1" outlineLevel="2">
      <c r="A2936" s="815" t="s">
        <v>791</v>
      </c>
      <c r="B2936" s="816" t="s">
        <v>7864</v>
      </c>
      <c r="C2936" s="729" t="s">
        <v>789</v>
      </c>
      <c r="D2936" s="460"/>
      <c r="E2936" s="878" t="s">
        <v>2350</v>
      </c>
      <c r="F2936" s="881" t="s">
        <v>3053</v>
      </c>
      <c r="G2936" s="731" t="s">
        <v>4971</v>
      </c>
      <c r="H2936" s="1083">
        <v>42401</v>
      </c>
      <c r="I2936" s="1084">
        <v>42473</v>
      </c>
      <c r="J2936" s="957">
        <v>318.3</v>
      </c>
    </row>
    <row r="2937" spans="1:10" s="852" customFormat="1" outlineLevel="2">
      <c r="A2937" s="815" t="s">
        <v>788</v>
      </c>
      <c r="B2937" s="816" t="s">
        <v>7865</v>
      </c>
      <c r="C2937" s="729" t="s">
        <v>789</v>
      </c>
      <c r="D2937" s="460"/>
      <c r="E2937" s="878" t="s">
        <v>2350</v>
      </c>
      <c r="F2937" s="881" t="s">
        <v>3520</v>
      </c>
      <c r="G2937" s="731" t="s">
        <v>4972</v>
      </c>
      <c r="H2937" s="1083">
        <v>42401</v>
      </c>
      <c r="I2937" s="1084">
        <v>42473</v>
      </c>
      <c r="J2937" s="957">
        <v>21670.3</v>
      </c>
    </row>
    <row r="2938" spans="1:10" s="852" customFormat="1" outlineLevel="2">
      <c r="A2938" s="815" t="s">
        <v>791</v>
      </c>
      <c r="B2938" s="816" t="s">
        <v>7864</v>
      </c>
      <c r="C2938" s="729" t="s">
        <v>789</v>
      </c>
      <c r="D2938" s="460"/>
      <c r="E2938" s="878" t="s">
        <v>2350</v>
      </c>
      <c r="F2938" s="881" t="s">
        <v>3528</v>
      </c>
      <c r="G2938" s="731" t="s">
        <v>4973</v>
      </c>
      <c r="H2938" s="1083">
        <v>42401</v>
      </c>
      <c r="I2938" s="1084">
        <v>42473</v>
      </c>
      <c r="J2938" s="957">
        <v>471.09</v>
      </c>
    </row>
    <row r="2939" spans="1:10" s="852" customFormat="1" outlineLevel="2">
      <c r="A2939" s="815" t="s">
        <v>791</v>
      </c>
      <c r="B2939" s="816" t="s">
        <v>7864</v>
      </c>
      <c r="C2939" s="729" t="s">
        <v>789</v>
      </c>
      <c r="D2939" s="460"/>
      <c r="E2939" s="878" t="s">
        <v>2350</v>
      </c>
      <c r="F2939" s="881" t="s">
        <v>3540</v>
      </c>
      <c r="G2939" s="731" t="s">
        <v>4974</v>
      </c>
      <c r="H2939" s="1083">
        <v>42401</v>
      </c>
      <c r="I2939" s="1084">
        <v>42473</v>
      </c>
      <c r="J2939" s="957">
        <v>483.82</v>
      </c>
    </row>
    <row r="2940" spans="1:10" s="852" customFormat="1" ht="28.5" outlineLevel="2">
      <c r="A2940" s="815" t="s">
        <v>788</v>
      </c>
      <c r="B2940" s="816" t="s">
        <v>7865</v>
      </c>
      <c r="C2940" s="729" t="s">
        <v>789</v>
      </c>
      <c r="D2940" s="460"/>
      <c r="E2940" s="878" t="s">
        <v>2350</v>
      </c>
      <c r="F2940" s="881" t="s">
        <v>5257</v>
      </c>
      <c r="G2940" s="731" t="s">
        <v>4975</v>
      </c>
      <c r="H2940" s="1083">
        <v>42401</v>
      </c>
      <c r="I2940" s="1084">
        <v>42473</v>
      </c>
      <c r="J2940" s="957">
        <v>2708.79</v>
      </c>
    </row>
    <row r="2941" spans="1:10" s="852" customFormat="1" outlineLevel="2">
      <c r="A2941" s="815" t="s">
        <v>792</v>
      </c>
      <c r="B2941" s="816" t="s">
        <v>7863</v>
      </c>
      <c r="C2941" s="729" t="s">
        <v>789</v>
      </c>
      <c r="D2941" s="460"/>
      <c r="E2941" s="878" t="s">
        <v>2350</v>
      </c>
      <c r="F2941" s="881" t="s">
        <v>5384</v>
      </c>
      <c r="G2941" s="731" t="s">
        <v>4976</v>
      </c>
      <c r="H2941" s="1083">
        <v>42401</v>
      </c>
      <c r="I2941" s="1084">
        <v>42473</v>
      </c>
      <c r="J2941" s="957">
        <v>1305.8900000000001</v>
      </c>
    </row>
    <row r="2942" spans="1:10" s="852" customFormat="1" ht="28.5" outlineLevel="2">
      <c r="A2942" s="815" t="s">
        <v>788</v>
      </c>
      <c r="B2942" s="816" t="s">
        <v>7865</v>
      </c>
      <c r="C2942" s="729" t="s">
        <v>789</v>
      </c>
      <c r="D2942" s="460"/>
      <c r="E2942" s="878" t="s">
        <v>1909</v>
      </c>
      <c r="F2942" s="881" t="s">
        <v>5254</v>
      </c>
      <c r="G2942" s="731" t="s">
        <v>4997</v>
      </c>
      <c r="H2942" s="1083">
        <v>42401</v>
      </c>
      <c r="I2942" s="1084">
        <v>42480</v>
      </c>
      <c r="J2942" s="957">
        <v>1354.39</v>
      </c>
    </row>
    <row r="2943" spans="1:10" s="852" customFormat="1" outlineLevel="2">
      <c r="A2943" s="815" t="s">
        <v>967</v>
      </c>
      <c r="B2943" s="816" t="s">
        <v>7866</v>
      </c>
      <c r="C2943" s="729" t="s">
        <v>789</v>
      </c>
      <c r="D2943" s="460"/>
      <c r="E2943" s="878" t="s">
        <v>1909</v>
      </c>
      <c r="F2943" s="881" t="s">
        <v>3935</v>
      </c>
      <c r="G2943" s="731" t="s">
        <v>2817</v>
      </c>
      <c r="H2943" s="1083">
        <v>42401</v>
      </c>
      <c r="I2943" s="1084">
        <v>42480</v>
      </c>
      <c r="J2943" s="957">
        <v>527.16999999999996</v>
      </c>
    </row>
    <row r="2944" spans="1:10" s="852" customFormat="1" outlineLevel="2">
      <c r="A2944" s="815" t="s">
        <v>967</v>
      </c>
      <c r="B2944" s="816" t="s">
        <v>7866</v>
      </c>
      <c r="C2944" s="729" t="s">
        <v>789</v>
      </c>
      <c r="D2944" s="460"/>
      <c r="E2944" s="878" t="s">
        <v>1909</v>
      </c>
      <c r="F2944" s="881" t="s">
        <v>4027</v>
      </c>
      <c r="G2944" s="731" t="s">
        <v>2819</v>
      </c>
      <c r="H2944" s="1083">
        <v>42401</v>
      </c>
      <c r="I2944" s="1084">
        <v>42480</v>
      </c>
      <c r="J2944" s="957">
        <v>16.850000000000001</v>
      </c>
    </row>
    <row r="2945" spans="1:10" s="852" customFormat="1" outlineLevel="2">
      <c r="A2945" s="815" t="s">
        <v>967</v>
      </c>
      <c r="B2945" s="816" t="s">
        <v>7866</v>
      </c>
      <c r="C2945" s="729" t="s">
        <v>789</v>
      </c>
      <c r="D2945" s="460"/>
      <c r="E2945" s="878" t="s">
        <v>1909</v>
      </c>
      <c r="F2945" s="881" t="s">
        <v>4129</v>
      </c>
      <c r="G2945" s="731" t="s">
        <v>2821</v>
      </c>
      <c r="H2945" s="1083">
        <v>42401</v>
      </c>
      <c r="I2945" s="1084">
        <v>42480</v>
      </c>
      <c r="J2945" s="957">
        <v>198.9</v>
      </c>
    </row>
    <row r="2946" spans="1:10" s="852" customFormat="1" outlineLevel="2">
      <c r="A2946" s="815" t="s">
        <v>792</v>
      </c>
      <c r="B2946" s="816" t="s">
        <v>7863</v>
      </c>
      <c r="C2946" s="729" t="s">
        <v>789</v>
      </c>
      <c r="D2946" s="460"/>
      <c r="E2946" s="878" t="s">
        <v>1909</v>
      </c>
      <c r="F2946" s="881" t="s">
        <v>4409</v>
      </c>
      <c r="G2946" s="731" t="s">
        <v>4993</v>
      </c>
      <c r="H2946" s="1083">
        <v>42401</v>
      </c>
      <c r="I2946" s="1084">
        <v>42480</v>
      </c>
      <c r="J2946" s="957">
        <v>435.29</v>
      </c>
    </row>
    <row r="2947" spans="1:10" s="852" customFormat="1" outlineLevel="2">
      <c r="A2947" s="815" t="s">
        <v>791</v>
      </c>
      <c r="B2947" s="816" t="s">
        <v>7864</v>
      </c>
      <c r="C2947" s="729" t="s">
        <v>789</v>
      </c>
      <c r="D2947" s="460"/>
      <c r="E2947" s="878" t="s">
        <v>1909</v>
      </c>
      <c r="F2947" s="881" t="s">
        <v>3474</v>
      </c>
      <c r="G2947" s="731" t="s">
        <v>4987</v>
      </c>
      <c r="H2947" s="1083">
        <v>42401</v>
      </c>
      <c r="I2947" s="1084">
        <v>42480</v>
      </c>
      <c r="J2947" s="957">
        <v>120.96</v>
      </c>
    </row>
    <row r="2948" spans="1:10" s="852" customFormat="1" outlineLevel="2">
      <c r="A2948" s="815" t="s">
        <v>791</v>
      </c>
      <c r="B2948" s="816" t="s">
        <v>7864</v>
      </c>
      <c r="C2948" s="729" t="s">
        <v>789</v>
      </c>
      <c r="D2948" s="460"/>
      <c r="E2948" s="878" t="s">
        <v>1909</v>
      </c>
      <c r="F2948" s="881" t="s">
        <v>3049</v>
      </c>
      <c r="G2948" s="731" t="s">
        <v>4984</v>
      </c>
      <c r="H2948" s="1083">
        <v>42401</v>
      </c>
      <c r="I2948" s="1084">
        <v>42480</v>
      </c>
      <c r="J2948" s="957">
        <v>79.58</v>
      </c>
    </row>
    <row r="2949" spans="1:10" s="852" customFormat="1" outlineLevel="2">
      <c r="A2949" s="815" t="s">
        <v>791</v>
      </c>
      <c r="B2949" s="816" t="s">
        <v>7864</v>
      </c>
      <c r="C2949" s="729" t="s">
        <v>789</v>
      </c>
      <c r="D2949" s="460"/>
      <c r="E2949" s="878" t="s">
        <v>1909</v>
      </c>
      <c r="F2949" s="881" t="s">
        <v>3525</v>
      </c>
      <c r="G2949" s="731" t="s">
        <v>4989</v>
      </c>
      <c r="H2949" s="1083">
        <v>42401</v>
      </c>
      <c r="I2949" s="1084">
        <v>42480</v>
      </c>
      <c r="J2949" s="957">
        <v>117.77</v>
      </c>
    </row>
    <row r="2950" spans="1:10" s="852" customFormat="1" outlineLevel="2">
      <c r="A2950" s="815" t="s">
        <v>788</v>
      </c>
      <c r="B2950" s="816" t="s">
        <v>7865</v>
      </c>
      <c r="C2950" s="729" t="s">
        <v>789</v>
      </c>
      <c r="D2950" s="460"/>
      <c r="E2950" s="878" t="s">
        <v>1909</v>
      </c>
      <c r="F2950" s="881" t="s">
        <v>6371</v>
      </c>
      <c r="G2950" s="731" t="s">
        <v>4982</v>
      </c>
      <c r="H2950" s="1083">
        <v>42401</v>
      </c>
      <c r="I2950" s="1084">
        <v>42480</v>
      </c>
      <c r="J2950" s="957">
        <v>1354.39</v>
      </c>
    </row>
    <row r="2951" spans="1:10" s="852" customFormat="1" outlineLevel="2">
      <c r="A2951" s="815" t="s">
        <v>788</v>
      </c>
      <c r="B2951" s="816" t="s">
        <v>7865</v>
      </c>
      <c r="C2951" s="729" t="s">
        <v>789</v>
      </c>
      <c r="D2951" s="460"/>
      <c r="E2951" s="878" t="s">
        <v>1909</v>
      </c>
      <c r="F2951" s="881" t="s">
        <v>3518</v>
      </c>
      <c r="G2951" s="731" t="s">
        <v>4988</v>
      </c>
      <c r="H2951" s="1083">
        <v>42401</v>
      </c>
      <c r="I2951" s="1084">
        <v>42480</v>
      </c>
      <c r="J2951" s="957">
        <f>10835.15+1.41</f>
        <v>10836.56</v>
      </c>
    </row>
    <row r="2952" spans="1:10" s="852" customFormat="1" ht="42.75" outlineLevel="2">
      <c r="A2952" s="815" t="s">
        <v>788</v>
      </c>
      <c r="B2952" s="816" t="s">
        <v>7865</v>
      </c>
      <c r="C2952" s="729" t="s">
        <v>789</v>
      </c>
      <c r="D2952" s="460"/>
      <c r="E2952" s="878" t="s">
        <v>1909</v>
      </c>
      <c r="F2952" s="881" t="s">
        <v>5034</v>
      </c>
      <c r="G2952" s="731" t="s">
        <v>4996</v>
      </c>
      <c r="H2952" s="1083">
        <v>42401</v>
      </c>
      <c r="I2952" s="1084">
        <v>42480</v>
      </c>
      <c r="J2952" s="957">
        <v>4198.62</v>
      </c>
    </row>
    <row r="2953" spans="1:10" s="852" customFormat="1" ht="28.5" outlineLevel="2">
      <c r="A2953" s="815" t="s">
        <v>967</v>
      </c>
      <c r="B2953" s="816" t="s">
        <v>7866</v>
      </c>
      <c r="C2953" s="729" t="s">
        <v>789</v>
      </c>
      <c r="D2953" s="460"/>
      <c r="E2953" s="878" t="s">
        <v>1909</v>
      </c>
      <c r="F2953" s="881" t="s">
        <v>4956</v>
      </c>
      <c r="G2953" s="731" t="s">
        <v>2833</v>
      </c>
      <c r="H2953" s="1083">
        <v>42401</v>
      </c>
      <c r="I2953" s="1084">
        <v>42480</v>
      </c>
      <c r="J2953" s="957">
        <v>1634.24</v>
      </c>
    </row>
    <row r="2954" spans="1:10" s="852" customFormat="1" ht="28.5" outlineLevel="2">
      <c r="A2954" s="815" t="s">
        <v>967</v>
      </c>
      <c r="B2954" s="816" t="s">
        <v>7866</v>
      </c>
      <c r="C2954" s="729" t="s">
        <v>789</v>
      </c>
      <c r="D2954" s="460"/>
      <c r="E2954" s="878" t="s">
        <v>1909</v>
      </c>
      <c r="F2954" s="881" t="s">
        <v>4903</v>
      </c>
      <c r="G2954" s="731" t="s">
        <v>2832</v>
      </c>
      <c r="H2954" s="1083">
        <v>42401</v>
      </c>
      <c r="I2954" s="1084">
        <v>42480</v>
      </c>
      <c r="J2954" s="957">
        <v>52.26</v>
      </c>
    </row>
    <row r="2955" spans="1:10" s="852" customFormat="1" ht="28.5" outlineLevel="2">
      <c r="A2955" s="815" t="s">
        <v>967</v>
      </c>
      <c r="B2955" s="816" t="s">
        <v>7866</v>
      </c>
      <c r="C2955" s="729" t="s">
        <v>789</v>
      </c>
      <c r="D2955" s="460"/>
      <c r="E2955" s="878" t="s">
        <v>1909</v>
      </c>
      <c r="F2955" s="881" t="s">
        <v>4853</v>
      </c>
      <c r="G2955" s="731" t="s">
        <v>2831</v>
      </c>
      <c r="H2955" s="1083">
        <v>42401</v>
      </c>
      <c r="I2955" s="1084">
        <v>42480</v>
      </c>
      <c r="J2955" s="957">
        <v>616.59</v>
      </c>
    </row>
    <row r="2956" spans="1:10" s="852" customFormat="1" ht="28.5" outlineLevel="2">
      <c r="A2956" s="815" t="s">
        <v>792</v>
      </c>
      <c r="B2956" s="816" t="s">
        <v>7863</v>
      </c>
      <c r="C2956" s="729" t="s">
        <v>789</v>
      </c>
      <c r="D2956" s="460"/>
      <c r="E2956" s="878" t="s">
        <v>1909</v>
      </c>
      <c r="F2956" s="881" t="s">
        <v>6370</v>
      </c>
      <c r="G2956" s="731" t="s">
        <v>4977</v>
      </c>
      <c r="H2956" s="1083">
        <v>42370</v>
      </c>
      <c r="I2956" s="1084">
        <v>42480</v>
      </c>
      <c r="J2956" s="957">
        <v>2146.89</v>
      </c>
    </row>
    <row r="2957" spans="1:10" s="852" customFormat="1" ht="28.5" outlineLevel="2">
      <c r="A2957" s="815" t="s">
        <v>792</v>
      </c>
      <c r="B2957" s="816" t="s">
        <v>7863</v>
      </c>
      <c r="C2957" s="729" t="s">
        <v>789</v>
      </c>
      <c r="D2957" s="460"/>
      <c r="E2957" s="878" t="s">
        <v>1909</v>
      </c>
      <c r="F2957" s="881" t="s">
        <v>6370</v>
      </c>
      <c r="G2957" s="731" t="s">
        <v>4978</v>
      </c>
      <c r="H2957" s="1083">
        <v>42370</v>
      </c>
      <c r="I2957" s="1084">
        <v>42480</v>
      </c>
      <c r="J2957" s="957">
        <v>2146.89</v>
      </c>
    </row>
    <row r="2958" spans="1:10" s="852" customFormat="1" ht="28.5" outlineLevel="2">
      <c r="A2958" s="815" t="s">
        <v>792</v>
      </c>
      <c r="B2958" s="816" t="s">
        <v>7863</v>
      </c>
      <c r="C2958" s="729" t="s">
        <v>789</v>
      </c>
      <c r="D2958" s="460"/>
      <c r="E2958" s="878" t="s">
        <v>1909</v>
      </c>
      <c r="F2958" s="881" t="s">
        <v>6370</v>
      </c>
      <c r="G2958" s="731" t="s">
        <v>4979</v>
      </c>
      <c r="H2958" s="1083">
        <v>42370</v>
      </c>
      <c r="I2958" s="1084">
        <v>42480</v>
      </c>
      <c r="J2958" s="957">
        <v>-2146.89</v>
      </c>
    </row>
    <row r="2959" spans="1:10" s="852" customFormat="1" ht="28.5" outlineLevel="2">
      <c r="A2959" s="815" t="s">
        <v>791</v>
      </c>
      <c r="B2959" s="816" t="s">
        <v>7864</v>
      </c>
      <c r="C2959" s="729" t="s">
        <v>789</v>
      </c>
      <c r="D2959" s="460"/>
      <c r="E2959" s="878" t="s">
        <v>1909</v>
      </c>
      <c r="F2959" s="881" t="s">
        <v>2941</v>
      </c>
      <c r="G2959" s="731" t="s">
        <v>4980</v>
      </c>
      <c r="H2959" s="1083">
        <v>42370</v>
      </c>
      <c r="I2959" s="1084">
        <v>42480</v>
      </c>
      <c r="J2959" s="957">
        <v>-370.03</v>
      </c>
    </row>
    <row r="2960" spans="1:10" s="852" customFormat="1" ht="28.5" outlineLevel="2">
      <c r="A2960" s="815" t="s">
        <v>791</v>
      </c>
      <c r="B2960" s="816" t="s">
        <v>7864</v>
      </c>
      <c r="C2960" s="729" t="s">
        <v>789</v>
      </c>
      <c r="D2960" s="460"/>
      <c r="E2960" s="878" t="s">
        <v>1909</v>
      </c>
      <c r="F2960" s="881" t="s">
        <v>2941</v>
      </c>
      <c r="G2960" s="731" t="s">
        <v>4981</v>
      </c>
      <c r="H2960" s="1083">
        <v>42370</v>
      </c>
      <c r="I2960" s="1084">
        <v>42480</v>
      </c>
      <c r="J2960" s="957">
        <v>-370.03</v>
      </c>
    </row>
    <row r="2961" spans="1:10" s="852" customFormat="1" ht="28.5" outlineLevel="2">
      <c r="A2961" s="815" t="s">
        <v>791</v>
      </c>
      <c r="B2961" s="816" t="s">
        <v>7864</v>
      </c>
      <c r="C2961" s="729" t="s">
        <v>789</v>
      </c>
      <c r="D2961" s="460"/>
      <c r="E2961" s="878" t="s">
        <v>1909</v>
      </c>
      <c r="F2961" s="881" t="s">
        <v>2941</v>
      </c>
      <c r="G2961" s="731" t="s">
        <v>4983</v>
      </c>
      <c r="H2961" s="1083">
        <v>42370</v>
      </c>
      <c r="I2961" s="1084">
        <v>42480</v>
      </c>
      <c r="J2961" s="957">
        <v>370.03</v>
      </c>
    </row>
    <row r="2962" spans="1:10" s="852" customFormat="1" ht="28.5" outlineLevel="2">
      <c r="A2962" s="815" t="s">
        <v>791</v>
      </c>
      <c r="B2962" s="816" t="s">
        <v>7864</v>
      </c>
      <c r="C2962" s="729" t="s">
        <v>789</v>
      </c>
      <c r="D2962" s="460"/>
      <c r="E2962" s="878" t="s">
        <v>1909</v>
      </c>
      <c r="F2962" s="881" t="s">
        <v>2941</v>
      </c>
      <c r="G2962" s="731" t="s">
        <v>4985</v>
      </c>
      <c r="H2962" s="1083">
        <v>42370</v>
      </c>
      <c r="I2962" s="1084">
        <v>42480</v>
      </c>
      <c r="J2962" s="957">
        <v>370.03</v>
      </c>
    </row>
    <row r="2963" spans="1:10" s="852" customFormat="1" ht="28.5" outlineLevel="2">
      <c r="A2963" s="815" t="s">
        <v>791</v>
      </c>
      <c r="B2963" s="816" t="s">
        <v>7864</v>
      </c>
      <c r="C2963" s="729" t="s">
        <v>789</v>
      </c>
      <c r="D2963" s="460"/>
      <c r="E2963" s="878" t="s">
        <v>1909</v>
      </c>
      <c r="F2963" s="881" t="s">
        <v>2941</v>
      </c>
      <c r="G2963" s="731" t="s">
        <v>4986</v>
      </c>
      <c r="H2963" s="1083">
        <v>42370</v>
      </c>
      <c r="I2963" s="1084">
        <v>42480</v>
      </c>
      <c r="J2963" s="957">
        <v>370.03</v>
      </c>
    </row>
    <row r="2964" spans="1:10" s="852" customFormat="1" ht="28.5" outlineLevel="2">
      <c r="A2964" s="815" t="s">
        <v>791</v>
      </c>
      <c r="B2964" s="816" t="s">
        <v>7864</v>
      </c>
      <c r="C2964" s="729" t="s">
        <v>789</v>
      </c>
      <c r="D2964" s="460"/>
      <c r="E2964" s="878" t="s">
        <v>1909</v>
      </c>
      <c r="F2964" s="881" t="s">
        <v>3686</v>
      </c>
      <c r="G2964" s="731" t="s">
        <v>4990</v>
      </c>
      <c r="H2964" s="1083">
        <v>42370</v>
      </c>
      <c r="I2964" s="1084">
        <v>42480</v>
      </c>
      <c r="J2964" s="957">
        <v>-547.65</v>
      </c>
    </row>
    <row r="2965" spans="1:10" s="852" customFormat="1" ht="28.5" outlineLevel="2">
      <c r="A2965" s="815" t="s">
        <v>791</v>
      </c>
      <c r="B2965" s="816" t="s">
        <v>7864</v>
      </c>
      <c r="C2965" s="729" t="s">
        <v>789</v>
      </c>
      <c r="D2965" s="460"/>
      <c r="E2965" s="878" t="s">
        <v>1909</v>
      </c>
      <c r="F2965" s="881" t="s">
        <v>3686</v>
      </c>
      <c r="G2965" s="731" t="s">
        <v>4991</v>
      </c>
      <c r="H2965" s="1083">
        <v>42370</v>
      </c>
      <c r="I2965" s="1084">
        <v>42480</v>
      </c>
      <c r="J2965" s="957">
        <v>547.65</v>
      </c>
    </row>
    <row r="2966" spans="1:10" s="852" customFormat="1" ht="28.5" outlineLevel="2">
      <c r="A2966" s="815" t="s">
        <v>791</v>
      </c>
      <c r="B2966" s="816" t="s">
        <v>7864</v>
      </c>
      <c r="C2966" s="729" t="s">
        <v>789</v>
      </c>
      <c r="D2966" s="460"/>
      <c r="E2966" s="878" t="s">
        <v>1909</v>
      </c>
      <c r="F2966" s="881" t="s">
        <v>3686</v>
      </c>
      <c r="G2966" s="731" t="s">
        <v>4992</v>
      </c>
      <c r="H2966" s="1083">
        <v>42370</v>
      </c>
      <c r="I2966" s="1084">
        <v>42480</v>
      </c>
      <c r="J2966" s="957">
        <v>547.65</v>
      </c>
    </row>
    <row r="2967" spans="1:10" s="852" customFormat="1" ht="28.5" outlineLevel="2">
      <c r="A2967" s="815" t="s">
        <v>788</v>
      </c>
      <c r="B2967" s="816" t="s">
        <v>7865</v>
      </c>
      <c r="C2967" s="729" t="s">
        <v>789</v>
      </c>
      <c r="D2967" s="460"/>
      <c r="E2967" s="878" t="s">
        <v>1909</v>
      </c>
      <c r="F2967" s="881" t="s">
        <v>4689</v>
      </c>
      <c r="G2967" s="731" t="s">
        <v>4995</v>
      </c>
      <c r="H2967" s="1083">
        <v>42401</v>
      </c>
      <c r="I2967" s="1084">
        <v>42480</v>
      </c>
      <c r="J2967" s="957">
        <v>4198.62</v>
      </c>
    </row>
    <row r="2968" spans="1:10" s="852" customFormat="1" ht="28.5" outlineLevel="2">
      <c r="A2968" s="815" t="s">
        <v>788</v>
      </c>
      <c r="B2968" s="816" t="s">
        <v>7865</v>
      </c>
      <c r="C2968" s="729" t="s">
        <v>789</v>
      </c>
      <c r="D2968" s="460"/>
      <c r="E2968" s="878" t="s">
        <v>1909</v>
      </c>
      <c r="F2968" s="881" t="s">
        <v>4619</v>
      </c>
      <c r="G2968" s="731" t="s">
        <v>4994</v>
      </c>
      <c r="H2968" s="1083">
        <v>42401</v>
      </c>
      <c r="I2968" s="1084">
        <v>42480</v>
      </c>
      <c r="J2968" s="957">
        <v>33588.959999999999</v>
      </c>
    </row>
    <row r="2969" spans="1:10" s="852" customFormat="1" outlineLevel="2">
      <c r="A2969" s="815" t="s">
        <v>788</v>
      </c>
      <c r="B2969" s="816" t="s">
        <v>7865</v>
      </c>
      <c r="C2969" s="729" t="s">
        <v>789</v>
      </c>
      <c r="D2969" s="460"/>
      <c r="E2969" s="878" t="s">
        <v>447</v>
      </c>
      <c r="F2969" s="881" t="s">
        <v>1094</v>
      </c>
      <c r="G2969" s="731" t="s">
        <v>5860</v>
      </c>
      <c r="H2969" s="1083">
        <v>42430</v>
      </c>
      <c r="I2969" s="1084">
        <v>42489</v>
      </c>
      <c r="J2969" s="957">
        <v>576791.02</v>
      </c>
    </row>
    <row r="2970" spans="1:10" s="852" customFormat="1" outlineLevel="1">
      <c r="A2970" s="815"/>
      <c r="B2970" s="816" t="s">
        <v>258</v>
      </c>
      <c r="C2970" s="908" t="s">
        <v>789</v>
      </c>
      <c r="D2970" s="928" t="str">
        <f>VLOOKUP(C2970,$C$3691:$D$3771,2,FALSE)</f>
        <v>TOTAL POUPATEMPO  SANTOS</v>
      </c>
      <c r="E2970" s="1085"/>
      <c r="F2970" s="929"/>
      <c r="G2970" s="910"/>
      <c r="H2970" s="1086"/>
      <c r="I2970" s="1087"/>
      <c r="J2970" s="930">
        <f>SUBTOTAL(9,J2915:J2969)</f>
        <v>983373.10000000009</v>
      </c>
    </row>
    <row r="2971" spans="1:10" s="852" customFormat="1" outlineLevel="2">
      <c r="A2971" s="815" t="s">
        <v>796</v>
      </c>
      <c r="B2971" s="816" t="s">
        <v>7865</v>
      </c>
      <c r="C2971" s="729" t="s">
        <v>794</v>
      </c>
      <c r="D2971" s="460"/>
      <c r="E2971" s="878" t="s">
        <v>533</v>
      </c>
      <c r="F2971" s="881" t="s">
        <v>1094</v>
      </c>
      <c r="G2971" s="731" t="s">
        <v>5770</v>
      </c>
      <c r="H2971" s="1083">
        <v>42430</v>
      </c>
      <c r="I2971" s="1084">
        <v>42489</v>
      </c>
      <c r="J2971" s="957">
        <v>320287.73</v>
      </c>
    </row>
    <row r="2972" spans="1:10" s="852" customFormat="1" outlineLevel="2">
      <c r="A2972" s="815" t="s">
        <v>6442</v>
      </c>
      <c r="B2972" s="816" t="s">
        <v>7863</v>
      </c>
      <c r="C2972" s="729" t="s">
        <v>794</v>
      </c>
      <c r="D2972" s="460"/>
      <c r="E2972" s="878" t="s">
        <v>483</v>
      </c>
      <c r="F2972" s="881" t="s">
        <v>2208</v>
      </c>
      <c r="G2972" s="731" t="str">
        <f>"16985"</f>
        <v>16985</v>
      </c>
      <c r="H2972" s="1083">
        <v>42401</v>
      </c>
      <c r="I2972" s="1084">
        <v>42473</v>
      </c>
      <c r="J2972" s="957">
        <v>32408.87</v>
      </c>
    </row>
    <row r="2973" spans="1:10" s="852" customFormat="1" outlineLevel="2">
      <c r="A2973" s="815" t="s">
        <v>796</v>
      </c>
      <c r="B2973" s="816" t="s">
        <v>7865</v>
      </c>
      <c r="C2973" s="729" t="s">
        <v>794</v>
      </c>
      <c r="D2973" s="460"/>
      <c r="E2973" s="878" t="s">
        <v>530</v>
      </c>
      <c r="F2973" s="881" t="s">
        <v>1094</v>
      </c>
      <c r="G2973" s="731" t="s">
        <v>2651</v>
      </c>
      <c r="H2973" s="1083">
        <v>42430</v>
      </c>
      <c r="I2973" s="1084">
        <v>42489</v>
      </c>
      <c r="J2973" s="957">
        <v>192172.63</v>
      </c>
    </row>
    <row r="2974" spans="1:10" s="852" customFormat="1" outlineLevel="2">
      <c r="A2974" s="815" t="s">
        <v>796</v>
      </c>
      <c r="B2974" s="816" t="s">
        <v>7865</v>
      </c>
      <c r="C2974" s="729" t="s">
        <v>794</v>
      </c>
      <c r="D2974" s="460"/>
      <c r="E2974" s="878" t="s">
        <v>542</v>
      </c>
      <c r="F2974" s="881" t="s">
        <v>1094</v>
      </c>
      <c r="G2974" s="731" t="s">
        <v>5791</v>
      </c>
      <c r="H2974" s="1083">
        <v>42430</v>
      </c>
      <c r="I2974" s="1084">
        <v>42489</v>
      </c>
      <c r="J2974" s="957">
        <v>128115</v>
      </c>
    </row>
    <row r="2975" spans="1:10" s="852" customFormat="1" outlineLevel="2">
      <c r="A2975" s="815" t="s">
        <v>5950</v>
      </c>
      <c r="B2975" s="816" t="s">
        <v>7864</v>
      </c>
      <c r="C2975" s="729" t="s">
        <v>794</v>
      </c>
      <c r="D2975" s="460"/>
      <c r="E2975" s="878" t="s">
        <v>6470</v>
      </c>
      <c r="F2975" s="881" t="s">
        <v>434</v>
      </c>
      <c r="G2975" s="731" t="str">
        <f>"2670"</f>
        <v>2670</v>
      </c>
      <c r="H2975" s="1083">
        <v>42370</v>
      </c>
      <c r="I2975" s="1084">
        <v>42478</v>
      </c>
      <c r="J2975" s="957">
        <v>6959.47</v>
      </c>
    </row>
    <row r="2976" spans="1:10" s="852" customFormat="1" outlineLevel="2">
      <c r="A2976" s="815" t="s">
        <v>5950</v>
      </c>
      <c r="B2976" s="816" t="s">
        <v>7864</v>
      </c>
      <c r="C2976" s="729" t="s">
        <v>794</v>
      </c>
      <c r="D2976" s="460"/>
      <c r="E2976" s="878" t="s">
        <v>6470</v>
      </c>
      <c r="F2976" s="881" t="s">
        <v>434</v>
      </c>
      <c r="G2976" s="731" t="str">
        <f>"2670"</f>
        <v>2670</v>
      </c>
      <c r="H2976" s="1083">
        <v>42370</v>
      </c>
      <c r="I2976" s="1084">
        <v>42478</v>
      </c>
      <c r="J2976" s="957">
        <v>6959.47</v>
      </c>
    </row>
    <row r="2977" spans="1:10" s="852" customFormat="1" outlineLevel="2">
      <c r="A2977" s="815" t="s">
        <v>5950</v>
      </c>
      <c r="B2977" s="816" t="s">
        <v>7864</v>
      </c>
      <c r="C2977" s="729" t="s">
        <v>794</v>
      </c>
      <c r="D2977" s="460"/>
      <c r="E2977" s="878" t="s">
        <v>6470</v>
      </c>
      <c r="F2977" s="881" t="s">
        <v>434</v>
      </c>
      <c r="G2977" s="731" t="str">
        <f>"2670"</f>
        <v>2670</v>
      </c>
      <c r="H2977" s="1083">
        <v>42370</v>
      </c>
      <c r="I2977" s="1084">
        <v>42478</v>
      </c>
      <c r="J2977" s="957">
        <v>-6959.47</v>
      </c>
    </row>
    <row r="2978" spans="1:10" s="852" customFormat="1" outlineLevel="2">
      <c r="A2978" s="815" t="s">
        <v>5950</v>
      </c>
      <c r="B2978" s="816" t="s">
        <v>7864</v>
      </c>
      <c r="C2978" s="729" t="s">
        <v>794</v>
      </c>
      <c r="D2978" s="460"/>
      <c r="E2978" s="878" t="s">
        <v>6470</v>
      </c>
      <c r="F2978" s="881" t="s">
        <v>434</v>
      </c>
      <c r="G2978" s="731" t="str">
        <f>"2670"</f>
        <v>2670</v>
      </c>
      <c r="H2978" s="1083">
        <v>42370</v>
      </c>
      <c r="I2978" s="1084">
        <v>42478</v>
      </c>
      <c r="J2978" s="957">
        <v>6959.47</v>
      </c>
    </row>
    <row r="2979" spans="1:10" s="852" customFormat="1" outlineLevel="2">
      <c r="A2979" s="815" t="s">
        <v>5950</v>
      </c>
      <c r="B2979" s="816" t="s">
        <v>7864</v>
      </c>
      <c r="C2979" s="729" t="s">
        <v>794</v>
      </c>
      <c r="D2979" s="460"/>
      <c r="E2979" s="878" t="s">
        <v>6470</v>
      </c>
      <c r="F2979" s="881" t="s">
        <v>434</v>
      </c>
      <c r="G2979" s="731" t="str">
        <f>"2670"</f>
        <v>2670</v>
      </c>
      <c r="H2979" s="1083">
        <v>42370</v>
      </c>
      <c r="I2979" s="1084">
        <v>42478</v>
      </c>
      <c r="J2979" s="957">
        <v>-6959.47</v>
      </c>
    </row>
    <row r="2980" spans="1:10" s="852" customFormat="1" outlineLevel="2">
      <c r="A2980" s="815" t="s">
        <v>796</v>
      </c>
      <c r="B2980" s="816" t="s">
        <v>7865</v>
      </c>
      <c r="C2980" s="729" t="s">
        <v>794</v>
      </c>
      <c r="D2980" s="460"/>
      <c r="E2980" s="878" t="s">
        <v>2336</v>
      </c>
      <c r="F2980" s="881" t="s">
        <v>6067</v>
      </c>
      <c r="G2980" s="731" t="s">
        <v>4999</v>
      </c>
      <c r="H2980" s="1083">
        <v>42401</v>
      </c>
      <c r="I2980" s="1084">
        <v>42480</v>
      </c>
      <c r="J2980" s="957">
        <v>16452.46</v>
      </c>
    </row>
    <row r="2981" spans="1:10" s="852" customFormat="1" outlineLevel="2">
      <c r="A2981" s="815" t="s">
        <v>796</v>
      </c>
      <c r="B2981" s="816" t="s">
        <v>7865</v>
      </c>
      <c r="C2981" s="729" t="s">
        <v>794</v>
      </c>
      <c r="D2981" s="460"/>
      <c r="E2981" s="878" t="s">
        <v>2336</v>
      </c>
      <c r="F2981" s="881" t="s">
        <v>6067</v>
      </c>
      <c r="G2981" s="731" t="s">
        <v>4999</v>
      </c>
      <c r="H2981" s="1083">
        <v>42401</v>
      </c>
      <c r="I2981" s="1084">
        <v>42480</v>
      </c>
      <c r="J2981" s="957">
        <v>27124.09</v>
      </c>
    </row>
    <row r="2982" spans="1:10" s="852" customFormat="1" outlineLevel="2">
      <c r="A2982" s="815" t="s">
        <v>797</v>
      </c>
      <c r="B2982" s="816" t="s">
        <v>7863</v>
      </c>
      <c r="C2982" s="729" t="s">
        <v>794</v>
      </c>
      <c r="D2982" s="460"/>
      <c r="E2982" s="878" t="s">
        <v>2336</v>
      </c>
      <c r="F2982" s="881" t="s">
        <v>4393</v>
      </c>
      <c r="G2982" s="731" t="s">
        <v>5004</v>
      </c>
      <c r="H2982" s="1083">
        <v>42401</v>
      </c>
      <c r="I2982" s="1084">
        <v>42480</v>
      </c>
      <c r="J2982" s="957">
        <v>4550.0600000000004</v>
      </c>
    </row>
    <row r="2983" spans="1:10" s="852" customFormat="1" outlineLevel="2">
      <c r="A2983" s="815" t="s">
        <v>796</v>
      </c>
      <c r="B2983" s="816" t="s">
        <v>7865</v>
      </c>
      <c r="C2983" s="729" t="s">
        <v>794</v>
      </c>
      <c r="D2983" s="460"/>
      <c r="E2983" s="878" t="s">
        <v>2336</v>
      </c>
      <c r="F2983" s="881" t="s">
        <v>6066</v>
      </c>
      <c r="G2983" s="731" t="s">
        <v>4998</v>
      </c>
      <c r="H2983" s="1083">
        <v>42401</v>
      </c>
      <c r="I2983" s="1084">
        <v>42480</v>
      </c>
      <c r="J2983" s="957">
        <v>4089.82</v>
      </c>
    </row>
    <row r="2984" spans="1:10" s="852" customFormat="1" outlineLevel="2">
      <c r="A2984" s="815" t="s">
        <v>796</v>
      </c>
      <c r="B2984" s="816" t="s">
        <v>7865</v>
      </c>
      <c r="C2984" s="729" t="s">
        <v>794</v>
      </c>
      <c r="D2984" s="460"/>
      <c r="E2984" s="878" t="s">
        <v>2336</v>
      </c>
      <c r="F2984" s="881" t="s">
        <v>6066</v>
      </c>
      <c r="G2984" s="731" t="s">
        <v>4998</v>
      </c>
      <c r="H2984" s="1083">
        <v>42401</v>
      </c>
      <c r="I2984" s="1084">
        <v>42480</v>
      </c>
      <c r="J2984" s="957">
        <v>22056.11</v>
      </c>
    </row>
    <row r="2985" spans="1:10" s="852" customFormat="1" outlineLevel="2">
      <c r="A2985" s="815" t="s">
        <v>796</v>
      </c>
      <c r="B2985" s="816" t="s">
        <v>7865</v>
      </c>
      <c r="C2985" s="729" t="s">
        <v>794</v>
      </c>
      <c r="D2985" s="460"/>
      <c r="E2985" s="878" t="s">
        <v>2336</v>
      </c>
      <c r="F2985" s="881" t="s">
        <v>6068</v>
      </c>
      <c r="G2985" s="731" t="s">
        <v>5000</v>
      </c>
      <c r="H2985" s="1083">
        <v>42401</v>
      </c>
      <c r="I2985" s="1084">
        <v>42480</v>
      </c>
      <c r="J2985" s="957">
        <v>7976.1</v>
      </c>
    </row>
    <row r="2986" spans="1:10" s="852" customFormat="1" outlineLevel="2">
      <c r="A2986" s="815" t="s">
        <v>796</v>
      </c>
      <c r="B2986" s="816" t="s">
        <v>7865</v>
      </c>
      <c r="C2986" s="729" t="s">
        <v>794</v>
      </c>
      <c r="D2986" s="460"/>
      <c r="E2986" s="878" t="s">
        <v>2336</v>
      </c>
      <c r="F2986" s="881" t="s">
        <v>6068</v>
      </c>
      <c r="G2986" s="731" t="s">
        <v>5000</v>
      </c>
      <c r="H2986" s="1083">
        <v>42401</v>
      </c>
      <c r="I2986" s="1084">
        <v>42480</v>
      </c>
      <c r="J2986" s="957">
        <v>9454.5</v>
      </c>
    </row>
    <row r="2987" spans="1:10" s="852" customFormat="1" outlineLevel="2">
      <c r="A2987" s="815" t="s">
        <v>795</v>
      </c>
      <c r="B2987" s="816" t="s">
        <v>7864</v>
      </c>
      <c r="C2987" s="729" t="s">
        <v>794</v>
      </c>
      <c r="D2987" s="460"/>
      <c r="E2987" s="878" t="s">
        <v>2336</v>
      </c>
      <c r="F2987" s="881" t="s">
        <v>3472</v>
      </c>
      <c r="G2987" s="731" t="s">
        <v>5002</v>
      </c>
      <c r="H2987" s="1083">
        <v>42401</v>
      </c>
      <c r="I2987" s="1084">
        <v>42480</v>
      </c>
      <c r="J2987" s="957">
        <v>977.08</v>
      </c>
    </row>
    <row r="2988" spans="1:10" s="852" customFormat="1" outlineLevel="2">
      <c r="A2988" s="815" t="s">
        <v>795</v>
      </c>
      <c r="B2988" s="816" t="s">
        <v>7864</v>
      </c>
      <c r="C2988" s="729" t="s">
        <v>794</v>
      </c>
      <c r="D2988" s="460"/>
      <c r="E2988" s="878" t="s">
        <v>2336</v>
      </c>
      <c r="F2988" s="881" t="s">
        <v>4339</v>
      </c>
      <c r="G2988" s="731" t="s">
        <v>5003</v>
      </c>
      <c r="H2988" s="1083">
        <v>42401</v>
      </c>
      <c r="I2988" s="1084">
        <v>42480</v>
      </c>
      <c r="J2988" s="957">
        <v>642.82000000000005</v>
      </c>
    </row>
    <row r="2989" spans="1:10" s="852" customFormat="1" outlineLevel="2">
      <c r="A2989" s="815" t="s">
        <v>795</v>
      </c>
      <c r="B2989" s="816" t="s">
        <v>7864</v>
      </c>
      <c r="C2989" s="729" t="s">
        <v>794</v>
      </c>
      <c r="D2989" s="460"/>
      <c r="E2989" s="878" t="s">
        <v>2336</v>
      </c>
      <c r="F2989" s="881" t="s">
        <v>3447</v>
      </c>
      <c r="G2989" s="731" t="s">
        <v>5001</v>
      </c>
      <c r="H2989" s="1083">
        <v>42401</v>
      </c>
      <c r="I2989" s="1084">
        <v>42480</v>
      </c>
      <c r="J2989" s="957">
        <v>951.37</v>
      </c>
    </row>
    <row r="2990" spans="1:10" s="852" customFormat="1" outlineLevel="2">
      <c r="A2990" s="815" t="s">
        <v>5950</v>
      </c>
      <c r="B2990" s="816" t="s">
        <v>7864</v>
      </c>
      <c r="C2990" s="729" t="s">
        <v>794</v>
      </c>
      <c r="D2990" s="460"/>
      <c r="E2990" s="878" t="s">
        <v>2717</v>
      </c>
      <c r="F2990" s="881" t="s">
        <v>434</v>
      </c>
      <c r="G2990" s="731" t="str">
        <f>"3567"</f>
        <v>3567</v>
      </c>
      <c r="H2990" s="1083">
        <v>42401</v>
      </c>
      <c r="I2990" s="1084">
        <v>42467</v>
      </c>
      <c r="J2990" s="957">
        <v>4578.6000000000004</v>
      </c>
    </row>
    <row r="2991" spans="1:10" s="852" customFormat="1" outlineLevel="2">
      <c r="A2991" s="815" t="s">
        <v>5950</v>
      </c>
      <c r="B2991" s="816" t="s">
        <v>7864</v>
      </c>
      <c r="C2991" s="729" t="s">
        <v>794</v>
      </c>
      <c r="D2991" s="460"/>
      <c r="E2991" s="878" t="s">
        <v>409</v>
      </c>
      <c r="F2991" s="881" t="s">
        <v>434</v>
      </c>
      <c r="G2991" s="731" t="str">
        <f>"6710"</f>
        <v>6710</v>
      </c>
      <c r="H2991" s="1083">
        <v>42401</v>
      </c>
      <c r="I2991" s="1084">
        <v>42475</v>
      </c>
      <c r="J2991" s="957">
        <v>6776.33</v>
      </c>
    </row>
    <row r="2992" spans="1:10" s="852" customFormat="1" outlineLevel="2">
      <c r="A2992" s="815" t="s">
        <v>965</v>
      </c>
      <c r="B2992" s="816" t="s">
        <v>7866</v>
      </c>
      <c r="C2992" s="729" t="s">
        <v>794</v>
      </c>
      <c r="D2992" s="460"/>
      <c r="E2992" s="878" t="s">
        <v>2282</v>
      </c>
      <c r="F2992" s="881" t="s">
        <v>3974</v>
      </c>
      <c r="G2992" s="731" t="s">
        <v>2779</v>
      </c>
      <c r="H2992" s="1083">
        <v>42401</v>
      </c>
      <c r="I2992" s="1084">
        <v>42471</v>
      </c>
      <c r="J2992" s="957">
        <v>1738.18</v>
      </c>
    </row>
    <row r="2993" spans="1:10" s="852" customFormat="1" outlineLevel="2">
      <c r="A2993" s="815" t="s">
        <v>965</v>
      </c>
      <c r="B2993" s="816" t="s">
        <v>7866</v>
      </c>
      <c r="C2993" s="729" t="s">
        <v>794</v>
      </c>
      <c r="D2993" s="460"/>
      <c r="E2993" s="878" t="s">
        <v>2282</v>
      </c>
      <c r="F2993" s="881" t="s">
        <v>4081</v>
      </c>
      <c r="G2993" s="731" t="s">
        <v>2781</v>
      </c>
      <c r="H2993" s="1083">
        <v>42401</v>
      </c>
      <c r="I2993" s="1084">
        <v>42471</v>
      </c>
      <c r="J2993" s="957">
        <v>55.58</v>
      </c>
    </row>
    <row r="2994" spans="1:10" s="852" customFormat="1" outlineLevel="2">
      <c r="A2994" s="815" t="s">
        <v>965</v>
      </c>
      <c r="B2994" s="816" t="s">
        <v>7866</v>
      </c>
      <c r="C2994" s="729" t="s">
        <v>794</v>
      </c>
      <c r="D2994" s="460"/>
      <c r="E2994" s="878" t="s">
        <v>2282</v>
      </c>
      <c r="F2994" s="881" t="s">
        <v>4165</v>
      </c>
      <c r="G2994" s="731" t="s">
        <v>2782</v>
      </c>
      <c r="H2994" s="1083">
        <v>42401</v>
      </c>
      <c r="I2994" s="1084">
        <v>42471</v>
      </c>
      <c r="J2994" s="957">
        <v>655.8</v>
      </c>
    </row>
    <row r="2995" spans="1:10" s="852" customFormat="1" outlineLevel="2">
      <c r="A2995" s="815" t="s">
        <v>796</v>
      </c>
      <c r="B2995" s="816" t="s">
        <v>7865</v>
      </c>
      <c r="C2995" s="729" t="s">
        <v>794</v>
      </c>
      <c r="D2995" s="460"/>
      <c r="E2995" s="878" t="s">
        <v>2351</v>
      </c>
      <c r="F2995" s="881" t="s">
        <v>6153</v>
      </c>
      <c r="G2995" s="731" t="s">
        <v>5005</v>
      </c>
      <c r="H2995" s="1083">
        <v>42401</v>
      </c>
      <c r="I2995" s="1084">
        <v>42471</v>
      </c>
      <c r="J2995" s="957">
        <v>743.6</v>
      </c>
    </row>
    <row r="2996" spans="1:10" s="852" customFormat="1" outlineLevel="2">
      <c r="A2996" s="815" t="s">
        <v>796</v>
      </c>
      <c r="B2996" s="816" t="s">
        <v>7865</v>
      </c>
      <c r="C2996" s="729" t="s">
        <v>794</v>
      </c>
      <c r="D2996" s="460"/>
      <c r="E2996" s="878" t="s">
        <v>2351</v>
      </c>
      <c r="F2996" s="881" t="s">
        <v>6153</v>
      </c>
      <c r="G2996" s="731" t="s">
        <v>5005</v>
      </c>
      <c r="H2996" s="1083">
        <v>42401</v>
      </c>
      <c r="I2996" s="1084">
        <v>42471</v>
      </c>
      <c r="J2996" s="957">
        <v>4010.19</v>
      </c>
    </row>
    <row r="2997" spans="1:10" s="852" customFormat="1" outlineLevel="2">
      <c r="A2997" s="815" t="s">
        <v>796</v>
      </c>
      <c r="B2997" s="816" t="s">
        <v>7865</v>
      </c>
      <c r="C2997" s="729" t="s">
        <v>794</v>
      </c>
      <c r="D2997" s="460"/>
      <c r="E2997" s="878" t="s">
        <v>2351</v>
      </c>
      <c r="F2997" s="881" t="s">
        <v>6154</v>
      </c>
      <c r="G2997" s="731" t="s">
        <v>5006</v>
      </c>
      <c r="H2997" s="1083">
        <v>42401</v>
      </c>
      <c r="I2997" s="1084">
        <v>42471</v>
      </c>
      <c r="J2997" s="957">
        <v>2991.35</v>
      </c>
    </row>
    <row r="2998" spans="1:10" s="852" customFormat="1" outlineLevel="2">
      <c r="A2998" s="815" t="s">
        <v>796</v>
      </c>
      <c r="B2998" s="816" t="s">
        <v>7865</v>
      </c>
      <c r="C2998" s="729" t="s">
        <v>794</v>
      </c>
      <c r="D2998" s="460"/>
      <c r="E2998" s="878" t="s">
        <v>2351</v>
      </c>
      <c r="F2998" s="881" t="s">
        <v>6154</v>
      </c>
      <c r="G2998" s="731" t="s">
        <v>5006</v>
      </c>
      <c r="H2998" s="1083">
        <v>42401</v>
      </c>
      <c r="I2998" s="1084">
        <v>42471</v>
      </c>
      <c r="J2998" s="957">
        <v>4931.6499999999996</v>
      </c>
    </row>
    <row r="2999" spans="1:10" s="852" customFormat="1" outlineLevel="2">
      <c r="A2999" s="815" t="s">
        <v>796</v>
      </c>
      <c r="B2999" s="816" t="s">
        <v>7865</v>
      </c>
      <c r="C2999" s="729" t="s">
        <v>794</v>
      </c>
      <c r="D2999" s="460"/>
      <c r="E2999" s="878" t="s">
        <v>2351</v>
      </c>
      <c r="F2999" s="881" t="s">
        <v>6155</v>
      </c>
      <c r="G2999" s="731" t="s">
        <v>5008</v>
      </c>
      <c r="H2999" s="1083">
        <v>42401</v>
      </c>
      <c r="I2999" s="1084">
        <v>42471</v>
      </c>
      <c r="J2999" s="957">
        <v>1450.2</v>
      </c>
    </row>
    <row r="3000" spans="1:10" s="852" customFormat="1" outlineLevel="2">
      <c r="A3000" s="815" t="s">
        <v>796</v>
      </c>
      <c r="B3000" s="816" t="s">
        <v>7865</v>
      </c>
      <c r="C3000" s="729" t="s">
        <v>794</v>
      </c>
      <c r="D3000" s="460"/>
      <c r="E3000" s="878" t="s">
        <v>2351</v>
      </c>
      <c r="F3000" s="881" t="s">
        <v>6155</v>
      </c>
      <c r="G3000" s="731" t="s">
        <v>5008</v>
      </c>
      <c r="H3000" s="1083">
        <v>42401</v>
      </c>
      <c r="I3000" s="1084">
        <v>42471</v>
      </c>
      <c r="J3000" s="957">
        <v>1718.99</v>
      </c>
    </row>
    <row r="3001" spans="1:10" s="852" customFormat="1" outlineLevel="2">
      <c r="A3001" s="815" t="s">
        <v>795</v>
      </c>
      <c r="B3001" s="816" t="s">
        <v>7864</v>
      </c>
      <c r="C3001" s="729" t="s">
        <v>794</v>
      </c>
      <c r="D3001" s="460"/>
      <c r="E3001" s="878" t="s">
        <v>2351</v>
      </c>
      <c r="F3001" s="881" t="s">
        <v>3448</v>
      </c>
      <c r="G3001" s="731" t="s">
        <v>5011</v>
      </c>
      <c r="H3001" s="1083">
        <v>42401</v>
      </c>
      <c r="I3001" s="1084">
        <v>42471</v>
      </c>
      <c r="J3001" s="957">
        <v>432.44</v>
      </c>
    </row>
    <row r="3002" spans="1:10" s="852" customFormat="1" outlineLevel="2">
      <c r="A3002" s="815" t="s">
        <v>795</v>
      </c>
      <c r="B3002" s="816" t="s">
        <v>7864</v>
      </c>
      <c r="C3002" s="729" t="s">
        <v>794</v>
      </c>
      <c r="D3002" s="460"/>
      <c r="E3002" s="878" t="s">
        <v>2351</v>
      </c>
      <c r="F3002" s="881" t="s">
        <v>3473</v>
      </c>
      <c r="G3002" s="731" t="s">
        <v>5013</v>
      </c>
      <c r="H3002" s="1083">
        <v>42401</v>
      </c>
      <c r="I3002" s="1084">
        <v>42471</v>
      </c>
      <c r="J3002" s="957">
        <v>444.13</v>
      </c>
    </row>
    <row r="3003" spans="1:10" s="852" customFormat="1" outlineLevel="2">
      <c r="A3003" s="815" t="s">
        <v>795</v>
      </c>
      <c r="B3003" s="816" t="s">
        <v>7864</v>
      </c>
      <c r="C3003" s="729" t="s">
        <v>794</v>
      </c>
      <c r="D3003" s="460"/>
      <c r="E3003" s="878" t="s">
        <v>2351</v>
      </c>
      <c r="F3003" s="881" t="s">
        <v>4341</v>
      </c>
      <c r="G3003" s="731" t="s">
        <v>5015</v>
      </c>
      <c r="H3003" s="1083">
        <v>42401</v>
      </c>
      <c r="I3003" s="1084">
        <v>42471</v>
      </c>
      <c r="J3003" s="957">
        <v>292.19</v>
      </c>
    </row>
    <row r="3004" spans="1:10" s="852" customFormat="1" outlineLevel="2">
      <c r="A3004" s="815" t="s">
        <v>797</v>
      </c>
      <c r="B3004" s="816" t="s">
        <v>7863</v>
      </c>
      <c r="C3004" s="729" t="s">
        <v>794</v>
      </c>
      <c r="D3004" s="460"/>
      <c r="E3004" s="878" t="s">
        <v>2351</v>
      </c>
      <c r="F3004" s="881" t="s">
        <v>5469</v>
      </c>
      <c r="G3004" s="731" t="s">
        <v>5017</v>
      </c>
      <c r="H3004" s="1083">
        <v>42401</v>
      </c>
      <c r="I3004" s="1084">
        <v>42471</v>
      </c>
      <c r="J3004" s="957">
        <v>2068.2199999999998</v>
      </c>
    </row>
    <row r="3005" spans="1:10" s="852" customFormat="1" outlineLevel="2">
      <c r="A3005" s="815" t="s">
        <v>796</v>
      </c>
      <c r="B3005" s="816" t="s">
        <v>7865</v>
      </c>
      <c r="C3005" s="729" t="s">
        <v>794</v>
      </c>
      <c r="D3005" s="460"/>
      <c r="E3005" s="878" t="s">
        <v>1909</v>
      </c>
      <c r="F3005" s="881" t="s">
        <v>6374</v>
      </c>
      <c r="G3005" s="731" t="s">
        <v>5028</v>
      </c>
      <c r="H3005" s="1083">
        <v>42401</v>
      </c>
      <c r="I3005" s="1084">
        <v>42480</v>
      </c>
      <c r="J3005" s="957">
        <v>2243.5100000000002</v>
      </c>
    </row>
    <row r="3006" spans="1:10" s="852" customFormat="1" outlineLevel="2">
      <c r="A3006" s="815" t="s">
        <v>796</v>
      </c>
      <c r="B3006" s="816" t="s">
        <v>7865</v>
      </c>
      <c r="C3006" s="729" t="s">
        <v>794</v>
      </c>
      <c r="D3006" s="460"/>
      <c r="E3006" s="878" t="s">
        <v>1909</v>
      </c>
      <c r="F3006" s="881" t="s">
        <v>6374</v>
      </c>
      <c r="G3006" s="731" t="s">
        <v>5028</v>
      </c>
      <c r="H3006" s="1083">
        <v>42401</v>
      </c>
      <c r="I3006" s="1084">
        <v>42480</v>
      </c>
      <c r="J3006" s="957">
        <v>3698.74</v>
      </c>
    </row>
    <row r="3007" spans="1:10" s="852" customFormat="1" outlineLevel="2">
      <c r="A3007" s="815" t="s">
        <v>965</v>
      </c>
      <c r="B3007" s="816" t="s">
        <v>7866</v>
      </c>
      <c r="C3007" s="729" t="s">
        <v>794</v>
      </c>
      <c r="D3007" s="460"/>
      <c r="E3007" s="878" t="s">
        <v>1909</v>
      </c>
      <c r="F3007" s="881" t="s">
        <v>3935</v>
      </c>
      <c r="G3007" s="731" t="s">
        <v>2817</v>
      </c>
      <c r="H3007" s="1083">
        <v>42401</v>
      </c>
      <c r="I3007" s="1084">
        <v>42480</v>
      </c>
      <c r="J3007" s="957">
        <v>521.45000000000005</v>
      </c>
    </row>
    <row r="3008" spans="1:10" s="852" customFormat="1" outlineLevel="2">
      <c r="A3008" s="815" t="s">
        <v>965</v>
      </c>
      <c r="B3008" s="816" t="s">
        <v>7866</v>
      </c>
      <c r="C3008" s="729" t="s">
        <v>794</v>
      </c>
      <c r="D3008" s="460"/>
      <c r="E3008" s="878" t="s">
        <v>1909</v>
      </c>
      <c r="F3008" s="881" t="s">
        <v>4027</v>
      </c>
      <c r="G3008" s="731" t="s">
        <v>2819</v>
      </c>
      <c r="H3008" s="1083">
        <v>42401</v>
      </c>
      <c r="I3008" s="1084">
        <v>42480</v>
      </c>
      <c r="J3008" s="957">
        <v>16.670000000000002</v>
      </c>
    </row>
    <row r="3009" spans="1:10" s="852" customFormat="1" outlineLevel="2">
      <c r="A3009" s="815" t="s">
        <v>965</v>
      </c>
      <c r="B3009" s="816" t="s">
        <v>7866</v>
      </c>
      <c r="C3009" s="729" t="s">
        <v>794</v>
      </c>
      <c r="D3009" s="460"/>
      <c r="E3009" s="878" t="s">
        <v>1909</v>
      </c>
      <c r="F3009" s="881" t="s">
        <v>4129</v>
      </c>
      <c r="G3009" s="731" t="s">
        <v>2821</v>
      </c>
      <c r="H3009" s="1083">
        <v>42401</v>
      </c>
      <c r="I3009" s="1084">
        <v>42480</v>
      </c>
      <c r="J3009" s="957">
        <v>196.74</v>
      </c>
    </row>
    <row r="3010" spans="1:10" s="852" customFormat="1" outlineLevel="2">
      <c r="A3010" s="815" t="s">
        <v>797</v>
      </c>
      <c r="B3010" s="816" t="s">
        <v>7863</v>
      </c>
      <c r="C3010" s="729" t="s">
        <v>794</v>
      </c>
      <c r="D3010" s="460"/>
      <c r="E3010" s="878" t="s">
        <v>1909</v>
      </c>
      <c r="F3010" s="881" t="s">
        <v>4392</v>
      </c>
      <c r="G3010" s="731" t="s">
        <v>5050</v>
      </c>
      <c r="H3010" s="1083">
        <v>42401</v>
      </c>
      <c r="I3010" s="1084">
        <v>42480</v>
      </c>
      <c r="J3010" s="957">
        <v>413.64</v>
      </c>
    </row>
    <row r="3011" spans="1:10" s="852" customFormat="1" outlineLevel="2">
      <c r="A3011" s="815" t="s">
        <v>796</v>
      </c>
      <c r="B3011" s="816" t="s">
        <v>7865</v>
      </c>
      <c r="C3011" s="729" t="s">
        <v>794</v>
      </c>
      <c r="D3011" s="460"/>
      <c r="E3011" s="878" t="s">
        <v>1909</v>
      </c>
      <c r="F3011" s="881" t="s">
        <v>6373</v>
      </c>
      <c r="G3011" s="731" t="s">
        <v>5025</v>
      </c>
      <c r="H3011" s="1083">
        <v>42401</v>
      </c>
      <c r="I3011" s="1084">
        <v>42480</v>
      </c>
      <c r="J3011" s="957">
        <v>557.70000000000005</v>
      </c>
    </row>
    <row r="3012" spans="1:10" s="852" customFormat="1" outlineLevel="2">
      <c r="A3012" s="815" t="s">
        <v>796</v>
      </c>
      <c r="B3012" s="816" t="s">
        <v>7865</v>
      </c>
      <c r="C3012" s="729" t="s">
        <v>794</v>
      </c>
      <c r="D3012" s="460"/>
      <c r="E3012" s="878" t="s">
        <v>1909</v>
      </c>
      <c r="F3012" s="881" t="s">
        <v>6373</v>
      </c>
      <c r="G3012" s="731" t="s">
        <v>5025</v>
      </c>
      <c r="H3012" s="1083">
        <v>42401</v>
      </c>
      <c r="I3012" s="1084">
        <v>42480</v>
      </c>
      <c r="J3012" s="957">
        <v>3007.65</v>
      </c>
    </row>
    <row r="3013" spans="1:10" s="852" customFormat="1" outlineLevel="2">
      <c r="A3013" s="815" t="s">
        <v>796</v>
      </c>
      <c r="B3013" s="816" t="s">
        <v>7865</v>
      </c>
      <c r="C3013" s="729" t="s">
        <v>794</v>
      </c>
      <c r="D3013" s="460"/>
      <c r="E3013" s="878" t="s">
        <v>1909</v>
      </c>
      <c r="F3013" s="881" t="s">
        <v>6375</v>
      </c>
      <c r="G3013" s="731" t="s">
        <v>5033</v>
      </c>
      <c r="H3013" s="1083">
        <v>42401</v>
      </c>
      <c r="I3013" s="1084">
        <v>42480</v>
      </c>
      <c r="J3013" s="957">
        <v>1087.6500000000001</v>
      </c>
    </row>
    <row r="3014" spans="1:10" s="852" customFormat="1" outlineLevel="2">
      <c r="A3014" s="815" t="s">
        <v>796</v>
      </c>
      <c r="B3014" s="816" t="s">
        <v>7865</v>
      </c>
      <c r="C3014" s="729" t="s">
        <v>794</v>
      </c>
      <c r="D3014" s="460"/>
      <c r="E3014" s="878" t="s">
        <v>1909</v>
      </c>
      <c r="F3014" s="881" t="s">
        <v>6375</v>
      </c>
      <c r="G3014" s="731" t="s">
        <v>5033</v>
      </c>
      <c r="H3014" s="1083">
        <v>42401</v>
      </c>
      <c r="I3014" s="1084">
        <v>42480</v>
      </c>
      <c r="J3014" s="957">
        <v>1289.24</v>
      </c>
    </row>
    <row r="3015" spans="1:10" s="852" customFormat="1" outlineLevel="2">
      <c r="A3015" s="815" t="s">
        <v>795</v>
      </c>
      <c r="B3015" s="816" t="s">
        <v>7864</v>
      </c>
      <c r="C3015" s="729" t="s">
        <v>794</v>
      </c>
      <c r="D3015" s="460"/>
      <c r="E3015" s="878" t="s">
        <v>1909</v>
      </c>
      <c r="F3015" s="881" t="s">
        <v>3471</v>
      </c>
      <c r="G3015" s="731" t="s">
        <v>5043</v>
      </c>
      <c r="H3015" s="1083">
        <v>42401</v>
      </c>
      <c r="I3015" s="1084">
        <v>42480</v>
      </c>
      <c r="J3015" s="957">
        <v>88.83</v>
      </c>
    </row>
    <row r="3016" spans="1:10" s="852" customFormat="1" outlineLevel="2">
      <c r="A3016" s="815" t="s">
        <v>795</v>
      </c>
      <c r="B3016" s="816" t="s">
        <v>7864</v>
      </c>
      <c r="C3016" s="729" t="s">
        <v>794</v>
      </c>
      <c r="D3016" s="460"/>
      <c r="E3016" s="878" t="s">
        <v>1909</v>
      </c>
      <c r="F3016" s="881" t="s">
        <v>4337</v>
      </c>
      <c r="G3016" s="731" t="s">
        <v>5049</v>
      </c>
      <c r="H3016" s="1083">
        <v>42401</v>
      </c>
      <c r="I3016" s="1084">
        <v>42480</v>
      </c>
      <c r="J3016" s="957">
        <v>58.44</v>
      </c>
    </row>
    <row r="3017" spans="1:10" s="852" customFormat="1" outlineLevel="2">
      <c r="A3017" s="815" t="s">
        <v>795</v>
      </c>
      <c r="B3017" s="816" t="s">
        <v>7864</v>
      </c>
      <c r="C3017" s="729" t="s">
        <v>794</v>
      </c>
      <c r="D3017" s="460"/>
      <c r="E3017" s="878" t="s">
        <v>1909</v>
      </c>
      <c r="F3017" s="881" t="s">
        <v>3445</v>
      </c>
      <c r="G3017" s="731" t="s">
        <v>5041</v>
      </c>
      <c r="H3017" s="1083">
        <v>42401</v>
      </c>
      <c r="I3017" s="1084">
        <v>42480</v>
      </c>
      <c r="J3017" s="957">
        <v>86.49</v>
      </c>
    </row>
    <row r="3018" spans="1:10" s="852" customFormat="1" ht="28.5" outlineLevel="2">
      <c r="A3018" s="815" t="s">
        <v>796</v>
      </c>
      <c r="B3018" s="816" t="s">
        <v>7865</v>
      </c>
      <c r="C3018" s="729" t="s">
        <v>794</v>
      </c>
      <c r="D3018" s="460"/>
      <c r="E3018" s="878" t="s">
        <v>1909</v>
      </c>
      <c r="F3018" s="881" t="s">
        <v>4765</v>
      </c>
      <c r="G3018" s="731" t="s">
        <v>5052</v>
      </c>
      <c r="H3018" s="1083">
        <v>42401</v>
      </c>
      <c r="I3018" s="1084">
        <v>42480</v>
      </c>
      <c r="J3018" s="957">
        <v>6954.9</v>
      </c>
    </row>
    <row r="3019" spans="1:10" s="852" customFormat="1" ht="28.5" outlineLevel="2">
      <c r="A3019" s="815" t="s">
        <v>796</v>
      </c>
      <c r="B3019" s="816" t="s">
        <v>7865</v>
      </c>
      <c r="C3019" s="729" t="s">
        <v>794</v>
      </c>
      <c r="D3019" s="460"/>
      <c r="E3019" s="878" t="s">
        <v>1909</v>
      </c>
      <c r="F3019" s="881" t="s">
        <v>4765</v>
      </c>
      <c r="G3019" s="731" t="s">
        <v>5052</v>
      </c>
      <c r="H3019" s="1083">
        <v>42401</v>
      </c>
      <c r="I3019" s="1084">
        <v>42480</v>
      </c>
      <c r="J3019" s="957">
        <v>11466.09</v>
      </c>
    </row>
    <row r="3020" spans="1:10" s="852" customFormat="1" ht="28.5" outlineLevel="2">
      <c r="A3020" s="815" t="s">
        <v>965</v>
      </c>
      <c r="B3020" s="816" t="s">
        <v>7866</v>
      </c>
      <c r="C3020" s="729" t="s">
        <v>794</v>
      </c>
      <c r="D3020" s="460"/>
      <c r="E3020" s="878" t="s">
        <v>1909</v>
      </c>
      <c r="F3020" s="881" t="s">
        <v>4956</v>
      </c>
      <c r="G3020" s="731" t="s">
        <v>2833</v>
      </c>
      <c r="H3020" s="1083">
        <v>42401</v>
      </c>
      <c r="I3020" s="1084">
        <v>42480</v>
      </c>
      <c r="J3020" s="957">
        <v>1616.5</v>
      </c>
    </row>
    <row r="3021" spans="1:10" s="852" customFormat="1" ht="28.5" outlineLevel="2">
      <c r="A3021" s="815" t="s">
        <v>965</v>
      </c>
      <c r="B3021" s="816" t="s">
        <v>7866</v>
      </c>
      <c r="C3021" s="729" t="s">
        <v>794</v>
      </c>
      <c r="D3021" s="460"/>
      <c r="E3021" s="878" t="s">
        <v>1909</v>
      </c>
      <c r="F3021" s="881" t="s">
        <v>4903</v>
      </c>
      <c r="G3021" s="731" t="s">
        <v>2832</v>
      </c>
      <c r="H3021" s="1083">
        <v>42401</v>
      </c>
      <c r="I3021" s="1084">
        <v>42480</v>
      </c>
      <c r="J3021" s="957">
        <v>51.69</v>
      </c>
    </row>
    <row r="3022" spans="1:10" s="852" customFormat="1" ht="28.5" outlineLevel="2">
      <c r="A3022" s="815" t="s">
        <v>965</v>
      </c>
      <c r="B3022" s="816" t="s">
        <v>7866</v>
      </c>
      <c r="C3022" s="729" t="s">
        <v>794</v>
      </c>
      <c r="D3022" s="460"/>
      <c r="E3022" s="878" t="s">
        <v>1909</v>
      </c>
      <c r="F3022" s="881" t="s">
        <v>4853</v>
      </c>
      <c r="G3022" s="731" t="s">
        <v>2831</v>
      </c>
      <c r="H3022" s="1083">
        <v>42401</v>
      </c>
      <c r="I3022" s="1084">
        <v>42480</v>
      </c>
      <c r="J3022" s="957">
        <v>609.9</v>
      </c>
    </row>
    <row r="3023" spans="1:10" s="852" customFormat="1" ht="28.5" outlineLevel="2">
      <c r="A3023" s="815" t="s">
        <v>797</v>
      </c>
      <c r="B3023" s="816" t="s">
        <v>7863</v>
      </c>
      <c r="C3023" s="729" t="s">
        <v>794</v>
      </c>
      <c r="D3023" s="460"/>
      <c r="E3023" s="878" t="s">
        <v>1909</v>
      </c>
      <c r="F3023" s="881" t="s">
        <v>6372</v>
      </c>
      <c r="G3023" s="731" t="s">
        <v>5019</v>
      </c>
      <c r="H3023" s="1083">
        <v>42370</v>
      </c>
      <c r="I3023" s="1084">
        <v>42480</v>
      </c>
      <c r="J3023" s="957">
        <v>2030.29</v>
      </c>
    </row>
    <row r="3024" spans="1:10" s="852" customFormat="1" ht="28.5" outlineLevel="2">
      <c r="A3024" s="815" t="s">
        <v>797</v>
      </c>
      <c r="B3024" s="816" t="s">
        <v>7863</v>
      </c>
      <c r="C3024" s="729" t="s">
        <v>794</v>
      </c>
      <c r="D3024" s="460"/>
      <c r="E3024" s="878" t="s">
        <v>1909</v>
      </c>
      <c r="F3024" s="881" t="s">
        <v>6372</v>
      </c>
      <c r="G3024" s="731" t="s">
        <v>5021</v>
      </c>
      <c r="H3024" s="1083">
        <v>42370</v>
      </c>
      <c r="I3024" s="1084">
        <v>42480</v>
      </c>
      <c r="J3024" s="957">
        <v>2030.29</v>
      </c>
    </row>
    <row r="3025" spans="1:10" s="852" customFormat="1" ht="28.5" outlineLevel="2">
      <c r="A3025" s="815" t="s">
        <v>797</v>
      </c>
      <c r="B3025" s="816" t="s">
        <v>7863</v>
      </c>
      <c r="C3025" s="729" t="s">
        <v>794</v>
      </c>
      <c r="D3025" s="460"/>
      <c r="E3025" s="878" t="s">
        <v>1909</v>
      </c>
      <c r="F3025" s="881" t="s">
        <v>6372</v>
      </c>
      <c r="G3025" s="731" t="s">
        <v>5023</v>
      </c>
      <c r="H3025" s="1083">
        <v>42370</v>
      </c>
      <c r="I3025" s="1084">
        <v>42480</v>
      </c>
      <c r="J3025" s="957">
        <v>-2030.29</v>
      </c>
    </row>
    <row r="3026" spans="1:10" s="852" customFormat="1" ht="28.5" outlineLevel="2">
      <c r="A3026" s="815" t="s">
        <v>796</v>
      </c>
      <c r="B3026" s="816" t="s">
        <v>7865</v>
      </c>
      <c r="C3026" s="729" t="s">
        <v>794</v>
      </c>
      <c r="D3026" s="460"/>
      <c r="E3026" s="878" t="s">
        <v>1909</v>
      </c>
      <c r="F3026" s="881" t="s">
        <v>4766</v>
      </c>
      <c r="G3026" s="731" t="s">
        <v>5053</v>
      </c>
      <c r="H3026" s="1083">
        <v>42401</v>
      </c>
      <c r="I3026" s="1084">
        <v>42480</v>
      </c>
      <c r="J3026" s="957">
        <v>1728.87</v>
      </c>
    </row>
    <row r="3027" spans="1:10" s="852" customFormat="1" ht="28.5" outlineLevel="2">
      <c r="A3027" s="815" t="s">
        <v>796</v>
      </c>
      <c r="B3027" s="816" t="s">
        <v>7865</v>
      </c>
      <c r="C3027" s="729" t="s">
        <v>794</v>
      </c>
      <c r="D3027" s="460"/>
      <c r="E3027" s="878" t="s">
        <v>1909</v>
      </c>
      <c r="F3027" s="881" t="s">
        <v>4766</v>
      </c>
      <c r="G3027" s="731" t="s">
        <v>5053</v>
      </c>
      <c r="H3027" s="1083">
        <v>42401</v>
      </c>
      <c r="I3027" s="1084">
        <v>42480</v>
      </c>
      <c r="J3027" s="957">
        <v>9323.7199999999993</v>
      </c>
    </row>
    <row r="3028" spans="1:10" s="852" customFormat="1" ht="28.5" outlineLevel="2">
      <c r="A3028" s="815" t="s">
        <v>796</v>
      </c>
      <c r="B3028" s="816" t="s">
        <v>7865</v>
      </c>
      <c r="C3028" s="729" t="s">
        <v>794</v>
      </c>
      <c r="D3028" s="460"/>
      <c r="E3028" s="878" t="s">
        <v>1909</v>
      </c>
      <c r="F3028" s="881" t="s">
        <v>4678</v>
      </c>
      <c r="G3028" s="731" t="s">
        <v>5051</v>
      </c>
      <c r="H3028" s="1083">
        <v>42401</v>
      </c>
      <c r="I3028" s="1084">
        <v>42480</v>
      </c>
      <c r="J3028" s="957">
        <v>3371.71</v>
      </c>
    </row>
    <row r="3029" spans="1:10" s="852" customFormat="1" ht="28.5" outlineLevel="2">
      <c r="A3029" s="815" t="s">
        <v>796</v>
      </c>
      <c r="B3029" s="816" t="s">
        <v>7865</v>
      </c>
      <c r="C3029" s="729" t="s">
        <v>794</v>
      </c>
      <c r="D3029" s="460"/>
      <c r="E3029" s="878" t="s">
        <v>1909</v>
      </c>
      <c r="F3029" s="881" t="s">
        <v>4678</v>
      </c>
      <c r="G3029" s="731" t="s">
        <v>5051</v>
      </c>
      <c r="H3029" s="1083">
        <v>42401</v>
      </c>
      <c r="I3029" s="1084">
        <v>42480</v>
      </c>
      <c r="J3029" s="957">
        <v>3996.67</v>
      </c>
    </row>
    <row r="3030" spans="1:10" s="852" customFormat="1" ht="28.5" outlineLevel="2">
      <c r="A3030" s="815" t="s">
        <v>795</v>
      </c>
      <c r="B3030" s="816" t="s">
        <v>7864</v>
      </c>
      <c r="C3030" s="729" t="s">
        <v>794</v>
      </c>
      <c r="D3030" s="460"/>
      <c r="E3030" s="878" t="s">
        <v>1909</v>
      </c>
      <c r="F3030" s="881" t="s">
        <v>2864</v>
      </c>
      <c r="G3030" s="731" t="s">
        <v>5031</v>
      </c>
      <c r="H3030" s="1083">
        <v>42370</v>
      </c>
      <c r="I3030" s="1084">
        <v>42480</v>
      </c>
      <c r="J3030" s="957">
        <v>-271.74</v>
      </c>
    </row>
    <row r="3031" spans="1:10" s="852" customFormat="1" ht="28.5" outlineLevel="2">
      <c r="A3031" s="815" t="s">
        <v>795</v>
      </c>
      <c r="B3031" s="816" t="s">
        <v>7864</v>
      </c>
      <c r="C3031" s="729" t="s">
        <v>794</v>
      </c>
      <c r="D3031" s="460"/>
      <c r="E3031" s="878" t="s">
        <v>1909</v>
      </c>
      <c r="F3031" s="881" t="s">
        <v>2864</v>
      </c>
      <c r="G3031" s="731" t="s">
        <v>5032</v>
      </c>
      <c r="H3031" s="1083">
        <v>42370</v>
      </c>
      <c r="I3031" s="1084">
        <v>42480</v>
      </c>
      <c r="J3031" s="957">
        <v>-271.74</v>
      </c>
    </row>
    <row r="3032" spans="1:10" s="852" customFormat="1" ht="28.5" outlineLevel="2">
      <c r="A3032" s="815" t="s">
        <v>795</v>
      </c>
      <c r="B3032" s="816" t="s">
        <v>7864</v>
      </c>
      <c r="C3032" s="729" t="s">
        <v>794</v>
      </c>
      <c r="D3032" s="460"/>
      <c r="E3032" s="878" t="s">
        <v>1909</v>
      </c>
      <c r="F3032" s="881" t="s">
        <v>2864</v>
      </c>
      <c r="G3032" s="731" t="s">
        <v>5036</v>
      </c>
      <c r="H3032" s="1083">
        <v>42370</v>
      </c>
      <c r="I3032" s="1084">
        <v>42480</v>
      </c>
      <c r="J3032" s="957">
        <v>271.74</v>
      </c>
    </row>
    <row r="3033" spans="1:10" s="852" customFormat="1" ht="28.5" outlineLevel="2">
      <c r="A3033" s="815" t="s">
        <v>795</v>
      </c>
      <c r="B3033" s="816" t="s">
        <v>7864</v>
      </c>
      <c r="C3033" s="729" t="s">
        <v>794</v>
      </c>
      <c r="D3033" s="460"/>
      <c r="E3033" s="878" t="s">
        <v>1909</v>
      </c>
      <c r="F3033" s="881" t="s">
        <v>2864</v>
      </c>
      <c r="G3033" s="731" t="s">
        <v>5037</v>
      </c>
      <c r="H3033" s="1083">
        <v>42370</v>
      </c>
      <c r="I3033" s="1084">
        <v>42480</v>
      </c>
      <c r="J3033" s="957">
        <v>271.74</v>
      </c>
    </row>
    <row r="3034" spans="1:10" s="852" customFormat="1" ht="28.5" outlineLevel="2">
      <c r="A3034" s="815" t="s">
        <v>795</v>
      </c>
      <c r="B3034" s="816" t="s">
        <v>7864</v>
      </c>
      <c r="C3034" s="729" t="s">
        <v>794</v>
      </c>
      <c r="D3034" s="460"/>
      <c r="E3034" s="878" t="s">
        <v>1909</v>
      </c>
      <c r="F3034" s="881" t="s">
        <v>2864</v>
      </c>
      <c r="G3034" s="731" t="s">
        <v>5039</v>
      </c>
      <c r="H3034" s="1083">
        <v>42370</v>
      </c>
      <c r="I3034" s="1084">
        <v>42480</v>
      </c>
      <c r="J3034" s="957">
        <v>271.73</v>
      </c>
    </row>
    <row r="3035" spans="1:10" s="852" customFormat="1" ht="28.5" outlineLevel="2">
      <c r="A3035" s="815" t="s">
        <v>795</v>
      </c>
      <c r="B3035" s="816" t="s">
        <v>7864</v>
      </c>
      <c r="C3035" s="729" t="s">
        <v>794</v>
      </c>
      <c r="D3035" s="460"/>
      <c r="E3035" s="878" t="s">
        <v>1909</v>
      </c>
      <c r="F3035" s="881" t="s">
        <v>3684</v>
      </c>
      <c r="G3035" s="731" t="s">
        <v>5045</v>
      </c>
      <c r="H3035" s="1083">
        <v>42370</v>
      </c>
      <c r="I3035" s="1084">
        <v>42480</v>
      </c>
      <c r="J3035" s="957">
        <v>-402.17</v>
      </c>
    </row>
    <row r="3036" spans="1:10" s="852" customFormat="1" ht="28.5" outlineLevel="2">
      <c r="A3036" s="815" t="s">
        <v>795</v>
      </c>
      <c r="B3036" s="816" t="s">
        <v>7864</v>
      </c>
      <c r="C3036" s="729" t="s">
        <v>794</v>
      </c>
      <c r="D3036" s="460"/>
      <c r="E3036" s="878" t="s">
        <v>1909</v>
      </c>
      <c r="F3036" s="881" t="s">
        <v>3684</v>
      </c>
      <c r="G3036" s="731" t="s">
        <v>5047</v>
      </c>
      <c r="H3036" s="1083">
        <v>42370</v>
      </c>
      <c r="I3036" s="1084">
        <v>42480</v>
      </c>
      <c r="J3036" s="957">
        <v>402.17</v>
      </c>
    </row>
    <row r="3037" spans="1:10" s="852" customFormat="1" ht="28.5" outlineLevel="2">
      <c r="A3037" s="815" t="s">
        <v>795</v>
      </c>
      <c r="B3037" s="816" t="s">
        <v>7864</v>
      </c>
      <c r="C3037" s="729" t="s">
        <v>794</v>
      </c>
      <c r="D3037" s="460"/>
      <c r="E3037" s="878" t="s">
        <v>1909</v>
      </c>
      <c r="F3037" s="881" t="s">
        <v>3684</v>
      </c>
      <c r="G3037" s="731" t="s">
        <v>5048</v>
      </c>
      <c r="H3037" s="1083">
        <v>42370</v>
      </c>
      <c r="I3037" s="1084">
        <v>42480</v>
      </c>
      <c r="J3037" s="957">
        <v>402.17</v>
      </c>
    </row>
    <row r="3038" spans="1:10" s="852" customFormat="1" outlineLevel="1">
      <c r="A3038" s="815"/>
      <c r="B3038" s="816" t="s">
        <v>258</v>
      </c>
      <c r="C3038" s="908" t="s">
        <v>794</v>
      </c>
      <c r="D3038" s="928" t="str">
        <f>VLOOKUP(C3038,$C$3691:$D$3771,2,FALSE)</f>
        <v>TOTAL POUPATEMPO  OSASCO</v>
      </c>
      <c r="E3038" s="1085"/>
      <c r="F3038" s="929"/>
      <c r="G3038" s="910"/>
      <c r="H3038" s="1086"/>
      <c r="I3038" s="1087"/>
      <c r="J3038" s="930">
        <f>SUBTOTAL(9,J2971:J3037)</f>
        <v>862196.54999999935</v>
      </c>
    </row>
    <row r="3039" spans="1:10" s="852" customFormat="1" outlineLevel="2">
      <c r="A3039" s="815" t="s">
        <v>6459</v>
      </c>
      <c r="B3039" s="816" t="s">
        <v>7863</v>
      </c>
      <c r="C3039" s="729" t="s">
        <v>799</v>
      </c>
      <c r="D3039" s="460"/>
      <c r="E3039" s="878" t="s">
        <v>483</v>
      </c>
      <c r="F3039" s="881" t="s">
        <v>2208</v>
      </c>
      <c r="G3039" s="731" t="str">
        <f>"17008"</f>
        <v>17008</v>
      </c>
      <c r="H3039" s="1083">
        <v>42401</v>
      </c>
      <c r="I3039" s="1084">
        <v>42475</v>
      </c>
      <c r="J3039" s="957">
        <v>34975.93</v>
      </c>
    </row>
    <row r="3040" spans="1:10" s="852" customFormat="1" outlineLevel="2">
      <c r="A3040" s="815" t="s">
        <v>5930</v>
      </c>
      <c r="B3040" s="816" t="s">
        <v>7864</v>
      </c>
      <c r="C3040" s="729" t="s">
        <v>799</v>
      </c>
      <c r="D3040" s="460"/>
      <c r="E3040" s="878" t="s">
        <v>6470</v>
      </c>
      <c r="F3040" s="881" t="s">
        <v>434</v>
      </c>
      <c r="G3040" s="731" t="str">
        <f>"2591"</f>
        <v>2591</v>
      </c>
      <c r="H3040" s="1083">
        <v>42370</v>
      </c>
      <c r="I3040" s="1084">
        <v>42478</v>
      </c>
      <c r="J3040" s="957">
        <v>-9061.85</v>
      </c>
    </row>
    <row r="3041" spans="1:10" s="852" customFormat="1" outlineLevel="2">
      <c r="A3041" s="815" t="s">
        <v>5930</v>
      </c>
      <c r="B3041" s="816" t="s">
        <v>7864</v>
      </c>
      <c r="C3041" s="729" t="s">
        <v>799</v>
      </c>
      <c r="D3041" s="460"/>
      <c r="E3041" s="878" t="s">
        <v>6470</v>
      </c>
      <c r="F3041" s="881" t="s">
        <v>434</v>
      </c>
      <c r="G3041" s="731" t="str">
        <f>"2591"</f>
        <v>2591</v>
      </c>
      <c r="H3041" s="1083">
        <v>42370</v>
      </c>
      <c r="I3041" s="1084">
        <v>42478</v>
      </c>
      <c r="J3041" s="957">
        <v>9061.85</v>
      </c>
    </row>
    <row r="3042" spans="1:10" s="852" customFormat="1" outlineLevel="2">
      <c r="A3042" s="815" t="s">
        <v>5930</v>
      </c>
      <c r="B3042" s="816" t="s">
        <v>7864</v>
      </c>
      <c r="C3042" s="729" t="s">
        <v>799</v>
      </c>
      <c r="D3042" s="460"/>
      <c r="E3042" s="878" t="s">
        <v>6470</v>
      </c>
      <c r="F3042" s="881" t="s">
        <v>434</v>
      </c>
      <c r="G3042" s="731" t="str">
        <f>"2591"</f>
        <v>2591</v>
      </c>
      <c r="H3042" s="1083">
        <v>42370</v>
      </c>
      <c r="I3042" s="1084">
        <v>42478</v>
      </c>
      <c r="J3042" s="957">
        <v>9061.85</v>
      </c>
    </row>
    <row r="3043" spans="1:10" s="852" customFormat="1" outlineLevel="2">
      <c r="A3043" s="815" t="s">
        <v>5930</v>
      </c>
      <c r="B3043" s="816" t="s">
        <v>7864</v>
      </c>
      <c r="C3043" s="729" t="s">
        <v>799</v>
      </c>
      <c r="D3043" s="460"/>
      <c r="E3043" s="878" t="s">
        <v>6470</v>
      </c>
      <c r="F3043" s="881" t="s">
        <v>434</v>
      </c>
      <c r="G3043" s="731" t="str">
        <f>"2591"</f>
        <v>2591</v>
      </c>
      <c r="H3043" s="1083">
        <v>42370</v>
      </c>
      <c r="I3043" s="1084">
        <v>42478</v>
      </c>
      <c r="J3043" s="957">
        <v>9061.85</v>
      </c>
    </row>
    <row r="3044" spans="1:10" s="852" customFormat="1" outlineLevel="2">
      <c r="A3044" s="815" t="s">
        <v>5930</v>
      </c>
      <c r="B3044" s="816" t="s">
        <v>7864</v>
      </c>
      <c r="C3044" s="729" t="s">
        <v>799</v>
      </c>
      <c r="D3044" s="460"/>
      <c r="E3044" s="878" t="s">
        <v>6470</v>
      </c>
      <c r="F3044" s="881" t="s">
        <v>434</v>
      </c>
      <c r="G3044" s="731" t="str">
        <f>"2591"</f>
        <v>2591</v>
      </c>
      <c r="H3044" s="1083">
        <v>42370</v>
      </c>
      <c r="I3044" s="1084">
        <v>42478</v>
      </c>
      <c r="J3044" s="957">
        <v>-9061.85</v>
      </c>
    </row>
    <row r="3045" spans="1:10" s="852" customFormat="1" outlineLevel="2">
      <c r="A3045" s="815" t="s">
        <v>802</v>
      </c>
      <c r="B3045" s="816" t="s">
        <v>7863</v>
      </c>
      <c r="C3045" s="729" t="s">
        <v>799</v>
      </c>
      <c r="D3045" s="460"/>
      <c r="E3045" s="878" t="s">
        <v>2336</v>
      </c>
      <c r="F3045" s="881" t="s">
        <v>4252</v>
      </c>
      <c r="G3045" s="731" t="s">
        <v>5064</v>
      </c>
      <c r="H3045" s="1083">
        <v>42401</v>
      </c>
      <c r="I3045" s="1084">
        <v>42480</v>
      </c>
      <c r="J3045" s="957">
        <v>4788.24</v>
      </c>
    </row>
    <row r="3046" spans="1:10" s="852" customFormat="1" outlineLevel="2">
      <c r="A3046" s="815" t="s">
        <v>801</v>
      </c>
      <c r="B3046" s="816" t="s">
        <v>7864</v>
      </c>
      <c r="C3046" s="729" t="s">
        <v>799</v>
      </c>
      <c r="D3046" s="460"/>
      <c r="E3046" s="878" t="s">
        <v>2336</v>
      </c>
      <c r="F3046" s="881" t="s">
        <v>6071</v>
      </c>
      <c r="G3046" s="731" t="s">
        <v>5058</v>
      </c>
      <c r="H3046" s="1083">
        <v>42401</v>
      </c>
      <c r="I3046" s="1084">
        <v>42480</v>
      </c>
      <c r="J3046" s="957">
        <v>1272.24</v>
      </c>
    </row>
    <row r="3047" spans="1:10" s="852" customFormat="1" outlineLevel="2">
      <c r="A3047" s="815" t="s">
        <v>801</v>
      </c>
      <c r="B3047" s="816" t="s">
        <v>7864</v>
      </c>
      <c r="C3047" s="729" t="s">
        <v>799</v>
      </c>
      <c r="D3047" s="460"/>
      <c r="E3047" s="878" t="s">
        <v>2336</v>
      </c>
      <c r="F3047" s="881" t="s">
        <v>3723</v>
      </c>
      <c r="G3047" s="731" t="s">
        <v>5062</v>
      </c>
      <c r="H3047" s="1083">
        <v>42401</v>
      </c>
      <c r="I3047" s="1084">
        <v>42480</v>
      </c>
      <c r="J3047" s="957">
        <v>837</v>
      </c>
    </row>
    <row r="3048" spans="1:10" s="852" customFormat="1" outlineLevel="2">
      <c r="A3048" s="815" t="s">
        <v>801</v>
      </c>
      <c r="B3048" s="816" t="s">
        <v>7864</v>
      </c>
      <c r="C3048" s="729" t="s">
        <v>799</v>
      </c>
      <c r="D3048" s="460"/>
      <c r="E3048" s="878" t="s">
        <v>2336</v>
      </c>
      <c r="F3048" s="881" t="s">
        <v>3155</v>
      </c>
      <c r="G3048" s="731" t="s">
        <v>5060</v>
      </c>
      <c r="H3048" s="1083">
        <v>42401</v>
      </c>
      <c r="I3048" s="1084">
        <v>42480</v>
      </c>
      <c r="J3048" s="957">
        <v>1238.76</v>
      </c>
    </row>
    <row r="3049" spans="1:10" s="852" customFormat="1" ht="28.5" outlineLevel="2">
      <c r="A3049" s="815" t="s">
        <v>800</v>
      </c>
      <c r="B3049" s="816" t="s">
        <v>7865</v>
      </c>
      <c r="C3049" s="729" t="s">
        <v>799</v>
      </c>
      <c r="D3049" s="460"/>
      <c r="E3049" s="878" t="s">
        <v>2336</v>
      </c>
      <c r="F3049" s="881" t="s">
        <v>6069</v>
      </c>
      <c r="G3049" s="731" t="s">
        <v>5054</v>
      </c>
      <c r="H3049" s="1083">
        <v>42401</v>
      </c>
      <c r="I3049" s="1084">
        <v>42480</v>
      </c>
      <c r="J3049" s="957">
        <v>22827.94</v>
      </c>
    </row>
    <row r="3050" spans="1:10" s="852" customFormat="1" ht="28.5" outlineLevel="2">
      <c r="A3050" s="815" t="s">
        <v>800</v>
      </c>
      <c r="B3050" s="816" t="s">
        <v>7865</v>
      </c>
      <c r="C3050" s="729" t="s">
        <v>799</v>
      </c>
      <c r="D3050" s="460"/>
      <c r="E3050" s="878" t="s">
        <v>2336</v>
      </c>
      <c r="F3050" s="881" t="s">
        <v>4469</v>
      </c>
      <c r="G3050" s="731" t="s">
        <v>5066</v>
      </c>
      <c r="H3050" s="1083">
        <v>42401</v>
      </c>
      <c r="I3050" s="1084">
        <v>42480</v>
      </c>
      <c r="J3050" s="957">
        <v>22834.79</v>
      </c>
    </row>
    <row r="3051" spans="1:10" s="852" customFormat="1" outlineLevel="2">
      <c r="A3051" s="815" t="s">
        <v>800</v>
      </c>
      <c r="B3051" s="816" t="s">
        <v>7865</v>
      </c>
      <c r="C3051" s="729" t="s">
        <v>799</v>
      </c>
      <c r="D3051" s="460"/>
      <c r="E3051" s="878" t="s">
        <v>2336</v>
      </c>
      <c r="F3051" s="881" t="s">
        <v>6070</v>
      </c>
      <c r="G3051" s="731" t="s">
        <v>5056</v>
      </c>
      <c r="H3051" s="1083">
        <v>42401</v>
      </c>
      <c r="I3051" s="1084">
        <v>42480</v>
      </c>
      <c r="J3051" s="957">
        <v>7263.44</v>
      </c>
    </row>
    <row r="3052" spans="1:10" s="852" customFormat="1" outlineLevel="2">
      <c r="A3052" s="815" t="s">
        <v>5930</v>
      </c>
      <c r="B3052" s="816" t="s">
        <v>7864</v>
      </c>
      <c r="C3052" s="729" t="s">
        <v>799</v>
      </c>
      <c r="D3052" s="460"/>
      <c r="E3052" s="878" t="s">
        <v>2717</v>
      </c>
      <c r="F3052" s="881" t="s">
        <v>434</v>
      </c>
      <c r="G3052" s="731" t="str">
        <f>"3533"</f>
        <v>3533</v>
      </c>
      <c r="H3052" s="1083">
        <v>42401</v>
      </c>
      <c r="I3052" s="1084">
        <v>42467</v>
      </c>
      <c r="J3052" s="957">
        <v>5961.74</v>
      </c>
    </row>
    <row r="3053" spans="1:10" s="852" customFormat="1" outlineLevel="2">
      <c r="A3053" s="815" t="s">
        <v>5930</v>
      </c>
      <c r="B3053" s="816" t="s">
        <v>7864</v>
      </c>
      <c r="C3053" s="729" t="s">
        <v>799</v>
      </c>
      <c r="D3053" s="460"/>
      <c r="E3053" s="878" t="s">
        <v>409</v>
      </c>
      <c r="F3053" s="881" t="s">
        <v>434</v>
      </c>
      <c r="G3053" s="731" t="str">
        <f>"6673"</f>
        <v>6673</v>
      </c>
      <c r="H3053" s="1083">
        <v>42401</v>
      </c>
      <c r="I3053" s="1084">
        <v>42475</v>
      </c>
      <c r="J3053" s="957">
        <v>8823.39</v>
      </c>
    </row>
    <row r="3054" spans="1:10" s="852" customFormat="1" outlineLevel="2">
      <c r="A3054" s="815" t="s">
        <v>968</v>
      </c>
      <c r="B3054" s="816" t="s">
        <v>7866</v>
      </c>
      <c r="C3054" s="729" t="s">
        <v>799</v>
      </c>
      <c r="D3054" s="460"/>
      <c r="E3054" s="878" t="s">
        <v>2282</v>
      </c>
      <c r="F3054" s="881" t="s">
        <v>3974</v>
      </c>
      <c r="G3054" s="731" t="s">
        <v>2779</v>
      </c>
      <c r="H3054" s="1083">
        <v>42401</v>
      </c>
      <c r="I3054" s="1084">
        <v>42471</v>
      </c>
      <c r="J3054" s="957">
        <v>1956.81</v>
      </c>
    </row>
    <row r="3055" spans="1:10" s="852" customFormat="1" outlineLevel="2">
      <c r="A3055" s="815" t="s">
        <v>968</v>
      </c>
      <c r="B3055" s="816" t="s">
        <v>7866</v>
      </c>
      <c r="C3055" s="729" t="s">
        <v>799</v>
      </c>
      <c r="D3055" s="460"/>
      <c r="E3055" s="878" t="s">
        <v>2282</v>
      </c>
      <c r="F3055" s="881" t="s">
        <v>4081</v>
      </c>
      <c r="G3055" s="731" t="s">
        <v>2781</v>
      </c>
      <c r="H3055" s="1083">
        <v>42401</v>
      </c>
      <c r="I3055" s="1084">
        <v>42471</v>
      </c>
      <c r="J3055" s="957">
        <v>62.57</v>
      </c>
    </row>
    <row r="3056" spans="1:10" s="852" customFormat="1" outlineLevel="2">
      <c r="A3056" s="815" t="s">
        <v>968</v>
      </c>
      <c r="B3056" s="816" t="s">
        <v>7866</v>
      </c>
      <c r="C3056" s="729" t="s">
        <v>799</v>
      </c>
      <c r="D3056" s="460"/>
      <c r="E3056" s="878" t="s">
        <v>2282</v>
      </c>
      <c r="F3056" s="881" t="s">
        <v>4165</v>
      </c>
      <c r="G3056" s="731" t="s">
        <v>2782</v>
      </c>
      <c r="H3056" s="1083">
        <v>42401</v>
      </c>
      <c r="I3056" s="1084">
        <v>42471</v>
      </c>
      <c r="J3056" s="957">
        <v>738.29</v>
      </c>
    </row>
    <row r="3057" spans="1:10" s="852" customFormat="1" ht="28.5" outlineLevel="2">
      <c r="A3057" s="815" t="s">
        <v>800</v>
      </c>
      <c r="B3057" s="816" t="s">
        <v>7865</v>
      </c>
      <c r="C3057" s="729" t="s">
        <v>799</v>
      </c>
      <c r="D3057" s="460"/>
      <c r="E3057" s="878" t="s">
        <v>2352</v>
      </c>
      <c r="F3057" s="881" t="s">
        <v>6181</v>
      </c>
      <c r="G3057" s="731" t="s">
        <v>5069</v>
      </c>
      <c r="H3057" s="1083">
        <v>42401</v>
      </c>
      <c r="I3057" s="1084">
        <v>42475</v>
      </c>
      <c r="J3057" s="957">
        <v>7637.39</v>
      </c>
    </row>
    <row r="3058" spans="1:10" s="852" customFormat="1" outlineLevel="2">
      <c r="A3058" s="815" t="s">
        <v>801</v>
      </c>
      <c r="B3058" s="816" t="s">
        <v>7864</v>
      </c>
      <c r="C3058" s="729" t="s">
        <v>799</v>
      </c>
      <c r="D3058" s="460"/>
      <c r="E3058" s="878" t="s">
        <v>2352</v>
      </c>
      <c r="F3058" s="881" t="s">
        <v>6182</v>
      </c>
      <c r="G3058" s="731" t="s">
        <v>5070</v>
      </c>
      <c r="H3058" s="1083">
        <v>42401</v>
      </c>
      <c r="I3058" s="1084">
        <v>42475</v>
      </c>
      <c r="J3058" s="957">
        <v>578.29</v>
      </c>
    </row>
    <row r="3059" spans="1:10" s="852" customFormat="1" outlineLevel="2">
      <c r="A3059" s="815" t="s">
        <v>801</v>
      </c>
      <c r="B3059" s="816" t="s">
        <v>7864</v>
      </c>
      <c r="C3059" s="729" t="s">
        <v>799</v>
      </c>
      <c r="D3059" s="460"/>
      <c r="E3059" s="878" t="s">
        <v>2352</v>
      </c>
      <c r="F3059" s="881" t="s">
        <v>3156</v>
      </c>
      <c r="G3059" s="731" t="s">
        <v>5071</v>
      </c>
      <c r="H3059" s="1083">
        <v>42401</v>
      </c>
      <c r="I3059" s="1084">
        <v>42475</v>
      </c>
      <c r="J3059" s="957">
        <v>563.07000000000005</v>
      </c>
    </row>
    <row r="3060" spans="1:10" s="852" customFormat="1" ht="28.5" outlineLevel="2">
      <c r="A3060" s="815" t="s">
        <v>800</v>
      </c>
      <c r="B3060" s="816" t="s">
        <v>7865</v>
      </c>
      <c r="C3060" s="729" t="s">
        <v>799</v>
      </c>
      <c r="D3060" s="460"/>
      <c r="E3060" s="878" t="s">
        <v>2352</v>
      </c>
      <c r="F3060" s="881" t="s">
        <v>3272</v>
      </c>
      <c r="G3060" s="731" t="s">
        <v>5073</v>
      </c>
      <c r="H3060" s="1083">
        <v>42401</v>
      </c>
      <c r="I3060" s="1084">
        <v>42475</v>
      </c>
      <c r="J3060" s="957">
        <v>7639.69</v>
      </c>
    </row>
    <row r="3061" spans="1:10" s="852" customFormat="1" outlineLevel="2">
      <c r="A3061" s="815" t="s">
        <v>801</v>
      </c>
      <c r="B3061" s="816" t="s">
        <v>7864</v>
      </c>
      <c r="C3061" s="729" t="s">
        <v>799</v>
      </c>
      <c r="D3061" s="460"/>
      <c r="E3061" s="878" t="s">
        <v>2352</v>
      </c>
      <c r="F3061" s="881" t="s">
        <v>3724</v>
      </c>
      <c r="G3061" s="731" t="s">
        <v>5075</v>
      </c>
      <c r="H3061" s="1083">
        <v>42401</v>
      </c>
      <c r="I3061" s="1084">
        <v>42475</v>
      </c>
      <c r="J3061" s="957">
        <v>380.46</v>
      </c>
    </row>
    <row r="3062" spans="1:10" s="852" customFormat="1" outlineLevel="2">
      <c r="A3062" s="815" t="s">
        <v>802</v>
      </c>
      <c r="B3062" s="816" t="s">
        <v>7863</v>
      </c>
      <c r="C3062" s="729" t="s">
        <v>799</v>
      </c>
      <c r="D3062" s="460"/>
      <c r="E3062" s="878" t="s">
        <v>2352</v>
      </c>
      <c r="F3062" s="881" t="s">
        <v>4254</v>
      </c>
      <c r="G3062" s="731" t="s">
        <v>5077</v>
      </c>
      <c r="H3062" s="1083">
        <v>42401</v>
      </c>
      <c r="I3062" s="1084">
        <v>42475</v>
      </c>
      <c r="J3062" s="957">
        <v>1305.8800000000001</v>
      </c>
    </row>
    <row r="3063" spans="1:10" s="852" customFormat="1" outlineLevel="2">
      <c r="A3063" s="815" t="s">
        <v>800</v>
      </c>
      <c r="B3063" s="816" t="s">
        <v>7865</v>
      </c>
      <c r="C3063" s="729" t="s">
        <v>799</v>
      </c>
      <c r="D3063" s="460"/>
      <c r="E3063" s="878" t="s">
        <v>2352</v>
      </c>
      <c r="F3063" s="881" t="s">
        <v>5494</v>
      </c>
      <c r="G3063" s="731" t="s">
        <v>5078</v>
      </c>
      <c r="H3063" s="1083">
        <v>42401</v>
      </c>
      <c r="I3063" s="1084">
        <v>42475</v>
      </c>
      <c r="J3063" s="957">
        <v>7637.41</v>
      </c>
    </row>
    <row r="3064" spans="1:10" s="852" customFormat="1" outlineLevel="2">
      <c r="A3064" s="815" t="s">
        <v>968</v>
      </c>
      <c r="B3064" s="816" t="s">
        <v>7866</v>
      </c>
      <c r="C3064" s="729" t="s">
        <v>799</v>
      </c>
      <c r="D3064" s="460"/>
      <c r="E3064" s="878" t="s">
        <v>1909</v>
      </c>
      <c r="F3064" s="881" t="s">
        <v>3935</v>
      </c>
      <c r="G3064" s="731" t="s">
        <v>2817</v>
      </c>
      <c r="H3064" s="1083">
        <v>42401</v>
      </c>
      <c r="I3064" s="1084">
        <v>42480</v>
      </c>
      <c r="J3064" s="957">
        <v>587.04</v>
      </c>
    </row>
    <row r="3065" spans="1:10" s="852" customFormat="1" outlineLevel="2">
      <c r="A3065" s="815" t="s">
        <v>968</v>
      </c>
      <c r="B3065" s="816" t="s">
        <v>7866</v>
      </c>
      <c r="C3065" s="729" t="s">
        <v>799</v>
      </c>
      <c r="D3065" s="460"/>
      <c r="E3065" s="878" t="s">
        <v>1909</v>
      </c>
      <c r="F3065" s="881" t="s">
        <v>4027</v>
      </c>
      <c r="G3065" s="731" t="s">
        <v>2819</v>
      </c>
      <c r="H3065" s="1083">
        <v>42401</v>
      </c>
      <c r="I3065" s="1084">
        <v>42480</v>
      </c>
      <c r="J3065" s="957">
        <v>18.77</v>
      </c>
    </row>
    <row r="3066" spans="1:10" s="852" customFormat="1" outlineLevel="2">
      <c r="A3066" s="815" t="s">
        <v>968</v>
      </c>
      <c r="B3066" s="816" t="s">
        <v>7866</v>
      </c>
      <c r="C3066" s="729" t="s">
        <v>799</v>
      </c>
      <c r="D3066" s="460"/>
      <c r="E3066" s="878" t="s">
        <v>1909</v>
      </c>
      <c r="F3066" s="881" t="s">
        <v>4129</v>
      </c>
      <c r="G3066" s="731" t="s">
        <v>2821</v>
      </c>
      <c r="H3066" s="1083">
        <v>42401</v>
      </c>
      <c r="I3066" s="1084">
        <v>42480</v>
      </c>
      <c r="J3066" s="957">
        <v>221.48</v>
      </c>
    </row>
    <row r="3067" spans="1:10" s="852" customFormat="1" outlineLevel="2">
      <c r="A3067" s="815" t="s">
        <v>802</v>
      </c>
      <c r="B3067" s="816" t="s">
        <v>7863</v>
      </c>
      <c r="C3067" s="729" t="s">
        <v>799</v>
      </c>
      <c r="D3067" s="460"/>
      <c r="E3067" s="878" t="s">
        <v>1909</v>
      </c>
      <c r="F3067" s="881" t="s">
        <v>4250</v>
      </c>
      <c r="G3067" s="731" t="s">
        <v>5108</v>
      </c>
      <c r="H3067" s="1083">
        <v>42401</v>
      </c>
      <c r="I3067" s="1084">
        <v>42480</v>
      </c>
      <c r="J3067" s="957">
        <v>435.29</v>
      </c>
    </row>
    <row r="3068" spans="1:10" s="852" customFormat="1" outlineLevel="2">
      <c r="A3068" s="815" t="s">
        <v>801</v>
      </c>
      <c r="B3068" s="816" t="s">
        <v>7864</v>
      </c>
      <c r="C3068" s="729" t="s">
        <v>799</v>
      </c>
      <c r="D3068" s="460"/>
      <c r="E3068" s="878" t="s">
        <v>1909</v>
      </c>
      <c r="F3068" s="881" t="s">
        <v>6379</v>
      </c>
      <c r="G3068" s="731" t="s">
        <v>5089</v>
      </c>
      <c r="H3068" s="1083">
        <v>42401</v>
      </c>
      <c r="I3068" s="1084">
        <v>42480</v>
      </c>
      <c r="J3068" s="957">
        <v>115.66</v>
      </c>
    </row>
    <row r="3069" spans="1:10" s="852" customFormat="1" outlineLevel="2">
      <c r="A3069" s="815" t="s">
        <v>801</v>
      </c>
      <c r="B3069" s="816" t="s">
        <v>7864</v>
      </c>
      <c r="C3069" s="729" t="s">
        <v>799</v>
      </c>
      <c r="D3069" s="460"/>
      <c r="E3069" s="878" t="s">
        <v>1909</v>
      </c>
      <c r="F3069" s="881" t="s">
        <v>3722</v>
      </c>
      <c r="G3069" s="731" t="s">
        <v>5102</v>
      </c>
      <c r="H3069" s="1083">
        <v>42401</v>
      </c>
      <c r="I3069" s="1084">
        <v>42480</v>
      </c>
      <c r="J3069" s="957">
        <v>76.09</v>
      </c>
    </row>
    <row r="3070" spans="1:10" s="852" customFormat="1" outlineLevel="2">
      <c r="A3070" s="815" t="s">
        <v>801</v>
      </c>
      <c r="B3070" s="816" t="s">
        <v>7864</v>
      </c>
      <c r="C3070" s="729" t="s">
        <v>799</v>
      </c>
      <c r="D3070" s="460"/>
      <c r="E3070" s="878" t="s">
        <v>1909</v>
      </c>
      <c r="F3070" s="881" t="s">
        <v>3154</v>
      </c>
      <c r="G3070" s="731" t="s">
        <v>5096</v>
      </c>
      <c r="H3070" s="1083">
        <v>42401</v>
      </c>
      <c r="I3070" s="1084">
        <v>42480</v>
      </c>
      <c r="J3070" s="957">
        <v>112.61</v>
      </c>
    </row>
    <row r="3071" spans="1:10" s="852" customFormat="1" ht="28.5" outlineLevel="2">
      <c r="A3071" s="815" t="s">
        <v>800</v>
      </c>
      <c r="B3071" s="816" t="s">
        <v>7865</v>
      </c>
      <c r="C3071" s="729" t="s">
        <v>799</v>
      </c>
      <c r="D3071" s="460"/>
      <c r="E3071" s="878" t="s">
        <v>1909</v>
      </c>
      <c r="F3071" s="881" t="s">
        <v>6377</v>
      </c>
      <c r="G3071" s="731" t="s">
        <v>5085</v>
      </c>
      <c r="H3071" s="1083">
        <v>42401</v>
      </c>
      <c r="I3071" s="1084">
        <v>42480</v>
      </c>
      <c r="J3071" s="957">
        <v>3818.7</v>
      </c>
    </row>
    <row r="3072" spans="1:10" s="852" customFormat="1" ht="28.5" outlineLevel="2">
      <c r="A3072" s="815" t="s">
        <v>800</v>
      </c>
      <c r="B3072" s="816" t="s">
        <v>7865</v>
      </c>
      <c r="C3072" s="729" t="s">
        <v>799</v>
      </c>
      <c r="D3072" s="460"/>
      <c r="E3072" s="878" t="s">
        <v>1909</v>
      </c>
      <c r="F3072" s="881" t="s">
        <v>3267</v>
      </c>
      <c r="G3072" s="731" t="s">
        <v>5100</v>
      </c>
      <c r="H3072" s="1083">
        <v>42401</v>
      </c>
      <c r="I3072" s="1084">
        <v>42480</v>
      </c>
      <c r="J3072" s="957">
        <v>3819.85</v>
      </c>
    </row>
    <row r="3073" spans="1:10" s="852" customFormat="1" outlineLevel="2">
      <c r="A3073" s="815" t="s">
        <v>800</v>
      </c>
      <c r="B3073" s="816" t="s">
        <v>7865</v>
      </c>
      <c r="C3073" s="729" t="s">
        <v>799</v>
      </c>
      <c r="D3073" s="460"/>
      <c r="E3073" s="878" t="s">
        <v>1909</v>
      </c>
      <c r="F3073" s="881" t="s">
        <v>6378</v>
      </c>
      <c r="G3073" s="731" t="s">
        <v>5087</v>
      </c>
      <c r="H3073" s="1083">
        <v>42401</v>
      </c>
      <c r="I3073" s="1084">
        <v>42480</v>
      </c>
      <c r="J3073" s="957">
        <v>3818.7</v>
      </c>
    </row>
    <row r="3074" spans="1:10" s="852" customFormat="1" ht="28.5" outlineLevel="2">
      <c r="A3074" s="815" t="s">
        <v>968</v>
      </c>
      <c r="B3074" s="816" t="s">
        <v>7866</v>
      </c>
      <c r="C3074" s="729" t="s">
        <v>799</v>
      </c>
      <c r="D3074" s="460"/>
      <c r="E3074" s="878" t="s">
        <v>1909</v>
      </c>
      <c r="F3074" s="881" t="s">
        <v>4956</v>
      </c>
      <c r="G3074" s="731" t="s">
        <v>2833</v>
      </c>
      <c r="H3074" s="1083">
        <v>42401</v>
      </c>
      <c r="I3074" s="1084">
        <v>42480</v>
      </c>
      <c r="J3074" s="957">
        <v>1819.83</v>
      </c>
    </row>
    <row r="3075" spans="1:10" s="852" customFormat="1" ht="28.5" outlineLevel="2">
      <c r="A3075" s="815" t="s">
        <v>968</v>
      </c>
      <c r="B3075" s="816" t="s">
        <v>7866</v>
      </c>
      <c r="C3075" s="729" t="s">
        <v>799</v>
      </c>
      <c r="D3075" s="460"/>
      <c r="E3075" s="878" t="s">
        <v>1909</v>
      </c>
      <c r="F3075" s="881" t="s">
        <v>4903</v>
      </c>
      <c r="G3075" s="731" t="s">
        <v>2832</v>
      </c>
      <c r="H3075" s="1083">
        <v>42401</v>
      </c>
      <c r="I3075" s="1084">
        <v>42480</v>
      </c>
      <c r="J3075" s="957">
        <v>58.19</v>
      </c>
    </row>
    <row r="3076" spans="1:10" s="852" customFormat="1" ht="28.5" outlineLevel="2">
      <c r="A3076" s="815" t="s">
        <v>968</v>
      </c>
      <c r="B3076" s="816" t="s">
        <v>7866</v>
      </c>
      <c r="C3076" s="729" t="s">
        <v>799</v>
      </c>
      <c r="D3076" s="460"/>
      <c r="E3076" s="878" t="s">
        <v>1909</v>
      </c>
      <c r="F3076" s="881" t="s">
        <v>4853</v>
      </c>
      <c r="G3076" s="731" t="s">
        <v>2831</v>
      </c>
      <c r="H3076" s="1083">
        <v>42401</v>
      </c>
      <c r="I3076" s="1084">
        <v>42480</v>
      </c>
      <c r="J3076" s="957">
        <v>686.61</v>
      </c>
    </row>
    <row r="3077" spans="1:10" s="852" customFormat="1" ht="28.5" outlineLevel="2">
      <c r="A3077" s="815" t="s">
        <v>802</v>
      </c>
      <c r="B3077" s="816" t="s">
        <v>7863</v>
      </c>
      <c r="C3077" s="729" t="s">
        <v>799</v>
      </c>
      <c r="D3077" s="460"/>
      <c r="E3077" s="878" t="s">
        <v>1909</v>
      </c>
      <c r="F3077" s="881" t="s">
        <v>6376</v>
      </c>
      <c r="G3077" s="731" t="s">
        <v>5079</v>
      </c>
      <c r="H3077" s="1083">
        <v>42370</v>
      </c>
      <c r="I3077" s="1084">
        <v>42480</v>
      </c>
      <c r="J3077" s="957">
        <v>2146.89</v>
      </c>
    </row>
    <row r="3078" spans="1:10" s="852" customFormat="1" ht="28.5" outlineLevel="2">
      <c r="A3078" s="815" t="s">
        <v>802</v>
      </c>
      <c r="B3078" s="816" t="s">
        <v>7863</v>
      </c>
      <c r="C3078" s="729" t="s">
        <v>799</v>
      </c>
      <c r="D3078" s="460"/>
      <c r="E3078" s="878" t="s">
        <v>1909</v>
      </c>
      <c r="F3078" s="881" t="s">
        <v>6376</v>
      </c>
      <c r="G3078" s="731" t="s">
        <v>5081</v>
      </c>
      <c r="H3078" s="1083">
        <v>42370</v>
      </c>
      <c r="I3078" s="1084">
        <v>42480</v>
      </c>
      <c r="J3078" s="957">
        <v>2146.89</v>
      </c>
    </row>
    <row r="3079" spans="1:10" s="852" customFormat="1" ht="28.5" outlineLevel="2">
      <c r="A3079" s="815" t="s">
        <v>802</v>
      </c>
      <c r="B3079" s="816" t="s">
        <v>7863</v>
      </c>
      <c r="C3079" s="729" t="s">
        <v>799</v>
      </c>
      <c r="D3079" s="460"/>
      <c r="E3079" s="878" t="s">
        <v>1909</v>
      </c>
      <c r="F3079" s="881" t="s">
        <v>6376</v>
      </c>
      <c r="G3079" s="731" t="s">
        <v>5083</v>
      </c>
      <c r="H3079" s="1083">
        <v>42370</v>
      </c>
      <c r="I3079" s="1084">
        <v>42480</v>
      </c>
      <c r="J3079" s="957">
        <v>-2146.89</v>
      </c>
    </row>
    <row r="3080" spans="1:10" s="852" customFormat="1" ht="28.5" outlineLevel="2">
      <c r="A3080" s="815" t="s">
        <v>801</v>
      </c>
      <c r="B3080" s="816" t="s">
        <v>7864</v>
      </c>
      <c r="C3080" s="729" t="s">
        <v>799</v>
      </c>
      <c r="D3080" s="460"/>
      <c r="E3080" s="878" t="s">
        <v>1909</v>
      </c>
      <c r="F3080" s="881" t="s">
        <v>2870</v>
      </c>
      <c r="G3080" s="731" t="s">
        <v>5091</v>
      </c>
      <c r="H3080" s="1083">
        <v>42370</v>
      </c>
      <c r="I3080" s="1084">
        <v>42480</v>
      </c>
      <c r="J3080" s="957">
        <v>-353.82</v>
      </c>
    </row>
    <row r="3081" spans="1:10" s="852" customFormat="1" ht="28.5" outlineLevel="2">
      <c r="A3081" s="815" t="s">
        <v>801</v>
      </c>
      <c r="B3081" s="816" t="s">
        <v>7864</v>
      </c>
      <c r="C3081" s="729" t="s">
        <v>799</v>
      </c>
      <c r="D3081" s="460"/>
      <c r="E3081" s="878" t="s">
        <v>1909</v>
      </c>
      <c r="F3081" s="881" t="s">
        <v>2870</v>
      </c>
      <c r="G3081" s="731" t="s">
        <v>5092</v>
      </c>
      <c r="H3081" s="1083">
        <v>42370</v>
      </c>
      <c r="I3081" s="1084">
        <v>42480</v>
      </c>
      <c r="J3081" s="957">
        <v>-353.82</v>
      </c>
    </row>
    <row r="3082" spans="1:10" s="852" customFormat="1" ht="28.5" outlineLevel="2">
      <c r="A3082" s="815" t="s">
        <v>801</v>
      </c>
      <c r="B3082" s="816" t="s">
        <v>7864</v>
      </c>
      <c r="C3082" s="729" t="s">
        <v>799</v>
      </c>
      <c r="D3082" s="460"/>
      <c r="E3082" s="878" t="s">
        <v>1909</v>
      </c>
      <c r="F3082" s="881" t="s">
        <v>2870</v>
      </c>
      <c r="G3082" s="731" t="s">
        <v>5093</v>
      </c>
      <c r="H3082" s="1083">
        <v>42370</v>
      </c>
      <c r="I3082" s="1084">
        <v>42480</v>
      </c>
      <c r="J3082" s="957">
        <v>353.82</v>
      </c>
    </row>
    <row r="3083" spans="1:10" s="852" customFormat="1" ht="28.5" outlineLevel="2">
      <c r="A3083" s="815" t="s">
        <v>801</v>
      </c>
      <c r="B3083" s="816" t="s">
        <v>7864</v>
      </c>
      <c r="C3083" s="729" t="s">
        <v>799</v>
      </c>
      <c r="D3083" s="460"/>
      <c r="E3083" s="878" t="s">
        <v>1909</v>
      </c>
      <c r="F3083" s="881" t="s">
        <v>2870</v>
      </c>
      <c r="G3083" s="731" t="s">
        <v>5094</v>
      </c>
      <c r="H3083" s="1083">
        <v>42370</v>
      </c>
      <c r="I3083" s="1084">
        <v>42480</v>
      </c>
      <c r="J3083" s="957">
        <v>353.82</v>
      </c>
    </row>
    <row r="3084" spans="1:10" s="852" customFormat="1" ht="28.5" outlineLevel="2">
      <c r="A3084" s="815" t="s">
        <v>801</v>
      </c>
      <c r="B3084" s="816" t="s">
        <v>7864</v>
      </c>
      <c r="C3084" s="729" t="s">
        <v>799</v>
      </c>
      <c r="D3084" s="460"/>
      <c r="E3084" s="878" t="s">
        <v>1909</v>
      </c>
      <c r="F3084" s="881" t="s">
        <v>2870</v>
      </c>
      <c r="G3084" s="731" t="s">
        <v>5098</v>
      </c>
      <c r="H3084" s="1083">
        <v>42370</v>
      </c>
      <c r="I3084" s="1084">
        <v>42480</v>
      </c>
      <c r="J3084" s="957">
        <v>353.82</v>
      </c>
    </row>
    <row r="3085" spans="1:10" s="852" customFormat="1" ht="28.5" outlineLevel="2">
      <c r="A3085" s="815" t="s">
        <v>801</v>
      </c>
      <c r="B3085" s="816" t="s">
        <v>7864</v>
      </c>
      <c r="C3085" s="729" t="s">
        <v>799</v>
      </c>
      <c r="D3085" s="460"/>
      <c r="E3085" s="878" t="s">
        <v>1909</v>
      </c>
      <c r="F3085" s="881" t="s">
        <v>3688</v>
      </c>
      <c r="G3085" s="731" t="s">
        <v>5101</v>
      </c>
      <c r="H3085" s="1083">
        <v>42370</v>
      </c>
      <c r="I3085" s="1084">
        <v>42480</v>
      </c>
      <c r="J3085" s="957">
        <v>-523.66</v>
      </c>
    </row>
    <row r="3086" spans="1:10" s="852" customFormat="1" ht="28.5" outlineLevel="2">
      <c r="A3086" s="815" t="s">
        <v>801</v>
      </c>
      <c r="B3086" s="816" t="s">
        <v>7864</v>
      </c>
      <c r="C3086" s="729" t="s">
        <v>799</v>
      </c>
      <c r="D3086" s="460"/>
      <c r="E3086" s="878" t="s">
        <v>1909</v>
      </c>
      <c r="F3086" s="881" t="s">
        <v>3688</v>
      </c>
      <c r="G3086" s="731" t="s">
        <v>5103</v>
      </c>
      <c r="H3086" s="1083">
        <v>42370</v>
      </c>
      <c r="I3086" s="1084">
        <v>42480</v>
      </c>
      <c r="J3086" s="957">
        <v>523.66</v>
      </c>
    </row>
    <row r="3087" spans="1:10" s="852" customFormat="1" ht="28.5" outlineLevel="2">
      <c r="A3087" s="815" t="s">
        <v>801</v>
      </c>
      <c r="B3087" s="816" t="s">
        <v>7864</v>
      </c>
      <c r="C3087" s="729" t="s">
        <v>799</v>
      </c>
      <c r="D3087" s="460"/>
      <c r="E3087" s="878" t="s">
        <v>1909</v>
      </c>
      <c r="F3087" s="881" t="s">
        <v>3688</v>
      </c>
      <c r="G3087" s="731" t="s">
        <v>5105</v>
      </c>
      <c r="H3087" s="1083">
        <v>42370</v>
      </c>
      <c r="I3087" s="1084">
        <v>42480</v>
      </c>
      <c r="J3087" s="957">
        <v>523.66</v>
      </c>
    </row>
    <row r="3088" spans="1:10" s="852" customFormat="1" ht="28.5" outlineLevel="2">
      <c r="A3088" s="815" t="s">
        <v>800</v>
      </c>
      <c r="B3088" s="816" t="s">
        <v>7865</v>
      </c>
      <c r="C3088" s="729" t="s">
        <v>799</v>
      </c>
      <c r="D3088" s="460"/>
      <c r="E3088" s="878" t="s">
        <v>1909</v>
      </c>
      <c r="F3088" s="881" t="s">
        <v>4760</v>
      </c>
      <c r="G3088" s="731" t="s">
        <v>5110</v>
      </c>
      <c r="H3088" s="1083">
        <v>42401</v>
      </c>
      <c r="I3088" s="1084">
        <v>42480</v>
      </c>
      <c r="J3088" s="957">
        <v>11837.97</v>
      </c>
    </row>
    <row r="3089" spans="1:10" s="852" customFormat="1" ht="28.5" outlineLevel="2">
      <c r="A3089" s="815" t="s">
        <v>800</v>
      </c>
      <c r="B3089" s="816" t="s">
        <v>7865</v>
      </c>
      <c r="C3089" s="729" t="s">
        <v>799</v>
      </c>
      <c r="D3089" s="460"/>
      <c r="E3089" s="878" t="s">
        <v>1909</v>
      </c>
      <c r="F3089" s="881" t="s">
        <v>4850</v>
      </c>
      <c r="G3089" s="731" t="s">
        <v>5111</v>
      </c>
      <c r="H3089" s="1083">
        <v>42401</v>
      </c>
      <c r="I3089" s="1084">
        <v>42480</v>
      </c>
      <c r="J3089" s="957">
        <v>11841.52</v>
      </c>
    </row>
    <row r="3090" spans="1:10" s="852" customFormat="1" ht="28.5" outlineLevel="2">
      <c r="A3090" s="815" t="s">
        <v>800</v>
      </c>
      <c r="B3090" s="816" t="s">
        <v>7865</v>
      </c>
      <c r="C3090" s="729" t="s">
        <v>799</v>
      </c>
      <c r="D3090" s="460"/>
      <c r="E3090" s="878" t="s">
        <v>1909</v>
      </c>
      <c r="F3090" s="881" t="s">
        <v>4758</v>
      </c>
      <c r="G3090" s="731" t="s">
        <v>5109</v>
      </c>
      <c r="H3090" s="1083">
        <v>42401</v>
      </c>
      <c r="I3090" s="1084">
        <v>42480</v>
      </c>
      <c r="J3090" s="957">
        <f>11837.97+1.47</f>
        <v>11839.439999999999</v>
      </c>
    </row>
    <row r="3091" spans="1:10" s="852" customFormat="1" outlineLevel="2">
      <c r="A3091" s="815" t="s">
        <v>800</v>
      </c>
      <c r="B3091" s="816" t="s">
        <v>7865</v>
      </c>
      <c r="C3091" s="729" t="s">
        <v>799</v>
      </c>
      <c r="D3091" s="460"/>
      <c r="E3091" s="878" t="s">
        <v>493</v>
      </c>
      <c r="F3091" s="881" t="s">
        <v>1094</v>
      </c>
      <c r="G3091" s="731" t="s">
        <v>5835</v>
      </c>
      <c r="H3091" s="1083">
        <v>42430</v>
      </c>
      <c r="I3091" s="1084">
        <v>42489</v>
      </c>
      <c r="J3091" s="957">
        <v>208457.96</v>
      </c>
    </row>
    <row r="3092" spans="1:10" s="852" customFormat="1" outlineLevel="2">
      <c r="A3092" s="815" t="s">
        <v>800</v>
      </c>
      <c r="B3092" s="816" t="s">
        <v>7865</v>
      </c>
      <c r="C3092" s="729" t="s">
        <v>799</v>
      </c>
      <c r="D3092" s="460"/>
      <c r="E3092" s="878" t="s">
        <v>488</v>
      </c>
      <c r="F3092" s="881" t="s">
        <v>1094</v>
      </c>
      <c r="G3092" s="731" t="s">
        <v>5848</v>
      </c>
      <c r="H3092" s="1083">
        <v>42430</v>
      </c>
      <c r="I3092" s="1084">
        <v>42489</v>
      </c>
      <c r="J3092" s="957">
        <v>208520.49</v>
      </c>
    </row>
    <row r="3093" spans="1:10" s="852" customFormat="1" outlineLevel="2">
      <c r="A3093" s="815" t="s">
        <v>800</v>
      </c>
      <c r="B3093" s="816" t="s">
        <v>7865</v>
      </c>
      <c r="C3093" s="729" t="s">
        <v>799</v>
      </c>
      <c r="D3093" s="460"/>
      <c r="E3093" s="878" t="s">
        <v>589</v>
      </c>
      <c r="F3093" s="881" t="s">
        <v>1094</v>
      </c>
      <c r="G3093" s="731" t="s">
        <v>5871</v>
      </c>
      <c r="H3093" s="1083">
        <v>42430</v>
      </c>
      <c r="I3093" s="1084">
        <v>42489</v>
      </c>
      <c r="J3093" s="957">
        <v>224022.45</v>
      </c>
    </row>
    <row r="3094" spans="1:10" s="852" customFormat="1" outlineLevel="1">
      <c r="A3094" s="815"/>
      <c r="B3094" s="816" t="s">
        <v>258</v>
      </c>
      <c r="C3094" s="908" t="s">
        <v>799</v>
      </c>
      <c r="D3094" s="928" t="str">
        <f>VLOOKUP(C3094,$C$3691:$D$3771,2,FALSE)</f>
        <v>TOTAL POUPATEMPO  SÃO JOSÉ DO RIO PRETO</v>
      </c>
      <c r="E3094" s="1085"/>
      <c r="F3094" s="929"/>
      <c r="G3094" s="910"/>
      <c r="H3094" s="1086"/>
      <c r="I3094" s="1087"/>
      <c r="J3094" s="930">
        <f>SUBTOTAL(9,J3039:J3093)</f>
        <v>843518.2</v>
      </c>
    </row>
    <row r="3095" spans="1:10" s="852" customFormat="1" outlineLevel="2">
      <c r="A3095" s="815" t="s">
        <v>6451</v>
      </c>
      <c r="B3095" s="816" t="s">
        <v>7863</v>
      </c>
      <c r="C3095" s="729" t="s">
        <v>804</v>
      </c>
      <c r="D3095" s="460"/>
      <c r="E3095" s="878" t="s">
        <v>483</v>
      </c>
      <c r="F3095" s="881" t="s">
        <v>2208</v>
      </c>
      <c r="G3095" s="731" t="str">
        <f>"16996"</f>
        <v>16996</v>
      </c>
      <c r="H3095" s="1083">
        <v>42401</v>
      </c>
      <c r="I3095" s="1084">
        <v>42473</v>
      </c>
      <c r="J3095" s="957">
        <v>35035.42</v>
      </c>
    </row>
    <row r="3096" spans="1:10" s="852" customFormat="1" outlineLevel="2">
      <c r="A3096" s="815" t="s">
        <v>5941</v>
      </c>
      <c r="B3096" s="816" t="s">
        <v>7864</v>
      </c>
      <c r="C3096" s="729" t="s">
        <v>804</v>
      </c>
      <c r="D3096" s="460"/>
      <c r="E3096" s="878" t="s">
        <v>6470</v>
      </c>
      <c r="F3096" s="881" t="s">
        <v>434</v>
      </c>
      <c r="G3096" s="731" t="str">
        <f>"2623"</f>
        <v>2623</v>
      </c>
      <c r="H3096" s="1083">
        <v>42370</v>
      </c>
      <c r="I3096" s="1084">
        <v>42478</v>
      </c>
      <c r="J3096" s="957">
        <v>-3356.11</v>
      </c>
    </row>
    <row r="3097" spans="1:10" s="852" customFormat="1" outlineLevel="2">
      <c r="A3097" s="815" t="s">
        <v>5941</v>
      </c>
      <c r="B3097" s="816" t="s">
        <v>7864</v>
      </c>
      <c r="C3097" s="729" t="s">
        <v>804</v>
      </c>
      <c r="D3097" s="460"/>
      <c r="E3097" s="878" t="s">
        <v>6470</v>
      </c>
      <c r="F3097" s="881" t="s">
        <v>434</v>
      </c>
      <c r="G3097" s="731" t="str">
        <f>"2623"</f>
        <v>2623</v>
      </c>
      <c r="H3097" s="1083">
        <v>42370</v>
      </c>
      <c r="I3097" s="1084">
        <v>42478</v>
      </c>
      <c r="J3097" s="957">
        <v>3356.11</v>
      </c>
    </row>
    <row r="3098" spans="1:10" s="852" customFormat="1" outlineLevel="2">
      <c r="A3098" s="815" t="s">
        <v>5941</v>
      </c>
      <c r="B3098" s="816" t="s">
        <v>7864</v>
      </c>
      <c r="C3098" s="729" t="s">
        <v>804</v>
      </c>
      <c r="D3098" s="460"/>
      <c r="E3098" s="878" t="s">
        <v>6470</v>
      </c>
      <c r="F3098" s="881" t="s">
        <v>434</v>
      </c>
      <c r="G3098" s="731" t="str">
        <f>"2623"</f>
        <v>2623</v>
      </c>
      <c r="H3098" s="1083">
        <v>42370</v>
      </c>
      <c r="I3098" s="1084">
        <v>42478</v>
      </c>
      <c r="J3098" s="957">
        <v>3356.11</v>
      </c>
    </row>
    <row r="3099" spans="1:10" s="852" customFormat="1" outlineLevel="2">
      <c r="A3099" s="815" t="s">
        <v>5941</v>
      </c>
      <c r="B3099" s="816" t="s">
        <v>7864</v>
      </c>
      <c r="C3099" s="729" t="s">
        <v>804</v>
      </c>
      <c r="D3099" s="460"/>
      <c r="E3099" s="878" t="s">
        <v>6470</v>
      </c>
      <c r="F3099" s="881" t="s">
        <v>434</v>
      </c>
      <c r="G3099" s="731" t="str">
        <f>"2623"</f>
        <v>2623</v>
      </c>
      <c r="H3099" s="1083">
        <v>42370</v>
      </c>
      <c r="I3099" s="1084">
        <v>42478</v>
      </c>
      <c r="J3099" s="957">
        <v>3356.11</v>
      </c>
    </row>
    <row r="3100" spans="1:10" s="852" customFormat="1" outlineLevel="2">
      <c r="A3100" s="815" t="s">
        <v>5941</v>
      </c>
      <c r="B3100" s="816" t="s">
        <v>7864</v>
      </c>
      <c r="C3100" s="729" t="s">
        <v>804</v>
      </c>
      <c r="D3100" s="460"/>
      <c r="E3100" s="878" t="s">
        <v>6470</v>
      </c>
      <c r="F3100" s="881" t="s">
        <v>434</v>
      </c>
      <c r="G3100" s="731" t="str">
        <f>"2623"</f>
        <v>2623</v>
      </c>
      <c r="H3100" s="1083">
        <v>42370</v>
      </c>
      <c r="I3100" s="1084">
        <v>42478</v>
      </c>
      <c r="J3100" s="957">
        <v>-3356.11</v>
      </c>
    </row>
    <row r="3101" spans="1:10" s="852" customFormat="1" ht="28.5" outlineLevel="2">
      <c r="A3101" s="815" t="s">
        <v>2215</v>
      </c>
      <c r="B3101" s="816" t="s">
        <v>7865</v>
      </c>
      <c r="C3101" s="729" t="s">
        <v>804</v>
      </c>
      <c r="D3101" s="460"/>
      <c r="E3101" s="878" t="s">
        <v>2336</v>
      </c>
      <c r="F3101" s="881" t="s">
        <v>6072</v>
      </c>
      <c r="G3101" s="731" t="s">
        <v>5112</v>
      </c>
      <c r="H3101" s="1083">
        <v>42401</v>
      </c>
      <c r="I3101" s="1084">
        <v>42480</v>
      </c>
      <c r="J3101" s="957">
        <v>24793.54</v>
      </c>
    </row>
    <row r="3102" spans="1:10" s="852" customFormat="1" outlineLevel="2">
      <c r="A3102" s="815" t="s">
        <v>805</v>
      </c>
      <c r="B3102" s="816" t="s">
        <v>7863</v>
      </c>
      <c r="C3102" s="729" t="s">
        <v>804</v>
      </c>
      <c r="D3102" s="460"/>
      <c r="E3102" s="878" t="s">
        <v>2336</v>
      </c>
      <c r="F3102" s="881" t="s">
        <v>4440</v>
      </c>
      <c r="G3102" s="731" t="s">
        <v>5119</v>
      </c>
      <c r="H3102" s="1083">
        <v>42401</v>
      </c>
      <c r="I3102" s="1084">
        <v>42480</v>
      </c>
      <c r="J3102" s="957">
        <v>4737.43</v>
      </c>
    </row>
    <row r="3103" spans="1:10" s="852" customFormat="1" outlineLevel="2">
      <c r="A3103" s="815" t="s">
        <v>2278</v>
      </c>
      <c r="B3103" s="816" t="s">
        <v>7864</v>
      </c>
      <c r="C3103" s="729" t="s">
        <v>804</v>
      </c>
      <c r="D3103" s="460"/>
      <c r="E3103" s="878" t="s">
        <v>2336</v>
      </c>
      <c r="F3103" s="881" t="s">
        <v>3751</v>
      </c>
      <c r="G3103" s="731" t="s">
        <v>5117</v>
      </c>
      <c r="H3103" s="1083">
        <v>42401</v>
      </c>
      <c r="I3103" s="1084">
        <v>42480</v>
      </c>
      <c r="J3103" s="957">
        <v>471.18</v>
      </c>
    </row>
    <row r="3104" spans="1:10" s="852" customFormat="1" outlineLevel="2">
      <c r="A3104" s="815" t="s">
        <v>2278</v>
      </c>
      <c r="B3104" s="816" t="s">
        <v>7864</v>
      </c>
      <c r="C3104" s="729" t="s">
        <v>804</v>
      </c>
      <c r="D3104" s="460"/>
      <c r="E3104" s="878" t="s">
        <v>2336</v>
      </c>
      <c r="F3104" s="881" t="s">
        <v>3403</v>
      </c>
      <c r="G3104" s="731" t="s">
        <v>5115</v>
      </c>
      <c r="H3104" s="1083">
        <v>42401</v>
      </c>
      <c r="I3104" s="1084">
        <v>42480</v>
      </c>
      <c r="J3104" s="957">
        <v>309.99</v>
      </c>
    </row>
    <row r="3105" spans="1:10" s="852" customFormat="1" outlineLevel="2">
      <c r="A3105" s="815" t="s">
        <v>2278</v>
      </c>
      <c r="B3105" s="816" t="s">
        <v>7864</v>
      </c>
      <c r="C3105" s="729" t="s">
        <v>804</v>
      </c>
      <c r="D3105" s="460"/>
      <c r="E3105" s="878" t="s">
        <v>2336</v>
      </c>
      <c r="F3105" s="881" t="s">
        <v>3251</v>
      </c>
      <c r="G3105" s="731" t="s">
        <v>5114</v>
      </c>
      <c r="H3105" s="1083">
        <v>42401</v>
      </c>
      <c r="I3105" s="1084">
        <v>42480</v>
      </c>
      <c r="J3105" s="957">
        <v>458.78</v>
      </c>
    </row>
    <row r="3106" spans="1:10" s="852" customFormat="1" outlineLevel="2">
      <c r="A3106" s="815" t="s">
        <v>5941</v>
      </c>
      <c r="B3106" s="816" t="s">
        <v>7864</v>
      </c>
      <c r="C3106" s="729" t="s">
        <v>804</v>
      </c>
      <c r="D3106" s="460"/>
      <c r="E3106" s="878" t="s">
        <v>2717</v>
      </c>
      <c r="F3106" s="881" t="s">
        <v>434</v>
      </c>
      <c r="G3106" s="731" t="str">
        <f>"3545"</f>
        <v>3545</v>
      </c>
      <c r="H3106" s="1083">
        <v>42401</v>
      </c>
      <c r="I3106" s="1084">
        <v>42467</v>
      </c>
      <c r="J3106" s="957">
        <v>2207.96</v>
      </c>
    </row>
    <row r="3107" spans="1:10" s="852" customFormat="1" outlineLevel="2">
      <c r="A3107" s="815" t="s">
        <v>5941</v>
      </c>
      <c r="B3107" s="816" t="s">
        <v>7864</v>
      </c>
      <c r="C3107" s="729" t="s">
        <v>804</v>
      </c>
      <c r="D3107" s="460"/>
      <c r="E3107" s="878" t="s">
        <v>409</v>
      </c>
      <c r="F3107" s="881" t="s">
        <v>434</v>
      </c>
      <c r="G3107" s="731" t="str">
        <f>"6702"</f>
        <v>6702</v>
      </c>
      <c r="H3107" s="1083">
        <v>42401</v>
      </c>
      <c r="I3107" s="1084">
        <v>42475</v>
      </c>
      <c r="J3107" s="957">
        <v>3267.78</v>
      </c>
    </row>
    <row r="3108" spans="1:10" s="852" customFormat="1" outlineLevel="2">
      <c r="A3108" s="815" t="s">
        <v>1029</v>
      </c>
      <c r="B3108" s="816" t="s">
        <v>7866</v>
      </c>
      <c r="C3108" s="729" t="s">
        <v>804</v>
      </c>
      <c r="D3108" s="460"/>
      <c r="E3108" s="878" t="s">
        <v>2282</v>
      </c>
      <c r="F3108" s="881" t="s">
        <v>3974</v>
      </c>
      <c r="G3108" s="731" t="s">
        <v>2779</v>
      </c>
      <c r="H3108" s="1083">
        <v>42401</v>
      </c>
      <c r="I3108" s="1084">
        <v>42471</v>
      </c>
      <c r="J3108" s="957">
        <v>433.64</v>
      </c>
    </row>
    <row r="3109" spans="1:10" s="852" customFormat="1" outlineLevel="2">
      <c r="A3109" s="815" t="s">
        <v>1029</v>
      </c>
      <c r="B3109" s="816" t="s">
        <v>7866</v>
      </c>
      <c r="C3109" s="729" t="s">
        <v>804</v>
      </c>
      <c r="D3109" s="460"/>
      <c r="E3109" s="878" t="s">
        <v>2282</v>
      </c>
      <c r="F3109" s="881" t="s">
        <v>4081</v>
      </c>
      <c r="G3109" s="731" t="s">
        <v>2781</v>
      </c>
      <c r="H3109" s="1083">
        <v>42401</v>
      </c>
      <c r="I3109" s="1084">
        <v>42471</v>
      </c>
      <c r="J3109" s="957">
        <v>13.86</v>
      </c>
    </row>
    <row r="3110" spans="1:10" s="852" customFormat="1" outlineLevel="2">
      <c r="A3110" s="815" t="s">
        <v>1029</v>
      </c>
      <c r="B3110" s="816" t="s">
        <v>7866</v>
      </c>
      <c r="C3110" s="729" t="s">
        <v>804</v>
      </c>
      <c r="D3110" s="460"/>
      <c r="E3110" s="878" t="s">
        <v>2282</v>
      </c>
      <c r="F3110" s="881" t="s">
        <v>4165</v>
      </c>
      <c r="G3110" s="731" t="s">
        <v>2782</v>
      </c>
      <c r="H3110" s="1083">
        <v>42401</v>
      </c>
      <c r="I3110" s="1084">
        <v>42471</v>
      </c>
      <c r="J3110" s="957">
        <v>163.61000000000001</v>
      </c>
    </row>
    <row r="3111" spans="1:10" s="852" customFormat="1" ht="28.5" outlineLevel="2">
      <c r="A3111" s="815" t="s">
        <v>2215</v>
      </c>
      <c r="B3111" s="816" t="s">
        <v>7865</v>
      </c>
      <c r="C3111" s="729" t="s">
        <v>804</v>
      </c>
      <c r="D3111" s="460"/>
      <c r="E3111" s="878" t="s">
        <v>2353</v>
      </c>
      <c r="F3111" s="881" t="s">
        <v>6191</v>
      </c>
      <c r="G3111" s="731" t="s">
        <v>5122</v>
      </c>
      <c r="H3111" s="1083">
        <v>42401</v>
      </c>
      <c r="I3111" s="1084">
        <v>42480</v>
      </c>
      <c r="J3111" s="957">
        <v>11269.79</v>
      </c>
    </row>
    <row r="3112" spans="1:10" s="852" customFormat="1" outlineLevel="2">
      <c r="A3112" s="815" t="s">
        <v>805</v>
      </c>
      <c r="B3112" s="816" t="s">
        <v>7863</v>
      </c>
      <c r="C3112" s="729" t="s">
        <v>804</v>
      </c>
      <c r="D3112" s="460"/>
      <c r="E3112" s="878" t="s">
        <v>2353</v>
      </c>
      <c r="F3112" s="881" t="s">
        <v>3243</v>
      </c>
      <c r="G3112" s="731" t="s">
        <v>5123</v>
      </c>
      <c r="H3112" s="1083">
        <v>42401</v>
      </c>
      <c r="I3112" s="1084">
        <v>42480</v>
      </c>
      <c r="J3112" s="957">
        <v>861.34</v>
      </c>
    </row>
    <row r="3113" spans="1:10" s="852" customFormat="1" outlineLevel="2">
      <c r="A3113" s="815" t="s">
        <v>2278</v>
      </c>
      <c r="B3113" s="816" t="s">
        <v>7864</v>
      </c>
      <c r="C3113" s="729" t="s">
        <v>804</v>
      </c>
      <c r="D3113" s="460"/>
      <c r="E3113" s="878" t="s">
        <v>2353</v>
      </c>
      <c r="F3113" s="881" t="s">
        <v>3252</v>
      </c>
      <c r="G3113" s="731" t="s">
        <v>5124</v>
      </c>
      <c r="H3113" s="1083">
        <v>42401</v>
      </c>
      <c r="I3113" s="1084">
        <v>42480</v>
      </c>
      <c r="J3113" s="957">
        <v>208.54</v>
      </c>
    </row>
    <row r="3114" spans="1:10" s="852" customFormat="1" outlineLevel="2">
      <c r="A3114" s="815" t="s">
        <v>2278</v>
      </c>
      <c r="B3114" s="816" t="s">
        <v>7864</v>
      </c>
      <c r="C3114" s="729" t="s">
        <v>804</v>
      </c>
      <c r="D3114" s="460"/>
      <c r="E3114" s="878" t="s">
        <v>2353</v>
      </c>
      <c r="F3114" s="881" t="s">
        <v>3405</v>
      </c>
      <c r="G3114" s="731" t="s">
        <v>5126</v>
      </c>
      <c r="H3114" s="1083">
        <v>42401</v>
      </c>
      <c r="I3114" s="1084">
        <v>42480</v>
      </c>
      <c r="J3114" s="957">
        <v>140.9</v>
      </c>
    </row>
    <row r="3115" spans="1:10" s="852" customFormat="1" outlineLevel="2">
      <c r="A3115" s="815" t="s">
        <v>2278</v>
      </c>
      <c r="B3115" s="816" t="s">
        <v>7864</v>
      </c>
      <c r="C3115" s="729" t="s">
        <v>804</v>
      </c>
      <c r="D3115" s="460"/>
      <c r="E3115" s="878" t="s">
        <v>2353</v>
      </c>
      <c r="F3115" s="881" t="s">
        <v>3752</v>
      </c>
      <c r="G3115" s="731" t="s">
        <v>5128</v>
      </c>
      <c r="H3115" s="1083">
        <v>42401</v>
      </c>
      <c r="I3115" s="1084">
        <v>42480</v>
      </c>
      <c r="J3115" s="957">
        <v>214.17</v>
      </c>
    </row>
    <row r="3116" spans="1:10" s="852" customFormat="1" ht="28.5" outlineLevel="2">
      <c r="A3116" s="815" t="s">
        <v>2215</v>
      </c>
      <c r="B3116" s="816" t="s">
        <v>7865</v>
      </c>
      <c r="C3116" s="729" t="s">
        <v>804</v>
      </c>
      <c r="D3116" s="460"/>
      <c r="E3116" s="878" t="s">
        <v>1909</v>
      </c>
      <c r="F3116" s="881" t="s">
        <v>6382</v>
      </c>
      <c r="G3116" s="731" t="s">
        <v>5134</v>
      </c>
      <c r="H3116" s="1083">
        <v>42401</v>
      </c>
      <c r="I3116" s="1084">
        <v>42480</v>
      </c>
      <c r="J3116" s="957">
        <v>3380.94</v>
      </c>
    </row>
    <row r="3117" spans="1:10" s="852" customFormat="1" outlineLevel="2">
      <c r="A3117" s="815" t="s">
        <v>1029</v>
      </c>
      <c r="B3117" s="816" t="s">
        <v>7866</v>
      </c>
      <c r="C3117" s="729" t="s">
        <v>804</v>
      </c>
      <c r="D3117" s="460"/>
      <c r="E3117" s="878" t="s">
        <v>1909</v>
      </c>
      <c r="F3117" s="881" t="s">
        <v>3935</v>
      </c>
      <c r="G3117" s="731" t="s">
        <v>2817</v>
      </c>
      <c r="H3117" s="1083">
        <v>42401</v>
      </c>
      <c r="I3117" s="1084">
        <v>42480</v>
      </c>
      <c r="J3117" s="957">
        <v>130.09</v>
      </c>
    </row>
    <row r="3118" spans="1:10" s="852" customFormat="1" outlineLevel="2">
      <c r="A3118" s="815" t="s">
        <v>1029</v>
      </c>
      <c r="B3118" s="816" t="s">
        <v>7866</v>
      </c>
      <c r="C3118" s="729" t="s">
        <v>804</v>
      </c>
      <c r="D3118" s="460"/>
      <c r="E3118" s="878" t="s">
        <v>1909</v>
      </c>
      <c r="F3118" s="881" t="s">
        <v>4027</v>
      </c>
      <c r="G3118" s="731" t="s">
        <v>2819</v>
      </c>
      <c r="H3118" s="1083">
        <v>42401</v>
      </c>
      <c r="I3118" s="1084">
        <v>42480</v>
      </c>
      <c r="J3118" s="957">
        <v>4.16</v>
      </c>
    </row>
    <row r="3119" spans="1:10" s="852" customFormat="1" outlineLevel="2">
      <c r="A3119" s="815" t="s">
        <v>1029</v>
      </c>
      <c r="B3119" s="816" t="s">
        <v>7866</v>
      </c>
      <c r="C3119" s="729" t="s">
        <v>804</v>
      </c>
      <c r="D3119" s="460"/>
      <c r="E3119" s="878" t="s">
        <v>1909</v>
      </c>
      <c r="F3119" s="881" t="s">
        <v>4129</v>
      </c>
      <c r="G3119" s="731" t="s">
        <v>2821</v>
      </c>
      <c r="H3119" s="1083">
        <v>42401</v>
      </c>
      <c r="I3119" s="1084">
        <v>42480</v>
      </c>
      <c r="J3119" s="957">
        <v>49.08</v>
      </c>
    </row>
    <row r="3120" spans="1:10" s="852" customFormat="1" outlineLevel="2">
      <c r="A3120" s="815" t="s">
        <v>805</v>
      </c>
      <c r="B3120" s="816" t="s">
        <v>7863</v>
      </c>
      <c r="C3120" s="729" t="s">
        <v>804</v>
      </c>
      <c r="D3120" s="460"/>
      <c r="E3120" s="878" t="s">
        <v>1909</v>
      </c>
      <c r="F3120" s="881" t="s">
        <v>4438</v>
      </c>
      <c r="G3120" s="731" t="s">
        <v>5152</v>
      </c>
      <c r="H3120" s="1083">
        <v>42401</v>
      </c>
      <c r="I3120" s="1084">
        <v>42480</v>
      </c>
      <c r="J3120" s="957">
        <v>430.68</v>
      </c>
    </row>
    <row r="3121" spans="1:10" s="852" customFormat="1" outlineLevel="2">
      <c r="A3121" s="815" t="s">
        <v>2278</v>
      </c>
      <c r="B3121" s="816" t="s">
        <v>7864</v>
      </c>
      <c r="C3121" s="729" t="s">
        <v>804</v>
      </c>
      <c r="D3121" s="460"/>
      <c r="E3121" s="878" t="s">
        <v>1909</v>
      </c>
      <c r="F3121" s="881" t="s">
        <v>3749</v>
      </c>
      <c r="G3121" s="731" t="s">
        <v>5145</v>
      </c>
      <c r="H3121" s="1083">
        <v>42401</v>
      </c>
      <c r="I3121" s="1084">
        <v>42480</v>
      </c>
      <c r="J3121" s="957">
        <v>42.83</v>
      </c>
    </row>
    <row r="3122" spans="1:10" s="852" customFormat="1" outlineLevel="2">
      <c r="A3122" s="815" t="s">
        <v>2278</v>
      </c>
      <c r="B3122" s="816" t="s">
        <v>7864</v>
      </c>
      <c r="C3122" s="729" t="s">
        <v>804</v>
      </c>
      <c r="D3122" s="460"/>
      <c r="E3122" s="878" t="s">
        <v>1909</v>
      </c>
      <c r="F3122" s="881" t="s">
        <v>3401</v>
      </c>
      <c r="G3122" s="731" t="s">
        <v>5141</v>
      </c>
      <c r="H3122" s="1083">
        <v>42401</v>
      </c>
      <c r="I3122" s="1084">
        <v>42480</v>
      </c>
      <c r="J3122" s="957">
        <v>28.18</v>
      </c>
    </row>
    <row r="3123" spans="1:10" s="852" customFormat="1" outlineLevel="2">
      <c r="A3123" s="815" t="s">
        <v>2278</v>
      </c>
      <c r="B3123" s="816" t="s">
        <v>7864</v>
      </c>
      <c r="C3123" s="729" t="s">
        <v>804</v>
      </c>
      <c r="D3123" s="460"/>
      <c r="E3123" s="878" t="s">
        <v>1909</v>
      </c>
      <c r="F3123" s="881" t="s">
        <v>3249</v>
      </c>
      <c r="G3123" s="731" t="s">
        <v>5140</v>
      </c>
      <c r="H3123" s="1083">
        <v>42401</v>
      </c>
      <c r="I3123" s="1084">
        <v>42480</v>
      </c>
      <c r="J3123" s="957">
        <v>41.71</v>
      </c>
    </row>
    <row r="3124" spans="1:10" s="852" customFormat="1" ht="28.5" outlineLevel="2">
      <c r="A3124" s="815" t="s">
        <v>2215</v>
      </c>
      <c r="B3124" s="816" t="s">
        <v>7865</v>
      </c>
      <c r="C3124" s="729" t="s">
        <v>804</v>
      </c>
      <c r="D3124" s="460"/>
      <c r="E3124" s="878" t="s">
        <v>1909</v>
      </c>
      <c r="F3124" s="881" t="s">
        <v>6380</v>
      </c>
      <c r="G3124" s="731" t="s">
        <v>5130</v>
      </c>
      <c r="H3124" s="1083">
        <v>42339</v>
      </c>
      <c r="I3124" s="1084">
        <v>42480</v>
      </c>
      <c r="J3124" s="957">
        <v>10480.9</v>
      </c>
    </row>
    <row r="3125" spans="1:10" s="852" customFormat="1" ht="28.5" outlineLevel="2">
      <c r="A3125" s="815" t="s">
        <v>2215</v>
      </c>
      <c r="B3125" s="816" t="s">
        <v>7865</v>
      </c>
      <c r="C3125" s="729" t="s">
        <v>804</v>
      </c>
      <c r="D3125" s="460"/>
      <c r="E3125" s="878" t="s">
        <v>1909</v>
      </c>
      <c r="F3125" s="881" t="s">
        <v>4748</v>
      </c>
      <c r="G3125" s="731" t="s">
        <v>5154</v>
      </c>
      <c r="H3125" s="1083">
        <v>42401</v>
      </c>
      <c r="I3125" s="1084">
        <v>42480</v>
      </c>
      <c r="J3125" s="957">
        <v>10480.9</v>
      </c>
    </row>
    <row r="3126" spans="1:10" s="852" customFormat="1" ht="28.5" outlineLevel="2">
      <c r="A3126" s="815" t="s">
        <v>1029</v>
      </c>
      <c r="B3126" s="816" t="s">
        <v>7866</v>
      </c>
      <c r="C3126" s="729" t="s">
        <v>804</v>
      </c>
      <c r="D3126" s="460"/>
      <c r="E3126" s="878" t="s">
        <v>1909</v>
      </c>
      <c r="F3126" s="881" t="s">
        <v>4956</v>
      </c>
      <c r="G3126" s="731" t="s">
        <v>2833</v>
      </c>
      <c r="H3126" s="1083">
        <v>42401</v>
      </c>
      <c r="I3126" s="1084">
        <v>42480</v>
      </c>
      <c r="J3126" s="957">
        <v>403.28</v>
      </c>
    </row>
    <row r="3127" spans="1:10" s="852" customFormat="1" ht="28.5" outlineLevel="2">
      <c r="A3127" s="815" t="s">
        <v>1029</v>
      </c>
      <c r="B3127" s="816" t="s">
        <v>7866</v>
      </c>
      <c r="C3127" s="729" t="s">
        <v>804</v>
      </c>
      <c r="D3127" s="460"/>
      <c r="E3127" s="878" t="s">
        <v>1909</v>
      </c>
      <c r="F3127" s="881" t="s">
        <v>4903</v>
      </c>
      <c r="G3127" s="731" t="s">
        <v>2832</v>
      </c>
      <c r="H3127" s="1083">
        <v>42401</v>
      </c>
      <c r="I3127" s="1084">
        <v>42480</v>
      </c>
      <c r="J3127" s="957">
        <v>12.89</v>
      </c>
    </row>
    <row r="3128" spans="1:10" s="852" customFormat="1" ht="28.5" outlineLevel="2">
      <c r="A3128" s="815" t="s">
        <v>1029</v>
      </c>
      <c r="B3128" s="816" t="s">
        <v>7866</v>
      </c>
      <c r="C3128" s="729" t="s">
        <v>804</v>
      </c>
      <c r="D3128" s="460"/>
      <c r="E3128" s="878" t="s">
        <v>1909</v>
      </c>
      <c r="F3128" s="881" t="s">
        <v>4853</v>
      </c>
      <c r="G3128" s="731" t="s">
        <v>2831</v>
      </c>
      <c r="H3128" s="1083">
        <v>42401</v>
      </c>
      <c r="I3128" s="1084">
        <v>42480</v>
      </c>
      <c r="J3128" s="957">
        <v>152.15</v>
      </c>
    </row>
    <row r="3129" spans="1:10" s="852" customFormat="1" ht="28.5" outlineLevel="2">
      <c r="A3129" s="815" t="s">
        <v>805</v>
      </c>
      <c r="B3129" s="816" t="s">
        <v>7863</v>
      </c>
      <c r="C3129" s="729" t="s">
        <v>804</v>
      </c>
      <c r="D3129" s="460"/>
      <c r="E3129" s="878" t="s">
        <v>1909</v>
      </c>
      <c r="F3129" s="881" t="s">
        <v>6381</v>
      </c>
      <c r="G3129" s="731" t="s">
        <v>5131</v>
      </c>
      <c r="H3129" s="1083">
        <v>42370</v>
      </c>
      <c r="I3129" s="1084">
        <v>42480</v>
      </c>
      <c r="J3129" s="957">
        <v>2124.11</v>
      </c>
    </row>
    <row r="3130" spans="1:10" s="852" customFormat="1" ht="28.5" outlineLevel="2">
      <c r="A3130" s="815" t="s">
        <v>805</v>
      </c>
      <c r="B3130" s="816" t="s">
        <v>7863</v>
      </c>
      <c r="C3130" s="729" t="s">
        <v>804</v>
      </c>
      <c r="D3130" s="460"/>
      <c r="E3130" s="878" t="s">
        <v>1909</v>
      </c>
      <c r="F3130" s="881" t="s">
        <v>6381</v>
      </c>
      <c r="G3130" s="731" t="s">
        <v>5132</v>
      </c>
      <c r="H3130" s="1083">
        <v>42370</v>
      </c>
      <c r="I3130" s="1084">
        <v>42480</v>
      </c>
      <c r="J3130" s="957">
        <v>-2124.11</v>
      </c>
    </row>
    <row r="3131" spans="1:10" s="852" customFormat="1" ht="28.5" outlineLevel="2">
      <c r="A3131" s="815" t="s">
        <v>805</v>
      </c>
      <c r="B3131" s="816" t="s">
        <v>7863</v>
      </c>
      <c r="C3131" s="729" t="s">
        <v>804</v>
      </c>
      <c r="D3131" s="460"/>
      <c r="E3131" s="878" t="s">
        <v>1909</v>
      </c>
      <c r="F3131" s="881" t="s">
        <v>6381</v>
      </c>
      <c r="G3131" s="731" t="s">
        <v>5133</v>
      </c>
      <c r="H3131" s="1083">
        <v>42370</v>
      </c>
      <c r="I3131" s="1084">
        <v>42480</v>
      </c>
      <c r="J3131" s="957">
        <v>2124.11</v>
      </c>
    </row>
    <row r="3132" spans="1:10" s="852" customFormat="1" ht="28.5" outlineLevel="2">
      <c r="A3132" s="815" t="s">
        <v>2278</v>
      </c>
      <c r="B3132" s="816" t="s">
        <v>7864</v>
      </c>
      <c r="C3132" s="729" t="s">
        <v>804</v>
      </c>
      <c r="D3132" s="460"/>
      <c r="E3132" s="878" t="s">
        <v>1909</v>
      </c>
      <c r="F3132" s="881" t="s">
        <v>2905</v>
      </c>
      <c r="G3132" s="731" t="s">
        <v>5135</v>
      </c>
      <c r="H3132" s="1083">
        <v>42370</v>
      </c>
      <c r="I3132" s="1084">
        <v>42480</v>
      </c>
      <c r="J3132" s="957">
        <v>-131.04</v>
      </c>
    </row>
    <row r="3133" spans="1:10" s="852" customFormat="1" ht="28.5" outlineLevel="2">
      <c r="A3133" s="815" t="s">
        <v>2278</v>
      </c>
      <c r="B3133" s="816" t="s">
        <v>7864</v>
      </c>
      <c r="C3133" s="729" t="s">
        <v>804</v>
      </c>
      <c r="D3133" s="460"/>
      <c r="E3133" s="878" t="s">
        <v>1909</v>
      </c>
      <c r="F3133" s="881" t="s">
        <v>2905</v>
      </c>
      <c r="G3133" s="731" t="s">
        <v>5136</v>
      </c>
      <c r="H3133" s="1083">
        <v>42370</v>
      </c>
      <c r="I3133" s="1084">
        <v>42480</v>
      </c>
      <c r="J3133" s="957">
        <v>-131.04</v>
      </c>
    </row>
    <row r="3134" spans="1:10" s="852" customFormat="1" ht="28.5" outlineLevel="2">
      <c r="A3134" s="815" t="s">
        <v>2278</v>
      </c>
      <c r="B3134" s="816" t="s">
        <v>7864</v>
      </c>
      <c r="C3134" s="729" t="s">
        <v>804</v>
      </c>
      <c r="D3134" s="460"/>
      <c r="E3134" s="878" t="s">
        <v>1909</v>
      </c>
      <c r="F3134" s="881" t="s">
        <v>2905</v>
      </c>
      <c r="G3134" s="731" t="s">
        <v>5137</v>
      </c>
      <c r="H3134" s="1083">
        <v>42370</v>
      </c>
      <c r="I3134" s="1084">
        <v>42480</v>
      </c>
      <c r="J3134" s="957">
        <v>131.04</v>
      </c>
    </row>
    <row r="3135" spans="1:10" s="852" customFormat="1" ht="28.5" outlineLevel="2">
      <c r="A3135" s="815" t="s">
        <v>2278</v>
      </c>
      <c r="B3135" s="816" t="s">
        <v>7864</v>
      </c>
      <c r="C3135" s="729" t="s">
        <v>804</v>
      </c>
      <c r="D3135" s="460"/>
      <c r="E3135" s="878" t="s">
        <v>1909</v>
      </c>
      <c r="F3135" s="881" t="s">
        <v>2905</v>
      </c>
      <c r="G3135" s="731" t="s">
        <v>5138</v>
      </c>
      <c r="H3135" s="1083">
        <v>42370</v>
      </c>
      <c r="I3135" s="1084">
        <v>42480</v>
      </c>
      <c r="J3135" s="957">
        <v>131.04</v>
      </c>
    </row>
    <row r="3136" spans="1:10" s="852" customFormat="1" ht="28.5" outlineLevel="2">
      <c r="A3136" s="815" t="s">
        <v>2278</v>
      </c>
      <c r="B3136" s="816" t="s">
        <v>7864</v>
      </c>
      <c r="C3136" s="729" t="s">
        <v>804</v>
      </c>
      <c r="D3136" s="460"/>
      <c r="E3136" s="878" t="s">
        <v>1909</v>
      </c>
      <c r="F3136" s="881" t="s">
        <v>2905</v>
      </c>
      <c r="G3136" s="731" t="s">
        <v>5139</v>
      </c>
      <c r="H3136" s="1083">
        <v>42370</v>
      </c>
      <c r="I3136" s="1084">
        <v>42480</v>
      </c>
      <c r="J3136" s="957">
        <v>131.04</v>
      </c>
    </row>
    <row r="3137" spans="1:10" s="852" customFormat="1" ht="28.5" outlineLevel="2">
      <c r="A3137" s="815" t="s">
        <v>2278</v>
      </c>
      <c r="B3137" s="816" t="s">
        <v>7864</v>
      </c>
      <c r="C3137" s="729" t="s">
        <v>804</v>
      </c>
      <c r="D3137" s="460"/>
      <c r="E3137" s="878" t="s">
        <v>1909</v>
      </c>
      <c r="F3137" s="881" t="s">
        <v>3573</v>
      </c>
      <c r="G3137" s="731" t="s">
        <v>5142</v>
      </c>
      <c r="H3137" s="1083">
        <v>42370</v>
      </c>
      <c r="I3137" s="1084">
        <v>42480</v>
      </c>
      <c r="J3137" s="957">
        <v>-193.94</v>
      </c>
    </row>
    <row r="3138" spans="1:10" s="852" customFormat="1" ht="28.5" outlineLevel="2">
      <c r="A3138" s="815" t="s">
        <v>2278</v>
      </c>
      <c r="B3138" s="816" t="s">
        <v>7864</v>
      </c>
      <c r="C3138" s="729" t="s">
        <v>804</v>
      </c>
      <c r="D3138" s="460"/>
      <c r="E3138" s="878" t="s">
        <v>1909</v>
      </c>
      <c r="F3138" s="881" t="s">
        <v>3573</v>
      </c>
      <c r="G3138" s="731" t="s">
        <v>5143</v>
      </c>
      <c r="H3138" s="1083">
        <v>42370</v>
      </c>
      <c r="I3138" s="1084">
        <v>42480</v>
      </c>
      <c r="J3138" s="957">
        <v>193.94</v>
      </c>
    </row>
    <row r="3139" spans="1:10" s="852" customFormat="1" ht="28.5" outlineLevel="2">
      <c r="A3139" s="815" t="s">
        <v>2278</v>
      </c>
      <c r="B3139" s="816" t="s">
        <v>7864</v>
      </c>
      <c r="C3139" s="729" t="s">
        <v>804</v>
      </c>
      <c r="D3139" s="460"/>
      <c r="E3139" s="878" t="s">
        <v>1909</v>
      </c>
      <c r="F3139" s="881" t="s">
        <v>3573</v>
      </c>
      <c r="G3139" s="731" t="s">
        <v>5147</v>
      </c>
      <c r="H3139" s="1083">
        <v>42370</v>
      </c>
      <c r="I3139" s="1084">
        <v>42480</v>
      </c>
      <c r="J3139" s="957">
        <v>193.94</v>
      </c>
    </row>
    <row r="3140" spans="1:10" s="852" customFormat="1" outlineLevel="1">
      <c r="A3140" s="815"/>
      <c r="B3140" s="816" t="s">
        <v>258</v>
      </c>
      <c r="C3140" s="908" t="s">
        <v>804</v>
      </c>
      <c r="D3140" s="928" t="str">
        <f>VLOOKUP(C3140,$C$3691:$D$3771,2,FALSE)</f>
        <v>TOTAL POUPATEMPO TAUBATÉ</v>
      </c>
      <c r="E3140" s="1085"/>
      <c r="F3140" s="929"/>
      <c r="G3140" s="910"/>
      <c r="H3140" s="1086"/>
      <c r="I3140" s="1087"/>
      <c r="J3140" s="930">
        <f>SUBTOTAL(9,J3095:J3139)</f>
        <v>116030.91999999995</v>
      </c>
    </row>
    <row r="3141" spans="1:10" s="852" customFormat="1" outlineLevel="2">
      <c r="A3141" s="815" t="s">
        <v>6437</v>
      </c>
      <c r="B3141" s="816" t="s">
        <v>7863</v>
      </c>
      <c r="C3141" s="729" t="s">
        <v>807</v>
      </c>
      <c r="D3141" s="460"/>
      <c r="E3141" s="878" t="s">
        <v>483</v>
      </c>
      <c r="F3141" s="881" t="s">
        <v>2208</v>
      </c>
      <c r="G3141" s="731" t="str">
        <f>"16982"</f>
        <v>16982</v>
      </c>
      <c r="H3141" s="1083">
        <v>42401</v>
      </c>
      <c r="I3141" s="1084">
        <v>42473</v>
      </c>
      <c r="J3141" s="957">
        <v>42498.28</v>
      </c>
    </row>
    <row r="3142" spans="1:10" s="852" customFormat="1" outlineLevel="2">
      <c r="A3142" s="815" t="s">
        <v>6472</v>
      </c>
      <c r="B3142" s="816" t="s">
        <v>7864</v>
      </c>
      <c r="C3142" s="729" t="s">
        <v>807</v>
      </c>
      <c r="D3142" s="460"/>
      <c r="E3142" s="878" t="s">
        <v>6470</v>
      </c>
      <c r="F3142" s="881" t="s">
        <v>434</v>
      </c>
      <c r="G3142" s="731" t="str">
        <f>"2631"</f>
        <v>2631</v>
      </c>
      <c r="H3142" s="1083">
        <v>42370</v>
      </c>
      <c r="I3142" s="1084">
        <v>42478</v>
      </c>
      <c r="J3142" s="957">
        <v>-4930.09</v>
      </c>
    </row>
    <row r="3143" spans="1:10" s="852" customFormat="1" outlineLevel="2">
      <c r="A3143" s="815" t="s">
        <v>6472</v>
      </c>
      <c r="B3143" s="816" t="s">
        <v>7864</v>
      </c>
      <c r="C3143" s="729" t="s">
        <v>807</v>
      </c>
      <c r="D3143" s="460"/>
      <c r="E3143" s="878" t="s">
        <v>6470</v>
      </c>
      <c r="F3143" s="881" t="s">
        <v>434</v>
      </c>
      <c r="G3143" s="731" t="str">
        <f>"2631"</f>
        <v>2631</v>
      </c>
      <c r="H3143" s="1083">
        <v>42370</v>
      </c>
      <c r="I3143" s="1084">
        <v>42478</v>
      </c>
      <c r="J3143" s="957">
        <v>4930.1000000000004</v>
      </c>
    </row>
    <row r="3144" spans="1:10" s="852" customFormat="1" outlineLevel="2">
      <c r="A3144" s="815" t="s">
        <v>6472</v>
      </c>
      <c r="B3144" s="816" t="s">
        <v>7864</v>
      </c>
      <c r="C3144" s="729" t="s">
        <v>807</v>
      </c>
      <c r="D3144" s="460"/>
      <c r="E3144" s="878" t="s">
        <v>6470</v>
      </c>
      <c r="F3144" s="881" t="s">
        <v>434</v>
      </c>
      <c r="G3144" s="731" t="str">
        <f>"2631"</f>
        <v>2631</v>
      </c>
      <c r="H3144" s="1083">
        <v>42370</v>
      </c>
      <c r="I3144" s="1084">
        <v>42478</v>
      </c>
      <c r="J3144" s="957">
        <v>4930.09</v>
      </c>
    </row>
    <row r="3145" spans="1:10" s="852" customFormat="1" outlineLevel="2">
      <c r="A3145" s="815" t="s">
        <v>6472</v>
      </c>
      <c r="B3145" s="816" t="s">
        <v>7864</v>
      </c>
      <c r="C3145" s="729" t="s">
        <v>807</v>
      </c>
      <c r="D3145" s="460"/>
      <c r="E3145" s="878" t="s">
        <v>6470</v>
      </c>
      <c r="F3145" s="881" t="s">
        <v>434</v>
      </c>
      <c r="G3145" s="731" t="str">
        <f>"2631"</f>
        <v>2631</v>
      </c>
      <c r="H3145" s="1083">
        <v>42370</v>
      </c>
      <c r="I3145" s="1084">
        <v>42478</v>
      </c>
      <c r="J3145" s="957">
        <v>4930.1000000000004</v>
      </c>
    </row>
    <row r="3146" spans="1:10" s="852" customFormat="1" outlineLevel="2">
      <c r="A3146" s="815" t="s">
        <v>6472</v>
      </c>
      <c r="B3146" s="816" t="s">
        <v>7864</v>
      </c>
      <c r="C3146" s="729" t="s">
        <v>807</v>
      </c>
      <c r="D3146" s="460"/>
      <c r="E3146" s="878" t="s">
        <v>6470</v>
      </c>
      <c r="F3146" s="881" t="s">
        <v>434</v>
      </c>
      <c r="G3146" s="731" t="str">
        <f>"2631"</f>
        <v>2631</v>
      </c>
      <c r="H3146" s="1083">
        <v>42370</v>
      </c>
      <c r="I3146" s="1084">
        <v>42478</v>
      </c>
      <c r="J3146" s="957">
        <v>-4930.1000000000004</v>
      </c>
    </row>
    <row r="3147" spans="1:10" s="852" customFormat="1" outlineLevel="2">
      <c r="A3147" s="815" t="s">
        <v>6472</v>
      </c>
      <c r="B3147" s="816" t="s">
        <v>7864</v>
      </c>
      <c r="C3147" s="729" t="s">
        <v>807</v>
      </c>
      <c r="D3147" s="460"/>
      <c r="E3147" s="878" t="s">
        <v>6470</v>
      </c>
      <c r="F3147" s="881" t="s">
        <v>434</v>
      </c>
      <c r="G3147" s="731" t="str">
        <f>"2678"</f>
        <v>2678</v>
      </c>
      <c r="H3147" s="1083">
        <v>42370</v>
      </c>
      <c r="I3147" s="1084">
        <v>42478</v>
      </c>
      <c r="J3147" s="957">
        <v>4930.09</v>
      </c>
    </row>
    <row r="3148" spans="1:10" s="852" customFormat="1" outlineLevel="2">
      <c r="A3148" s="815" t="s">
        <v>6472</v>
      </c>
      <c r="B3148" s="816" t="s">
        <v>7864</v>
      </c>
      <c r="C3148" s="729" t="s">
        <v>807</v>
      </c>
      <c r="D3148" s="460"/>
      <c r="E3148" s="878" t="s">
        <v>6470</v>
      </c>
      <c r="F3148" s="881" t="s">
        <v>434</v>
      </c>
      <c r="G3148" s="731" t="str">
        <f>"2678"</f>
        <v>2678</v>
      </c>
      <c r="H3148" s="1083">
        <v>42370</v>
      </c>
      <c r="I3148" s="1084">
        <v>42478</v>
      </c>
      <c r="J3148" s="957">
        <v>4930.09</v>
      </c>
    </row>
    <row r="3149" spans="1:10" s="852" customFormat="1" outlineLevel="2">
      <c r="A3149" s="815" t="s">
        <v>6472</v>
      </c>
      <c r="B3149" s="816" t="s">
        <v>7864</v>
      </c>
      <c r="C3149" s="729" t="s">
        <v>807</v>
      </c>
      <c r="D3149" s="460"/>
      <c r="E3149" s="878" t="s">
        <v>6470</v>
      </c>
      <c r="F3149" s="881" t="s">
        <v>434</v>
      </c>
      <c r="G3149" s="731" t="str">
        <f>"2678"</f>
        <v>2678</v>
      </c>
      <c r="H3149" s="1083">
        <v>42370</v>
      </c>
      <c r="I3149" s="1084">
        <v>42478</v>
      </c>
      <c r="J3149" s="957">
        <v>-4930.09</v>
      </c>
    </row>
    <row r="3150" spans="1:10" s="852" customFormat="1" outlineLevel="2">
      <c r="A3150" s="815" t="s">
        <v>6472</v>
      </c>
      <c r="B3150" s="816" t="s">
        <v>7864</v>
      </c>
      <c r="C3150" s="729" t="s">
        <v>807</v>
      </c>
      <c r="D3150" s="460"/>
      <c r="E3150" s="878" t="s">
        <v>6470</v>
      </c>
      <c r="F3150" s="881" t="s">
        <v>434</v>
      </c>
      <c r="G3150" s="731" t="str">
        <f>"2678"</f>
        <v>2678</v>
      </c>
      <c r="H3150" s="1083">
        <v>42370</v>
      </c>
      <c r="I3150" s="1084">
        <v>42478</v>
      </c>
      <c r="J3150" s="957">
        <v>4930.09</v>
      </c>
    </row>
    <row r="3151" spans="1:10" s="852" customFormat="1" outlineLevel="2">
      <c r="A3151" s="815" t="s">
        <v>6472</v>
      </c>
      <c r="B3151" s="816" t="s">
        <v>7864</v>
      </c>
      <c r="C3151" s="729" t="s">
        <v>807</v>
      </c>
      <c r="D3151" s="460"/>
      <c r="E3151" s="878" t="s">
        <v>6470</v>
      </c>
      <c r="F3151" s="881" t="s">
        <v>434</v>
      </c>
      <c r="G3151" s="731" t="str">
        <f>"2678"</f>
        <v>2678</v>
      </c>
      <c r="H3151" s="1083">
        <v>42370</v>
      </c>
      <c r="I3151" s="1084">
        <v>42478</v>
      </c>
      <c r="J3151" s="957">
        <v>-4930.09</v>
      </c>
    </row>
    <row r="3152" spans="1:10" s="852" customFormat="1" outlineLevel="2">
      <c r="A3152" s="815" t="s">
        <v>810</v>
      </c>
      <c r="B3152" s="816" t="s">
        <v>7863</v>
      </c>
      <c r="C3152" s="729" t="s">
        <v>807</v>
      </c>
      <c r="D3152" s="460"/>
      <c r="E3152" s="878" t="s">
        <v>2336</v>
      </c>
      <c r="F3152" s="881" t="s">
        <v>6075</v>
      </c>
      <c r="G3152" s="731" t="s">
        <v>5161</v>
      </c>
      <c r="H3152" s="1083">
        <v>42401</v>
      </c>
      <c r="I3152" s="1084">
        <v>42480</v>
      </c>
      <c r="J3152" s="957">
        <v>5746.54</v>
      </c>
    </row>
    <row r="3153" spans="1:10" s="852" customFormat="1" outlineLevel="2">
      <c r="A3153" s="815" t="s">
        <v>809</v>
      </c>
      <c r="B3153" s="816" t="s">
        <v>7864</v>
      </c>
      <c r="C3153" s="729" t="s">
        <v>807</v>
      </c>
      <c r="D3153" s="460"/>
      <c r="E3153" s="878" t="s">
        <v>2336</v>
      </c>
      <c r="F3153" s="881" t="s">
        <v>5314</v>
      </c>
      <c r="G3153" s="731" t="s">
        <v>5169</v>
      </c>
      <c r="H3153" s="1083">
        <v>42401</v>
      </c>
      <c r="I3153" s="1084">
        <v>42480</v>
      </c>
      <c r="J3153" s="957">
        <v>666.64</v>
      </c>
    </row>
    <row r="3154" spans="1:10" s="852" customFormat="1" outlineLevel="2">
      <c r="A3154" s="815" t="s">
        <v>809</v>
      </c>
      <c r="B3154" s="816" t="s">
        <v>7864</v>
      </c>
      <c r="C3154" s="729" t="s">
        <v>807</v>
      </c>
      <c r="D3154" s="460"/>
      <c r="E3154" s="878" t="s">
        <v>2336</v>
      </c>
      <c r="F3154" s="881" t="s">
        <v>6073</v>
      </c>
      <c r="G3154" s="731" t="s">
        <v>5158</v>
      </c>
      <c r="H3154" s="1083">
        <v>42370</v>
      </c>
      <c r="I3154" s="1084">
        <v>42480</v>
      </c>
      <c r="J3154" s="957">
        <v>438.58</v>
      </c>
    </row>
    <row r="3155" spans="1:10" s="852" customFormat="1" outlineLevel="2">
      <c r="A3155" s="815" t="s">
        <v>809</v>
      </c>
      <c r="B3155" s="816" t="s">
        <v>7864</v>
      </c>
      <c r="C3155" s="729" t="s">
        <v>807</v>
      </c>
      <c r="D3155" s="460"/>
      <c r="E3155" s="878" t="s">
        <v>2336</v>
      </c>
      <c r="F3155" s="881" t="s">
        <v>5278</v>
      </c>
      <c r="G3155" s="731" t="s">
        <v>5167</v>
      </c>
      <c r="H3155" s="1083">
        <v>42401</v>
      </c>
      <c r="I3155" s="1084">
        <v>42480</v>
      </c>
      <c r="J3155" s="957">
        <v>438.58</v>
      </c>
    </row>
    <row r="3156" spans="1:10" s="852" customFormat="1" outlineLevel="2">
      <c r="A3156" s="815" t="s">
        <v>809</v>
      </c>
      <c r="B3156" s="816" t="s">
        <v>7864</v>
      </c>
      <c r="C3156" s="729" t="s">
        <v>807</v>
      </c>
      <c r="D3156" s="460"/>
      <c r="E3156" s="878" t="s">
        <v>2336</v>
      </c>
      <c r="F3156" s="881" t="s">
        <v>5074</v>
      </c>
      <c r="G3156" s="731" t="s">
        <v>5166</v>
      </c>
      <c r="H3156" s="1083">
        <v>42401</v>
      </c>
      <c r="I3156" s="1084">
        <v>42480</v>
      </c>
      <c r="J3156" s="957">
        <v>649.09</v>
      </c>
    </row>
    <row r="3157" spans="1:10" s="852" customFormat="1" ht="28.5" outlineLevel="2">
      <c r="A3157" s="815" t="s">
        <v>808</v>
      </c>
      <c r="B3157" s="816" t="s">
        <v>7865</v>
      </c>
      <c r="C3157" s="729" t="s">
        <v>807</v>
      </c>
      <c r="D3157" s="460"/>
      <c r="E3157" s="878" t="s">
        <v>2336</v>
      </c>
      <c r="F3157" s="881" t="s">
        <v>6074</v>
      </c>
      <c r="G3157" s="731" t="s">
        <v>5159</v>
      </c>
      <c r="H3157" s="1083">
        <v>42401</v>
      </c>
      <c r="I3157" s="1084">
        <v>42480</v>
      </c>
      <c r="J3157" s="957">
        <v>9838.15</v>
      </c>
    </row>
    <row r="3158" spans="1:10" s="852" customFormat="1" ht="28.5" outlineLevel="2">
      <c r="A3158" s="815" t="s">
        <v>808</v>
      </c>
      <c r="B3158" s="816" t="s">
        <v>7865</v>
      </c>
      <c r="C3158" s="729" t="s">
        <v>807</v>
      </c>
      <c r="D3158" s="460"/>
      <c r="E3158" s="878" t="s">
        <v>2336</v>
      </c>
      <c r="F3158" s="881" t="s">
        <v>3496</v>
      </c>
      <c r="G3158" s="731" t="s">
        <v>5164</v>
      </c>
      <c r="H3158" s="1083">
        <v>42401</v>
      </c>
      <c r="I3158" s="1084">
        <v>42480</v>
      </c>
      <c r="J3158" s="957">
        <v>9841.1</v>
      </c>
    </row>
    <row r="3159" spans="1:10" s="852" customFormat="1" outlineLevel="2">
      <c r="A3159" s="815" t="s">
        <v>808</v>
      </c>
      <c r="B3159" s="816" t="s">
        <v>7865</v>
      </c>
      <c r="C3159" s="729" t="s">
        <v>807</v>
      </c>
      <c r="D3159" s="460"/>
      <c r="E3159" s="878" t="s">
        <v>2336</v>
      </c>
      <c r="F3159" s="881" t="s">
        <v>6076</v>
      </c>
      <c r="G3159" s="731" t="s">
        <v>5162</v>
      </c>
      <c r="H3159" s="1083">
        <v>42401</v>
      </c>
      <c r="I3159" s="1084">
        <v>42480</v>
      </c>
      <c r="J3159" s="957">
        <v>3130.32</v>
      </c>
    </row>
    <row r="3160" spans="1:10" s="852" customFormat="1" outlineLevel="2">
      <c r="A3160" s="815" t="s">
        <v>809</v>
      </c>
      <c r="B3160" s="816" t="s">
        <v>7864</v>
      </c>
      <c r="C3160" s="729" t="s">
        <v>807</v>
      </c>
      <c r="D3160" s="460"/>
      <c r="E3160" s="878" t="s">
        <v>407</v>
      </c>
      <c r="F3160" s="881" t="s">
        <v>434</v>
      </c>
      <c r="G3160" s="731" t="s">
        <v>5691</v>
      </c>
      <c r="H3160" s="1083">
        <v>42370</v>
      </c>
      <c r="I3160" s="1084">
        <v>42480</v>
      </c>
      <c r="J3160" s="957">
        <v>3243.48</v>
      </c>
    </row>
    <row r="3161" spans="1:10" s="852" customFormat="1" outlineLevel="2">
      <c r="A3161" s="815" t="s">
        <v>809</v>
      </c>
      <c r="B3161" s="816" t="s">
        <v>7864</v>
      </c>
      <c r="C3161" s="729" t="s">
        <v>807</v>
      </c>
      <c r="D3161" s="460"/>
      <c r="E3161" s="878" t="s">
        <v>409</v>
      </c>
      <c r="F3161" s="881" t="s">
        <v>434</v>
      </c>
      <c r="G3161" s="731" t="s">
        <v>5692</v>
      </c>
      <c r="H3161" s="1083">
        <v>42370</v>
      </c>
      <c r="I3161" s="1084">
        <v>42480</v>
      </c>
      <c r="J3161" s="957">
        <v>4800.3500000000004</v>
      </c>
    </row>
    <row r="3162" spans="1:10" s="852" customFormat="1" outlineLevel="2">
      <c r="A3162" s="815" t="s">
        <v>1027</v>
      </c>
      <c r="B3162" s="816" t="s">
        <v>7866</v>
      </c>
      <c r="C3162" s="729" t="s">
        <v>807</v>
      </c>
      <c r="D3162" s="460"/>
      <c r="E3162" s="878" t="s">
        <v>2282</v>
      </c>
      <c r="F3162" s="881" t="s">
        <v>3974</v>
      </c>
      <c r="G3162" s="731" t="s">
        <v>2779</v>
      </c>
      <c r="H3162" s="1083">
        <v>42401</v>
      </c>
      <c r="I3162" s="1084">
        <v>42471</v>
      </c>
      <c r="J3162" s="957">
        <v>1091.3699999999999</v>
      </c>
    </row>
    <row r="3163" spans="1:10" s="852" customFormat="1" outlineLevel="2">
      <c r="A3163" s="815" t="s">
        <v>1027</v>
      </c>
      <c r="B3163" s="816" t="s">
        <v>7866</v>
      </c>
      <c r="C3163" s="729" t="s">
        <v>807</v>
      </c>
      <c r="D3163" s="460"/>
      <c r="E3163" s="878" t="s">
        <v>2282</v>
      </c>
      <c r="F3163" s="881" t="s">
        <v>4081</v>
      </c>
      <c r="G3163" s="731" t="s">
        <v>2781</v>
      </c>
      <c r="H3163" s="1083">
        <v>42401</v>
      </c>
      <c r="I3163" s="1084">
        <v>42471</v>
      </c>
      <c r="J3163" s="957">
        <v>34.9</v>
      </c>
    </row>
    <row r="3164" spans="1:10" s="852" customFormat="1" outlineLevel="2">
      <c r="A3164" s="815" t="s">
        <v>1027</v>
      </c>
      <c r="B3164" s="816" t="s">
        <v>7866</v>
      </c>
      <c r="C3164" s="729" t="s">
        <v>807</v>
      </c>
      <c r="D3164" s="460"/>
      <c r="E3164" s="878" t="s">
        <v>2282</v>
      </c>
      <c r="F3164" s="881" t="s">
        <v>4165</v>
      </c>
      <c r="G3164" s="731" t="s">
        <v>2782</v>
      </c>
      <c r="H3164" s="1083">
        <v>42401</v>
      </c>
      <c r="I3164" s="1084">
        <v>42471</v>
      </c>
      <c r="J3164" s="957">
        <v>411.76</v>
      </c>
    </row>
    <row r="3165" spans="1:10" s="852" customFormat="1" outlineLevel="2">
      <c r="A3165" s="815" t="s">
        <v>809</v>
      </c>
      <c r="B3165" s="816" t="s">
        <v>7864</v>
      </c>
      <c r="C3165" s="729" t="s">
        <v>807</v>
      </c>
      <c r="D3165" s="460"/>
      <c r="E3165" s="878" t="s">
        <v>2354</v>
      </c>
      <c r="F3165" s="881" t="s">
        <v>6141</v>
      </c>
      <c r="G3165" s="731" t="s">
        <v>5172</v>
      </c>
      <c r="H3165" s="1083">
        <v>42370</v>
      </c>
      <c r="I3165" s="1084">
        <v>42485</v>
      </c>
      <c r="J3165" s="957">
        <v>79.739999999999995</v>
      </c>
    </row>
    <row r="3166" spans="1:10" s="852" customFormat="1" ht="28.5" outlineLevel="2">
      <c r="A3166" s="815" t="s">
        <v>808</v>
      </c>
      <c r="B3166" s="816" t="s">
        <v>7865</v>
      </c>
      <c r="C3166" s="729" t="s">
        <v>807</v>
      </c>
      <c r="D3166" s="460"/>
      <c r="E3166" s="878" t="s">
        <v>2354</v>
      </c>
      <c r="F3166" s="881" t="s">
        <v>6142</v>
      </c>
      <c r="G3166" s="731" t="s">
        <v>5173</v>
      </c>
      <c r="H3166" s="1083">
        <v>42401</v>
      </c>
      <c r="I3166" s="1084">
        <v>42485</v>
      </c>
      <c r="J3166" s="957">
        <v>2615.29</v>
      </c>
    </row>
    <row r="3167" spans="1:10" s="852" customFormat="1" outlineLevel="2">
      <c r="A3167" s="815" t="s">
        <v>810</v>
      </c>
      <c r="B3167" s="816" t="s">
        <v>7863</v>
      </c>
      <c r="C3167" s="729" t="s">
        <v>807</v>
      </c>
      <c r="D3167" s="460"/>
      <c r="E3167" s="878" t="s">
        <v>2354</v>
      </c>
      <c r="F3167" s="881" t="s">
        <v>6143</v>
      </c>
      <c r="G3167" s="731" t="s">
        <v>5175</v>
      </c>
      <c r="H3167" s="1083">
        <v>42401</v>
      </c>
      <c r="I3167" s="1084">
        <v>42485</v>
      </c>
      <c r="J3167" s="957">
        <v>1044.83</v>
      </c>
    </row>
    <row r="3168" spans="1:10" s="852" customFormat="1" ht="28.5" outlineLevel="2">
      <c r="A3168" s="815" t="s">
        <v>808</v>
      </c>
      <c r="B3168" s="816" t="s">
        <v>7865</v>
      </c>
      <c r="C3168" s="729" t="s">
        <v>807</v>
      </c>
      <c r="D3168" s="460"/>
      <c r="E3168" s="878" t="s">
        <v>2354</v>
      </c>
      <c r="F3168" s="881" t="s">
        <v>3498</v>
      </c>
      <c r="G3168" s="731" t="s">
        <v>5176</v>
      </c>
      <c r="H3168" s="1083">
        <v>42401</v>
      </c>
      <c r="I3168" s="1084">
        <v>42485</v>
      </c>
      <c r="J3168" s="957">
        <v>2616.08</v>
      </c>
    </row>
    <row r="3169" spans="1:10" s="852" customFormat="1" outlineLevel="2">
      <c r="A3169" s="815" t="s">
        <v>809</v>
      </c>
      <c r="B3169" s="816" t="s">
        <v>7864</v>
      </c>
      <c r="C3169" s="729" t="s">
        <v>807</v>
      </c>
      <c r="D3169" s="460"/>
      <c r="E3169" s="878" t="s">
        <v>2354</v>
      </c>
      <c r="F3169" s="881" t="s">
        <v>5076</v>
      </c>
      <c r="G3169" s="731" t="s">
        <v>5178</v>
      </c>
      <c r="H3169" s="1083">
        <v>42401</v>
      </c>
      <c r="I3169" s="1084">
        <v>42485</v>
      </c>
      <c r="J3169" s="957">
        <v>118.02</v>
      </c>
    </row>
    <row r="3170" spans="1:10" s="852" customFormat="1" outlineLevel="2">
      <c r="A3170" s="815" t="s">
        <v>809</v>
      </c>
      <c r="B3170" s="816" t="s">
        <v>7864</v>
      </c>
      <c r="C3170" s="729" t="s">
        <v>807</v>
      </c>
      <c r="D3170" s="460"/>
      <c r="E3170" s="878" t="s">
        <v>2354</v>
      </c>
      <c r="F3170" s="881" t="s">
        <v>5280</v>
      </c>
      <c r="G3170" s="731" t="s">
        <v>5179</v>
      </c>
      <c r="H3170" s="1083">
        <v>42401</v>
      </c>
      <c r="I3170" s="1084">
        <v>42485</v>
      </c>
      <c r="J3170" s="957">
        <v>79.739999999999995</v>
      </c>
    </row>
    <row r="3171" spans="1:10" s="852" customFormat="1" outlineLevel="2">
      <c r="A3171" s="815" t="s">
        <v>809</v>
      </c>
      <c r="B3171" s="816" t="s">
        <v>7864</v>
      </c>
      <c r="C3171" s="729" t="s">
        <v>807</v>
      </c>
      <c r="D3171" s="460"/>
      <c r="E3171" s="878" t="s">
        <v>2354</v>
      </c>
      <c r="F3171" s="881" t="s">
        <v>5315</v>
      </c>
      <c r="G3171" s="731" t="s">
        <v>5180</v>
      </c>
      <c r="H3171" s="1083">
        <v>42401</v>
      </c>
      <c r="I3171" s="1084">
        <v>42485</v>
      </c>
      <c r="J3171" s="957">
        <v>121.21</v>
      </c>
    </row>
    <row r="3172" spans="1:10" s="852" customFormat="1" outlineLevel="2">
      <c r="A3172" s="815" t="s">
        <v>808</v>
      </c>
      <c r="B3172" s="816" t="s">
        <v>7865</v>
      </c>
      <c r="C3172" s="729" t="s">
        <v>807</v>
      </c>
      <c r="D3172" s="460"/>
      <c r="E3172" s="878" t="s">
        <v>2354</v>
      </c>
      <c r="F3172" s="881" t="s">
        <v>5513</v>
      </c>
      <c r="G3172" s="731" t="s">
        <v>5182</v>
      </c>
      <c r="H3172" s="1083">
        <v>42401</v>
      </c>
      <c r="I3172" s="1084">
        <v>42485</v>
      </c>
      <c r="J3172" s="957">
        <v>2615.31</v>
      </c>
    </row>
    <row r="3173" spans="1:10" s="852" customFormat="1" outlineLevel="2">
      <c r="A3173" s="815" t="s">
        <v>1027</v>
      </c>
      <c r="B3173" s="816" t="s">
        <v>7866</v>
      </c>
      <c r="C3173" s="729" t="s">
        <v>807</v>
      </c>
      <c r="D3173" s="460"/>
      <c r="E3173" s="878" t="s">
        <v>1909</v>
      </c>
      <c r="F3173" s="881" t="s">
        <v>3935</v>
      </c>
      <c r="G3173" s="731" t="s">
        <v>2817</v>
      </c>
      <c r="H3173" s="1083">
        <v>42401</v>
      </c>
      <c r="I3173" s="1084">
        <v>42480</v>
      </c>
      <c r="J3173" s="957">
        <v>327.41000000000003</v>
      </c>
    </row>
    <row r="3174" spans="1:10" s="852" customFormat="1" outlineLevel="2">
      <c r="A3174" s="815" t="s">
        <v>1027</v>
      </c>
      <c r="B3174" s="816" t="s">
        <v>7866</v>
      </c>
      <c r="C3174" s="729" t="s">
        <v>807</v>
      </c>
      <c r="D3174" s="460"/>
      <c r="E3174" s="878" t="s">
        <v>1909</v>
      </c>
      <c r="F3174" s="881" t="s">
        <v>4027</v>
      </c>
      <c r="G3174" s="731" t="s">
        <v>2819</v>
      </c>
      <c r="H3174" s="1083">
        <v>42401</v>
      </c>
      <c r="I3174" s="1084">
        <v>42480</v>
      </c>
      <c r="J3174" s="957">
        <v>10.47</v>
      </c>
    </row>
    <row r="3175" spans="1:10" s="852" customFormat="1" outlineLevel="2">
      <c r="A3175" s="815" t="s">
        <v>1027</v>
      </c>
      <c r="B3175" s="816" t="s">
        <v>7866</v>
      </c>
      <c r="C3175" s="729" t="s">
        <v>807</v>
      </c>
      <c r="D3175" s="460"/>
      <c r="E3175" s="878" t="s">
        <v>1909</v>
      </c>
      <c r="F3175" s="881" t="s">
        <v>4129</v>
      </c>
      <c r="G3175" s="731" t="s">
        <v>2821</v>
      </c>
      <c r="H3175" s="1083">
        <v>42401</v>
      </c>
      <c r="I3175" s="1084">
        <v>42480</v>
      </c>
      <c r="J3175" s="957">
        <v>123.53</v>
      </c>
    </row>
    <row r="3176" spans="1:10" s="852" customFormat="1" outlineLevel="2">
      <c r="A3176" s="815" t="s">
        <v>810</v>
      </c>
      <c r="B3176" s="816" t="s">
        <v>7863</v>
      </c>
      <c r="C3176" s="729" t="s">
        <v>807</v>
      </c>
      <c r="D3176" s="460"/>
      <c r="E3176" s="878" t="s">
        <v>1909</v>
      </c>
      <c r="F3176" s="881" t="s">
        <v>6391</v>
      </c>
      <c r="G3176" s="731" t="s">
        <v>5201</v>
      </c>
      <c r="H3176" s="1083">
        <v>42401</v>
      </c>
      <c r="I3176" s="1084">
        <v>42480</v>
      </c>
      <c r="J3176" s="957">
        <v>522.41</v>
      </c>
    </row>
    <row r="3177" spans="1:10" s="852" customFormat="1" outlineLevel="2">
      <c r="A3177" s="815" t="s">
        <v>809</v>
      </c>
      <c r="B3177" s="816" t="s">
        <v>7864</v>
      </c>
      <c r="C3177" s="729" t="s">
        <v>807</v>
      </c>
      <c r="D3177" s="460"/>
      <c r="E3177" s="878" t="s">
        <v>1909</v>
      </c>
      <c r="F3177" s="881" t="s">
        <v>5311</v>
      </c>
      <c r="G3177" s="731" t="s">
        <v>5215</v>
      </c>
      <c r="H3177" s="1083">
        <v>42401</v>
      </c>
      <c r="I3177" s="1084">
        <v>42480</v>
      </c>
      <c r="J3177" s="957">
        <v>60.6</v>
      </c>
    </row>
    <row r="3178" spans="1:10" s="852" customFormat="1" outlineLevel="2">
      <c r="A3178" s="815" t="s">
        <v>809</v>
      </c>
      <c r="B3178" s="816" t="s">
        <v>7864</v>
      </c>
      <c r="C3178" s="729" t="s">
        <v>807</v>
      </c>
      <c r="D3178" s="460"/>
      <c r="E3178" s="878" t="s">
        <v>1909</v>
      </c>
      <c r="F3178" s="881" t="s">
        <v>6388</v>
      </c>
      <c r="G3178" s="731" t="s">
        <v>5194</v>
      </c>
      <c r="H3178" s="1083">
        <v>42370</v>
      </c>
      <c r="I3178" s="1084">
        <v>42480</v>
      </c>
      <c r="J3178" s="957">
        <v>39.869999999999997</v>
      </c>
    </row>
    <row r="3179" spans="1:10" s="852" customFormat="1" outlineLevel="2">
      <c r="A3179" s="815" t="s">
        <v>809</v>
      </c>
      <c r="B3179" s="816" t="s">
        <v>7864</v>
      </c>
      <c r="C3179" s="729" t="s">
        <v>807</v>
      </c>
      <c r="D3179" s="460"/>
      <c r="E3179" s="878" t="s">
        <v>1909</v>
      </c>
      <c r="F3179" s="881" t="s">
        <v>5276</v>
      </c>
      <c r="G3179" s="731" t="s">
        <v>5213</v>
      </c>
      <c r="H3179" s="1083">
        <v>42401</v>
      </c>
      <c r="I3179" s="1084">
        <v>42480</v>
      </c>
      <c r="J3179" s="957">
        <v>39.869999999999997</v>
      </c>
    </row>
    <row r="3180" spans="1:10" s="852" customFormat="1" outlineLevel="2">
      <c r="A3180" s="815" t="s">
        <v>809</v>
      </c>
      <c r="B3180" s="816" t="s">
        <v>7864</v>
      </c>
      <c r="C3180" s="729" t="s">
        <v>807</v>
      </c>
      <c r="D3180" s="460"/>
      <c r="E3180" s="878" t="s">
        <v>1909</v>
      </c>
      <c r="F3180" s="881" t="s">
        <v>5072</v>
      </c>
      <c r="G3180" s="731" t="s">
        <v>5211</v>
      </c>
      <c r="H3180" s="1083">
        <v>42401</v>
      </c>
      <c r="I3180" s="1084">
        <v>42480</v>
      </c>
      <c r="J3180" s="957">
        <v>59.01</v>
      </c>
    </row>
    <row r="3181" spans="1:10" s="852" customFormat="1" ht="28.5" outlineLevel="2">
      <c r="A3181" s="815" t="s">
        <v>808</v>
      </c>
      <c r="B3181" s="816" t="s">
        <v>7865</v>
      </c>
      <c r="C3181" s="729" t="s">
        <v>807</v>
      </c>
      <c r="D3181" s="460"/>
      <c r="E3181" s="878" t="s">
        <v>1909</v>
      </c>
      <c r="F3181" s="881" t="s">
        <v>6390</v>
      </c>
      <c r="G3181" s="731" t="s">
        <v>5200</v>
      </c>
      <c r="H3181" s="1083">
        <v>42401</v>
      </c>
      <c r="I3181" s="1084">
        <v>42480</v>
      </c>
      <c r="J3181" s="957">
        <v>1961.47</v>
      </c>
    </row>
    <row r="3182" spans="1:10" s="852" customFormat="1" ht="28.5" outlineLevel="2">
      <c r="A3182" s="815" t="s">
        <v>808</v>
      </c>
      <c r="B3182" s="816" t="s">
        <v>7865</v>
      </c>
      <c r="C3182" s="729" t="s">
        <v>807</v>
      </c>
      <c r="D3182" s="460"/>
      <c r="E3182" s="878" t="s">
        <v>1909</v>
      </c>
      <c r="F3182" s="881" t="s">
        <v>3494</v>
      </c>
      <c r="G3182" s="731" t="s">
        <v>5203</v>
      </c>
      <c r="H3182" s="1083">
        <v>42401</v>
      </c>
      <c r="I3182" s="1084">
        <v>42480</v>
      </c>
      <c r="J3182" s="957">
        <v>1962.06</v>
      </c>
    </row>
    <row r="3183" spans="1:10" s="852" customFormat="1" outlineLevel="2">
      <c r="A3183" s="815" t="s">
        <v>808</v>
      </c>
      <c r="B3183" s="816" t="s">
        <v>7865</v>
      </c>
      <c r="C3183" s="729" t="s">
        <v>807</v>
      </c>
      <c r="D3183" s="460"/>
      <c r="E3183" s="878" t="s">
        <v>1909</v>
      </c>
      <c r="F3183" s="881" t="s">
        <v>6389</v>
      </c>
      <c r="G3183" s="731" t="s">
        <v>5198</v>
      </c>
      <c r="H3183" s="1083">
        <v>42401</v>
      </c>
      <c r="I3183" s="1084">
        <v>42480</v>
      </c>
      <c r="J3183" s="957">
        <v>1961.47</v>
      </c>
    </row>
    <row r="3184" spans="1:10" s="852" customFormat="1" ht="28.5" outlineLevel="2">
      <c r="A3184" s="815" t="s">
        <v>1027</v>
      </c>
      <c r="B3184" s="816" t="s">
        <v>7866</v>
      </c>
      <c r="C3184" s="729" t="s">
        <v>807</v>
      </c>
      <c r="D3184" s="460"/>
      <c r="E3184" s="878" t="s">
        <v>1909</v>
      </c>
      <c r="F3184" s="881" t="s">
        <v>4956</v>
      </c>
      <c r="G3184" s="731" t="s">
        <v>2833</v>
      </c>
      <c r="H3184" s="1083">
        <v>42401</v>
      </c>
      <c r="I3184" s="1084">
        <v>42480</v>
      </c>
      <c r="J3184" s="957">
        <v>1014.97</v>
      </c>
    </row>
    <row r="3185" spans="1:10" s="852" customFormat="1" ht="28.5" outlineLevel="2">
      <c r="A3185" s="815" t="s">
        <v>1027</v>
      </c>
      <c r="B3185" s="816" t="s">
        <v>7866</v>
      </c>
      <c r="C3185" s="729" t="s">
        <v>807</v>
      </c>
      <c r="D3185" s="460"/>
      <c r="E3185" s="878" t="s">
        <v>1909</v>
      </c>
      <c r="F3185" s="881" t="s">
        <v>4903</v>
      </c>
      <c r="G3185" s="731" t="s">
        <v>2832</v>
      </c>
      <c r="H3185" s="1083">
        <v>42401</v>
      </c>
      <c r="I3185" s="1084">
        <v>42480</v>
      </c>
      <c r="J3185" s="957">
        <v>32.450000000000003</v>
      </c>
    </row>
    <row r="3186" spans="1:10" s="852" customFormat="1" ht="28.5" outlineLevel="2">
      <c r="A3186" s="815" t="s">
        <v>1027</v>
      </c>
      <c r="B3186" s="816" t="s">
        <v>7866</v>
      </c>
      <c r="C3186" s="729" t="s">
        <v>807</v>
      </c>
      <c r="D3186" s="460"/>
      <c r="E3186" s="878" t="s">
        <v>1909</v>
      </c>
      <c r="F3186" s="881" t="s">
        <v>4853</v>
      </c>
      <c r="G3186" s="731" t="s">
        <v>2831</v>
      </c>
      <c r="H3186" s="1083">
        <v>42401</v>
      </c>
      <c r="I3186" s="1084">
        <v>42480</v>
      </c>
      <c r="J3186" s="957">
        <v>382.94</v>
      </c>
    </row>
    <row r="3187" spans="1:10" s="852" customFormat="1" ht="28.5" outlineLevel="2">
      <c r="A3187" s="815" t="s">
        <v>810</v>
      </c>
      <c r="B3187" s="816" t="s">
        <v>7863</v>
      </c>
      <c r="C3187" s="729" t="s">
        <v>807</v>
      </c>
      <c r="D3187" s="460"/>
      <c r="E3187" s="878" t="s">
        <v>1909</v>
      </c>
      <c r="F3187" s="881" t="s">
        <v>6387</v>
      </c>
      <c r="G3187" s="731" t="s">
        <v>5190</v>
      </c>
      <c r="H3187" s="1083">
        <v>42370</v>
      </c>
      <c r="I3187" s="1084">
        <v>42480</v>
      </c>
      <c r="J3187" s="957">
        <v>2588.4299999999998</v>
      </c>
    </row>
    <row r="3188" spans="1:10" s="852" customFormat="1" ht="28.5" outlineLevel="2">
      <c r="A3188" s="815" t="s">
        <v>810</v>
      </c>
      <c r="B3188" s="816" t="s">
        <v>7863</v>
      </c>
      <c r="C3188" s="729" t="s">
        <v>807</v>
      </c>
      <c r="D3188" s="460"/>
      <c r="E3188" s="878" t="s">
        <v>1909</v>
      </c>
      <c r="F3188" s="881" t="s">
        <v>6387</v>
      </c>
      <c r="G3188" s="731" t="s">
        <v>5192</v>
      </c>
      <c r="H3188" s="1083">
        <v>42370</v>
      </c>
      <c r="I3188" s="1084">
        <v>42480</v>
      </c>
      <c r="J3188" s="957">
        <v>2588.4299999999998</v>
      </c>
    </row>
    <row r="3189" spans="1:10" s="852" customFormat="1" ht="28.5" outlineLevel="2">
      <c r="A3189" s="815" t="s">
        <v>810</v>
      </c>
      <c r="B3189" s="816" t="s">
        <v>7863</v>
      </c>
      <c r="C3189" s="729" t="s">
        <v>807</v>
      </c>
      <c r="D3189" s="460"/>
      <c r="E3189" s="878" t="s">
        <v>1909</v>
      </c>
      <c r="F3189" s="881" t="s">
        <v>6387</v>
      </c>
      <c r="G3189" s="731" t="s">
        <v>5196</v>
      </c>
      <c r="H3189" s="1083">
        <v>42370</v>
      </c>
      <c r="I3189" s="1084">
        <v>42480</v>
      </c>
      <c r="J3189" s="957">
        <v>-2588.4299999999998</v>
      </c>
    </row>
    <row r="3190" spans="1:10" s="852" customFormat="1" ht="28.5" outlineLevel="2">
      <c r="A3190" s="815" t="s">
        <v>2576</v>
      </c>
      <c r="B3190" s="816" t="s">
        <v>7865</v>
      </c>
      <c r="C3190" s="729" t="s">
        <v>807</v>
      </c>
      <c r="D3190" s="460"/>
      <c r="E3190" s="878" t="s">
        <v>1909</v>
      </c>
      <c r="F3190" s="881" t="s">
        <v>6385</v>
      </c>
      <c r="G3190" s="731" t="s">
        <v>5186</v>
      </c>
      <c r="H3190" s="1083">
        <v>41913</v>
      </c>
      <c r="I3190" s="1084">
        <v>42480</v>
      </c>
      <c r="J3190" s="957">
        <v>53.35</v>
      </c>
    </row>
    <row r="3191" spans="1:10" s="852" customFormat="1" ht="28.5" outlineLevel="2">
      <c r="A3191" s="815" t="s">
        <v>2576</v>
      </c>
      <c r="B3191" s="816" t="s">
        <v>7865</v>
      </c>
      <c r="C3191" s="729" t="s">
        <v>807</v>
      </c>
      <c r="D3191" s="460"/>
      <c r="E3191" s="878" t="s">
        <v>1909</v>
      </c>
      <c r="F3191" s="881" t="s">
        <v>6386</v>
      </c>
      <c r="G3191" s="731" t="s">
        <v>5188</v>
      </c>
      <c r="H3191" s="1083">
        <v>41913</v>
      </c>
      <c r="I3191" s="1084">
        <v>42480</v>
      </c>
      <c r="J3191" s="957">
        <v>94.8</v>
      </c>
    </row>
    <row r="3192" spans="1:10" s="852" customFormat="1" ht="28.5" outlineLevel="2">
      <c r="A3192" s="815" t="s">
        <v>2576</v>
      </c>
      <c r="B3192" s="816" t="s">
        <v>7865</v>
      </c>
      <c r="C3192" s="729" t="s">
        <v>807</v>
      </c>
      <c r="D3192" s="460"/>
      <c r="E3192" s="878" t="s">
        <v>1909</v>
      </c>
      <c r="F3192" s="881" t="s">
        <v>6386</v>
      </c>
      <c r="G3192" s="731" t="s">
        <v>5188</v>
      </c>
      <c r="H3192" s="1083">
        <v>41913</v>
      </c>
      <c r="I3192" s="1084">
        <v>42480</v>
      </c>
      <c r="J3192" s="957">
        <v>98.4</v>
      </c>
    </row>
    <row r="3193" spans="1:10" s="852" customFormat="1" ht="28.5" outlineLevel="2">
      <c r="A3193" s="815" t="s">
        <v>808</v>
      </c>
      <c r="B3193" s="816" t="s">
        <v>7865</v>
      </c>
      <c r="C3193" s="729" t="s">
        <v>807</v>
      </c>
      <c r="D3193" s="460"/>
      <c r="E3193" s="878" t="s">
        <v>1909</v>
      </c>
      <c r="F3193" s="881" t="s">
        <v>4734</v>
      </c>
      <c r="G3193" s="731" t="s">
        <v>5205</v>
      </c>
      <c r="H3193" s="1083">
        <v>42401</v>
      </c>
      <c r="I3193" s="1084">
        <v>42480</v>
      </c>
      <c r="J3193" s="957">
        <v>6080.57</v>
      </c>
    </row>
    <row r="3194" spans="1:10" s="852" customFormat="1" ht="28.5" outlineLevel="2">
      <c r="A3194" s="815" t="s">
        <v>808</v>
      </c>
      <c r="B3194" s="816" t="s">
        <v>7865</v>
      </c>
      <c r="C3194" s="729" t="s">
        <v>807</v>
      </c>
      <c r="D3194" s="460"/>
      <c r="E3194" s="878" t="s">
        <v>1909</v>
      </c>
      <c r="F3194" s="881" t="s">
        <v>4621</v>
      </c>
      <c r="G3194" s="731" t="s">
        <v>5204</v>
      </c>
      <c r="H3194" s="1083">
        <v>42401</v>
      </c>
      <c r="I3194" s="1084">
        <v>42480</v>
      </c>
      <c r="J3194" s="957">
        <v>6082.4</v>
      </c>
    </row>
    <row r="3195" spans="1:10" s="852" customFormat="1" ht="28.5" outlineLevel="2">
      <c r="A3195" s="815" t="s">
        <v>2576</v>
      </c>
      <c r="B3195" s="816" t="s">
        <v>7865</v>
      </c>
      <c r="C3195" s="729" t="s">
        <v>807</v>
      </c>
      <c r="D3195" s="460"/>
      <c r="E3195" s="878" t="s">
        <v>1909</v>
      </c>
      <c r="F3195" s="881" t="s">
        <v>6383</v>
      </c>
      <c r="G3195" s="731" t="s">
        <v>5183</v>
      </c>
      <c r="H3195" s="1083">
        <v>41913</v>
      </c>
      <c r="I3195" s="1084">
        <v>42480</v>
      </c>
      <c r="J3195" s="957">
        <v>53.37</v>
      </c>
    </row>
    <row r="3196" spans="1:10" s="852" customFormat="1" ht="28.5" outlineLevel="2">
      <c r="A3196" s="815" t="s">
        <v>2576</v>
      </c>
      <c r="B3196" s="816" t="s">
        <v>7865</v>
      </c>
      <c r="C3196" s="729" t="s">
        <v>807</v>
      </c>
      <c r="D3196" s="460"/>
      <c r="E3196" s="878" t="s">
        <v>1909</v>
      </c>
      <c r="F3196" s="881" t="s">
        <v>6384</v>
      </c>
      <c r="G3196" s="731" t="s">
        <v>5185</v>
      </c>
      <c r="H3196" s="1083">
        <v>41913</v>
      </c>
      <c r="I3196" s="1084">
        <v>42480</v>
      </c>
      <c r="J3196" s="957">
        <v>193.26</v>
      </c>
    </row>
    <row r="3197" spans="1:10" s="852" customFormat="1" ht="28.5" outlineLevel="2">
      <c r="A3197" s="815" t="s">
        <v>808</v>
      </c>
      <c r="B3197" s="816" t="s">
        <v>7865</v>
      </c>
      <c r="C3197" s="729" t="s">
        <v>807</v>
      </c>
      <c r="D3197" s="460"/>
      <c r="E3197" s="878" t="s">
        <v>1909</v>
      </c>
      <c r="F3197" s="881" t="s">
        <v>4763</v>
      </c>
      <c r="G3197" s="731" t="s">
        <v>5206</v>
      </c>
      <c r="H3197" s="1083">
        <v>42401</v>
      </c>
      <c r="I3197" s="1084">
        <v>42480</v>
      </c>
      <c r="J3197" s="957">
        <v>6080.57</v>
      </c>
    </row>
    <row r="3198" spans="1:10" s="852" customFormat="1" outlineLevel="2">
      <c r="A3198" s="815" t="s">
        <v>808</v>
      </c>
      <c r="B3198" s="816" t="s">
        <v>7865</v>
      </c>
      <c r="C3198" s="729" t="s">
        <v>807</v>
      </c>
      <c r="D3198" s="460"/>
      <c r="E3198" s="878" t="s">
        <v>493</v>
      </c>
      <c r="F3198" s="881" t="s">
        <v>1094</v>
      </c>
      <c r="G3198" s="731" t="s">
        <v>5841</v>
      </c>
      <c r="H3198" s="1083">
        <v>42430</v>
      </c>
      <c r="I3198" s="1084">
        <v>42489</v>
      </c>
      <c r="J3198" s="957">
        <v>110269.49</v>
      </c>
    </row>
    <row r="3199" spans="1:10" s="852" customFormat="1" outlineLevel="2">
      <c r="A3199" s="815" t="s">
        <v>808</v>
      </c>
      <c r="B3199" s="816" t="s">
        <v>7865</v>
      </c>
      <c r="C3199" s="729" t="s">
        <v>807</v>
      </c>
      <c r="D3199" s="460"/>
      <c r="E3199" s="878" t="s">
        <v>488</v>
      </c>
      <c r="F3199" s="881" t="s">
        <v>1094</v>
      </c>
      <c r="G3199" s="731" t="s">
        <v>5855</v>
      </c>
      <c r="H3199" s="1083">
        <v>42430</v>
      </c>
      <c r="I3199" s="1084">
        <v>42489</v>
      </c>
      <c r="J3199" s="957">
        <v>110302.58</v>
      </c>
    </row>
    <row r="3200" spans="1:10" s="852" customFormat="1" outlineLevel="2">
      <c r="A3200" s="815" t="s">
        <v>808</v>
      </c>
      <c r="B3200" s="816" t="s">
        <v>7865</v>
      </c>
      <c r="C3200" s="729" t="s">
        <v>807</v>
      </c>
      <c r="D3200" s="460"/>
      <c r="E3200" s="878" t="s">
        <v>589</v>
      </c>
      <c r="F3200" s="881" t="s">
        <v>1094</v>
      </c>
      <c r="G3200" s="731" t="s">
        <v>5875</v>
      </c>
      <c r="H3200" s="1083">
        <v>42430</v>
      </c>
      <c r="I3200" s="1084">
        <v>42489</v>
      </c>
      <c r="J3200" s="957">
        <v>116977.33</v>
      </c>
    </row>
    <row r="3201" spans="1:10" s="852" customFormat="1" outlineLevel="1">
      <c r="A3201" s="815"/>
      <c r="B3201" s="816" t="s">
        <v>258</v>
      </c>
      <c r="C3201" s="908" t="s">
        <v>807</v>
      </c>
      <c r="D3201" s="928" t="str">
        <f>VLOOKUP(C3201,$C$3691:$D$3771,2,FALSE)</f>
        <v>TOTAL POUPATEMPO JUNDIAÍ</v>
      </c>
      <c r="E3201" s="1085"/>
      <c r="F3201" s="929"/>
      <c r="G3201" s="910"/>
      <c r="H3201" s="1086"/>
      <c r="I3201" s="1087"/>
      <c r="J3201" s="930">
        <f>SUBTOTAL(9,J3141:J3200)</f>
        <v>469352.63</v>
      </c>
    </row>
    <row r="3202" spans="1:10" s="852" customFormat="1" outlineLevel="2">
      <c r="A3202" s="815" t="s">
        <v>811</v>
      </c>
      <c r="B3202" s="816" t="s">
        <v>7865</v>
      </c>
      <c r="C3202" s="729" t="s">
        <v>812</v>
      </c>
      <c r="D3202" s="460"/>
      <c r="E3202" s="878" t="s">
        <v>6420</v>
      </c>
      <c r="F3202" s="881" t="s">
        <v>1094</v>
      </c>
      <c r="G3202" s="731" t="s">
        <v>6419</v>
      </c>
      <c r="H3202" s="1083">
        <v>42401</v>
      </c>
      <c r="I3202" s="1084">
        <v>42472</v>
      </c>
      <c r="J3202" s="957">
        <v>1733.92</v>
      </c>
    </row>
    <row r="3203" spans="1:10" s="852" customFormat="1" outlineLevel="2">
      <c r="A3203" s="815" t="s">
        <v>6453</v>
      </c>
      <c r="B3203" s="816" t="s">
        <v>7863</v>
      </c>
      <c r="C3203" s="729" t="s">
        <v>812</v>
      </c>
      <c r="D3203" s="460"/>
      <c r="E3203" s="878" t="s">
        <v>483</v>
      </c>
      <c r="F3203" s="881" t="s">
        <v>2208</v>
      </c>
      <c r="G3203" s="731" t="str">
        <f>"16986"</f>
        <v>16986</v>
      </c>
      <c r="H3203" s="1083">
        <v>42401</v>
      </c>
      <c r="I3203" s="1084">
        <v>42473</v>
      </c>
      <c r="J3203" s="957">
        <v>42276.54</v>
      </c>
    </row>
    <row r="3204" spans="1:10" s="852" customFormat="1" outlineLevel="2">
      <c r="A3204" s="815" t="s">
        <v>5927</v>
      </c>
      <c r="B3204" s="816" t="s">
        <v>7864</v>
      </c>
      <c r="C3204" s="729" t="s">
        <v>812</v>
      </c>
      <c r="D3204" s="460"/>
      <c r="E3204" s="878" t="s">
        <v>6470</v>
      </c>
      <c r="F3204" s="881" t="s">
        <v>434</v>
      </c>
      <c r="G3204" s="731" t="str">
        <f>"2657"</f>
        <v>2657</v>
      </c>
      <c r="H3204" s="1083">
        <v>42370</v>
      </c>
      <c r="I3204" s="1084">
        <v>42478</v>
      </c>
      <c r="J3204" s="957">
        <v>4854.8</v>
      </c>
    </row>
    <row r="3205" spans="1:10" s="852" customFormat="1" outlineLevel="2">
      <c r="A3205" s="815" t="s">
        <v>5927</v>
      </c>
      <c r="B3205" s="816" t="s">
        <v>7864</v>
      </c>
      <c r="C3205" s="729" t="s">
        <v>812</v>
      </c>
      <c r="D3205" s="460"/>
      <c r="E3205" s="878" t="s">
        <v>6470</v>
      </c>
      <c r="F3205" s="881" t="s">
        <v>434</v>
      </c>
      <c r="G3205" s="731" t="str">
        <f>"2657"</f>
        <v>2657</v>
      </c>
      <c r="H3205" s="1083">
        <v>42370</v>
      </c>
      <c r="I3205" s="1084">
        <v>42478</v>
      </c>
      <c r="J3205" s="957">
        <v>-4854.8</v>
      </c>
    </row>
    <row r="3206" spans="1:10" s="852" customFormat="1" outlineLevel="2">
      <c r="A3206" s="815" t="s">
        <v>5927</v>
      </c>
      <c r="B3206" s="816" t="s">
        <v>7864</v>
      </c>
      <c r="C3206" s="729" t="s">
        <v>812</v>
      </c>
      <c r="D3206" s="460"/>
      <c r="E3206" s="878" t="s">
        <v>6470</v>
      </c>
      <c r="F3206" s="881" t="s">
        <v>434</v>
      </c>
      <c r="G3206" s="731" t="str">
        <f>"2657"</f>
        <v>2657</v>
      </c>
      <c r="H3206" s="1083">
        <v>42370</v>
      </c>
      <c r="I3206" s="1084">
        <v>42478</v>
      </c>
      <c r="J3206" s="957">
        <v>4854.8</v>
      </c>
    </row>
    <row r="3207" spans="1:10" s="852" customFormat="1" outlineLevel="2">
      <c r="A3207" s="815" t="s">
        <v>5927</v>
      </c>
      <c r="B3207" s="816" t="s">
        <v>7864</v>
      </c>
      <c r="C3207" s="729" t="s">
        <v>812</v>
      </c>
      <c r="D3207" s="460"/>
      <c r="E3207" s="878" t="s">
        <v>6470</v>
      </c>
      <c r="F3207" s="881" t="s">
        <v>434</v>
      </c>
      <c r="G3207" s="731" t="str">
        <f>"2657"</f>
        <v>2657</v>
      </c>
      <c r="H3207" s="1083">
        <v>42370</v>
      </c>
      <c r="I3207" s="1084">
        <v>42478</v>
      </c>
      <c r="J3207" s="957">
        <v>4854.8100000000004</v>
      </c>
    </row>
    <row r="3208" spans="1:10" s="852" customFormat="1" outlineLevel="2">
      <c r="A3208" s="815" t="s">
        <v>5927</v>
      </c>
      <c r="B3208" s="816" t="s">
        <v>7864</v>
      </c>
      <c r="C3208" s="729" t="s">
        <v>812</v>
      </c>
      <c r="D3208" s="460"/>
      <c r="E3208" s="878" t="s">
        <v>6470</v>
      </c>
      <c r="F3208" s="881" t="s">
        <v>434</v>
      </c>
      <c r="G3208" s="731" t="str">
        <f>"2657"</f>
        <v>2657</v>
      </c>
      <c r="H3208" s="1083">
        <v>42370</v>
      </c>
      <c r="I3208" s="1084">
        <v>42478</v>
      </c>
      <c r="J3208" s="957">
        <v>-4854.8100000000004</v>
      </c>
    </row>
    <row r="3209" spans="1:10" s="852" customFormat="1" ht="28.5" outlineLevel="2">
      <c r="A3209" s="815" t="s">
        <v>811</v>
      </c>
      <c r="B3209" s="816" t="s">
        <v>7865</v>
      </c>
      <c r="C3209" s="729" t="s">
        <v>812</v>
      </c>
      <c r="D3209" s="460"/>
      <c r="E3209" s="878" t="s">
        <v>2336</v>
      </c>
      <c r="F3209" s="881" t="s">
        <v>5266</v>
      </c>
      <c r="G3209" s="731" t="s">
        <v>5223</v>
      </c>
      <c r="H3209" s="1083">
        <v>42430</v>
      </c>
      <c r="I3209" s="1084">
        <v>42480</v>
      </c>
      <c r="J3209" s="957">
        <v>14392.78</v>
      </c>
    </row>
    <row r="3210" spans="1:10" s="852" customFormat="1" outlineLevel="2">
      <c r="A3210" s="815" t="s">
        <v>815</v>
      </c>
      <c r="B3210" s="816" t="s">
        <v>7863</v>
      </c>
      <c r="C3210" s="729" t="s">
        <v>812</v>
      </c>
      <c r="D3210" s="460"/>
      <c r="E3210" s="878" t="s">
        <v>2336</v>
      </c>
      <c r="F3210" s="881" t="s">
        <v>4396</v>
      </c>
      <c r="G3210" s="731" t="s">
        <v>5222</v>
      </c>
      <c r="H3210" s="1083">
        <v>42401</v>
      </c>
      <c r="I3210" s="1084">
        <v>42480</v>
      </c>
      <c r="J3210" s="957">
        <v>5935.44</v>
      </c>
    </row>
    <row r="3211" spans="1:10" s="852" customFormat="1" outlineLevel="2">
      <c r="A3211" s="815" t="s">
        <v>814</v>
      </c>
      <c r="B3211" s="816" t="s">
        <v>7864</v>
      </c>
      <c r="C3211" s="729" t="s">
        <v>812</v>
      </c>
      <c r="D3211" s="460"/>
      <c r="E3211" s="878" t="s">
        <v>2336</v>
      </c>
      <c r="F3211" s="881" t="s">
        <v>6078</v>
      </c>
      <c r="G3211" s="731" t="s">
        <v>5218</v>
      </c>
      <c r="H3211" s="1083">
        <v>42401</v>
      </c>
      <c r="I3211" s="1084">
        <v>42480</v>
      </c>
      <c r="J3211" s="957">
        <v>681.59</v>
      </c>
    </row>
    <row r="3212" spans="1:10" s="852" customFormat="1" outlineLevel="2">
      <c r="A3212" s="815" t="s">
        <v>814</v>
      </c>
      <c r="B3212" s="816" t="s">
        <v>7864</v>
      </c>
      <c r="C3212" s="729" t="s">
        <v>812</v>
      </c>
      <c r="D3212" s="460"/>
      <c r="E3212" s="878" t="s">
        <v>2336</v>
      </c>
      <c r="F3212" s="881" t="s">
        <v>3631</v>
      </c>
      <c r="G3212" s="731" t="s">
        <v>5220</v>
      </c>
      <c r="H3212" s="1083">
        <v>42401</v>
      </c>
      <c r="I3212" s="1084">
        <v>42480</v>
      </c>
      <c r="J3212" s="957">
        <v>448.42</v>
      </c>
    </row>
    <row r="3213" spans="1:10" s="852" customFormat="1" outlineLevel="2">
      <c r="A3213" s="815" t="s">
        <v>814</v>
      </c>
      <c r="B3213" s="816" t="s">
        <v>7864</v>
      </c>
      <c r="C3213" s="729" t="s">
        <v>812</v>
      </c>
      <c r="D3213" s="460"/>
      <c r="E3213" s="878" t="s">
        <v>2336</v>
      </c>
      <c r="F3213" s="881" t="s">
        <v>3173</v>
      </c>
      <c r="G3213" s="731" t="s">
        <v>5219</v>
      </c>
      <c r="H3213" s="1083">
        <v>42401</v>
      </c>
      <c r="I3213" s="1084">
        <v>42480</v>
      </c>
      <c r="J3213" s="957">
        <v>663.66</v>
      </c>
    </row>
    <row r="3214" spans="1:10" s="852" customFormat="1" outlineLevel="2">
      <c r="A3214" s="815" t="s">
        <v>811</v>
      </c>
      <c r="B3214" s="816" t="s">
        <v>7865</v>
      </c>
      <c r="C3214" s="729" t="s">
        <v>812</v>
      </c>
      <c r="D3214" s="460"/>
      <c r="E3214" s="878" t="s">
        <v>2336</v>
      </c>
      <c r="F3214" s="881" t="s">
        <v>6077</v>
      </c>
      <c r="G3214" s="731" t="s">
        <v>5217</v>
      </c>
      <c r="H3214" s="1083">
        <v>42401</v>
      </c>
      <c r="I3214" s="1084">
        <v>42480</v>
      </c>
      <c r="J3214" s="957">
        <v>1799.1</v>
      </c>
    </row>
    <row r="3215" spans="1:10" s="852" customFormat="1" outlineLevel="2">
      <c r="A3215" s="815" t="s">
        <v>811</v>
      </c>
      <c r="B3215" s="816" t="s">
        <v>7865</v>
      </c>
      <c r="C3215" s="729" t="s">
        <v>812</v>
      </c>
      <c r="D3215" s="460"/>
      <c r="E3215" s="878" t="s">
        <v>2336</v>
      </c>
      <c r="F3215" s="881" t="s">
        <v>3883</v>
      </c>
      <c r="G3215" s="731" t="s">
        <v>5221</v>
      </c>
      <c r="H3215" s="1083">
        <v>42401</v>
      </c>
      <c r="I3215" s="1084">
        <v>42480</v>
      </c>
      <c r="J3215" s="957">
        <v>1799.1</v>
      </c>
    </row>
    <row r="3216" spans="1:10" s="852" customFormat="1" outlineLevel="2">
      <c r="A3216" s="815" t="s">
        <v>5927</v>
      </c>
      <c r="B3216" s="816" t="s">
        <v>7864</v>
      </c>
      <c r="C3216" s="729" t="s">
        <v>812</v>
      </c>
      <c r="D3216" s="460"/>
      <c r="E3216" s="878" t="s">
        <v>2717</v>
      </c>
      <c r="F3216" s="881" t="s">
        <v>434</v>
      </c>
      <c r="G3216" s="731" t="str">
        <f>"3524"</f>
        <v>3524</v>
      </c>
      <c r="H3216" s="1083">
        <v>42401</v>
      </c>
      <c r="I3216" s="1084">
        <v>42467</v>
      </c>
      <c r="J3216" s="957">
        <v>3193.94</v>
      </c>
    </row>
    <row r="3217" spans="1:10" s="852" customFormat="1" outlineLevel="2">
      <c r="A3217" s="815" t="s">
        <v>5927</v>
      </c>
      <c r="B3217" s="816" t="s">
        <v>7864</v>
      </c>
      <c r="C3217" s="729" t="s">
        <v>812</v>
      </c>
      <c r="D3217" s="460"/>
      <c r="E3217" s="878" t="s">
        <v>409</v>
      </c>
      <c r="F3217" s="881" t="s">
        <v>434</v>
      </c>
      <c r="G3217" s="731" t="str">
        <f>"6680"</f>
        <v>6680</v>
      </c>
      <c r="H3217" s="1083">
        <v>42401</v>
      </c>
      <c r="I3217" s="1084">
        <v>42475</v>
      </c>
      <c r="J3217" s="957">
        <v>4727.03</v>
      </c>
    </row>
    <row r="3218" spans="1:10" s="852" customFormat="1" outlineLevel="2">
      <c r="A3218" s="815" t="s">
        <v>977</v>
      </c>
      <c r="B3218" s="816" t="s">
        <v>7866</v>
      </c>
      <c r="C3218" s="729" t="s">
        <v>812</v>
      </c>
      <c r="D3218" s="460"/>
      <c r="E3218" s="878" t="s">
        <v>2282</v>
      </c>
      <c r="F3218" s="881" t="s">
        <v>3974</v>
      </c>
      <c r="G3218" s="731" t="s">
        <v>2779</v>
      </c>
      <c r="H3218" s="1083">
        <v>42401</v>
      </c>
      <c r="I3218" s="1084">
        <v>42471</v>
      </c>
      <c r="J3218" s="957">
        <v>742.32</v>
      </c>
    </row>
    <row r="3219" spans="1:10" s="852" customFormat="1" outlineLevel="2">
      <c r="A3219" s="815" t="s">
        <v>977</v>
      </c>
      <c r="B3219" s="816" t="s">
        <v>7866</v>
      </c>
      <c r="C3219" s="729" t="s">
        <v>812</v>
      </c>
      <c r="D3219" s="460"/>
      <c r="E3219" s="878" t="s">
        <v>2282</v>
      </c>
      <c r="F3219" s="881" t="s">
        <v>4081</v>
      </c>
      <c r="G3219" s="731" t="s">
        <v>2781</v>
      </c>
      <c r="H3219" s="1083">
        <v>42401</v>
      </c>
      <c r="I3219" s="1084">
        <v>42471</v>
      </c>
      <c r="J3219" s="957">
        <v>23.73</v>
      </c>
    </row>
    <row r="3220" spans="1:10" s="852" customFormat="1" outlineLevel="2">
      <c r="A3220" s="815" t="s">
        <v>977</v>
      </c>
      <c r="B3220" s="816" t="s">
        <v>7866</v>
      </c>
      <c r="C3220" s="729" t="s">
        <v>812</v>
      </c>
      <c r="D3220" s="460"/>
      <c r="E3220" s="878" t="s">
        <v>2282</v>
      </c>
      <c r="F3220" s="881" t="s">
        <v>4165</v>
      </c>
      <c r="G3220" s="731" t="s">
        <v>2782</v>
      </c>
      <c r="H3220" s="1083">
        <v>42401</v>
      </c>
      <c r="I3220" s="1084">
        <v>42471</v>
      </c>
      <c r="J3220" s="957">
        <v>280.07</v>
      </c>
    </row>
    <row r="3221" spans="1:10" s="852" customFormat="1" outlineLevel="2">
      <c r="A3221" s="815" t="s">
        <v>811</v>
      </c>
      <c r="B3221" s="816" t="s">
        <v>7865</v>
      </c>
      <c r="C3221" s="729" t="s">
        <v>812</v>
      </c>
      <c r="D3221" s="460"/>
      <c r="E3221" s="878" t="s">
        <v>2355</v>
      </c>
      <c r="F3221" s="881" t="s">
        <v>6161</v>
      </c>
      <c r="G3221" s="731" t="s">
        <v>5224</v>
      </c>
      <c r="H3221" s="1083">
        <v>42401</v>
      </c>
      <c r="I3221" s="1084">
        <v>42489</v>
      </c>
      <c r="J3221" s="957">
        <v>2015.83</v>
      </c>
    </row>
    <row r="3222" spans="1:10" s="852" customFormat="1" outlineLevel="2">
      <c r="A3222" s="815" t="s">
        <v>814</v>
      </c>
      <c r="B3222" s="816" t="s">
        <v>7864</v>
      </c>
      <c r="C3222" s="729" t="s">
        <v>812</v>
      </c>
      <c r="D3222" s="460"/>
      <c r="E3222" s="878" t="s">
        <v>2355</v>
      </c>
      <c r="F3222" s="881" t="s">
        <v>6162</v>
      </c>
      <c r="G3222" s="731" t="s">
        <v>5225</v>
      </c>
      <c r="H3222" s="1083">
        <v>42401</v>
      </c>
      <c r="I3222" s="1084">
        <v>42489</v>
      </c>
      <c r="J3222" s="957">
        <v>309.81</v>
      </c>
    </row>
    <row r="3223" spans="1:10" s="852" customFormat="1" outlineLevel="2">
      <c r="A3223" s="815" t="s">
        <v>814</v>
      </c>
      <c r="B3223" s="816" t="s">
        <v>7864</v>
      </c>
      <c r="C3223" s="729" t="s">
        <v>812</v>
      </c>
      <c r="D3223" s="460"/>
      <c r="E3223" s="878" t="s">
        <v>2355</v>
      </c>
      <c r="F3223" s="881" t="s">
        <v>3175</v>
      </c>
      <c r="G3223" s="731" t="s">
        <v>5226</v>
      </c>
      <c r="H3223" s="1083">
        <v>42401</v>
      </c>
      <c r="I3223" s="1084">
        <v>42489</v>
      </c>
      <c r="J3223" s="957">
        <v>301.66000000000003</v>
      </c>
    </row>
    <row r="3224" spans="1:10" s="852" customFormat="1" outlineLevel="2">
      <c r="A3224" s="815" t="s">
        <v>814</v>
      </c>
      <c r="B3224" s="816" t="s">
        <v>7864</v>
      </c>
      <c r="C3224" s="729" t="s">
        <v>812</v>
      </c>
      <c r="D3224" s="460"/>
      <c r="E3224" s="878" t="s">
        <v>2355</v>
      </c>
      <c r="F3224" s="881" t="s">
        <v>3632</v>
      </c>
      <c r="G3224" s="731" t="s">
        <v>5227</v>
      </c>
      <c r="H3224" s="1083">
        <v>42401</v>
      </c>
      <c r="I3224" s="1084">
        <v>42489</v>
      </c>
      <c r="J3224" s="957">
        <v>203.83</v>
      </c>
    </row>
    <row r="3225" spans="1:10" s="852" customFormat="1" outlineLevel="2">
      <c r="A3225" s="815" t="s">
        <v>811</v>
      </c>
      <c r="B3225" s="816" t="s">
        <v>7865</v>
      </c>
      <c r="C3225" s="729" t="s">
        <v>812</v>
      </c>
      <c r="D3225" s="460"/>
      <c r="E3225" s="878" t="s">
        <v>2355</v>
      </c>
      <c r="F3225" s="881" t="s">
        <v>3885</v>
      </c>
      <c r="G3225" s="731" t="s">
        <v>5228</v>
      </c>
      <c r="H3225" s="1083">
        <v>42401</v>
      </c>
      <c r="I3225" s="1084">
        <v>42489</v>
      </c>
      <c r="J3225" s="957">
        <v>2015.83</v>
      </c>
    </row>
    <row r="3226" spans="1:10" s="852" customFormat="1" outlineLevel="2">
      <c r="A3226" s="815" t="s">
        <v>815</v>
      </c>
      <c r="B3226" s="816" t="s">
        <v>7863</v>
      </c>
      <c r="C3226" s="729" t="s">
        <v>812</v>
      </c>
      <c r="D3226" s="460"/>
      <c r="E3226" s="878" t="s">
        <v>2355</v>
      </c>
      <c r="F3226" s="881" t="s">
        <v>4398</v>
      </c>
      <c r="G3226" s="731" t="s">
        <v>5229</v>
      </c>
      <c r="H3226" s="1083">
        <v>42401</v>
      </c>
      <c r="I3226" s="1084">
        <v>42489</v>
      </c>
      <c r="J3226" s="957">
        <v>2697.93</v>
      </c>
    </row>
    <row r="3227" spans="1:10" s="852" customFormat="1" ht="28.5" outlineLevel="2">
      <c r="A3227" s="815" t="s">
        <v>811</v>
      </c>
      <c r="B3227" s="816" t="s">
        <v>7865</v>
      </c>
      <c r="C3227" s="729" t="s">
        <v>812</v>
      </c>
      <c r="D3227" s="460"/>
      <c r="E3227" s="878" t="s">
        <v>2355</v>
      </c>
      <c r="F3227" s="881" t="s">
        <v>5270</v>
      </c>
      <c r="G3227" s="731" t="s">
        <v>5230</v>
      </c>
      <c r="H3227" s="1083">
        <v>42430</v>
      </c>
      <c r="I3227" s="1084">
        <v>42489</v>
      </c>
      <c r="J3227" s="957">
        <v>16126.67</v>
      </c>
    </row>
    <row r="3228" spans="1:10" s="852" customFormat="1" outlineLevel="2">
      <c r="A3228" s="815" t="s">
        <v>811</v>
      </c>
      <c r="B3228" s="816" t="s">
        <v>7865</v>
      </c>
      <c r="C3228" s="729" t="s">
        <v>812</v>
      </c>
      <c r="D3228" s="460"/>
      <c r="E3228" s="878" t="s">
        <v>508</v>
      </c>
      <c r="F3228" s="881" t="s">
        <v>1094</v>
      </c>
      <c r="G3228" s="731" t="s">
        <v>5825</v>
      </c>
      <c r="H3228" s="1083">
        <v>42430</v>
      </c>
      <c r="I3228" s="1084">
        <v>42489</v>
      </c>
      <c r="J3228" s="957">
        <v>34022.26</v>
      </c>
    </row>
    <row r="3229" spans="1:10" s="852" customFormat="1" ht="28.5" outlineLevel="2">
      <c r="A3229" s="815" t="s">
        <v>811</v>
      </c>
      <c r="B3229" s="816" t="s">
        <v>7865</v>
      </c>
      <c r="C3229" s="729" t="s">
        <v>812</v>
      </c>
      <c r="D3229" s="460"/>
      <c r="E3229" s="878" t="s">
        <v>1909</v>
      </c>
      <c r="F3229" s="881" t="s">
        <v>5265</v>
      </c>
      <c r="G3229" s="731" t="s">
        <v>5259</v>
      </c>
      <c r="H3229" s="1083">
        <v>42430</v>
      </c>
      <c r="I3229" s="1084">
        <v>42480</v>
      </c>
      <c r="J3229" s="957">
        <v>4838</v>
      </c>
    </row>
    <row r="3230" spans="1:10" s="852" customFormat="1" outlineLevel="2">
      <c r="A3230" s="815" t="s">
        <v>977</v>
      </c>
      <c r="B3230" s="816" t="s">
        <v>7866</v>
      </c>
      <c r="C3230" s="729" t="s">
        <v>812</v>
      </c>
      <c r="D3230" s="460"/>
      <c r="E3230" s="878" t="s">
        <v>1909</v>
      </c>
      <c r="F3230" s="881" t="s">
        <v>3935</v>
      </c>
      <c r="G3230" s="731" t="s">
        <v>2817</v>
      </c>
      <c r="H3230" s="1083">
        <v>42401</v>
      </c>
      <c r="I3230" s="1084">
        <v>42480</v>
      </c>
      <c r="J3230" s="957">
        <v>222.69</v>
      </c>
    </row>
    <row r="3231" spans="1:10" s="852" customFormat="1" outlineLevel="2">
      <c r="A3231" s="815" t="s">
        <v>977</v>
      </c>
      <c r="B3231" s="816" t="s">
        <v>7866</v>
      </c>
      <c r="C3231" s="729" t="s">
        <v>812</v>
      </c>
      <c r="D3231" s="460"/>
      <c r="E3231" s="878" t="s">
        <v>1909</v>
      </c>
      <c r="F3231" s="881" t="s">
        <v>4027</v>
      </c>
      <c r="G3231" s="731" t="s">
        <v>2819</v>
      </c>
      <c r="H3231" s="1083">
        <v>42401</v>
      </c>
      <c r="I3231" s="1084">
        <v>42480</v>
      </c>
      <c r="J3231" s="957">
        <v>7.12</v>
      </c>
    </row>
    <row r="3232" spans="1:10" s="852" customFormat="1" outlineLevel="2">
      <c r="A3232" s="815" t="s">
        <v>977</v>
      </c>
      <c r="B3232" s="816" t="s">
        <v>7866</v>
      </c>
      <c r="C3232" s="729" t="s">
        <v>812</v>
      </c>
      <c r="D3232" s="460"/>
      <c r="E3232" s="878" t="s">
        <v>1909</v>
      </c>
      <c r="F3232" s="881" t="s">
        <v>4129</v>
      </c>
      <c r="G3232" s="731" t="s">
        <v>2821</v>
      </c>
      <c r="H3232" s="1083">
        <v>42401</v>
      </c>
      <c r="I3232" s="1084">
        <v>42480</v>
      </c>
      <c r="J3232" s="957">
        <v>84.02</v>
      </c>
    </row>
    <row r="3233" spans="1:10" s="852" customFormat="1" outlineLevel="2">
      <c r="A3233" s="815" t="s">
        <v>815</v>
      </c>
      <c r="B3233" s="816" t="s">
        <v>7863</v>
      </c>
      <c r="C3233" s="729" t="s">
        <v>812</v>
      </c>
      <c r="D3233" s="460"/>
      <c r="E3233" s="878" t="s">
        <v>1909</v>
      </c>
      <c r="F3233" s="881" t="s">
        <v>4395</v>
      </c>
      <c r="G3233" s="731" t="s">
        <v>5253</v>
      </c>
      <c r="H3233" s="1083">
        <v>42401</v>
      </c>
      <c r="I3233" s="1084">
        <v>42480</v>
      </c>
      <c r="J3233" s="957">
        <v>539.59</v>
      </c>
    </row>
    <row r="3234" spans="1:10" s="852" customFormat="1" outlineLevel="2">
      <c r="A3234" s="815" t="s">
        <v>814</v>
      </c>
      <c r="B3234" s="816" t="s">
        <v>7864</v>
      </c>
      <c r="C3234" s="729" t="s">
        <v>812</v>
      </c>
      <c r="D3234" s="460"/>
      <c r="E3234" s="878" t="s">
        <v>1909</v>
      </c>
      <c r="F3234" s="881" t="s">
        <v>6394</v>
      </c>
      <c r="G3234" s="731" t="s">
        <v>5236</v>
      </c>
      <c r="H3234" s="1083">
        <v>42401</v>
      </c>
      <c r="I3234" s="1084">
        <v>42480</v>
      </c>
      <c r="J3234" s="957">
        <v>61.96</v>
      </c>
    </row>
    <row r="3235" spans="1:10" s="852" customFormat="1" outlineLevel="2">
      <c r="A3235" s="815" t="s">
        <v>814</v>
      </c>
      <c r="B3235" s="816" t="s">
        <v>7864</v>
      </c>
      <c r="C3235" s="729" t="s">
        <v>812</v>
      </c>
      <c r="D3235" s="460"/>
      <c r="E3235" s="878" t="s">
        <v>1909</v>
      </c>
      <c r="F3235" s="881" t="s">
        <v>3629</v>
      </c>
      <c r="G3235" s="731" t="s">
        <v>5248</v>
      </c>
      <c r="H3235" s="1083">
        <v>42401</v>
      </c>
      <c r="I3235" s="1084">
        <v>42480</v>
      </c>
      <c r="J3235" s="957">
        <v>40.770000000000003</v>
      </c>
    </row>
    <row r="3236" spans="1:10" s="852" customFormat="1" outlineLevel="2">
      <c r="A3236" s="815" t="s">
        <v>814</v>
      </c>
      <c r="B3236" s="816" t="s">
        <v>7864</v>
      </c>
      <c r="C3236" s="729" t="s">
        <v>812</v>
      </c>
      <c r="D3236" s="460"/>
      <c r="E3236" s="878" t="s">
        <v>1909</v>
      </c>
      <c r="F3236" s="881" t="s">
        <v>3171</v>
      </c>
      <c r="G3236" s="731" t="s">
        <v>5245</v>
      </c>
      <c r="H3236" s="1083">
        <v>42401</v>
      </c>
      <c r="I3236" s="1084">
        <v>42480</v>
      </c>
      <c r="J3236" s="957">
        <v>60.33</v>
      </c>
    </row>
    <row r="3237" spans="1:10" s="852" customFormat="1" outlineLevel="2">
      <c r="A3237" s="815" t="s">
        <v>811</v>
      </c>
      <c r="B3237" s="816" t="s">
        <v>7865</v>
      </c>
      <c r="C3237" s="729" t="s">
        <v>812</v>
      </c>
      <c r="D3237" s="460"/>
      <c r="E3237" s="878" t="s">
        <v>1909</v>
      </c>
      <c r="F3237" s="881" t="s">
        <v>6393</v>
      </c>
      <c r="G3237" s="731" t="s">
        <v>5234</v>
      </c>
      <c r="H3237" s="1083">
        <v>42401</v>
      </c>
      <c r="I3237" s="1084">
        <v>42480</v>
      </c>
      <c r="J3237" s="957">
        <v>604.75</v>
      </c>
    </row>
    <row r="3238" spans="1:10" s="852" customFormat="1" outlineLevel="2">
      <c r="A3238" s="815" t="s">
        <v>811</v>
      </c>
      <c r="B3238" s="816" t="s">
        <v>7865</v>
      </c>
      <c r="C3238" s="729" t="s">
        <v>812</v>
      </c>
      <c r="D3238" s="460"/>
      <c r="E3238" s="878" t="s">
        <v>1909</v>
      </c>
      <c r="F3238" s="881" t="s">
        <v>3881</v>
      </c>
      <c r="G3238" s="731" t="s">
        <v>5252</v>
      </c>
      <c r="H3238" s="1083">
        <v>42401</v>
      </c>
      <c r="I3238" s="1084">
        <v>42480</v>
      </c>
      <c r="J3238" s="957">
        <v>604.75</v>
      </c>
    </row>
    <row r="3239" spans="1:10" s="852" customFormat="1" ht="42.75" outlineLevel="2">
      <c r="A3239" s="815" t="s">
        <v>811</v>
      </c>
      <c r="B3239" s="816" t="s">
        <v>7865</v>
      </c>
      <c r="C3239" s="729" t="s">
        <v>812</v>
      </c>
      <c r="D3239" s="460"/>
      <c r="E3239" s="878" t="s">
        <v>1909</v>
      </c>
      <c r="F3239" s="881" t="s">
        <v>5029</v>
      </c>
      <c r="G3239" s="731" t="s">
        <v>5258</v>
      </c>
      <c r="H3239" s="1083">
        <v>42401</v>
      </c>
      <c r="I3239" s="1084">
        <v>42480</v>
      </c>
      <c r="J3239" s="957">
        <v>14997.8</v>
      </c>
    </row>
    <row r="3240" spans="1:10" s="852" customFormat="1" ht="28.5" outlineLevel="2">
      <c r="A3240" s="815" t="s">
        <v>977</v>
      </c>
      <c r="B3240" s="816" t="s">
        <v>7866</v>
      </c>
      <c r="C3240" s="729" t="s">
        <v>812</v>
      </c>
      <c r="D3240" s="460"/>
      <c r="E3240" s="878" t="s">
        <v>1909</v>
      </c>
      <c r="F3240" s="881" t="s">
        <v>4956</v>
      </c>
      <c r="G3240" s="731" t="s">
        <v>2833</v>
      </c>
      <c r="H3240" s="1083">
        <v>42401</v>
      </c>
      <c r="I3240" s="1084">
        <v>42480</v>
      </c>
      <c r="J3240" s="957">
        <v>690.36</v>
      </c>
    </row>
    <row r="3241" spans="1:10" s="852" customFormat="1" ht="28.5" outlineLevel="2">
      <c r="A3241" s="815" t="s">
        <v>977</v>
      </c>
      <c r="B3241" s="816" t="s">
        <v>7866</v>
      </c>
      <c r="C3241" s="729" t="s">
        <v>812</v>
      </c>
      <c r="D3241" s="460"/>
      <c r="E3241" s="878" t="s">
        <v>1909</v>
      </c>
      <c r="F3241" s="881" t="s">
        <v>4903</v>
      </c>
      <c r="G3241" s="731" t="s">
        <v>2832</v>
      </c>
      <c r="H3241" s="1083">
        <v>42401</v>
      </c>
      <c r="I3241" s="1084">
        <v>42480</v>
      </c>
      <c r="J3241" s="957">
        <v>22.07</v>
      </c>
    </row>
    <row r="3242" spans="1:10" s="852" customFormat="1" ht="28.5" outlineLevel="2">
      <c r="A3242" s="815" t="s">
        <v>977</v>
      </c>
      <c r="B3242" s="816" t="s">
        <v>7866</v>
      </c>
      <c r="C3242" s="729" t="s">
        <v>812</v>
      </c>
      <c r="D3242" s="460"/>
      <c r="E3242" s="878" t="s">
        <v>1909</v>
      </c>
      <c r="F3242" s="881" t="s">
        <v>4853</v>
      </c>
      <c r="G3242" s="731" t="s">
        <v>2831</v>
      </c>
      <c r="H3242" s="1083">
        <v>42401</v>
      </c>
      <c r="I3242" s="1084">
        <v>42480</v>
      </c>
      <c r="J3242" s="957">
        <v>260.47000000000003</v>
      </c>
    </row>
    <row r="3243" spans="1:10" s="852" customFormat="1" ht="28.5" outlineLevel="2">
      <c r="A3243" s="815" t="s">
        <v>815</v>
      </c>
      <c r="B3243" s="816" t="s">
        <v>7863</v>
      </c>
      <c r="C3243" s="729" t="s">
        <v>812</v>
      </c>
      <c r="D3243" s="460"/>
      <c r="E3243" s="878" t="s">
        <v>1909</v>
      </c>
      <c r="F3243" s="881" t="s">
        <v>6392</v>
      </c>
      <c r="G3243" s="731" t="s">
        <v>5231</v>
      </c>
      <c r="H3243" s="1083">
        <v>42370</v>
      </c>
      <c r="I3243" s="1084">
        <v>42480</v>
      </c>
      <c r="J3243" s="957">
        <v>2673.52</v>
      </c>
    </row>
    <row r="3244" spans="1:10" s="852" customFormat="1" ht="28.5" outlineLevel="2">
      <c r="A3244" s="815" t="s">
        <v>815</v>
      </c>
      <c r="B3244" s="816" t="s">
        <v>7863</v>
      </c>
      <c r="C3244" s="729" t="s">
        <v>812</v>
      </c>
      <c r="D3244" s="460"/>
      <c r="E3244" s="878" t="s">
        <v>1909</v>
      </c>
      <c r="F3244" s="881" t="s">
        <v>6392</v>
      </c>
      <c r="G3244" s="731" t="s">
        <v>5232</v>
      </c>
      <c r="H3244" s="1083">
        <v>42370</v>
      </c>
      <c r="I3244" s="1084">
        <v>42480</v>
      </c>
      <c r="J3244" s="957">
        <v>2673.51</v>
      </c>
    </row>
    <row r="3245" spans="1:10" s="852" customFormat="1" ht="28.5" outlineLevel="2">
      <c r="A3245" s="815" t="s">
        <v>815</v>
      </c>
      <c r="B3245" s="816" t="s">
        <v>7863</v>
      </c>
      <c r="C3245" s="729" t="s">
        <v>812</v>
      </c>
      <c r="D3245" s="460"/>
      <c r="E3245" s="878" t="s">
        <v>1909</v>
      </c>
      <c r="F3245" s="881" t="s">
        <v>6392</v>
      </c>
      <c r="G3245" s="731" t="s">
        <v>5233</v>
      </c>
      <c r="H3245" s="1083">
        <v>42370</v>
      </c>
      <c r="I3245" s="1084">
        <v>42480</v>
      </c>
      <c r="J3245" s="957">
        <v>-2673.52</v>
      </c>
    </row>
    <row r="3246" spans="1:10" s="852" customFormat="1" ht="28.5" outlineLevel="2">
      <c r="A3246" s="815" t="s">
        <v>814</v>
      </c>
      <c r="B3246" s="816" t="s">
        <v>7864</v>
      </c>
      <c r="C3246" s="729" t="s">
        <v>812</v>
      </c>
      <c r="D3246" s="460"/>
      <c r="E3246" s="878" t="s">
        <v>1909</v>
      </c>
      <c r="F3246" s="881" t="s">
        <v>2927</v>
      </c>
      <c r="G3246" s="731" t="s">
        <v>5238</v>
      </c>
      <c r="H3246" s="1083">
        <v>42370</v>
      </c>
      <c r="I3246" s="1084">
        <v>42480</v>
      </c>
      <c r="J3246" s="957">
        <v>-189.56</v>
      </c>
    </row>
    <row r="3247" spans="1:10" s="852" customFormat="1" ht="28.5" outlineLevel="2">
      <c r="A3247" s="815" t="s">
        <v>814</v>
      </c>
      <c r="B3247" s="816" t="s">
        <v>7864</v>
      </c>
      <c r="C3247" s="729" t="s">
        <v>812</v>
      </c>
      <c r="D3247" s="460"/>
      <c r="E3247" s="878" t="s">
        <v>1909</v>
      </c>
      <c r="F3247" s="881" t="s">
        <v>2927</v>
      </c>
      <c r="G3247" s="731" t="s">
        <v>5240</v>
      </c>
      <c r="H3247" s="1083">
        <v>42370</v>
      </c>
      <c r="I3247" s="1084">
        <v>42480</v>
      </c>
      <c r="J3247" s="957">
        <v>-189.56</v>
      </c>
    </row>
    <row r="3248" spans="1:10" s="852" customFormat="1" ht="28.5" outlineLevel="2">
      <c r="A3248" s="815" t="s">
        <v>814</v>
      </c>
      <c r="B3248" s="816" t="s">
        <v>7864</v>
      </c>
      <c r="C3248" s="729" t="s">
        <v>812</v>
      </c>
      <c r="D3248" s="460"/>
      <c r="E3248" s="878" t="s">
        <v>1909</v>
      </c>
      <c r="F3248" s="881" t="s">
        <v>2927</v>
      </c>
      <c r="G3248" s="731" t="s">
        <v>5241</v>
      </c>
      <c r="H3248" s="1083">
        <v>42370</v>
      </c>
      <c r="I3248" s="1084">
        <v>42480</v>
      </c>
      <c r="J3248" s="957">
        <v>189.56</v>
      </c>
    </row>
    <row r="3249" spans="1:10" s="852" customFormat="1" ht="28.5" outlineLevel="2">
      <c r="A3249" s="815" t="s">
        <v>814</v>
      </c>
      <c r="B3249" s="816" t="s">
        <v>7864</v>
      </c>
      <c r="C3249" s="729" t="s">
        <v>812</v>
      </c>
      <c r="D3249" s="460"/>
      <c r="E3249" s="878" t="s">
        <v>1909</v>
      </c>
      <c r="F3249" s="881" t="s">
        <v>2927</v>
      </c>
      <c r="G3249" s="731" t="s">
        <v>5243</v>
      </c>
      <c r="H3249" s="1083">
        <v>42370</v>
      </c>
      <c r="I3249" s="1084">
        <v>42480</v>
      </c>
      <c r="J3249" s="957">
        <v>189.56</v>
      </c>
    </row>
    <row r="3250" spans="1:10" s="852" customFormat="1" ht="28.5" outlineLevel="2">
      <c r="A3250" s="815" t="s">
        <v>814</v>
      </c>
      <c r="B3250" s="816" t="s">
        <v>7864</v>
      </c>
      <c r="C3250" s="729" t="s">
        <v>812</v>
      </c>
      <c r="D3250" s="460"/>
      <c r="E3250" s="878" t="s">
        <v>1909</v>
      </c>
      <c r="F3250" s="881" t="s">
        <v>2927</v>
      </c>
      <c r="G3250" s="731" t="s">
        <v>5247</v>
      </c>
      <c r="H3250" s="1083">
        <v>42370</v>
      </c>
      <c r="I3250" s="1084">
        <v>42480</v>
      </c>
      <c r="J3250" s="957">
        <v>189.56</v>
      </c>
    </row>
    <row r="3251" spans="1:10" s="852" customFormat="1" ht="28.5" outlineLevel="2">
      <c r="A3251" s="815" t="s">
        <v>814</v>
      </c>
      <c r="B3251" s="816" t="s">
        <v>7864</v>
      </c>
      <c r="C3251" s="729" t="s">
        <v>812</v>
      </c>
      <c r="D3251" s="460"/>
      <c r="E3251" s="878" t="s">
        <v>1909</v>
      </c>
      <c r="F3251" s="881" t="s">
        <v>3676</v>
      </c>
      <c r="G3251" s="731" t="s">
        <v>5249</v>
      </c>
      <c r="H3251" s="1083">
        <v>42370</v>
      </c>
      <c r="I3251" s="1084">
        <v>42480</v>
      </c>
      <c r="J3251" s="957">
        <v>-280.55</v>
      </c>
    </row>
    <row r="3252" spans="1:10" s="852" customFormat="1" ht="28.5" outlineLevel="2">
      <c r="A3252" s="815" t="s">
        <v>814</v>
      </c>
      <c r="B3252" s="816" t="s">
        <v>7864</v>
      </c>
      <c r="C3252" s="729" t="s">
        <v>812</v>
      </c>
      <c r="D3252" s="460"/>
      <c r="E3252" s="878" t="s">
        <v>1909</v>
      </c>
      <c r="F3252" s="881" t="s">
        <v>3676</v>
      </c>
      <c r="G3252" s="731" t="s">
        <v>5250</v>
      </c>
      <c r="H3252" s="1083">
        <v>42370</v>
      </c>
      <c r="I3252" s="1084">
        <v>42480</v>
      </c>
      <c r="J3252" s="957">
        <v>280.55</v>
      </c>
    </row>
    <row r="3253" spans="1:10" s="852" customFormat="1" ht="28.5" outlineLevel="2">
      <c r="A3253" s="815" t="s">
        <v>814</v>
      </c>
      <c r="B3253" s="816" t="s">
        <v>7864</v>
      </c>
      <c r="C3253" s="729" t="s">
        <v>812</v>
      </c>
      <c r="D3253" s="460"/>
      <c r="E3253" s="878" t="s">
        <v>1909</v>
      </c>
      <c r="F3253" s="881" t="s">
        <v>3676</v>
      </c>
      <c r="G3253" s="731" t="s">
        <v>5251</v>
      </c>
      <c r="H3253" s="1083">
        <v>42370</v>
      </c>
      <c r="I3253" s="1084">
        <v>42480</v>
      </c>
      <c r="J3253" s="957">
        <v>280.55</v>
      </c>
    </row>
    <row r="3254" spans="1:10" s="852" customFormat="1" ht="28.5" outlineLevel="2">
      <c r="A3254" s="815" t="s">
        <v>811</v>
      </c>
      <c r="B3254" s="816" t="s">
        <v>7865</v>
      </c>
      <c r="C3254" s="729" t="s">
        <v>812</v>
      </c>
      <c r="D3254" s="460"/>
      <c r="E3254" s="878" t="s">
        <v>1909</v>
      </c>
      <c r="F3254" s="881" t="s">
        <v>4847</v>
      </c>
      <c r="G3254" s="731" t="s">
        <v>5255</v>
      </c>
      <c r="H3254" s="1083">
        <v>42401</v>
      </c>
      <c r="I3254" s="1084">
        <v>42480</v>
      </c>
      <c r="J3254" s="957">
        <v>1874.73</v>
      </c>
    </row>
    <row r="3255" spans="1:10" s="852" customFormat="1" outlineLevel="2">
      <c r="A3255" s="815" t="s">
        <v>811</v>
      </c>
      <c r="B3255" s="816" t="s">
        <v>7865</v>
      </c>
      <c r="C3255" s="729" t="s">
        <v>812</v>
      </c>
      <c r="D3255" s="460"/>
      <c r="E3255" s="878" t="s">
        <v>447</v>
      </c>
      <c r="F3255" s="881" t="s">
        <v>1094</v>
      </c>
      <c r="G3255" s="731" t="s">
        <v>5567</v>
      </c>
      <c r="H3255" s="1083">
        <v>42401</v>
      </c>
      <c r="I3255" s="1084">
        <v>42464</v>
      </c>
      <c r="J3255" s="957">
        <v>34022.26</v>
      </c>
    </row>
    <row r="3256" spans="1:10" s="852" customFormat="1" outlineLevel="2">
      <c r="A3256" s="815" t="s">
        <v>811</v>
      </c>
      <c r="B3256" s="816" t="s">
        <v>7865</v>
      </c>
      <c r="C3256" s="729" t="s">
        <v>812</v>
      </c>
      <c r="D3256" s="460"/>
      <c r="E3256" s="878" t="s">
        <v>447</v>
      </c>
      <c r="F3256" s="881" t="s">
        <v>1094</v>
      </c>
      <c r="G3256" s="731" t="s">
        <v>5865</v>
      </c>
      <c r="H3256" s="1083">
        <v>42430</v>
      </c>
      <c r="I3256" s="1084">
        <v>42489</v>
      </c>
      <c r="J3256" s="957">
        <v>34022.28</v>
      </c>
    </row>
    <row r="3257" spans="1:10" s="852" customFormat="1" outlineLevel="1">
      <c r="A3257" s="815"/>
      <c r="B3257" s="816" t="s">
        <v>258</v>
      </c>
      <c r="C3257" s="908" t="s">
        <v>812</v>
      </c>
      <c r="D3257" s="928" t="str">
        <f>VLOOKUP(C3257,$C$3691:$D$3771,2,FALSE)</f>
        <v>TOTAL POUPATEMPO PIRACICABA</v>
      </c>
      <c r="E3257" s="1085"/>
      <c r="F3257" s="929"/>
      <c r="G3257" s="910"/>
      <c r="H3257" s="1086"/>
      <c r="I3257" s="1087"/>
      <c r="J3257" s="930">
        <f>SUBTOTAL(9,J3202:J3256)</f>
        <v>237343.82999999996</v>
      </c>
    </row>
    <row r="3258" spans="1:10" s="852" customFormat="1" outlineLevel="2">
      <c r="A3258" s="815" t="s">
        <v>6458</v>
      </c>
      <c r="B3258" s="816" t="s">
        <v>7863</v>
      </c>
      <c r="C3258" s="729" t="s">
        <v>472</v>
      </c>
      <c r="D3258" s="460"/>
      <c r="E3258" s="878" t="s">
        <v>483</v>
      </c>
      <c r="F3258" s="881" t="s">
        <v>2208</v>
      </c>
      <c r="G3258" s="731" t="str">
        <f>"17007"</f>
        <v>17007</v>
      </c>
      <c r="H3258" s="1083">
        <v>42401</v>
      </c>
      <c r="I3258" s="1084">
        <v>42475</v>
      </c>
      <c r="J3258" s="957">
        <v>34852.99</v>
      </c>
    </row>
    <row r="3259" spans="1:10" s="852" customFormat="1" outlineLevel="2">
      <c r="A3259" s="815" t="s">
        <v>5934</v>
      </c>
      <c r="B3259" s="816" t="s">
        <v>7864</v>
      </c>
      <c r="C3259" s="729" t="s">
        <v>472</v>
      </c>
      <c r="D3259" s="460"/>
      <c r="E3259" s="878" t="s">
        <v>6470</v>
      </c>
      <c r="F3259" s="881" t="s">
        <v>434</v>
      </c>
      <c r="G3259" s="731" t="str">
        <f>"2629"</f>
        <v>2629</v>
      </c>
      <c r="H3259" s="1083">
        <v>42370</v>
      </c>
      <c r="I3259" s="1084">
        <v>42478</v>
      </c>
      <c r="J3259" s="957">
        <v>-1079.58</v>
      </c>
    </row>
    <row r="3260" spans="1:10" s="852" customFormat="1" outlineLevel="2">
      <c r="A3260" s="815" t="s">
        <v>5934</v>
      </c>
      <c r="B3260" s="816" t="s">
        <v>7864</v>
      </c>
      <c r="C3260" s="729" t="s">
        <v>472</v>
      </c>
      <c r="D3260" s="460"/>
      <c r="E3260" s="878" t="s">
        <v>6470</v>
      </c>
      <c r="F3260" s="881" t="s">
        <v>434</v>
      </c>
      <c r="G3260" s="731" t="str">
        <f>"2629"</f>
        <v>2629</v>
      </c>
      <c r="H3260" s="1083">
        <v>42370</v>
      </c>
      <c r="I3260" s="1084">
        <v>42478</v>
      </c>
      <c r="J3260" s="957">
        <v>1079.58</v>
      </c>
    </row>
    <row r="3261" spans="1:10" s="852" customFormat="1" outlineLevel="2">
      <c r="A3261" s="815" t="s">
        <v>5934</v>
      </c>
      <c r="B3261" s="816" t="s">
        <v>7864</v>
      </c>
      <c r="C3261" s="729" t="s">
        <v>472</v>
      </c>
      <c r="D3261" s="460"/>
      <c r="E3261" s="878" t="s">
        <v>6470</v>
      </c>
      <c r="F3261" s="881" t="s">
        <v>434</v>
      </c>
      <c r="G3261" s="731" t="str">
        <f>"2629"</f>
        <v>2629</v>
      </c>
      <c r="H3261" s="1083">
        <v>42370</v>
      </c>
      <c r="I3261" s="1084">
        <v>42478</v>
      </c>
      <c r="J3261" s="957">
        <v>1079.58</v>
      </c>
    </row>
    <row r="3262" spans="1:10" s="852" customFormat="1" outlineLevel="2">
      <c r="A3262" s="815" t="s">
        <v>5934</v>
      </c>
      <c r="B3262" s="816" t="s">
        <v>7864</v>
      </c>
      <c r="C3262" s="729" t="s">
        <v>472</v>
      </c>
      <c r="D3262" s="460"/>
      <c r="E3262" s="878" t="s">
        <v>6470</v>
      </c>
      <c r="F3262" s="881" t="s">
        <v>434</v>
      </c>
      <c r="G3262" s="731" t="str">
        <f>"2629"</f>
        <v>2629</v>
      </c>
      <c r="H3262" s="1083">
        <v>42370</v>
      </c>
      <c r="I3262" s="1084">
        <v>42478</v>
      </c>
      <c r="J3262" s="957">
        <v>1079.58</v>
      </c>
    </row>
    <row r="3263" spans="1:10" s="852" customFormat="1" outlineLevel="2">
      <c r="A3263" s="815" t="s">
        <v>5934</v>
      </c>
      <c r="B3263" s="816" t="s">
        <v>7864</v>
      </c>
      <c r="C3263" s="729" t="s">
        <v>472</v>
      </c>
      <c r="D3263" s="460"/>
      <c r="E3263" s="878" t="s">
        <v>6470</v>
      </c>
      <c r="F3263" s="881" t="s">
        <v>434</v>
      </c>
      <c r="G3263" s="731" t="str">
        <f>"2629"</f>
        <v>2629</v>
      </c>
      <c r="H3263" s="1083">
        <v>42370</v>
      </c>
      <c r="I3263" s="1084">
        <v>42478</v>
      </c>
      <c r="J3263" s="957">
        <v>-1079.58</v>
      </c>
    </row>
    <row r="3264" spans="1:10" s="852" customFormat="1" outlineLevel="2">
      <c r="A3264" s="815" t="s">
        <v>820</v>
      </c>
      <c r="B3264" s="816" t="s">
        <v>7863</v>
      </c>
      <c r="C3264" s="729" t="s">
        <v>472</v>
      </c>
      <c r="D3264" s="460"/>
      <c r="E3264" s="878" t="s">
        <v>2336</v>
      </c>
      <c r="F3264" s="881" t="s">
        <v>4245</v>
      </c>
      <c r="G3264" s="731" t="s">
        <v>5264</v>
      </c>
      <c r="H3264" s="1083">
        <v>42401</v>
      </c>
      <c r="I3264" s="1084">
        <v>42480</v>
      </c>
      <c r="J3264" s="957">
        <v>4893.21</v>
      </c>
    </row>
    <row r="3265" spans="1:10" s="852" customFormat="1" outlineLevel="2">
      <c r="A3265" s="815" t="s">
        <v>2587</v>
      </c>
      <c r="B3265" s="816" t="s">
        <v>7864</v>
      </c>
      <c r="C3265" s="729" t="s">
        <v>472</v>
      </c>
      <c r="D3265" s="460"/>
      <c r="E3265" s="878" t="s">
        <v>2336</v>
      </c>
      <c r="F3265" s="881" t="s">
        <v>6079</v>
      </c>
      <c r="G3265" s="731" t="s">
        <v>5260</v>
      </c>
      <c r="H3265" s="1083">
        <v>42401</v>
      </c>
      <c r="I3265" s="1084">
        <v>42480</v>
      </c>
      <c r="J3265" s="957">
        <v>757.85</v>
      </c>
    </row>
    <row r="3266" spans="1:10" s="852" customFormat="1" outlineLevel="2">
      <c r="A3266" s="815" t="s">
        <v>2587</v>
      </c>
      <c r="B3266" s="816" t="s">
        <v>7864</v>
      </c>
      <c r="C3266" s="729" t="s">
        <v>472</v>
      </c>
      <c r="D3266" s="460"/>
      <c r="E3266" s="878" t="s">
        <v>2336</v>
      </c>
      <c r="F3266" s="881" t="s">
        <v>6080</v>
      </c>
      <c r="G3266" s="731" t="s">
        <v>5261</v>
      </c>
      <c r="H3266" s="1083">
        <v>42401</v>
      </c>
      <c r="I3266" s="1084">
        <v>42480</v>
      </c>
      <c r="J3266" s="957">
        <v>498.58</v>
      </c>
    </row>
    <row r="3267" spans="1:10" s="852" customFormat="1" outlineLevel="2">
      <c r="A3267" s="815" t="s">
        <v>2587</v>
      </c>
      <c r="B3267" s="816" t="s">
        <v>7864</v>
      </c>
      <c r="C3267" s="729" t="s">
        <v>472</v>
      </c>
      <c r="D3267" s="460"/>
      <c r="E3267" s="878" t="s">
        <v>2336</v>
      </c>
      <c r="F3267" s="881" t="s">
        <v>3036</v>
      </c>
      <c r="G3267" s="731" t="s">
        <v>5263</v>
      </c>
      <c r="H3267" s="1083">
        <v>42401</v>
      </c>
      <c r="I3267" s="1084">
        <v>42480</v>
      </c>
      <c r="J3267" s="957">
        <v>737.9</v>
      </c>
    </row>
    <row r="3268" spans="1:10" s="852" customFormat="1" outlineLevel="2">
      <c r="A3268" s="815" t="s">
        <v>2356</v>
      </c>
      <c r="B3268" s="816" t="s">
        <v>7865</v>
      </c>
      <c r="C3268" s="729" t="s">
        <v>472</v>
      </c>
      <c r="D3268" s="460"/>
      <c r="E3268" s="878" t="s">
        <v>2336</v>
      </c>
      <c r="F3268" s="881" t="s">
        <v>6081</v>
      </c>
      <c r="G3268" s="731" t="s">
        <v>5262</v>
      </c>
      <c r="H3268" s="1083">
        <v>42401</v>
      </c>
      <c r="I3268" s="1084">
        <v>42480</v>
      </c>
      <c r="J3268" s="957">
        <v>7069.72</v>
      </c>
    </row>
    <row r="3269" spans="1:10" s="852" customFormat="1" outlineLevel="2">
      <c r="A3269" s="815" t="s">
        <v>5934</v>
      </c>
      <c r="B3269" s="816" t="s">
        <v>7864</v>
      </c>
      <c r="C3269" s="729" t="s">
        <v>472</v>
      </c>
      <c r="D3269" s="460"/>
      <c r="E3269" s="878" t="s">
        <v>2717</v>
      </c>
      <c r="F3269" s="881" t="s">
        <v>434</v>
      </c>
      <c r="G3269" s="731" t="str">
        <f>"3513"</f>
        <v>3513</v>
      </c>
      <c r="H3269" s="1083">
        <v>42401</v>
      </c>
      <c r="I3269" s="1084">
        <v>42467</v>
      </c>
      <c r="J3269" s="957">
        <v>3551.26</v>
      </c>
    </row>
    <row r="3270" spans="1:10" s="852" customFormat="1" outlineLevel="2">
      <c r="A3270" s="815" t="s">
        <v>5934</v>
      </c>
      <c r="B3270" s="816" t="s">
        <v>7864</v>
      </c>
      <c r="C3270" s="729" t="s">
        <v>472</v>
      </c>
      <c r="D3270" s="460"/>
      <c r="E3270" s="878" t="s">
        <v>409</v>
      </c>
      <c r="F3270" s="881" t="s">
        <v>434</v>
      </c>
      <c r="G3270" s="731" t="str">
        <f>"6687"</f>
        <v>6687</v>
      </c>
      <c r="H3270" s="1083">
        <v>42401</v>
      </c>
      <c r="I3270" s="1084">
        <v>42475</v>
      </c>
      <c r="J3270" s="957">
        <v>5255.89</v>
      </c>
    </row>
    <row r="3271" spans="1:10" s="852" customFormat="1" outlineLevel="2">
      <c r="A3271" s="815" t="s">
        <v>976</v>
      </c>
      <c r="B3271" s="816" t="s">
        <v>7866</v>
      </c>
      <c r="C3271" s="729" t="s">
        <v>472</v>
      </c>
      <c r="D3271" s="460"/>
      <c r="E3271" s="878" t="s">
        <v>2282</v>
      </c>
      <c r="F3271" s="881" t="s">
        <v>3974</v>
      </c>
      <c r="G3271" s="731" t="s">
        <v>2779</v>
      </c>
      <c r="H3271" s="1083">
        <v>42401</v>
      </c>
      <c r="I3271" s="1084">
        <v>42471</v>
      </c>
      <c r="J3271" s="957">
        <v>662.53</v>
      </c>
    </row>
    <row r="3272" spans="1:10" s="852" customFormat="1" outlineLevel="2">
      <c r="A3272" s="815" t="s">
        <v>976</v>
      </c>
      <c r="B3272" s="816" t="s">
        <v>7866</v>
      </c>
      <c r="C3272" s="729" t="s">
        <v>472</v>
      </c>
      <c r="D3272" s="460"/>
      <c r="E3272" s="878" t="s">
        <v>2282</v>
      </c>
      <c r="F3272" s="881" t="s">
        <v>4081</v>
      </c>
      <c r="G3272" s="731" t="s">
        <v>2781</v>
      </c>
      <c r="H3272" s="1083">
        <v>42401</v>
      </c>
      <c r="I3272" s="1084">
        <v>42471</v>
      </c>
      <c r="J3272" s="957">
        <v>21.18</v>
      </c>
    </row>
    <row r="3273" spans="1:10" s="852" customFormat="1" outlineLevel="2">
      <c r="A3273" s="815" t="s">
        <v>976</v>
      </c>
      <c r="B3273" s="816" t="s">
        <v>7866</v>
      </c>
      <c r="C3273" s="729" t="s">
        <v>472</v>
      </c>
      <c r="D3273" s="460"/>
      <c r="E3273" s="878" t="s">
        <v>2282</v>
      </c>
      <c r="F3273" s="881" t="s">
        <v>4165</v>
      </c>
      <c r="G3273" s="731" t="s">
        <v>2782</v>
      </c>
      <c r="H3273" s="1083">
        <v>42401</v>
      </c>
      <c r="I3273" s="1084">
        <v>42471</v>
      </c>
      <c r="J3273" s="957">
        <v>249.97</v>
      </c>
    </row>
    <row r="3274" spans="1:10" s="852" customFormat="1" outlineLevel="2">
      <c r="A3274" s="815" t="s">
        <v>2587</v>
      </c>
      <c r="B3274" s="816" t="s">
        <v>7864</v>
      </c>
      <c r="C3274" s="729" t="s">
        <v>472</v>
      </c>
      <c r="D3274" s="460"/>
      <c r="E3274" s="878" t="s">
        <v>2357</v>
      </c>
      <c r="F3274" s="881" t="s">
        <v>6164</v>
      </c>
      <c r="G3274" s="731" t="s">
        <v>5267</v>
      </c>
      <c r="H3274" s="1083">
        <v>42401</v>
      </c>
      <c r="I3274" s="1084">
        <v>42485</v>
      </c>
      <c r="J3274" s="957">
        <v>344.48</v>
      </c>
    </row>
    <row r="3275" spans="1:10" s="852" customFormat="1" outlineLevel="2">
      <c r="A3275" s="815" t="s">
        <v>2587</v>
      </c>
      <c r="B3275" s="816" t="s">
        <v>7864</v>
      </c>
      <c r="C3275" s="729" t="s">
        <v>472</v>
      </c>
      <c r="D3275" s="460"/>
      <c r="E3275" s="878" t="s">
        <v>2357</v>
      </c>
      <c r="F3275" s="881" t="s">
        <v>6165</v>
      </c>
      <c r="G3275" s="731" t="s">
        <v>5269</v>
      </c>
      <c r="H3275" s="1083">
        <v>42401</v>
      </c>
      <c r="I3275" s="1084">
        <v>42485</v>
      </c>
      <c r="J3275" s="957">
        <v>226.63</v>
      </c>
    </row>
    <row r="3276" spans="1:10" s="852" customFormat="1" outlineLevel="2">
      <c r="A3276" s="815" t="s">
        <v>2356</v>
      </c>
      <c r="B3276" s="816" t="s">
        <v>7865</v>
      </c>
      <c r="C3276" s="729" t="s">
        <v>472</v>
      </c>
      <c r="D3276" s="460"/>
      <c r="E3276" s="878" t="s">
        <v>2357</v>
      </c>
      <c r="F3276" s="881" t="s">
        <v>6166</v>
      </c>
      <c r="G3276" s="731" t="s">
        <v>5271</v>
      </c>
      <c r="H3276" s="1083">
        <v>42401</v>
      </c>
      <c r="I3276" s="1084">
        <v>42485</v>
      </c>
      <c r="J3276" s="957">
        <v>10712.5</v>
      </c>
    </row>
    <row r="3277" spans="1:10" s="852" customFormat="1" outlineLevel="2">
      <c r="A3277" s="815" t="s">
        <v>2587</v>
      </c>
      <c r="B3277" s="816" t="s">
        <v>7864</v>
      </c>
      <c r="C3277" s="729" t="s">
        <v>472</v>
      </c>
      <c r="D3277" s="460"/>
      <c r="E3277" s="878" t="s">
        <v>2357</v>
      </c>
      <c r="F3277" s="881" t="s">
        <v>3038</v>
      </c>
      <c r="G3277" s="731" t="s">
        <v>5273</v>
      </c>
      <c r="H3277" s="1083">
        <v>42401</v>
      </c>
      <c r="I3277" s="1084">
        <v>42485</v>
      </c>
      <c r="J3277" s="957">
        <v>335.41</v>
      </c>
    </row>
    <row r="3278" spans="1:10" s="852" customFormat="1" outlineLevel="2">
      <c r="A3278" s="815" t="s">
        <v>820</v>
      </c>
      <c r="B3278" s="816" t="s">
        <v>7863</v>
      </c>
      <c r="C3278" s="729" t="s">
        <v>472</v>
      </c>
      <c r="D3278" s="460"/>
      <c r="E3278" s="878" t="s">
        <v>2357</v>
      </c>
      <c r="F3278" s="881" t="s">
        <v>4247</v>
      </c>
      <c r="G3278" s="731" t="s">
        <v>5275</v>
      </c>
      <c r="H3278" s="1083">
        <v>42401</v>
      </c>
      <c r="I3278" s="1084">
        <v>42485</v>
      </c>
      <c r="J3278" s="957">
        <v>2224.19</v>
      </c>
    </row>
    <row r="3279" spans="1:10" s="852" customFormat="1" outlineLevel="2">
      <c r="A3279" s="815" t="s">
        <v>976</v>
      </c>
      <c r="B3279" s="816" t="s">
        <v>7866</v>
      </c>
      <c r="C3279" s="729" t="s">
        <v>472</v>
      </c>
      <c r="D3279" s="460"/>
      <c r="E3279" s="878" t="s">
        <v>1909</v>
      </c>
      <c r="F3279" s="881" t="s">
        <v>3935</v>
      </c>
      <c r="G3279" s="731" t="s">
        <v>2817</v>
      </c>
      <c r="H3279" s="1083">
        <v>42401</v>
      </c>
      <c r="I3279" s="1084">
        <v>42480</v>
      </c>
      <c r="J3279" s="957">
        <v>198.76</v>
      </c>
    </row>
    <row r="3280" spans="1:10" s="852" customFormat="1" outlineLevel="2">
      <c r="A3280" s="815" t="s">
        <v>976</v>
      </c>
      <c r="B3280" s="816" t="s">
        <v>7866</v>
      </c>
      <c r="C3280" s="729" t="s">
        <v>472</v>
      </c>
      <c r="D3280" s="460"/>
      <c r="E3280" s="878" t="s">
        <v>1909</v>
      </c>
      <c r="F3280" s="881" t="s">
        <v>4027</v>
      </c>
      <c r="G3280" s="731" t="s">
        <v>2819</v>
      </c>
      <c r="H3280" s="1083">
        <v>42401</v>
      </c>
      <c r="I3280" s="1084">
        <v>42480</v>
      </c>
      <c r="J3280" s="957">
        <v>6.35</v>
      </c>
    </row>
    <row r="3281" spans="1:10" s="852" customFormat="1" outlineLevel="2">
      <c r="A3281" s="815" t="s">
        <v>976</v>
      </c>
      <c r="B3281" s="816" t="s">
        <v>7866</v>
      </c>
      <c r="C3281" s="729" t="s">
        <v>472</v>
      </c>
      <c r="D3281" s="460"/>
      <c r="E3281" s="878" t="s">
        <v>1909</v>
      </c>
      <c r="F3281" s="881" t="s">
        <v>4129</v>
      </c>
      <c r="G3281" s="731" t="s">
        <v>2821</v>
      </c>
      <c r="H3281" s="1083">
        <v>42401</v>
      </c>
      <c r="I3281" s="1084">
        <v>42480</v>
      </c>
      <c r="J3281" s="957">
        <v>74.989999999999995</v>
      </c>
    </row>
    <row r="3282" spans="1:10" s="852" customFormat="1" outlineLevel="2">
      <c r="A3282" s="815" t="s">
        <v>820</v>
      </c>
      <c r="B3282" s="816" t="s">
        <v>7863</v>
      </c>
      <c r="C3282" s="729" t="s">
        <v>472</v>
      </c>
      <c r="D3282" s="460"/>
      <c r="E3282" s="878" t="s">
        <v>1909</v>
      </c>
      <c r="F3282" s="881" t="s">
        <v>4244</v>
      </c>
      <c r="G3282" s="731" t="s">
        <v>5312</v>
      </c>
      <c r="H3282" s="1083">
        <v>42401</v>
      </c>
      <c r="I3282" s="1084">
        <v>42480</v>
      </c>
      <c r="J3282" s="957">
        <v>444.84</v>
      </c>
    </row>
    <row r="3283" spans="1:10" s="852" customFormat="1" outlineLevel="2">
      <c r="A3283" s="815" t="s">
        <v>2587</v>
      </c>
      <c r="B3283" s="816" t="s">
        <v>7864</v>
      </c>
      <c r="C3283" s="729" t="s">
        <v>472</v>
      </c>
      <c r="D3283" s="460"/>
      <c r="E3283" s="878" t="s">
        <v>1909</v>
      </c>
      <c r="F3283" s="881" t="s">
        <v>6396</v>
      </c>
      <c r="G3283" s="731" t="s">
        <v>5285</v>
      </c>
      <c r="H3283" s="1083">
        <v>42401</v>
      </c>
      <c r="I3283" s="1084">
        <v>42480</v>
      </c>
      <c r="J3283" s="957">
        <v>68.900000000000006</v>
      </c>
    </row>
    <row r="3284" spans="1:10" s="852" customFormat="1" outlineLevel="2">
      <c r="A3284" s="815" t="s">
        <v>2587</v>
      </c>
      <c r="B3284" s="816" t="s">
        <v>7864</v>
      </c>
      <c r="C3284" s="729" t="s">
        <v>472</v>
      </c>
      <c r="D3284" s="460"/>
      <c r="E3284" s="878" t="s">
        <v>1909</v>
      </c>
      <c r="F3284" s="881" t="s">
        <v>6397</v>
      </c>
      <c r="G3284" s="731" t="s">
        <v>5290</v>
      </c>
      <c r="H3284" s="1083">
        <v>42401</v>
      </c>
      <c r="I3284" s="1084">
        <v>42480</v>
      </c>
      <c r="J3284" s="957">
        <v>45.33</v>
      </c>
    </row>
    <row r="3285" spans="1:10" s="852" customFormat="1" outlineLevel="2">
      <c r="A3285" s="815" t="s">
        <v>2587</v>
      </c>
      <c r="B3285" s="816" t="s">
        <v>7864</v>
      </c>
      <c r="C3285" s="729" t="s">
        <v>472</v>
      </c>
      <c r="D3285" s="460"/>
      <c r="E3285" s="878" t="s">
        <v>1909</v>
      </c>
      <c r="F3285" s="881" t="s">
        <v>3034</v>
      </c>
      <c r="G3285" s="731" t="s">
        <v>5300</v>
      </c>
      <c r="H3285" s="1083">
        <v>42401</v>
      </c>
      <c r="I3285" s="1084">
        <v>42480</v>
      </c>
      <c r="J3285" s="957">
        <v>67.08</v>
      </c>
    </row>
    <row r="3286" spans="1:10" s="852" customFormat="1" outlineLevel="2">
      <c r="A3286" s="815" t="s">
        <v>2356</v>
      </c>
      <c r="B3286" s="816" t="s">
        <v>7865</v>
      </c>
      <c r="C3286" s="729" t="s">
        <v>472</v>
      </c>
      <c r="D3286" s="460"/>
      <c r="E3286" s="878" t="s">
        <v>1909</v>
      </c>
      <c r="F3286" s="881" t="s">
        <v>6398</v>
      </c>
      <c r="G3286" s="731" t="s">
        <v>5295</v>
      </c>
      <c r="H3286" s="1083">
        <v>42401</v>
      </c>
      <c r="I3286" s="1084">
        <v>42480</v>
      </c>
      <c r="J3286" s="957">
        <v>3213.75</v>
      </c>
    </row>
    <row r="3287" spans="1:10" s="852" customFormat="1" ht="28.5" outlineLevel="2">
      <c r="A3287" s="815" t="s">
        <v>976</v>
      </c>
      <c r="B3287" s="816" t="s">
        <v>7866</v>
      </c>
      <c r="C3287" s="729" t="s">
        <v>472</v>
      </c>
      <c r="D3287" s="460"/>
      <c r="E3287" s="878" t="s">
        <v>1909</v>
      </c>
      <c r="F3287" s="881" t="s">
        <v>4956</v>
      </c>
      <c r="G3287" s="731" t="s">
        <v>2833</v>
      </c>
      <c r="H3287" s="1083">
        <v>42401</v>
      </c>
      <c r="I3287" s="1084">
        <v>42480</v>
      </c>
      <c r="J3287" s="957">
        <v>616.15</v>
      </c>
    </row>
    <row r="3288" spans="1:10" s="852" customFormat="1" ht="28.5" outlineLevel="2">
      <c r="A3288" s="815" t="s">
        <v>976</v>
      </c>
      <c r="B3288" s="816" t="s">
        <v>7866</v>
      </c>
      <c r="C3288" s="729" t="s">
        <v>472</v>
      </c>
      <c r="D3288" s="460"/>
      <c r="E3288" s="878" t="s">
        <v>1909</v>
      </c>
      <c r="F3288" s="881" t="s">
        <v>4903</v>
      </c>
      <c r="G3288" s="731" t="s">
        <v>2832</v>
      </c>
      <c r="H3288" s="1083">
        <v>42401</v>
      </c>
      <c r="I3288" s="1084">
        <v>42480</v>
      </c>
      <c r="J3288" s="957">
        <v>19.7</v>
      </c>
    </row>
    <row r="3289" spans="1:10" s="852" customFormat="1" ht="28.5" outlineLevel="2">
      <c r="A3289" s="815" t="s">
        <v>976</v>
      </c>
      <c r="B3289" s="816" t="s">
        <v>7866</v>
      </c>
      <c r="C3289" s="729" t="s">
        <v>472</v>
      </c>
      <c r="D3289" s="460"/>
      <c r="E3289" s="878" t="s">
        <v>1909</v>
      </c>
      <c r="F3289" s="881" t="s">
        <v>4853</v>
      </c>
      <c r="G3289" s="731" t="s">
        <v>2831</v>
      </c>
      <c r="H3289" s="1083">
        <v>42401</v>
      </c>
      <c r="I3289" s="1084">
        <v>42480</v>
      </c>
      <c r="J3289" s="957">
        <v>232.47</v>
      </c>
    </row>
    <row r="3290" spans="1:10" s="852" customFormat="1" ht="28.5" outlineLevel="2">
      <c r="A3290" s="815" t="s">
        <v>820</v>
      </c>
      <c r="B3290" s="816" t="s">
        <v>7863</v>
      </c>
      <c r="C3290" s="729" t="s">
        <v>472</v>
      </c>
      <c r="D3290" s="460"/>
      <c r="E3290" s="878" t="s">
        <v>1909</v>
      </c>
      <c r="F3290" s="881" t="s">
        <v>6395</v>
      </c>
      <c r="G3290" s="731" t="s">
        <v>5282</v>
      </c>
      <c r="H3290" s="1083">
        <v>42370</v>
      </c>
      <c r="I3290" s="1084">
        <v>42480</v>
      </c>
      <c r="J3290" s="957">
        <v>2193.9499999999998</v>
      </c>
    </row>
    <row r="3291" spans="1:10" s="852" customFormat="1" ht="28.5" outlineLevel="2">
      <c r="A3291" s="815" t="s">
        <v>820</v>
      </c>
      <c r="B3291" s="816" t="s">
        <v>7863</v>
      </c>
      <c r="C3291" s="729" t="s">
        <v>472</v>
      </c>
      <c r="D3291" s="460"/>
      <c r="E3291" s="878" t="s">
        <v>1909</v>
      </c>
      <c r="F3291" s="881" t="s">
        <v>6395</v>
      </c>
      <c r="G3291" s="731" t="s">
        <v>5283</v>
      </c>
      <c r="H3291" s="1083">
        <v>42370</v>
      </c>
      <c r="I3291" s="1084">
        <v>42480</v>
      </c>
      <c r="J3291" s="957">
        <v>2193.96</v>
      </c>
    </row>
    <row r="3292" spans="1:10" s="852" customFormat="1" ht="28.5" outlineLevel="2">
      <c r="A3292" s="815" t="s">
        <v>820</v>
      </c>
      <c r="B3292" s="816" t="s">
        <v>7863</v>
      </c>
      <c r="C3292" s="729" t="s">
        <v>472</v>
      </c>
      <c r="D3292" s="460"/>
      <c r="E3292" s="878" t="s">
        <v>1909</v>
      </c>
      <c r="F3292" s="881" t="s">
        <v>6395</v>
      </c>
      <c r="G3292" s="731" t="s">
        <v>5287</v>
      </c>
      <c r="H3292" s="1083">
        <v>42370</v>
      </c>
      <c r="I3292" s="1084">
        <v>42480</v>
      </c>
      <c r="J3292" s="957">
        <v>-2193.9499999999998</v>
      </c>
    </row>
    <row r="3293" spans="1:10" s="852" customFormat="1" ht="28.5" outlineLevel="2">
      <c r="A3293" s="815" t="s">
        <v>2587</v>
      </c>
      <c r="B3293" s="816" t="s">
        <v>7864</v>
      </c>
      <c r="C3293" s="729" t="s">
        <v>472</v>
      </c>
      <c r="D3293" s="460"/>
      <c r="E3293" s="878" t="s">
        <v>1909</v>
      </c>
      <c r="F3293" s="881" t="s">
        <v>2887</v>
      </c>
      <c r="G3293" s="731" t="s">
        <v>5289</v>
      </c>
      <c r="H3293" s="1083">
        <v>42370</v>
      </c>
      <c r="I3293" s="1084">
        <v>42480</v>
      </c>
      <c r="J3293" s="957">
        <v>-42.15</v>
      </c>
    </row>
    <row r="3294" spans="1:10" s="852" customFormat="1" ht="28.5" outlineLevel="2">
      <c r="A3294" s="815" t="s">
        <v>2587</v>
      </c>
      <c r="B3294" s="816" t="s">
        <v>7864</v>
      </c>
      <c r="C3294" s="729" t="s">
        <v>472</v>
      </c>
      <c r="D3294" s="460"/>
      <c r="E3294" s="878" t="s">
        <v>1909</v>
      </c>
      <c r="F3294" s="881" t="s">
        <v>2887</v>
      </c>
      <c r="G3294" s="731" t="s">
        <v>5291</v>
      </c>
      <c r="H3294" s="1083">
        <v>42370</v>
      </c>
      <c r="I3294" s="1084">
        <v>42480</v>
      </c>
      <c r="J3294" s="957">
        <v>-42.15</v>
      </c>
    </row>
    <row r="3295" spans="1:10" s="852" customFormat="1" ht="28.5" outlineLevel="2">
      <c r="A3295" s="815" t="s">
        <v>2587</v>
      </c>
      <c r="B3295" s="816" t="s">
        <v>7864</v>
      </c>
      <c r="C3295" s="729" t="s">
        <v>472</v>
      </c>
      <c r="D3295" s="460"/>
      <c r="E3295" s="878" t="s">
        <v>1909</v>
      </c>
      <c r="F3295" s="881" t="s">
        <v>2887</v>
      </c>
      <c r="G3295" s="731" t="s">
        <v>5297</v>
      </c>
      <c r="H3295" s="1083">
        <v>42370</v>
      </c>
      <c r="I3295" s="1084">
        <v>42480</v>
      </c>
      <c r="J3295" s="957">
        <v>42.15</v>
      </c>
    </row>
    <row r="3296" spans="1:10" s="852" customFormat="1" ht="28.5" outlineLevel="2">
      <c r="A3296" s="815" t="s">
        <v>2587</v>
      </c>
      <c r="B3296" s="816" t="s">
        <v>7864</v>
      </c>
      <c r="C3296" s="729" t="s">
        <v>472</v>
      </c>
      <c r="D3296" s="460"/>
      <c r="E3296" s="878" t="s">
        <v>1909</v>
      </c>
      <c r="F3296" s="881" t="s">
        <v>2887</v>
      </c>
      <c r="G3296" s="731" t="s">
        <v>5301</v>
      </c>
      <c r="H3296" s="1083">
        <v>42370</v>
      </c>
      <c r="I3296" s="1084">
        <v>42480</v>
      </c>
      <c r="J3296" s="957">
        <v>42.15</v>
      </c>
    </row>
    <row r="3297" spans="1:10" s="852" customFormat="1" ht="28.5" outlineLevel="2">
      <c r="A3297" s="815" t="s">
        <v>2587</v>
      </c>
      <c r="B3297" s="816" t="s">
        <v>7864</v>
      </c>
      <c r="C3297" s="729" t="s">
        <v>472</v>
      </c>
      <c r="D3297" s="460"/>
      <c r="E3297" s="878" t="s">
        <v>1909</v>
      </c>
      <c r="F3297" s="881" t="s">
        <v>2887</v>
      </c>
      <c r="G3297" s="731" t="s">
        <v>5303</v>
      </c>
      <c r="H3297" s="1083">
        <v>42370</v>
      </c>
      <c r="I3297" s="1084">
        <v>42480</v>
      </c>
      <c r="J3297" s="957">
        <v>42.15</v>
      </c>
    </row>
    <row r="3298" spans="1:10" s="852" customFormat="1" ht="28.5" outlineLevel="2">
      <c r="A3298" s="815" t="s">
        <v>2587</v>
      </c>
      <c r="B3298" s="816" t="s">
        <v>7864</v>
      </c>
      <c r="C3298" s="729" t="s">
        <v>472</v>
      </c>
      <c r="D3298" s="460"/>
      <c r="E3298" s="878" t="s">
        <v>1909</v>
      </c>
      <c r="F3298" s="881" t="s">
        <v>3680</v>
      </c>
      <c r="G3298" s="731" t="s">
        <v>5305</v>
      </c>
      <c r="H3298" s="1083">
        <v>42370</v>
      </c>
      <c r="I3298" s="1084">
        <v>42480</v>
      </c>
      <c r="J3298" s="957">
        <v>-62.39</v>
      </c>
    </row>
    <row r="3299" spans="1:10" s="852" customFormat="1" ht="28.5" outlineLevel="2">
      <c r="A3299" s="815" t="s">
        <v>2587</v>
      </c>
      <c r="B3299" s="816" t="s">
        <v>7864</v>
      </c>
      <c r="C3299" s="729" t="s">
        <v>472</v>
      </c>
      <c r="D3299" s="460"/>
      <c r="E3299" s="878" t="s">
        <v>1909</v>
      </c>
      <c r="F3299" s="881" t="s">
        <v>3680</v>
      </c>
      <c r="G3299" s="731" t="s">
        <v>5306</v>
      </c>
      <c r="H3299" s="1083">
        <v>42370</v>
      </c>
      <c r="I3299" s="1084">
        <v>42480</v>
      </c>
      <c r="J3299" s="957">
        <v>62.39</v>
      </c>
    </row>
    <row r="3300" spans="1:10" s="852" customFormat="1" ht="28.5" outlineLevel="2">
      <c r="A3300" s="815" t="s">
        <v>2587</v>
      </c>
      <c r="B3300" s="816" t="s">
        <v>7864</v>
      </c>
      <c r="C3300" s="729" t="s">
        <v>472</v>
      </c>
      <c r="D3300" s="460"/>
      <c r="E3300" s="878" t="s">
        <v>1909</v>
      </c>
      <c r="F3300" s="881" t="s">
        <v>3680</v>
      </c>
      <c r="G3300" s="731" t="s">
        <v>5308</v>
      </c>
      <c r="H3300" s="1083">
        <v>42370</v>
      </c>
      <c r="I3300" s="1084">
        <v>42480</v>
      </c>
      <c r="J3300" s="957">
        <v>62.39</v>
      </c>
    </row>
    <row r="3301" spans="1:10" s="852" customFormat="1" ht="28.5" outlineLevel="2">
      <c r="A3301" s="815" t="s">
        <v>818</v>
      </c>
      <c r="B3301" s="816" t="s">
        <v>7864</v>
      </c>
      <c r="C3301" s="729" t="s">
        <v>472</v>
      </c>
      <c r="D3301" s="460"/>
      <c r="E3301" s="878" t="s">
        <v>1909</v>
      </c>
      <c r="F3301" s="881" t="s">
        <v>2913</v>
      </c>
      <c r="G3301" s="731" t="s">
        <v>5292</v>
      </c>
      <c r="H3301" s="1083">
        <v>42370</v>
      </c>
      <c r="I3301" s="1084">
        <v>42480</v>
      </c>
      <c r="J3301" s="957">
        <v>-576.35</v>
      </c>
    </row>
    <row r="3302" spans="1:10" s="852" customFormat="1" ht="28.5" outlineLevel="2">
      <c r="A3302" s="815" t="s">
        <v>818</v>
      </c>
      <c r="B3302" s="816" t="s">
        <v>7864</v>
      </c>
      <c r="C3302" s="729" t="s">
        <v>472</v>
      </c>
      <c r="D3302" s="460"/>
      <c r="E3302" s="878" t="s">
        <v>1909</v>
      </c>
      <c r="F3302" s="881" t="s">
        <v>2913</v>
      </c>
      <c r="G3302" s="731" t="s">
        <v>5293</v>
      </c>
      <c r="H3302" s="1083">
        <v>42370</v>
      </c>
      <c r="I3302" s="1084">
        <v>42480</v>
      </c>
      <c r="J3302" s="957">
        <v>-576.35</v>
      </c>
    </row>
    <row r="3303" spans="1:10" s="852" customFormat="1" ht="28.5" outlineLevel="2">
      <c r="A3303" s="815" t="s">
        <v>818</v>
      </c>
      <c r="B3303" s="816" t="s">
        <v>7864</v>
      </c>
      <c r="C3303" s="729" t="s">
        <v>472</v>
      </c>
      <c r="D3303" s="460"/>
      <c r="E3303" s="878" t="s">
        <v>1909</v>
      </c>
      <c r="F3303" s="881" t="s">
        <v>2913</v>
      </c>
      <c r="G3303" s="731" t="s">
        <v>5299</v>
      </c>
      <c r="H3303" s="1083">
        <v>42370</v>
      </c>
      <c r="I3303" s="1084">
        <v>42480</v>
      </c>
      <c r="J3303" s="957">
        <v>576.35</v>
      </c>
    </row>
    <row r="3304" spans="1:10" s="852" customFormat="1" ht="28.5" outlineLevel="2">
      <c r="A3304" s="815" t="s">
        <v>818</v>
      </c>
      <c r="B3304" s="816" t="s">
        <v>7864</v>
      </c>
      <c r="C3304" s="729" t="s">
        <v>472</v>
      </c>
      <c r="D3304" s="460"/>
      <c r="E3304" s="878" t="s">
        <v>1909</v>
      </c>
      <c r="F3304" s="881" t="s">
        <v>2913</v>
      </c>
      <c r="G3304" s="731" t="s">
        <v>5302</v>
      </c>
      <c r="H3304" s="1083">
        <v>42370</v>
      </c>
      <c r="I3304" s="1084">
        <v>42480</v>
      </c>
      <c r="J3304" s="957">
        <v>576.35</v>
      </c>
    </row>
    <row r="3305" spans="1:10" s="852" customFormat="1" ht="28.5" outlineLevel="2">
      <c r="A3305" s="815" t="s">
        <v>818</v>
      </c>
      <c r="B3305" s="816" t="s">
        <v>7864</v>
      </c>
      <c r="C3305" s="729" t="s">
        <v>472</v>
      </c>
      <c r="D3305" s="460"/>
      <c r="E3305" s="878" t="s">
        <v>1909</v>
      </c>
      <c r="F3305" s="881" t="s">
        <v>2913</v>
      </c>
      <c r="G3305" s="731" t="s">
        <v>5304</v>
      </c>
      <c r="H3305" s="1083">
        <v>42370</v>
      </c>
      <c r="I3305" s="1084">
        <v>42480</v>
      </c>
      <c r="J3305" s="957">
        <v>576.35</v>
      </c>
    </row>
    <row r="3306" spans="1:10" s="852" customFormat="1" ht="28.5" outlineLevel="2">
      <c r="A3306" s="815" t="s">
        <v>2356</v>
      </c>
      <c r="B3306" s="816" t="s">
        <v>7865</v>
      </c>
      <c r="C3306" s="729" t="s">
        <v>472</v>
      </c>
      <c r="D3306" s="460"/>
      <c r="E3306" s="878" t="s">
        <v>1909</v>
      </c>
      <c r="F3306" s="881" t="s">
        <v>2716</v>
      </c>
      <c r="G3306" s="731" t="s">
        <v>5277</v>
      </c>
      <c r="H3306" s="1083">
        <v>42370</v>
      </c>
      <c r="I3306" s="1084">
        <v>42480</v>
      </c>
      <c r="J3306" s="957">
        <v>9962.6299999999992</v>
      </c>
    </row>
    <row r="3307" spans="1:10" s="852" customFormat="1" ht="28.5" outlineLevel="2">
      <c r="A3307" s="815" t="s">
        <v>2356</v>
      </c>
      <c r="B3307" s="816" t="s">
        <v>7865</v>
      </c>
      <c r="C3307" s="729" t="s">
        <v>472</v>
      </c>
      <c r="D3307" s="460"/>
      <c r="E3307" s="878" t="s">
        <v>1909</v>
      </c>
      <c r="F3307" s="881" t="s">
        <v>2716</v>
      </c>
      <c r="G3307" s="731" t="s">
        <v>5279</v>
      </c>
      <c r="H3307" s="1083">
        <v>42370</v>
      </c>
      <c r="I3307" s="1084">
        <v>42480</v>
      </c>
      <c r="J3307" s="957">
        <v>9962.6299999999992</v>
      </c>
    </row>
    <row r="3308" spans="1:10" s="852" customFormat="1" ht="28.5" outlineLevel="2">
      <c r="A3308" s="815" t="s">
        <v>2356</v>
      </c>
      <c r="B3308" s="816" t="s">
        <v>7865</v>
      </c>
      <c r="C3308" s="729" t="s">
        <v>472</v>
      </c>
      <c r="D3308" s="460"/>
      <c r="E3308" s="878" t="s">
        <v>1909</v>
      </c>
      <c r="F3308" s="881" t="s">
        <v>2716</v>
      </c>
      <c r="G3308" s="731" t="s">
        <v>5281</v>
      </c>
      <c r="H3308" s="1083">
        <v>42370</v>
      </c>
      <c r="I3308" s="1084">
        <v>42480</v>
      </c>
      <c r="J3308" s="957">
        <v>-9962.6299999999992</v>
      </c>
    </row>
    <row r="3309" spans="1:10" s="852" customFormat="1" outlineLevel="2">
      <c r="A3309" s="815" t="s">
        <v>2356</v>
      </c>
      <c r="B3309" s="816" t="s">
        <v>7865</v>
      </c>
      <c r="C3309" s="729" t="s">
        <v>472</v>
      </c>
      <c r="D3309" s="460"/>
      <c r="E3309" s="878" t="s">
        <v>589</v>
      </c>
      <c r="F3309" s="881" t="s">
        <v>1094</v>
      </c>
      <c r="G3309" s="731" t="s">
        <v>5569</v>
      </c>
      <c r="H3309" s="1083">
        <v>42401</v>
      </c>
      <c r="I3309" s="1084">
        <v>42464</v>
      </c>
      <c r="J3309" s="957">
        <v>183291.41</v>
      </c>
    </row>
    <row r="3310" spans="1:10" s="852" customFormat="1" outlineLevel="1">
      <c r="A3310" s="815"/>
      <c r="B3310" s="816" t="s">
        <v>258</v>
      </c>
      <c r="C3310" s="908" t="s">
        <v>472</v>
      </c>
      <c r="D3310" s="928" t="str">
        <f>VLOOKUP(C3310,$C$3691:$D$3771,2,FALSE)</f>
        <v>TOTAL POUPATEMPO PRESIDENTE PRUDENTE</v>
      </c>
      <c r="E3310" s="1085"/>
      <c r="F3310" s="929"/>
      <c r="G3310" s="910"/>
      <c r="H3310" s="1086"/>
      <c r="I3310" s="1087"/>
      <c r="J3310" s="930">
        <f>SUBTOTAL(9,J3258:J3309)</f>
        <v>274591.08</v>
      </c>
    </row>
    <row r="3311" spans="1:10" s="852" customFormat="1" outlineLevel="2">
      <c r="A3311" s="815" t="s">
        <v>2217</v>
      </c>
      <c r="B3311" s="816" t="s">
        <v>7865</v>
      </c>
      <c r="C3311" s="729" t="s">
        <v>822</v>
      </c>
      <c r="D3311" s="460"/>
      <c r="E3311" s="878" t="s">
        <v>2216</v>
      </c>
      <c r="F3311" s="881" t="s">
        <v>1094</v>
      </c>
      <c r="G3311" s="731" t="s">
        <v>5570</v>
      </c>
      <c r="H3311" s="1083">
        <v>42430</v>
      </c>
      <c r="I3311" s="1084">
        <v>42465</v>
      </c>
      <c r="J3311" s="957">
        <v>193902.42</v>
      </c>
    </row>
    <row r="3312" spans="1:10" s="852" customFormat="1" outlineLevel="2">
      <c r="A3312" s="815" t="s">
        <v>2217</v>
      </c>
      <c r="B3312" s="816" t="s">
        <v>7865</v>
      </c>
      <c r="C3312" s="729" t="s">
        <v>822</v>
      </c>
      <c r="D3312" s="460"/>
      <c r="E3312" s="878" t="s">
        <v>2216</v>
      </c>
      <c r="F3312" s="881" t="s">
        <v>1094</v>
      </c>
      <c r="G3312" s="731" t="s">
        <v>5924</v>
      </c>
      <c r="H3312" s="1083">
        <v>42430</v>
      </c>
      <c r="I3312" s="1084">
        <v>42467</v>
      </c>
      <c r="J3312" s="957">
        <v>0.01</v>
      </c>
    </row>
    <row r="3313" spans="1:10" s="852" customFormat="1" outlineLevel="2">
      <c r="A3313" s="815" t="s">
        <v>2217</v>
      </c>
      <c r="B3313" s="816" t="s">
        <v>7865</v>
      </c>
      <c r="C3313" s="729" t="s">
        <v>822</v>
      </c>
      <c r="D3313" s="460"/>
      <c r="E3313" s="878" t="s">
        <v>2216</v>
      </c>
      <c r="F3313" s="881" t="s">
        <v>1094</v>
      </c>
      <c r="G3313" s="731" t="s">
        <v>5924</v>
      </c>
      <c r="H3313" s="1083">
        <v>42430</v>
      </c>
      <c r="I3313" s="1084">
        <v>42467</v>
      </c>
      <c r="J3313" s="957">
        <v>7284.99</v>
      </c>
    </row>
    <row r="3314" spans="1:10" s="852" customFormat="1" outlineLevel="2">
      <c r="A3314" s="815" t="s">
        <v>2217</v>
      </c>
      <c r="B3314" s="816" t="s">
        <v>7865</v>
      </c>
      <c r="C3314" s="729" t="s">
        <v>822</v>
      </c>
      <c r="D3314" s="460"/>
      <c r="E3314" s="878" t="s">
        <v>2216</v>
      </c>
      <c r="F3314" s="881" t="s">
        <v>1094</v>
      </c>
      <c r="G3314" s="731" t="s">
        <v>5764</v>
      </c>
      <c r="H3314" s="1083">
        <v>42430</v>
      </c>
      <c r="I3314" s="1084">
        <v>42489</v>
      </c>
      <c r="J3314" s="957">
        <v>201187.41</v>
      </c>
    </row>
    <row r="3315" spans="1:10" s="852" customFormat="1" outlineLevel="2">
      <c r="A3315" s="815" t="s">
        <v>6462</v>
      </c>
      <c r="B3315" s="816" t="s">
        <v>7863</v>
      </c>
      <c r="C3315" s="729" t="s">
        <v>822</v>
      </c>
      <c r="D3315" s="460"/>
      <c r="E3315" s="878" t="s">
        <v>483</v>
      </c>
      <c r="F3315" s="881" t="s">
        <v>2208</v>
      </c>
      <c r="G3315" s="731" t="str">
        <f>"17009"</f>
        <v>17009</v>
      </c>
      <c r="H3315" s="1083">
        <v>42401</v>
      </c>
      <c r="I3315" s="1084">
        <v>42475</v>
      </c>
      <c r="J3315" s="957">
        <v>9958.1200000000008</v>
      </c>
    </row>
    <row r="3316" spans="1:10" s="852" customFormat="1" outlineLevel="2">
      <c r="A3316" s="815" t="s">
        <v>5959</v>
      </c>
      <c r="B3316" s="816" t="s">
        <v>7864</v>
      </c>
      <c r="C3316" s="729" t="s">
        <v>822</v>
      </c>
      <c r="D3316" s="460"/>
      <c r="E3316" s="878" t="s">
        <v>6470</v>
      </c>
      <c r="F3316" s="881" t="s">
        <v>434</v>
      </c>
      <c r="G3316" s="731" t="str">
        <f>"2588"</f>
        <v>2588</v>
      </c>
      <c r="H3316" s="1083">
        <v>42370</v>
      </c>
      <c r="I3316" s="1084">
        <v>42478</v>
      </c>
      <c r="J3316" s="957">
        <v>-3714.35</v>
      </c>
    </row>
    <row r="3317" spans="1:10" s="852" customFormat="1" outlineLevel="2">
      <c r="A3317" s="815" t="s">
        <v>5959</v>
      </c>
      <c r="B3317" s="816" t="s">
        <v>7864</v>
      </c>
      <c r="C3317" s="729" t="s">
        <v>822</v>
      </c>
      <c r="D3317" s="460"/>
      <c r="E3317" s="878" t="s">
        <v>6470</v>
      </c>
      <c r="F3317" s="881" t="s">
        <v>434</v>
      </c>
      <c r="G3317" s="731" t="str">
        <f>"2588"</f>
        <v>2588</v>
      </c>
      <c r="H3317" s="1083">
        <v>42370</v>
      </c>
      <c r="I3317" s="1084">
        <v>42478</v>
      </c>
      <c r="J3317" s="957">
        <v>3714.34</v>
      </c>
    </row>
    <row r="3318" spans="1:10" s="852" customFormat="1" outlineLevel="2">
      <c r="A3318" s="815" t="s">
        <v>5959</v>
      </c>
      <c r="B3318" s="816" t="s">
        <v>7864</v>
      </c>
      <c r="C3318" s="729" t="s">
        <v>822</v>
      </c>
      <c r="D3318" s="460"/>
      <c r="E3318" s="878" t="s">
        <v>6470</v>
      </c>
      <c r="F3318" s="881" t="s">
        <v>434</v>
      </c>
      <c r="G3318" s="731" t="str">
        <f>"2588"</f>
        <v>2588</v>
      </c>
      <c r="H3318" s="1083">
        <v>42370</v>
      </c>
      <c r="I3318" s="1084">
        <v>42478</v>
      </c>
      <c r="J3318" s="957">
        <v>3714.35</v>
      </c>
    </row>
    <row r="3319" spans="1:10" s="852" customFormat="1" outlineLevel="2">
      <c r="A3319" s="815" t="s">
        <v>5959</v>
      </c>
      <c r="B3319" s="816" t="s">
        <v>7864</v>
      </c>
      <c r="C3319" s="729" t="s">
        <v>822</v>
      </c>
      <c r="D3319" s="460"/>
      <c r="E3319" s="878" t="s">
        <v>6470</v>
      </c>
      <c r="F3319" s="881" t="s">
        <v>434</v>
      </c>
      <c r="G3319" s="731" t="str">
        <f>"2588"</f>
        <v>2588</v>
      </c>
      <c r="H3319" s="1083">
        <v>42370</v>
      </c>
      <c r="I3319" s="1084">
        <v>42478</v>
      </c>
      <c r="J3319" s="957">
        <v>3714.35</v>
      </c>
    </row>
    <row r="3320" spans="1:10" s="852" customFormat="1" outlineLevel="2">
      <c r="A3320" s="815" t="s">
        <v>5959</v>
      </c>
      <c r="B3320" s="816" t="s">
        <v>7864</v>
      </c>
      <c r="C3320" s="729" t="s">
        <v>822</v>
      </c>
      <c r="D3320" s="460"/>
      <c r="E3320" s="878" t="s">
        <v>6470</v>
      </c>
      <c r="F3320" s="881" t="s">
        <v>434</v>
      </c>
      <c r="G3320" s="731" t="str">
        <f>"2588"</f>
        <v>2588</v>
      </c>
      <c r="H3320" s="1083">
        <v>42370</v>
      </c>
      <c r="I3320" s="1084">
        <v>42478</v>
      </c>
      <c r="J3320" s="957">
        <v>-3714.35</v>
      </c>
    </row>
    <row r="3321" spans="1:10" s="852" customFormat="1" ht="28.5" outlineLevel="2">
      <c r="A3321" s="815" t="s">
        <v>2217</v>
      </c>
      <c r="B3321" s="816" t="s">
        <v>7865</v>
      </c>
      <c r="C3321" s="729" t="s">
        <v>822</v>
      </c>
      <c r="D3321" s="460"/>
      <c r="E3321" s="878" t="s">
        <v>2336</v>
      </c>
      <c r="F3321" s="881" t="s">
        <v>5155</v>
      </c>
      <c r="G3321" s="731" t="s">
        <v>5323</v>
      </c>
      <c r="H3321" s="1083">
        <v>42430</v>
      </c>
      <c r="I3321" s="1084">
        <v>42480</v>
      </c>
      <c r="J3321" s="957">
        <v>26711.67</v>
      </c>
    </row>
    <row r="3322" spans="1:10" s="852" customFormat="1" outlineLevel="2">
      <c r="A3322" s="815" t="s">
        <v>5324</v>
      </c>
      <c r="B3322" s="816" t="s">
        <v>7863</v>
      </c>
      <c r="C3322" s="729" t="s">
        <v>822</v>
      </c>
      <c r="D3322" s="460"/>
      <c r="E3322" s="878" t="s">
        <v>2336</v>
      </c>
      <c r="F3322" s="881" t="s">
        <v>5237</v>
      </c>
      <c r="G3322" s="731" t="s">
        <v>5326</v>
      </c>
      <c r="H3322" s="1083">
        <v>42401</v>
      </c>
      <c r="I3322" s="1084">
        <v>42480</v>
      </c>
      <c r="J3322" s="957">
        <v>1363.28</v>
      </c>
    </row>
    <row r="3323" spans="1:10" s="852" customFormat="1" outlineLevel="2">
      <c r="A3323" s="815" t="s">
        <v>2277</v>
      </c>
      <c r="B3323" s="816" t="s">
        <v>7864</v>
      </c>
      <c r="C3323" s="729" t="s">
        <v>822</v>
      </c>
      <c r="D3323" s="460"/>
      <c r="E3323" s="878" t="s">
        <v>2336</v>
      </c>
      <c r="F3323" s="881" t="s">
        <v>6083</v>
      </c>
      <c r="G3323" s="731" t="s">
        <v>5319</v>
      </c>
      <c r="H3323" s="1083">
        <v>42401</v>
      </c>
      <c r="I3323" s="1084">
        <v>42480</v>
      </c>
      <c r="J3323" s="957">
        <v>508.5</v>
      </c>
    </row>
    <row r="3324" spans="1:10" s="852" customFormat="1" outlineLevel="2">
      <c r="A3324" s="815" t="s">
        <v>2277</v>
      </c>
      <c r="B3324" s="816" t="s">
        <v>7864</v>
      </c>
      <c r="C3324" s="729" t="s">
        <v>822</v>
      </c>
      <c r="D3324" s="460"/>
      <c r="E3324" s="878" t="s">
        <v>2336</v>
      </c>
      <c r="F3324" s="881" t="s">
        <v>6082</v>
      </c>
      <c r="G3324" s="731" t="s">
        <v>5317</v>
      </c>
      <c r="H3324" s="1083">
        <v>42401</v>
      </c>
      <c r="I3324" s="1084">
        <v>42480</v>
      </c>
      <c r="J3324" s="957">
        <v>334.54</v>
      </c>
    </row>
    <row r="3325" spans="1:10" s="852" customFormat="1" outlineLevel="2">
      <c r="A3325" s="815" t="s">
        <v>2277</v>
      </c>
      <c r="B3325" s="816" t="s">
        <v>7864</v>
      </c>
      <c r="C3325" s="729" t="s">
        <v>822</v>
      </c>
      <c r="D3325" s="460"/>
      <c r="E3325" s="878" t="s">
        <v>2336</v>
      </c>
      <c r="F3325" s="881" t="s">
        <v>2947</v>
      </c>
      <c r="G3325" s="731" t="s">
        <v>5321</v>
      </c>
      <c r="H3325" s="1083">
        <v>42401</v>
      </c>
      <c r="I3325" s="1084">
        <v>42480</v>
      </c>
      <c r="J3325" s="957">
        <v>495.12</v>
      </c>
    </row>
    <row r="3326" spans="1:10" s="852" customFormat="1" outlineLevel="2">
      <c r="A3326" s="815" t="s">
        <v>5959</v>
      </c>
      <c r="B3326" s="816" t="s">
        <v>7864</v>
      </c>
      <c r="C3326" s="729" t="s">
        <v>822</v>
      </c>
      <c r="D3326" s="460"/>
      <c r="E3326" s="878" t="s">
        <v>2717</v>
      </c>
      <c r="F3326" s="881" t="s">
        <v>434</v>
      </c>
      <c r="G3326" s="731" t="str">
        <f>"3511"</f>
        <v>3511</v>
      </c>
      <c r="H3326" s="1083">
        <v>42401</v>
      </c>
      <c r="I3326" s="1084">
        <v>42467</v>
      </c>
      <c r="J3326" s="957">
        <v>2443.65</v>
      </c>
    </row>
    <row r="3327" spans="1:10" s="852" customFormat="1" outlineLevel="2">
      <c r="A3327" s="815" t="s">
        <v>5959</v>
      </c>
      <c r="B3327" s="816" t="s">
        <v>7864</v>
      </c>
      <c r="C3327" s="729" t="s">
        <v>822</v>
      </c>
      <c r="D3327" s="460"/>
      <c r="E3327" s="878" t="s">
        <v>409</v>
      </c>
      <c r="F3327" s="881" t="s">
        <v>434</v>
      </c>
      <c r="G3327" s="731" t="str">
        <f>"6685"</f>
        <v>6685</v>
      </c>
      <c r="H3327" s="1083">
        <v>42401</v>
      </c>
      <c r="I3327" s="1084">
        <v>42475</v>
      </c>
      <c r="J3327" s="957">
        <v>3616.6</v>
      </c>
    </row>
    <row r="3328" spans="1:10" s="852" customFormat="1" outlineLevel="2">
      <c r="A3328" s="815" t="s">
        <v>985</v>
      </c>
      <c r="B3328" s="816" t="s">
        <v>7866</v>
      </c>
      <c r="C3328" s="729" t="s">
        <v>822</v>
      </c>
      <c r="D3328" s="460"/>
      <c r="E3328" s="878" t="s">
        <v>2282</v>
      </c>
      <c r="F3328" s="881" t="s">
        <v>3974</v>
      </c>
      <c r="G3328" s="731" t="s">
        <v>2779</v>
      </c>
      <c r="H3328" s="1083">
        <v>42401</v>
      </c>
      <c r="I3328" s="1084">
        <v>42471</v>
      </c>
      <c r="J3328" s="957">
        <v>563.64</v>
      </c>
    </row>
    <row r="3329" spans="1:10" s="852" customFormat="1" outlineLevel="2">
      <c r="A3329" s="815" t="s">
        <v>985</v>
      </c>
      <c r="B3329" s="816" t="s">
        <v>7866</v>
      </c>
      <c r="C3329" s="729" t="s">
        <v>822</v>
      </c>
      <c r="D3329" s="460"/>
      <c r="E3329" s="878" t="s">
        <v>2282</v>
      </c>
      <c r="F3329" s="881" t="s">
        <v>4081</v>
      </c>
      <c r="G3329" s="731" t="s">
        <v>2781</v>
      </c>
      <c r="H3329" s="1083">
        <v>42401</v>
      </c>
      <c r="I3329" s="1084">
        <v>42471</v>
      </c>
      <c r="J3329" s="957">
        <v>18.02</v>
      </c>
    </row>
    <row r="3330" spans="1:10" s="852" customFormat="1" outlineLevel="2">
      <c r="A3330" s="815" t="s">
        <v>985</v>
      </c>
      <c r="B3330" s="816" t="s">
        <v>7866</v>
      </c>
      <c r="C3330" s="729" t="s">
        <v>822</v>
      </c>
      <c r="D3330" s="460"/>
      <c r="E3330" s="878" t="s">
        <v>2282</v>
      </c>
      <c r="F3330" s="881" t="s">
        <v>4165</v>
      </c>
      <c r="G3330" s="731" t="s">
        <v>2782</v>
      </c>
      <c r="H3330" s="1083">
        <v>42401</v>
      </c>
      <c r="I3330" s="1084">
        <v>42471</v>
      </c>
      <c r="J3330" s="957">
        <v>212.66</v>
      </c>
    </row>
    <row r="3331" spans="1:10" s="852" customFormat="1" outlineLevel="2">
      <c r="A3331" s="815" t="s">
        <v>2277</v>
      </c>
      <c r="B3331" s="816" t="s">
        <v>7864</v>
      </c>
      <c r="C3331" s="729" t="s">
        <v>822</v>
      </c>
      <c r="D3331" s="460"/>
      <c r="E3331" s="878" t="s">
        <v>2358</v>
      </c>
      <c r="F3331" s="881" t="s">
        <v>6148</v>
      </c>
      <c r="G3331" s="731" t="s">
        <v>5327</v>
      </c>
      <c r="H3331" s="1083">
        <v>42401</v>
      </c>
      <c r="I3331" s="1084">
        <v>42471</v>
      </c>
      <c r="J3331" s="957">
        <v>91.24</v>
      </c>
    </row>
    <row r="3332" spans="1:10" s="852" customFormat="1" outlineLevel="2">
      <c r="A3332" s="815" t="s">
        <v>2277</v>
      </c>
      <c r="B3332" s="816" t="s">
        <v>7864</v>
      </c>
      <c r="C3332" s="729" t="s">
        <v>822</v>
      </c>
      <c r="D3332" s="460"/>
      <c r="E3332" s="878" t="s">
        <v>2358</v>
      </c>
      <c r="F3332" s="881" t="s">
        <v>2948</v>
      </c>
      <c r="G3332" s="731" t="s">
        <v>5328</v>
      </c>
      <c r="H3332" s="1083">
        <v>42401</v>
      </c>
      <c r="I3332" s="1084">
        <v>42471</v>
      </c>
      <c r="J3332" s="957">
        <v>135.03</v>
      </c>
    </row>
    <row r="3333" spans="1:10" s="852" customFormat="1" outlineLevel="2">
      <c r="A3333" s="815" t="s">
        <v>5324</v>
      </c>
      <c r="B3333" s="816" t="s">
        <v>7863</v>
      </c>
      <c r="C3333" s="729" t="s">
        <v>822</v>
      </c>
      <c r="D3333" s="460"/>
      <c r="E3333" s="878" t="s">
        <v>2358</v>
      </c>
      <c r="F3333" s="881" t="s">
        <v>5239</v>
      </c>
      <c r="G3333" s="731" t="s">
        <v>5329</v>
      </c>
      <c r="H3333" s="1083">
        <v>42401</v>
      </c>
      <c r="I3333" s="1084">
        <v>42471</v>
      </c>
      <c r="J3333" s="957">
        <v>371.8</v>
      </c>
    </row>
    <row r="3334" spans="1:10" s="852" customFormat="1" outlineLevel="2">
      <c r="A3334" s="815" t="s">
        <v>2277</v>
      </c>
      <c r="B3334" s="816" t="s">
        <v>7864</v>
      </c>
      <c r="C3334" s="729" t="s">
        <v>822</v>
      </c>
      <c r="D3334" s="460"/>
      <c r="E3334" s="878" t="s">
        <v>2358</v>
      </c>
      <c r="F3334" s="881" t="s">
        <v>5467</v>
      </c>
      <c r="G3334" s="731" t="s">
        <v>5330</v>
      </c>
      <c r="H3334" s="1083">
        <v>42401</v>
      </c>
      <c r="I3334" s="1084">
        <v>42471</v>
      </c>
      <c r="J3334" s="957">
        <v>138.66999999999999</v>
      </c>
    </row>
    <row r="3335" spans="1:10" s="852" customFormat="1" ht="28.5" outlineLevel="2">
      <c r="A3335" s="815" t="s">
        <v>2217</v>
      </c>
      <c r="B3335" s="816" t="s">
        <v>7865</v>
      </c>
      <c r="C3335" s="729" t="s">
        <v>822</v>
      </c>
      <c r="D3335" s="460"/>
      <c r="E3335" s="878" t="s">
        <v>1909</v>
      </c>
      <c r="F3335" s="881" t="s">
        <v>5153</v>
      </c>
      <c r="G3335" s="731" t="s">
        <v>5350</v>
      </c>
      <c r="H3335" s="1083">
        <v>42430</v>
      </c>
      <c r="I3335" s="1084">
        <v>42480</v>
      </c>
      <c r="J3335" s="957">
        <v>3642.5</v>
      </c>
    </row>
    <row r="3336" spans="1:10" s="852" customFormat="1" outlineLevel="2">
      <c r="A3336" s="815" t="s">
        <v>985</v>
      </c>
      <c r="B3336" s="816" t="s">
        <v>7866</v>
      </c>
      <c r="C3336" s="729" t="s">
        <v>822</v>
      </c>
      <c r="D3336" s="460"/>
      <c r="E3336" s="878" t="s">
        <v>1909</v>
      </c>
      <c r="F3336" s="881" t="s">
        <v>3935</v>
      </c>
      <c r="G3336" s="731" t="s">
        <v>2817</v>
      </c>
      <c r="H3336" s="1083">
        <v>42401</v>
      </c>
      <c r="I3336" s="1084">
        <v>42480</v>
      </c>
      <c r="J3336" s="957">
        <v>169.09</v>
      </c>
    </row>
    <row r="3337" spans="1:10" s="852" customFormat="1" outlineLevel="2">
      <c r="A3337" s="815" t="s">
        <v>985</v>
      </c>
      <c r="B3337" s="816" t="s">
        <v>7866</v>
      </c>
      <c r="C3337" s="729" t="s">
        <v>822</v>
      </c>
      <c r="D3337" s="460"/>
      <c r="E3337" s="878" t="s">
        <v>1909</v>
      </c>
      <c r="F3337" s="881" t="s">
        <v>4027</v>
      </c>
      <c r="G3337" s="731" t="s">
        <v>2819</v>
      </c>
      <c r="H3337" s="1083">
        <v>42401</v>
      </c>
      <c r="I3337" s="1084">
        <v>42480</v>
      </c>
      <c r="J3337" s="957">
        <v>5.4</v>
      </c>
    </row>
    <row r="3338" spans="1:10" s="852" customFormat="1" outlineLevel="2">
      <c r="A3338" s="815" t="s">
        <v>985</v>
      </c>
      <c r="B3338" s="816" t="s">
        <v>7866</v>
      </c>
      <c r="C3338" s="729" t="s">
        <v>822</v>
      </c>
      <c r="D3338" s="460"/>
      <c r="E3338" s="878" t="s">
        <v>1909</v>
      </c>
      <c r="F3338" s="881" t="s">
        <v>4129</v>
      </c>
      <c r="G3338" s="731" t="s">
        <v>2821</v>
      </c>
      <c r="H3338" s="1083">
        <v>42401</v>
      </c>
      <c r="I3338" s="1084">
        <v>42480</v>
      </c>
      <c r="J3338" s="957">
        <v>63.79</v>
      </c>
    </row>
    <row r="3339" spans="1:10" s="852" customFormat="1" outlineLevel="2">
      <c r="A3339" s="815" t="s">
        <v>5324</v>
      </c>
      <c r="B3339" s="816" t="s">
        <v>7863</v>
      </c>
      <c r="C3339" s="729" t="s">
        <v>822</v>
      </c>
      <c r="D3339" s="460"/>
      <c r="E3339" s="878" t="s">
        <v>1909</v>
      </c>
      <c r="F3339" s="881" t="s">
        <v>5235</v>
      </c>
      <c r="G3339" s="731" t="s">
        <v>5351</v>
      </c>
      <c r="H3339" s="1083">
        <v>42401</v>
      </c>
      <c r="I3339" s="1084">
        <v>42480</v>
      </c>
      <c r="J3339" s="957">
        <v>123.93</v>
      </c>
    </row>
    <row r="3340" spans="1:10" s="852" customFormat="1" outlineLevel="2">
      <c r="A3340" s="815" t="s">
        <v>2277</v>
      </c>
      <c r="B3340" s="816" t="s">
        <v>7864</v>
      </c>
      <c r="C3340" s="729" t="s">
        <v>822</v>
      </c>
      <c r="D3340" s="460"/>
      <c r="E3340" s="878" t="s">
        <v>1909</v>
      </c>
      <c r="F3340" s="881" t="s">
        <v>6402</v>
      </c>
      <c r="G3340" s="731" t="s">
        <v>5335</v>
      </c>
      <c r="H3340" s="1083">
        <v>42401</v>
      </c>
      <c r="I3340" s="1084">
        <v>42480</v>
      </c>
      <c r="J3340" s="957">
        <v>46.23</v>
      </c>
    </row>
    <row r="3341" spans="1:10" s="852" customFormat="1" outlineLevel="2">
      <c r="A3341" s="815" t="s">
        <v>2277</v>
      </c>
      <c r="B3341" s="816" t="s">
        <v>7864</v>
      </c>
      <c r="C3341" s="729" t="s">
        <v>822</v>
      </c>
      <c r="D3341" s="460"/>
      <c r="E3341" s="878" t="s">
        <v>1909</v>
      </c>
      <c r="F3341" s="881" t="s">
        <v>6401</v>
      </c>
      <c r="G3341" s="731" t="s">
        <v>5334</v>
      </c>
      <c r="H3341" s="1083">
        <v>42401</v>
      </c>
      <c r="I3341" s="1084">
        <v>42480</v>
      </c>
      <c r="J3341" s="957">
        <v>30.41</v>
      </c>
    </row>
    <row r="3342" spans="1:10" s="852" customFormat="1" outlineLevel="2">
      <c r="A3342" s="815" t="s">
        <v>2277</v>
      </c>
      <c r="B3342" s="816" t="s">
        <v>7864</v>
      </c>
      <c r="C3342" s="729" t="s">
        <v>822</v>
      </c>
      <c r="D3342" s="460"/>
      <c r="E3342" s="878" t="s">
        <v>1909</v>
      </c>
      <c r="F3342" s="881" t="s">
        <v>2945</v>
      </c>
      <c r="G3342" s="731" t="s">
        <v>5342</v>
      </c>
      <c r="H3342" s="1083">
        <v>42401</v>
      </c>
      <c r="I3342" s="1084">
        <v>42480</v>
      </c>
      <c r="J3342" s="957">
        <v>45.01</v>
      </c>
    </row>
    <row r="3343" spans="1:10" s="852" customFormat="1" ht="28.5" outlineLevel="2">
      <c r="A3343" s="815" t="s">
        <v>2217</v>
      </c>
      <c r="B3343" s="816" t="s">
        <v>7865</v>
      </c>
      <c r="C3343" s="729" t="s">
        <v>822</v>
      </c>
      <c r="D3343" s="460"/>
      <c r="E3343" s="878" t="s">
        <v>1909</v>
      </c>
      <c r="F3343" s="881" t="s">
        <v>6399</v>
      </c>
      <c r="G3343" s="731" t="s">
        <v>5331</v>
      </c>
      <c r="H3343" s="1083">
        <v>42370</v>
      </c>
      <c r="I3343" s="1084">
        <v>42480</v>
      </c>
      <c r="J3343" s="957">
        <v>11291.75</v>
      </c>
    </row>
    <row r="3344" spans="1:10" s="852" customFormat="1" ht="28.5" outlineLevel="2">
      <c r="A3344" s="815" t="s">
        <v>985</v>
      </c>
      <c r="B3344" s="816" t="s">
        <v>7866</v>
      </c>
      <c r="C3344" s="729" t="s">
        <v>822</v>
      </c>
      <c r="D3344" s="460"/>
      <c r="E3344" s="878" t="s">
        <v>1909</v>
      </c>
      <c r="F3344" s="881" t="s">
        <v>4956</v>
      </c>
      <c r="G3344" s="731" t="s">
        <v>2833</v>
      </c>
      <c r="H3344" s="1083">
        <v>42401</v>
      </c>
      <c r="I3344" s="1084">
        <v>42480</v>
      </c>
      <c r="J3344" s="957">
        <v>524.19000000000005</v>
      </c>
    </row>
    <row r="3345" spans="1:10" s="852" customFormat="1" ht="28.5" outlineLevel="2">
      <c r="A3345" s="815" t="s">
        <v>985</v>
      </c>
      <c r="B3345" s="816" t="s">
        <v>7866</v>
      </c>
      <c r="C3345" s="729" t="s">
        <v>822</v>
      </c>
      <c r="D3345" s="460"/>
      <c r="E3345" s="878" t="s">
        <v>1909</v>
      </c>
      <c r="F3345" s="881" t="s">
        <v>4903</v>
      </c>
      <c r="G3345" s="731" t="s">
        <v>2832</v>
      </c>
      <c r="H3345" s="1083">
        <v>42401</v>
      </c>
      <c r="I3345" s="1084">
        <v>42480</v>
      </c>
      <c r="J3345" s="957">
        <v>16.760000000000002</v>
      </c>
    </row>
    <row r="3346" spans="1:10" s="852" customFormat="1" ht="28.5" outlineLevel="2">
      <c r="A3346" s="815" t="s">
        <v>985</v>
      </c>
      <c r="B3346" s="816" t="s">
        <v>7866</v>
      </c>
      <c r="C3346" s="729" t="s">
        <v>822</v>
      </c>
      <c r="D3346" s="460"/>
      <c r="E3346" s="878" t="s">
        <v>1909</v>
      </c>
      <c r="F3346" s="881" t="s">
        <v>4853</v>
      </c>
      <c r="G3346" s="731" t="s">
        <v>2831</v>
      </c>
      <c r="H3346" s="1083">
        <v>42401</v>
      </c>
      <c r="I3346" s="1084">
        <v>42480</v>
      </c>
      <c r="J3346" s="957">
        <v>197.77</v>
      </c>
    </row>
    <row r="3347" spans="1:10" s="852" customFormat="1" ht="28.5" outlineLevel="2">
      <c r="A3347" s="815" t="s">
        <v>2277</v>
      </c>
      <c r="B3347" s="816" t="s">
        <v>7864</v>
      </c>
      <c r="C3347" s="729" t="s">
        <v>822</v>
      </c>
      <c r="D3347" s="460"/>
      <c r="E3347" s="878" t="s">
        <v>1909</v>
      </c>
      <c r="F3347" s="881" t="s">
        <v>2872</v>
      </c>
      <c r="G3347" s="731" t="s">
        <v>5336</v>
      </c>
      <c r="H3347" s="1083">
        <v>42370</v>
      </c>
      <c r="I3347" s="1084">
        <v>42480</v>
      </c>
      <c r="J3347" s="957">
        <v>-141.41999999999999</v>
      </c>
    </row>
    <row r="3348" spans="1:10" s="852" customFormat="1" ht="28.5" outlineLevel="2">
      <c r="A3348" s="815" t="s">
        <v>2277</v>
      </c>
      <c r="B3348" s="816" t="s">
        <v>7864</v>
      </c>
      <c r="C3348" s="729" t="s">
        <v>822</v>
      </c>
      <c r="D3348" s="460"/>
      <c r="E3348" s="878" t="s">
        <v>1909</v>
      </c>
      <c r="F3348" s="881" t="s">
        <v>2872</v>
      </c>
      <c r="G3348" s="731" t="s">
        <v>5337</v>
      </c>
      <c r="H3348" s="1083">
        <v>42370</v>
      </c>
      <c r="I3348" s="1084">
        <v>42480</v>
      </c>
      <c r="J3348" s="957">
        <v>-141.41999999999999</v>
      </c>
    </row>
    <row r="3349" spans="1:10" s="852" customFormat="1" ht="28.5" outlineLevel="2">
      <c r="A3349" s="815" t="s">
        <v>2277</v>
      </c>
      <c r="B3349" s="816" t="s">
        <v>7864</v>
      </c>
      <c r="C3349" s="729" t="s">
        <v>822</v>
      </c>
      <c r="D3349" s="460"/>
      <c r="E3349" s="878" t="s">
        <v>1909</v>
      </c>
      <c r="F3349" s="881" t="s">
        <v>2872</v>
      </c>
      <c r="G3349" s="731" t="s">
        <v>5340</v>
      </c>
      <c r="H3349" s="1083">
        <v>42370</v>
      </c>
      <c r="I3349" s="1084">
        <v>42480</v>
      </c>
      <c r="J3349" s="957">
        <v>141.41999999999999</v>
      </c>
    </row>
    <row r="3350" spans="1:10" s="852" customFormat="1" ht="28.5" outlineLevel="2">
      <c r="A3350" s="815" t="s">
        <v>2277</v>
      </c>
      <c r="B3350" s="816" t="s">
        <v>7864</v>
      </c>
      <c r="C3350" s="729" t="s">
        <v>822</v>
      </c>
      <c r="D3350" s="460"/>
      <c r="E3350" s="878" t="s">
        <v>1909</v>
      </c>
      <c r="F3350" s="881" t="s">
        <v>2872</v>
      </c>
      <c r="G3350" s="731" t="s">
        <v>5343</v>
      </c>
      <c r="H3350" s="1083">
        <v>42370</v>
      </c>
      <c r="I3350" s="1084">
        <v>42480</v>
      </c>
      <c r="J3350" s="957">
        <v>141.41999999999999</v>
      </c>
    </row>
    <row r="3351" spans="1:10" s="852" customFormat="1" ht="28.5" outlineLevel="2">
      <c r="A3351" s="815" t="s">
        <v>2277</v>
      </c>
      <c r="B3351" s="816" t="s">
        <v>7864</v>
      </c>
      <c r="C3351" s="729" t="s">
        <v>822</v>
      </c>
      <c r="D3351" s="460"/>
      <c r="E3351" s="878" t="s">
        <v>1909</v>
      </c>
      <c r="F3351" s="881" t="s">
        <v>2872</v>
      </c>
      <c r="G3351" s="731" t="s">
        <v>5345</v>
      </c>
      <c r="H3351" s="1083">
        <v>42370</v>
      </c>
      <c r="I3351" s="1084">
        <v>42480</v>
      </c>
      <c r="J3351" s="957">
        <v>141.41999999999999</v>
      </c>
    </row>
    <row r="3352" spans="1:10" s="852" customFormat="1" ht="28.5" outlineLevel="2">
      <c r="A3352" s="815" t="s">
        <v>2277</v>
      </c>
      <c r="B3352" s="816" t="s">
        <v>7864</v>
      </c>
      <c r="C3352" s="729" t="s">
        <v>822</v>
      </c>
      <c r="D3352" s="460"/>
      <c r="E3352" s="878" t="s">
        <v>1909</v>
      </c>
      <c r="F3352" s="881" t="s">
        <v>3565</v>
      </c>
      <c r="G3352" s="731" t="s">
        <v>5347</v>
      </c>
      <c r="H3352" s="1083">
        <v>42370</v>
      </c>
      <c r="I3352" s="1084">
        <v>42480</v>
      </c>
      <c r="J3352" s="957">
        <v>-209.3</v>
      </c>
    </row>
    <row r="3353" spans="1:10" s="852" customFormat="1" ht="28.5" outlineLevel="2">
      <c r="A3353" s="815" t="s">
        <v>2277</v>
      </c>
      <c r="B3353" s="816" t="s">
        <v>7864</v>
      </c>
      <c r="C3353" s="729" t="s">
        <v>822</v>
      </c>
      <c r="D3353" s="460"/>
      <c r="E3353" s="878" t="s">
        <v>1909</v>
      </c>
      <c r="F3353" s="881" t="s">
        <v>3565</v>
      </c>
      <c r="G3353" s="731" t="s">
        <v>5348</v>
      </c>
      <c r="H3353" s="1083">
        <v>42370</v>
      </c>
      <c r="I3353" s="1084">
        <v>42480</v>
      </c>
      <c r="J3353" s="957">
        <v>209.3</v>
      </c>
    </row>
    <row r="3354" spans="1:10" s="852" customFormat="1" ht="28.5" outlineLevel="2">
      <c r="A3354" s="815" t="s">
        <v>2277</v>
      </c>
      <c r="B3354" s="816" t="s">
        <v>7864</v>
      </c>
      <c r="C3354" s="729" t="s">
        <v>822</v>
      </c>
      <c r="D3354" s="460"/>
      <c r="E3354" s="878" t="s">
        <v>1909</v>
      </c>
      <c r="F3354" s="881" t="s">
        <v>3565</v>
      </c>
      <c r="G3354" s="731" t="s">
        <v>5349</v>
      </c>
      <c r="H3354" s="1083">
        <v>42370</v>
      </c>
      <c r="I3354" s="1084">
        <v>42480</v>
      </c>
      <c r="J3354" s="957">
        <v>209.3</v>
      </c>
    </row>
    <row r="3355" spans="1:10" s="852" customFormat="1" ht="28.5" outlineLevel="2">
      <c r="A3355" s="815" t="s">
        <v>821</v>
      </c>
      <c r="B3355" s="816" t="s">
        <v>7865</v>
      </c>
      <c r="C3355" s="729" t="s">
        <v>822</v>
      </c>
      <c r="D3355" s="460"/>
      <c r="E3355" s="878" t="s">
        <v>1909</v>
      </c>
      <c r="F3355" s="881" t="s">
        <v>6400</v>
      </c>
      <c r="G3355" s="731" t="s">
        <v>5333</v>
      </c>
      <c r="H3355" s="1083">
        <v>42217</v>
      </c>
      <c r="I3355" s="1084">
        <v>42480</v>
      </c>
      <c r="J3355" s="957">
        <v>1662.48</v>
      </c>
    </row>
    <row r="3356" spans="1:10" s="852" customFormat="1" ht="28.5" outlineLevel="2">
      <c r="A3356" s="815" t="s">
        <v>821</v>
      </c>
      <c r="B3356" s="816" t="s">
        <v>7865</v>
      </c>
      <c r="C3356" s="729" t="s">
        <v>822</v>
      </c>
      <c r="D3356" s="460"/>
      <c r="E3356" s="878" t="s">
        <v>1909</v>
      </c>
      <c r="F3356" s="881" t="s">
        <v>2890</v>
      </c>
      <c r="G3356" s="731" t="s">
        <v>5338</v>
      </c>
      <c r="H3356" s="1083">
        <v>42370</v>
      </c>
      <c r="I3356" s="1084">
        <v>42480</v>
      </c>
      <c r="J3356" s="957">
        <v>-1662.48</v>
      </c>
    </row>
    <row r="3357" spans="1:10" s="852" customFormat="1" ht="28.5" outlineLevel="2">
      <c r="A3357" s="815" t="s">
        <v>821</v>
      </c>
      <c r="B3357" s="816" t="s">
        <v>7865</v>
      </c>
      <c r="C3357" s="729" t="s">
        <v>822</v>
      </c>
      <c r="D3357" s="460"/>
      <c r="E3357" s="878" t="s">
        <v>1909</v>
      </c>
      <c r="F3357" s="881" t="s">
        <v>2890</v>
      </c>
      <c r="G3357" s="731" t="s">
        <v>5339</v>
      </c>
      <c r="H3357" s="1083">
        <v>42370</v>
      </c>
      <c r="I3357" s="1084">
        <v>42480</v>
      </c>
      <c r="J3357" s="957">
        <v>-1662.48</v>
      </c>
    </row>
    <row r="3358" spans="1:10" s="852" customFormat="1" ht="28.5" outlineLevel="2">
      <c r="A3358" s="815" t="s">
        <v>821</v>
      </c>
      <c r="B3358" s="816" t="s">
        <v>7865</v>
      </c>
      <c r="C3358" s="729" t="s">
        <v>822</v>
      </c>
      <c r="D3358" s="460"/>
      <c r="E3358" s="878" t="s">
        <v>1909</v>
      </c>
      <c r="F3358" s="881" t="s">
        <v>2890</v>
      </c>
      <c r="G3358" s="731" t="s">
        <v>5341</v>
      </c>
      <c r="H3358" s="1083">
        <v>42370</v>
      </c>
      <c r="I3358" s="1084">
        <v>42480</v>
      </c>
      <c r="J3358" s="957">
        <v>1662.48</v>
      </c>
    </row>
    <row r="3359" spans="1:10" s="852" customFormat="1" ht="28.5" outlineLevel="2">
      <c r="A3359" s="815" t="s">
        <v>821</v>
      </c>
      <c r="B3359" s="816" t="s">
        <v>7865</v>
      </c>
      <c r="C3359" s="729" t="s">
        <v>822</v>
      </c>
      <c r="D3359" s="460"/>
      <c r="E3359" s="878" t="s">
        <v>1909</v>
      </c>
      <c r="F3359" s="881" t="s">
        <v>2890</v>
      </c>
      <c r="G3359" s="731" t="s">
        <v>5344</v>
      </c>
      <c r="H3359" s="1083">
        <v>42370</v>
      </c>
      <c r="I3359" s="1084">
        <v>42480</v>
      </c>
      <c r="J3359" s="957">
        <v>1662.48</v>
      </c>
    </row>
    <row r="3360" spans="1:10" s="852" customFormat="1" ht="28.5" outlineLevel="2">
      <c r="A3360" s="815" t="s">
        <v>821</v>
      </c>
      <c r="B3360" s="816" t="s">
        <v>7865</v>
      </c>
      <c r="C3360" s="729" t="s">
        <v>822</v>
      </c>
      <c r="D3360" s="460"/>
      <c r="E3360" s="878" t="s">
        <v>1909</v>
      </c>
      <c r="F3360" s="881" t="s">
        <v>2890</v>
      </c>
      <c r="G3360" s="731" t="s">
        <v>5346</v>
      </c>
      <c r="H3360" s="1083">
        <v>42370</v>
      </c>
      <c r="I3360" s="1084">
        <v>42480</v>
      </c>
      <c r="J3360" s="957">
        <v>1662.48</v>
      </c>
    </row>
    <row r="3361" spans="1:10" s="852" customFormat="1" outlineLevel="1">
      <c r="A3361" s="815"/>
      <c r="B3361" s="816" t="s">
        <v>258</v>
      </c>
      <c r="C3361" s="908" t="s">
        <v>822</v>
      </c>
      <c r="D3361" s="928" t="str">
        <f>VLOOKUP(C3361,$C$3691:$D$3771,2,FALSE)</f>
        <v>TOTAL POUPATEMPO MARÍLIA</v>
      </c>
      <c r="E3361" s="1085"/>
      <c r="F3361" s="929"/>
      <c r="G3361" s="910"/>
      <c r="H3361" s="1086"/>
      <c r="I3361" s="1087"/>
      <c r="J3361" s="930">
        <f>SUBTOTAL(9,J3311:J3360)</f>
        <v>472884.22</v>
      </c>
    </row>
    <row r="3362" spans="1:10" s="852" customFormat="1" outlineLevel="2">
      <c r="A3362" s="815" t="s">
        <v>6463</v>
      </c>
      <c r="B3362" s="816" t="s">
        <v>7863</v>
      </c>
      <c r="C3362" s="729" t="s">
        <v>474</v>
      </c>
      <c r="D3362" s="460"/>
      <c r="E3362" s="878" t="s">
        <v>483</v>
      </c>
      <c r="F3362" s="881" t="s">
        <v>2208</v>
      </c>
      <c r="G3362" s="731" t="str">
        <f>"17010"</f>
        <v>17010</v>
      </c>
      <c r="H3362" s="1083">
        <v>42401</v>
      </c>
      <c r="I3362" s="1084">
        <v>42475</v>
      </c>
      <c r="J3362" s="957">
        <v>9899.2999999999993</v>
      </c>
    </row>
    <row r="3363" spans="1:10" s="852" customFormat="1" outlineLevel="2">
      <c r="A3363" s="815" t="s">
        <v>6465</v>
      </c>
      <c r="B3363" s="816" t="s">
        <v>7864</v>
      </c>
      <c r="C3363" s="729" t="s">
        <v>474</v>
      </c>
      <c r="D3363" s="460"/>
      <c r="E3363" s="878" t="s">
        <v>6470</v>
      </c>
      <c r="F3363" s="881" t="s">
        <v>434</v>
      </c>
      <c r="G3363" s="731" t="str">
        <f>"2593"</f>
        <v>2593</v>
      </c>
      <c r="H3363" s="1083">
        <v>42370</v>
      </c>
      <c r="I3363" s="1084">
        <v>42478</v>
      </c>
      <c r="J3363" s="957">
        <v>-4017.74</v>
      </c>
    </row>
    <row r="3364" spans="1:10" s="852" customFormat="1" outlineLevel="2">
      <c r="A3364" s="815" t="s">
        <v>6465</v>
      </c>
      <c r="B3364" s="816" t="s">
        <v>7864</v>
      </c>
      <c r="C3364" s="729" t="s">
        <v>474</v>
      </c>
      <c r="D3364" s="460"/>
      <c r="E3364" s="878" t="s">
        <v>6470</v>
      </c>
      <c r="F3364" s="881" t="s">
        <v>434</v>
      </c>
      <c r="G3364" s="731" t="str">
        <f>"2593"</f>
        <v>2593</v>
      </c>
      <c r="H3364" s="1083">
        <v>42370</v>
      </c>
      <c r="I3364" s="1084">
        <v>42478</v>
      </c>
      <c r="J3364" s="957">
        <v>4017.75</v>
      </c>
    </row>
    <row r="3365" spans="1:10" s="852" customFormat="1" outlineLevel="2">
      <c r="A3365" s="815" t="s">
        <v>6465</v>
      </c>
      <c r="B3365" s="816" t="s">
        <v>7864</v>
      </c>
      <c r="C3365" s="729" t="s">
        <v>474</v>
      </c>
      <c r="D3365" s="460"/>
      <c r="E3365" s="878" t="s">
        <v>6470</v>
      </c>
      <c r="F3365" s="881" t="s">
        <v>434</v>
      </c>
      <c r="G3365" s="731" t="str">
        <f>"2593"</f>
        <v>2593</v>
      </c>
      <c r="H3365" s="1083">
        <v>42370</v>
      </c>
      <c r="I3365" s="1084">
        <v>42478</v>
      </c>
      <c r="J3365" s="957">
        <v>4017.74</v>
      </c>
    </row>
    <row r="3366" spans="1:10" s="852" customFormat="1" outlineLevel="2">
      <c r="A3366" s="815" t="s">
        <v>6465</v>
      </c>
      <c r="B3366" s="816" t="s">
        <v>7864</v>
      </c>
      <c r="C3366" s="729" t="s">
        <v>474</v>
      </c>
      <c r="D3366" s="460"/>
      <c r="E3366" s="878" t="s">
        <v>6470</v>
      </c>
      <c r="F3366" s="881" t="s">
        <v>434</v>
      </c>
      <c r="G3366" s="731" t="str">
        <f>"2593"</f>
        <v>2593</v>
      </c>
      <c r="H3366" s="1083">
        <v>42370</v>
      </c>
      <c r="I3366" s="1084">
        <v>42478</v>
      </c>
      <c r="J3366" s="957">
        <v>4017.74</v>
      </c>
    </row>
    <row r="3367" spans="1:10" s="852" customFormat="1" outlineLevel="2">
      <c r="A3367" s="815" t="s">
        <v>6465</v>
      </c>
      <c r="B3367" s="816" t="s">
        <v>7864</v>
      </c>
      <c r="C3367" s="729" t="s">
        <v>474</v>
      </c>
      <c r="D3367" s="460"/>
      <c r="E3367" s="878" t="s">
        <v>6470</v>
      </c>
      <c r="F3367" s="881" t="s">
        <v>434</v>
      </c>
      <c r="G3367" s="731" t="str">
        <f>"2593"</f>
        <v>2593</v>
      </c>
      <c r="H3367" s="1083">
        <v>42370</v>
      </c>
      <c r="I3367" s="1084">
        <v>42478</v>
      </c>
      <c r="J3367" s="957">
        <v>-4017.74</v>
      </c>
    </row>
    <row r="3368" spans="1:10" s="852" customFormat="1" outlineLevel="2">
      <c r="A3368" s="815" t="s">
        <v>5355</v>
      </c>
      <c r="B3368" s="816" t="s">
        <v>7863</v>
      </c>
      <c r="C3368" s="729" t="s">
        <v>474</v>
      </c>
      <c r="D3368" s="460"/>
      <c r="E3368" s="878" t="s">
        <v>2336</v>
      </c>
      <c r="F3368" s="881" t="s">
        <v>5244</v>
      </c>
      <c r="G3368" s="731" t="s">
        <v>5356</v>
      </c>
      <c r="H3368" s="1083">
        <v>42401</v>
      </c>
      <c r="I3368" s="1084">
        <v>42480</v>
      </c>
      <c r="J3368" s="957">
        <v>1372.31</v>
      </c>
    </row>
    <row r="3369" spans="1:10" s="852" customFormat="1" outlineLevel="2">
      <c r="A3369" s="815" t="s">
        <v>2276</v>
      </c>
      <c r="B3369" s="816" t="s">
        <v>7864</v>
      </c>
      <c r="C3369" s="729" t="s">
        <v>474</v>
      </c>
      <c r="D3369" s="460"/>
      <c r="E3369" s="878" t="s">
        <v>2336</v>
      </c>
      <c r="F3369" s="881" t="s">
        <v>6084</v>
      </c>
      <c r="G3369" s="731" t="s">
        <v>5352</v>
      </c>
      <c r="H3369" s="1083">
        <v>42401</v>
      </c>
      <c r="I3369" s="1084">
        <v>42480</v>
      </c>
      <c r="J3369" s="957">
        <v>556.96</v>
      </c>
    </row>
    <row r="3370" spans="1:10" s="852" customFormat="1" outlineLevel="2">
      <c r="A3370" s="815" t="s">
        <v>2276</v>
      </c>
      <c r="B3370" s="816" t="s">
        <v>7864</v>
      </c>
      <c r="C3370" s="729" t="s">
        <v>474</v>
      </c>
      <c r="D3370" s="460"/>
      <c r="E3370" s="878" t="s">
        <v>2336</v>
      </c>
      <c r="F3370" s="881" t="s">
        <v>3147</v>
      </c>
      <c r="G3370" s="731" t="s">
        <v>5354</v>
      </c>
      <c r="H3370" s="1083">
        <v>42401</v>
      </c>
      <c r="I3370" s="1084">
        <v>42480</v>
      </c>
      <c r="J3370" s="957">
        <v>542.30999999999995</v>
      </c>
    </row>
    <row r="3371" spans="1:10" s="852" customFormat="1" outlineLevel="2">
      <c r="A3371" s="815" t="s">
        <v>1120</v>
      </c>
      <c r="B3371" s="816" t="s">
        <v>7865</v>
      </c>
      <c r="C3371" s="729" t="s">
        <v>474</v>
      </c>
      <c r="D3371" s="460"/>
      <c r="E3371" s="878" t="s">
        <v>2336</v>
      </c>
      <c r="F3371" s="881" t="s">
        <v>6085</v>
      </c>
      <c r="G3371" s="731" t="s">
        <v>5353</v>
      </c>
      <c r="H3371" s="1083">
        <v>42401</v>
      </c>
      <c r="I3371" s="1084">
        <v>42480</v>
      </c>
      <c r="J3371" s="957">
        <v>24357.67</v>
      </c>
    </row>
    <row r="3372" spans="1:10" s="852" customFormat="1" outlineLevel="2">
      <c r="A3372" s="815" t="s">
        <v>6465</v>
      </c>
      <c r="B3372" s="816" t="s">
        <v>7864</v>
      </c>
      <c r="C3372" s="729" t="s">
        <v>474</v>
      </c>
      <c r="D3372" s="460"/>
      <c r="E3372" s="878" t="s">
        <v>409</v>
      </c>
      <c r="F3372" s="881" t="s">
        <v>434</v>
      </c>
      <c r="G3372" s="731" t="str">
        <f>"6671"</f>
        <v>6671</v>
      </c>
      <c r="H3372" s="1083">
        <v>42401</v>
      </c>
      <c r="I3372" s="1084">
        <v>42475</v>
      </c>
      <c r="J3372" s="957">
        <v>3912</v>
      </c>
    </row>
    <row r="3373" spans="1:10" s="852" customFormat="1" outlineLevel="2">
      <c r="A3373" s="815" t="s">
        <v>1120</v>
      </c>
      <c r="B3373" s="816" t="s">
        <v>7865</v>
      </c>
      <c r="C3373" s="729" t="s">
        <v>474</v>
      </c>
      <c r="D3373" s="460"/>
      <c r="E3373" s="878" t="s">
        <v>484</v>
      </c>
      <c r="F3373" s="881" t="s">
        <v>1094</v>
      </c>
      <c r="G3373" s="731" t="s">
        <v>5814</v>
      </c>
      <c r="H3373" s="1083">
        <v>42430</v>
      </c>
      <c r="I3373" s="1084">
        <v>42489</v>
      </c>
      <c r="J3373" s="957">
        <v>174600.18</v>
      </c>
    </row>
    <row r="3374" spans="1:10" s="852" customFormat="1" outlineLevel="2">
      <c r="A3374" s="815" t="s">
        <v>978</v>
      </c>
      <c r="B3374" s="816" t="s">
        <v>7866</v>
      </c>
      <c r="C3374" s="729" t="s">
        <v>474</v>
      </c>
      <c r="D3374" s="460"/>
      <c r="E3374" s="878" t="s">
        <v>2282</v>
      </c>
      <c r="F3374" s="881" t="s">
        <v>3974</v>
      </c>
      <c r="G3374" s="731" t="s">
        <v>2779</v>
      </c>
      <c r="H3374" s="1083">
        <v>42401</v>
      </c>
      <c r="I3374" s="1084">
        <v>42471</v>
      </c>
      <c r="J3374" s="957">
        <v>472.82</v>
      </c>
    </row>
    <row r="3375" spans="1:10" s="852" customFormat="1" outlineLevel="2">
      <c r="A3375" s="815" t="s">
        <v>978</v>
      </c>
      <c r="B3375" s="816" t="s">
        <v>7866</v>
      </c>
      <c r="C3375" s="729" t="s">
        <v>474</v>
      </c>
      <c r="D3375" s="460"/>
      <c r="E3375" s="878" t="s">
        <v>2282</v>
      </c>
      <c r="F3375" s="881" t="s">
        <v>4081</v>
      </c>
      <c r="G3375" s="731" t="s">
        <v>2781</v>
      </c>
      <c r="H3375" s="1083">
        <v>42401</v>
      </c>
      <c r="I3375" s="1084">
        <v>42471</v>
      </c>
      <c r="J3375" s="957">
        <v>15.12</v>
      </c>
    </row>
    <row r="3376" spans="1:10" s="852" customFormat="1" outlineLevel="2">
      <c r="A3376" s="815" t="s">
        <v>978</v>
      </c>
      <c r="B3376" s="816" t="s">
        <v>7866</v>
      </c>
      <c r="C3376" s="729" t="s">
        <v>474</v>
      </c>
      <c r="D3376" s="460"/>
      <c r="E3376" s="878" t="s">
        <v>2282</v>
      </c>
      <c r="F3376" s="881" t="s">
        <v>4165</v>
      </c>
      <c r="G3376" s="731" t="s">
        <v>2782</v>
      </c>
      <c r="H3376" s="1083">
        <v>42401</v>
      </c>
      <c r="I3376" s="1084">
        <v>42471</v>
      </c>
      <c r="J3376" s="957">
        <v>178.39</v>
      </c>
    </row>
    <row r="3377" spans="1:10" s="852" customFormat="1" outlineLevel="2">
      <c r="A3377" s="815" t="s">
        <v>2276</v>
      </c>
      <c r="B3377" s="816" t="s">
        <v>7864</v>
      </c>
      <c r="C3377" s="729" t="s">
        <v>474</v>
      </c>
      <c r="D3377" s="460"/>
      <c r="E3377" s="878" t="s">
        <v>2359</v>
      </c>
      <c r="F3377" s="881" t="s">
        <v>6101</v>
      </c>
      <c r="G3377" s="731" t="s">
        <v>5358</v>
      </c>
      <c r="H3377" s="1083">
        <v>42401</v>
      </c>
      <c r="I3377" s="1084">
        <v>42468</v>
      </c>
      <c r="J3377" s="957">
        <v>202.53</v>
      </c>
    </row>
    <row r="3378" spans="1:10" s="852" customFormat="1" outlineLevel="2">
      <c r="A3378" s="815" t="s">
        <v>1120</v>
      </c>
      <c r="B3378" s="816" t="s">
        <v>7865</v>
      </c>
      <c r="C3378" s="729" t="s">
        <v>474</v>
      </c>
      <c r="D3378" s="460"/>
      <c r="E3378" s="878" t="s">
        <v>2359</v>
      </c>
      <c r="F3378" s="881" t="s">
        <v>6102</v>
      </c>
      <c r="G3378" s="731" t="s">
        <v>5359</v>
      </c>
      <c r="H3378" s="1083">
        <v>42401</v>
      </c>
      <c r="I3378" s="1084">
        <v>42468</v>
      </c>
      <c r="J3378" s="957">
        <v>8857.33</v>
      </c>
    </row>
    <row r="3379" spans="1:10" s="852" customFormat="1" outlineLevel="2">
      <c r="A3379" s="815" t="s">
        <v>2276</v>
      </c>
      <c r="B3379" s="816" t="s">
        <v>7864</v>
      </c>
      <c r="C3379" s="729" t="s">
        <v>474</v>
      </c>
      <c r="D3379" s="460"/>
      <c r="E3379" s="878" t="s">
        <v>2359</v>
      </c>
      <c r="F3379" s="881" t="s">
        <v>3148</v>
      </c>
      <c r="G3379" s="731" t="s">
        <v>5360</v>
      </c>
      <c r="H3379" s="1083">
        <v>42401</v>
      </c>
      <c r="I3379" s="1084">
        <v>42468</v>
      </c>
      <c r="J3379" s="957">
        <v>197.2</v>
      </c>
    </row>
    <row r="3380" spans="1:10" s="852" customFormat="1" outlineLevel="2">
      <c r="A3380" s="815" t="s">
        <v>5355</v>
      </c>
      <c r="B3380" s="816" t="s">
        <v>7863</v>
      </c>
      <c r="C3380" s="729" t="s">
        <v>474</v>
      </c>
      <c r="D3380" s="460"/>
      <c r="E3380" s="878" t="s">
        <v>2359</v>
      </c>
      <c r="F3380" s="881" t="s">
        <v>5246</v>
      </c>
      <c r="G3380" s="731" t="s">
        <v>5361</v>
      </c>
      <c r="H3380" s="1083">
        <v>42401</v>
      </c>
      <c r="I3380" s="1084">
        <v>42468</v>
      </c>
      <c r="J3380" s="957">
        <v>499.02</v>
      </c>
    </row>
    <row r="3381" spans="1:10" s="852" customFormat="1" outlineLevel="2">
      <c r="A3381" s="815" t="s">
        <v>978</v>
      </c>
      <c r="B3381" s="816" t="s">
        <v>7866</v>
      </c>
      <c r="C3381" s="729" t="s">
        <v>474</v>
      </c>
      <c r="D3381" s="460"/>
      <c r="E3381" s="878" t="s">
        <v>1909</v>
      </c>
      <c r="F3381" s="881" t="s">
        <v>3935</v>
      </c>
      <c r="G3381" s="731" t="s">
        <v>2817</v>
      </c>
      <c r="H3381" s="1083">
        <v>42401</v>
      </c>
      <c r="I3381" s="1084">
        <v>42480</v>
      </c>
      <c r="J3381" s="957">
        <v>141.84</v>
      </c>
    </row>
    <row r="3382" spans="1:10" s="852" customFormat="1" outlineLevel="2">
      <c r="A3382" s="815" t="s">
        <v>978</v>
      </c>
      <c r="B3382" s="816" t="s">
        <v>7866</v>
      </c>
      <c r="C3382" s="729" t="s">
        <v>474</v>
      </c>
      <c r="D3382" s="460"/>
      <c r="E3382" s="878" t="s">
        <v>1909</v>
      </c>
      <c r="F3382" s="881" t="s">
        <v>4027</v>
      </c>
      <c r="G3382" s="731" t="s">
        <v>2819</v>
      </c>
      <c r="H3382" s="1083">
        <v>42401</v>
      </c>
      <c r="I3382" s="1084">
        <v>42480</v>
      </c>
      <c r="J3382" s="957">
        <v>4.53</v>
      </c>
    </row>
    <row r="3383" spans="1:10" s="852" customFormat="1" outlineLevel="2">
      <c r="A3383" s="815" t="s">
        <v>978</v>
      </c>
      <c r="B3383" s="816" t="s">
        <v>7866</v>
      </c>
      <c r="C3383" s="729" t="s">
        <v>474</v>
      </c>
      <c r="D3383" s="460"/>
      <c r="E3383" s="878" t="s">
        <v>1909</v>
      </c>
      <c r="F3383" s="881" t="s">
        <v>4129</v>
      </c>
      <c r="G3383" s="731" t="s">
        <v>2821</v>
      </c>
      <c r="H3383" s="1083">
        <v>42401</v>
      </c>
      <c r="I3383" s="1084">
        <v>42480</v>
      </c>
      <c r="J3383" s="957">
        <v>53.51</v>
      </c>
    </row>
    <row r="3384" spans="1:10" s="852" customFormat="1" outlineLevel="2">
      <c r="A3384" s="815" t="s">
        <v>5355</v>
      </c>
      <c r="B3384" s="816" t="s">
        <v>7863</v>
      </c>
      <c r="C3384" s="729" t="s">
        <v>474</v>
      </c>
      <c r="D3384" s="460"/>
      <c r="E3384" s="878" t="s">
        <v>1909</v>
      </c>
      <c r="F3384" s="881" t="s">
        <v>5242</v>
      </c>
      <c r="G3384" s="731" t="s">
        <v>5374</v>
      </c>
      <c r="H3384" s="1083">
        <v>42401</v>
      </c>
      <c r="I3384" s="1084">
        <v>42480</v>
      </c>
      <c r="J3384" s="957">
        <v>124.76</v>
      </c>
    </row>
    <row r="3385" spans="1:10" s="852" customFormat="1" outlineLevel="2">
      <c r="A3385" s="815" t="s">
        <v>2276</v>
      </c>
      <c r="B3385" s="816" t="s">
        <v>7864</v>
      </c>
      <c r="C3385" s="729" t="s">
        <v>474</v>
      </c>
      <c r="D3385" s="460"/>
      <c r="E3385" s="878" t="s">
        <v>1909</v>
      </c>
      <c r="F3385" s="881" t="s">
        <v>6403</v>
      </c>
      <c r="G3385" s="731" t="s">
        <v>5362</v>
      </c>
      <c r="H3385" s="1083">
        <v>42401</v>
      </c>
      <c r="I3385" s="1084">
        <v>42480</v>
      </c>
      <c r="J3385" s="957">
        <v>50.63</v>
      </c>
    </row>
    <row r="3386" spans="1:10" s="852" customFormat="1" outlineLevel="2">
      <c r="A3386" s="815" t="s">
        <v>2276</v>
      </c>
      <c r="B3386" s="816" t="s">
        <v>7864</v>
      </c>
      <c r="C3386" s="729" t="s">
        <v>474</v>
      </c>
      <c r="D3386" s="460"/>
      <c r="E3386" s="878" t="s">
        <v>1909</v>
      </c>
      <c r="F3386" s="881" t="s">
        <v>3146</v>
      </c>
      <c r="G3386" s="731" t="s">
        <v>5368</v>
      </c>
      <c r="H3386" s="1083">
        <v>42401</v>
      </c>
      <c r="I3386" s="1084">
        <v>42480</v>
      </c>
      <c r="J3386" s="957">
        <v>49.3</v>
      </c>
    </row>
    <row r="3387" spans="1:10" s="852" customFormat="1" outlineLevel="2">
      <c r="A3387" s="815" t="s">
        <v>1120</v>
      </c>
      <c r="B3387" s="816" t="s">
        <v>7865</v>
      </c>
      <c r="C3387" s="729" t="s">
        <v>474</v>
      </c>
      <c r="D3387" s="460"/>
      <c r="E3387" s="878" t="s">
        <v>1909</v>
      </c>
      <c r="F3387" s="881" t="s">
        <v>6404</v>
      </c>
      <c r="G3387" s="731" t="s">
        <v>5364</v>
      </c>
      <c r="H3387" s="1083">
        <v>42401</v>
      </c>
      <c r="I3387" s="1084">
        <v>42480</v>
      </c>
      <c r="J3387" s="957">
        <v>3321.5</v>
      </c>
    </row>
    <row r="3388" spans="1:10" s="852" customFormat="1" ht="28.5" outlineLevel="2">
      <c r="A3388" s="815" t="s">
        <v>978</v>
      </c>
      <c r="B3388" s="816" t="s">
        <v>7866</v>
      </c>
      <c r="C3388" s="729" t="s">
        <v>474</v>
      </c>
      <c r="D3388" s="460"/>
      <c r="E3388" s="878" t="s">
        <v>1909</v>
      </c>
      <c r="F3388" s="881" t="s">
        <v>4956</v>
      </c>
      <c r="G3388" s="731" t="s">
        <v>2833</v>
      </c>
      <c r="H3388" s="1083">
        <v>42401</v>
      </c>
      <c r="I3388" s="1084">
        <v>42480</v>
      </c>
      <c r="J3388" s="957">
        <v>439.73</v>
      </c>
    </row>
    <row r="3389" spans="1:10" s="852" customFormat="1" ht="28.5" outlineLevel="2">
      <c r="A3389" s="815" t="s">
        <v>978</v>
      </c>
      <c r="B3389" s="816" t="s">
        <v>7866</v>
      </c>
      <c r="C3389" s="729" t="s">
        <v>474</v>
      </c>
      <c r="D3389" s="460"/>
      <c r="E3389" s="878" t="s">
        <v>1909</v>
      </c>
      <c r="F3389" s="881" t="s">
        <v>4903</v>
      </c>
      <c r="G3389" s="731" t="s">
        <v>2832</v>
      </c>
      <c r="H3389" s="1083">
        <v>42401</v>
      </c>
      <c r="I3389" s="1084">
        <v>42480</v>
      </c>
      <c r="J3389" s="957">
        <v>14.06</v>
      </c>
    </row>
    <row r="3390" spans="1:10" s="852" customFormat="1" ht="28.5" outlineLevel="2">
      <c r="A3390" s="815" t="s">
        <v>978</v>
      </c>
      <c r="B3390" s="816" t="s">
        <v>7866</v>
      </c>
      <c r="C3390" s="729" t="s">
        <v>474</v>
      </c>
      <c r="D3390" s="460"/>
      <c r="E3390" s="878" t="s">
        <v>1909</v>
      </c>
      <c r="F3390" s="881" t="s">
        <v>4853</v>
      </c>
      <c r="G3390" s="731" t="s">
        <v>2831</v>
      </c>
      <c r="H3390" s="1083">
        <v>42401</v>
      </c>
      <c r="I3390" s="1084">
        <v>42480</v>
      </c>
      <c r="J3390" s="957">
        <v>165.9</v>
      </c>
    </row>
    <row r="3391" spans="1:10" s="852" customFormat="1" ht="28.5" outlineLevel="2">
      <c r="A3391" s="815" t="s">
        <v>2276</v>
      </c>
      <c r="B3391" s="816" t="s">
        <v>7864</v>
      </c>
      <c r="C3391" s="729" t="s">
        <v>474</v>
      </c>
      <c r="D3391" s="460"/>
      <c r="E3391" s="878" t="s">
        <v>1909</v>
      </c>
      <c r="F3391" s="881" t="s">
        <v>2894</v>
      </c>
      <c r="G3391" s="731" t="s">
        <v>5363</v>
      </c>
      <c r="H3391" s="1083">
        <v>42370</v>
      </c>
      <c r="I3391" s="1084">
        <v>42480</v>
      </c>
      <c r="J3391" s="957">
        <v>-154.9</v>
      </c>
    </row>
    <row r="3392" spans="1:10" s="852" customFormat="1" ht="28.5" outlineLevel="2">
      <c r="A3392" s="815" t="s">
        <v>2276</v>
      </c>
      <c r="B3392" s="816" t="s">
        <v>7864</v>
      </c>
      <c r="C3392" s="729" t="s">
        <v>474</v>
      </c>
      <c r="D3392" s="460"/>
      <c r="E3392" s="878" t="s">
        <v>1909</v>
      </c>
      <c r="F3392" s="881" t="s">
        <v>2894</v>
      </c>
      <c r="G3392" s="731" t="s">
        <v>5365</v>
      </c>
      <c r="H3392" s="1083">
        <v>42370</v>
      </c>
      <c r="I3392" s="1084">
        <v>42480</v>
      </c>
      <c r="J3392" s="957">
        <v>-154.88999999999999</v>
      </c>
    </row>
    <row r="3393" spans="1:10" s="852" customFormat="1" ht="28.5" outlineLevel="2">
      <c r="A3393" s="815" t="s">
        <v>2276</v>
      </c>
      <c r="B3393" s="816" t="s">
        <v>7864</v>
      </c>
      <c r="C3393" s="729" t="s">
        <v>474</v>
      </c>
      <c r="D3393" s="460"/>
      <c r="E3393" s="878" t="s">
        <v>1909</v>
      </c>
      <c r="F3393" s="881" t="s">
        <v>2894</v>
      </c>
      <c r="G3393" s="731" t="s">
        <v>5366</v>
      </c>
      <c r="H3393" s="1083">
        <v>42370</v>
      </c>
      <c r="I3393" s="1084">
        <v>42480</v>
      </c>
      <c r="J3393" s="957">
        <v>154.88999999999999</v>
      </c>
    </row>
    <row r="3394" spans="1:10" s="852" customFormat="1" ht="28.5" outlineLevel="2">
      <c r="A3394" s="815" t="s">
        <v>2276</v>
      </c>
      <c r="B3394" s="816" t="s">
        <v>7864</v>
      </c>
      <c r="C3394" s="729" t="s">
        <v>474</v>
      </c>
      <c r="D3394" s="460"/>
      <c r="E3394" s="878" t="s">
        <v>1909</v>
      </c>
      <c r="F3394" s="881" t="s">
        <v>2894</v>
      </c>
      <c r="G3394" s="731" t="s">
        <v>5367</v>
      </c>
      <c r="H3394" s="1083">
        <v>42370</v>
      </c>
      <c r="I3394" s="1084">
        <v>42480</v>
      </c>
      <c r="J3394" s="957">
        <v>154.9</v>
      </c>
    </row>
    <row r="3395" spans="1:10" s="852" customFormat="1" ht="28.5" outlineLevel="2">
      <c r="A3395" s="815" t="s">
        <v>2276</v>
      </c>
      <c r="B3395" s="816" t="s">
        <v>7864</v>
      </c>
      <c r="C3395" s="729" t="s">
        <v>474</v>
      </c>
      <c r="D3395" s="460"/>
      <c r="E3395" s="878" t="s">
        <v>1909</v>
      </c>
      <c r="F3395" s="881" t="s">
        <v>2894</v>
      </c>
      <c r="G3395" s="731" t="s">
        <v>5369</v>
      </c>
      <c r="H3395" s="1083">
        <v>42370</v>
      </c>
      <c r="I3395" s="1084">
        <v>42480</v>
      </c>
      <c r="J3395" s="957">
        <v>154.9</v>
      </c>
    </row>
    <row r="3396" spans="1:10" s="852" customFormat="1" ht="28.5" outlineLevel="2">
      <c r="A3396" s="815" t="s">
        <v>2276</v>
      </c>
      <c r="B3396" s="816" t="s">
        <v>7864</v>
      </c>
      <c r="C3396" s="729" t="s">
        <v>474</v>
      </c>
      <c r="D3396" s="460"/>
      <c r="E3396" s="878" t="s">
        <v>1909</v>
      </c>
      <c r="F3396" s="881" t="s">
        <v>3692</v>
      </c>
      <c r="G3396" s="731" t="s">
        <v>5370</v>
      </c>
      <c r="H3396" s="1083">
        <v>42370</v>
      </c>
      <c r="I3396" s="1084">
        <v>42480</v>
      </c>
      <c r="J3396" s="957">
        <v>-229.25</v>
      </c>
    </row>
    <row r="3397" spans="1:10" s="852" customFormat="1" ht="28.5" outlineLevel="2">
      <c r="A3397" s="815" t="s">
        <v>2276</v>
      </c>
      <c r="B3397" s="816" t="s">
        <v>7864</v>
      </c>
      <c r="C3397" s="729" t="s">
        <v>474</v>
      </c>
      <c r="D3397" s="460"/>
      <c r="E3397" s="878" t="s">
        <v>1909</v>
      </c>
      <c r="F3397" s="881" t="s">
        <v>3692</v>
      </c>
      <c r="G3397" s="731" t="s">
        <v>5371</v>
      </c>
      <c r="H3397" s="1083">
        <v>42370</v>
      </c>
      <c r="I3397" s="1084">
        <v>42480</v>
      </c>
      <c r="J3397" s="957">
        <v>229.25</v>
      </c>
    </row>
    <row r="3398" spans="1:10" s="852" customFormat="1" ht="28.5" outlineLevel="2">
      <c r="A3398" s="815" t="s">
        <v>2276</v>
      </c>
      <c r="B3398" s="816" t="s">
        <v>7864</v>
      </c>
      <c r="C3398" s="729" t="s">
        <v>474</v>
      </c>
      <c r="D3398" s="460"/>
      <c r="E3398" s="878" t="s">
        <v>1909</v>
      </c>
      <c r="F3398" s="881" t="s">
        <v>3692</v>
      </c>
      <c r="G3398" s="731" t="s">
        <v>5372</v>
      </c>
      <c r="H3398" s="1083">
        <v>42370</v>
      </c>
      <c r="I3398" s="1084">
        <v>42480</v>
      </c>
      <c r="J3398" s="957">
        <v>229.25</v>
      </c>
    </row>
    <row r="3399" spans="1:10" s="852" customFormat="1" ht="28.5" outlineLevel="2">
      <c r="A3399" s="815" t="s">
        <v>1120</v>
      </c>
      <c r="B3399" s="816" t="s">
        <v>7865</v>
      </c>
      <c r="C3399" s="729" t="s">
        <v>474</v>
      </c>
      <c r="D3399" s="460"/>
      <c r="E3399" s="878" t="s">
        <v>1909</v>
      </c>
      <c r="F3399" s="881" t="s">
        <v>4665</v>
      </c>
      <c r="G3399" s="731" t="s">
        <v>5373</v>
      </c>
      <c r="H3399" s="1083">
        <v>42401</v>
      </c>
      <c r="I3399" s="1084">
        <v>42480</v>
      </c>
      <c r="J3399" s="957">
        <v>10296.65</v>
      </c>
    </row>
    <row r="3400" spans="1:10" s="852" customFormat="1" outlineLevel="1">
      <c r="A3400" s="815"/>
      <c r="B3400" s="816" t="s">
        <v>258</v>
      </c>
      <c r="C3400" s="908" t="s">
        <v>474</v>
      </c>
      <c r="D3400" s="928" t="str">
        <f>VLOOKUP(C3400,$C$3691:$D$3771,2,FALSE)</f>
        <v>TOTAL POUPATEMPO ARAÇATUBA</v>
      </c>
      <c r="E3400" s="1085"/>
      <c r="F3400" s="929"/>
      <c r="G3400" s="910"/>
      <c r="H3400" s="1086"/>
      <c r="I3400" s="1087"/>
      <c r="J3400" s="930">
        <f>SUBTOTAL(9,J3362:J3399)</f>
        <v>244727.44999999998</v>
      </c>
    </row>
    <row r="3401" spans="1:10" s="852" customFormat="1" outlineLevel="2">
      <c r="A3401" s="815" t="s">
        <v>2218</v>
      </c>
      <c r="B3401" s="816" t="s">
        <v>7865</v>
      </c>
      <c r="C3401" s="729" t="s">
        <v>826</v>
      </c>
      <c r="D3401" s="460"/>
      <c r="E3401" s="878" t="s">
        <v>2216</v>
      </c>
      <c r="F3401" s="881" t="s">
        <v>1094</v>
      </c>
      <c r="G3401" s="731" t="s">
        <v>5765</v>
      </c>
      <c r="H3401" s="1083">
        <v>42430</v>
      </c>
      <c r="I3401" s="1084">
        <v>42489</v>
      </c>
      <c r="J3401" s="957">
        <v>184742.25</v>
      </c>
    </row>
    <row r="3402" spans="1:10" s="852" customFormat="1" ht="28.5" outlineLevel="2">
      <c r="A3402" s="815" t="s">
        <v>1247</v>
      </c>
      <c r="B3402" s="816" t="s">
        <v>7868</v>
      </c>
      <c r="C3402" s="729" t="s">
        <v>826</v>
      </c>
      <c r="D3402" s="460"/>
      <c r="E3402" s="878" t="s">
        <v>1248</v>
      </c>
      <c r="F3402" s="881" t="s">
        <v>1233</v>
      </c>
      <c r="G3402" s="731" t="s">
        <v>5601</v>
      </c>
      <c r="H3402" s="1083">
        <v>42430</v>
      </c>
      <c r="I3402" s="1084">
        <v>42471</v>
      </c>
      <c r="J3402" s="957">
        <v>13528.86</v>
      </c>
    </row>
    <row r="3403" spans="1:10" s="852" customFormat="1" ht="28.5" outlineLevel="2">
      <c r="A3403" s="815" t="s">
        <v>1266</v>
      </c>
      <c r="B3403" s="816" t="s">
        <v>7895</v>
      </c>
      <c r="C3403" s="729" t="s">
        <v>826</v>
      </c>
      <c r="D3403" s="460"/>
      <c r="E3403" s="878" t="s">
        <v>1248</v>
      </c>
      <c r="F3403" s="881" t="s">
        <v>1262</v>
      </c>
      <c r="G3403" s="731" t="s">
        <v>5602</v>
      </c>
      <c r="H3403" s="1083">
        <v>42430</v>
      </c>
      <c r="I3403" s="1084">
        <v>42471</v>
      </c>
      <c r="J3403" s="957">
        <v>13520.25</v>
      </c>
    </row>
    <row r="3404" spans="1:10" s="852" customFormat="1" outlineLevel="2">
      <c r="A3404" s="815" t="s">
        <v>5379</v>
      </c>
      <c r="B3404" s="816" t="s">
        <v>7863</v>
      </c>
      <c r="C3404" s="729" t="s">
        <v>826</v>
      </c>
      <c r="D3404" s="460"/>
      <c r="E3404" s="878" t="s">
        <v>490</v>
      </c>
      <c r="F3404" s="881" t="s">
        <v>2208</v>
      </c>
      <c r="G3404" s="731" t="s">
        <v>5585</v>
      </c>
      <c r="H3404" s="1083">
        <v>42401</v>
      </c>
      <c r="I3404" s="1084">
        <v>42467</v>
      </c>
      <c r="J3404" s="957">
        <v>7500.47</v>
      </c>
    </row>
    <row r="3405" spans="1:10" s="852" customFormat="1" outlineLevel="2">
      <c r="A3405" s="815" t="s">
        <v>5956</v>
      </c>
      <c r="B3405" s="816" t="s">
        <v>7864</v>
      </c>
      <c r="C3405" s="729" t="s">
        <v>826</v>
      </c>
      <c r="D3405" s="460"/>
      <c r="E3405" s="878" t="s">
        <v>6470</v>
      </c>
      <c r="F3405" s="881" t="s">
        <v>434</v>
      </c>
      <c r="G3405" s="731" t="str">
        <f>"2595"</f>
        <v>2595</v>
      </c>
      <c r="H3405" s="1083">
        <v>42370</v>
      </c>
      <c r="I3405" s="1084">
        <v>42478</v>
      </c>
      <c r="J3405" s="957">
        <v>-2346.33</v>
      </c>
    </row>
    <row r="3406" spans="1:10" s="852" customFormat="1" outlineLevel="2">
      <c r="A3406" s="815" t="s">
        <v>5956</v>
      </c>
      <c r="B3406" s="816" t="s">
        <v>7864</v>
      </c>
      <c r="C3406" s="729" t="s">
        <v>826</v>
      </c>
      <c r="D3406" s="460"/>
      <c r="E3406" s="878" t="s">
        <v>6470</v>
      </c>
      <c r="F3406" s="881" t="s">
        <v>434</v>
      </c>
      <c r="G3406" s="731" t="str">
        <f>"2595"</f>
        <v>2595</v>
      </c>
      <c r="H3406" s="1083">
        <v>42370</v>
      </c>
      <c r="I3406" s="1084">
        <v>42478</v>
      </c>
      <c r="J3406" s="957">
        <v>2346.33</v>
      </c>
    </row>
    <row r="3407" spans="1:10" s="852" customFormat="1" outlineLevel="2">
      <c r="A3407" s="815" t="s">
        <v>5956</v>
      </c>
      <c r="B3407" s="816" t="s">
        <v>7864</v>
      </c>
      <c r="C3407" s="729" t="s">
        <v>826</v>
      </c>
      <c r="D3407" s="460"/>
      <c r="E3407" s="878" t="s">
        <v>6470</v>
      </c>
      <c r="F3407" s="881" t="s">
        <v>434</v>
      </c>
      <c r="G3407" s="731" t="str">
        <f>"2595"</f>
        <v>2595</v>
      </c>
      <c r="H3407" s="1083">
        <v>42370</v>
      </c>
      <c r="I3407" s="1084">
        <v>42478</v>
      </c>
      <c r="J3407" s="957">
        <v>2346.33</v>
      </c>
    </row>
    <row r="3408" spans="1:10" s="852" customFormat="1" outlineLevel="2">
      <c r="A3408" s="815" t="s">
        <v>5956</v>
      </c>
      <c r="B3408" s="816" t="s">
        <v>7864</v>
      </c>
      <c r="C3408" s="729" t="s">
        <v>826</v>
      </c>
      <c r="D3408" s="460"/>
      <c r="E3408" s="878" t="s">
        <v>6470</v>
      </c>
      <c r="F3408" s="881" t="s">
        <v>434</v>
      </c>
      <c r="G3408" s="731" t="str">
        <f>"2595"</f>
        <v>2595</v>
      </c>
      <c r="H3408" s="1083">
        <v>42370</v>
      </c>
      <c r="I3408" s="1084">
        <v>42478</v>
      </c>
      <c r="J3408" s="957">
        <v>-2346.33</v>
      </c>
    </row>
    <row r="3409" spans="1:10" s="852" customFormat="1" outlineLevel="2">
      <c r="A3409" s="815" t="s">
        <v>5956</v>
      </c>
      <c r="B3409" s="816" t="s">
        <v>7864</v>
      </c>
      <c r="C3409" s="729" t="s">
        <v>826</v>
      </c>
      <c r="D3409" s="460"/>
      <c r="E3409" s="878" t="s">
        <v>6470</v>
      </c>
      <c r="F3409" s="881" t="s">
        <v>434</v>
      </c>
      <c r="G3409" s="731" t="str">
        <f>"2595"</f>
        <v>2595</v>
      </c>
      <c r="H3409" s="1083">
        <v>42370</v>
      </c>
      <c r="I3409" s="1084">
        <v>42478</v>
      </c>
      <c r="J3409" s="957">
        <v>2346.33</v>
      </c>
    </row>
    <row r="3410" spans="1:10" s="852" customFormat="1" outlineLevel="2">
      <c r="A3410" s="815" t="s">
        <v>2218</v>
      </c>
      <c r="B3410" s="816" t="s">
        <v>7865</v>
      </c>
      <c r="C3410" s="729" t="s">
        <v>826</v>
      </c>
      <c r="D3410" s="460"/>
      <c r="E3410" s="878" t="s">
        <v>2336</v>
      </c>
      <c r="F3410" s="881" t="s">
        <v>6088</v>
      </c>
      <c r="G3410" s="731" t="s">
        <v>5377</v>
      </c>
      <c r="H3410" s="1083">
        <v>42401</v>
      </c>
      <c r="I3410" s="1084">
        <v>42480</v>
      </c>
      <c r="J3410" s="957">
        <v>25135</v>
      </c>
    </row>
    <row r="3411" spans="1:10" s="852" customFormat="1" ht="28.5" outlineLevel="2">
      <c r="A3411" s="815" t="s">
        <v>5379</v>
      </c>
      <c r="B3411" s="816" t="s">
        <v>7863</v>
      </c>
      <c r="C3411" s="729" t="s">
        <v>826</v>
      </c>
      <c r="D3411" s="460"/>
      <c r="E3411" s="878" t="s">
        <v>2336</v>
      </c>
      <c r="F3411" s="881" t="s">
        <v>4459</v>
      </c>
      <c r="G3411" s="731" t="s">
        <v>5380</v>
      </c>
      <c r="H3411" s="1083">
        <v>42401</v>
      </c>
      <c r="I3411" s="1084">
        <v>42480</v>
      </c>
      <c r="J3411" s="957">
        <v>1014.2</v>
      </c>
    </row>
    <row r="3412" spans="1:10" s="852" customFormat="1" outlineLevel="2">
      <c r="A3412" s="815" t="s">
        <v>2279</v>
      </c>
      <c r="B3412" s="816" t="s">
        <v>7864</v>
      </c>
      <c r="C3412" s="729" t="s">
        <v>826</v>
      </c>
      <c r="D3412" s="460"/>
      <c r="E3412" s="878" t="s">
        <v>2336</v>
      </c>
      <c r="F3412" s="881" t="s">
        <v>6087</v>
      </c>
      <c r="G3412" s="731" t="s">
        <v>5376</v>
      </c>
      <c r="H3412" s="1083">
        <v>42401</v>
      </c>
      <c r="I3412" s="1084">
        <v>42480</v>
      </c>
      <c r="J3412" s="957">
        <v>321.20999999999998</v>
      </c>
    </row>
    <row r="3413" spans="1:10" s="852" customFormat="1" outlineLevel="2">
      <c r="A3413" s="815" t="s">
        <v>2279</v>
      </c>
      <c r="B3413" s="816" t="s">
        <v>7864</v>
      </c>
      <c r="C3413" s="729" t="s">
        <v>826</v>
      </c>
      <c r="D3413" s="460"/>
      <c r="E3413" s="878" t="s">
        <v>2336</v>
      </c>
      <c r="F3413" s="881" t="s">
        <v>6086</v>
      </c>
      <c r="G3413" s="731" t="s">
        <v>5375</v>
      </c>
      <c r="H3413" s="1083">
        <v>42401</v>
      </c>
      <c r="I3413" s="1084">
        <v>42480</v>
      </c>
      <c r="J3413" s="957">
        <v>211.33</v>
      </c>
    </row>
    <row r="3414" spans="1:10" s="852" customFormat="1" outlineLevel="2">
      <c r="A3414" s="815" t="s">
        <v>2279</v>
      </c>
      <c r="B3414" s="816" t="s">
        <v>7864</v>
      </c>
      <c r="C3414" s="729" t="s">
        <v>826</v>
      </c>
      <c r="D3414" s="460"/>
      <c r="E3414" s="878" t="s">
        <v>2336</v>
      </c>
      <c r="F3414" s="881" t="s">
        <v>3042</v>
      </c>
      <c r="G3414" s="731" t="s">
        <v>5378</v>
      </c>
      <c r="H3414" s="1083">
        <v>42401</v>
      </c>
      <c r="I3414" s="1084">
        <v>42480</v>
      </c>
      <c r="J3414" s="957">
        <v>312.76</v>
      </c>
    </row>
    <row r="3415" spans="1:10" s="852" customFormat="1" outlineLevel="2">
      <c r="A3415" s="815" t="s">
        <v>5956</v>
      </c>
      <c r="B3415" s="816" t="s">
        <v>7864</v>
      </c>
      <c r="C3415" s="729" t="s">
        <v>826</v>
      </c>
      <c r="D3415" s="460"/>
      <c r="E3415" s="878" t="s">
        <v>2717</v>
      </c>
      <c r="F3415" s="881" t="s">
        <v>434</v>
      </c>
      <c r="G3415" s="731" t="str">
        <f>"3515"</f>
        <v>3515</v>
      </c>
      <c r="H3415" s="1083">
        <v>42401</v>
      </c>
      <c r="I3415" s="1084">
        <v>42467</v>
      </c>
      <c r="J3415" s="957">
        <v>1543.64</v>
      </c>
    </row>
    <row r="3416" spans="1:10" s="852" customFormat="1" outlineLevel="2">
      <c r="A3416" s="815" t="s">
        <v>5956</v>
      </c>
      <c r="B3416" s="816" t="s">
        <v>7864</v>
      </c>
      <c r="C3416" s="729" t="s">
        <v>826</v>
      </c>
      <c r="D3416" s="460"/>
      <c r="E3416" s="878" t="s">
        <v>409</v>
      </c>
      <c r="F3416" s="881" t="s">
        <v>434</v>
      </c>
      <c r="G3416" s="731" t="str">
        <f>"6689"</f>
        <v>6689</v>
      </c>
      <c r="H3416" s="1083">
        <v>42401</v>
      </c>
      <c r="I3416" s="1084">
        <v>42475</v>
      </c>
      <c r="J3416" s="957">
        <v>2284.58</v>
      </c>
    </row>
    <row r="3417" spans="1:10" s="852" customFormat="1" outlineLevel="2">
      <c r="A3417" s="815" t="s">
        <v>986</v>
      </c>
      <c r="B3417" s="816" t="s">
        <v>7866</v>
      </c>
      <c r="C3417" s="729" t="s">
        <v>826</v>
      </c>
      <c r="D3417" s="460"/>
      <c r="E3417" s="878" t="s">
        <v>2282</v>
      </c>
      <c r="F3417" s="881" t="s">
        <v>3974</v>
      </c>
      <c r="G3417" s="731" t="s">
        <v>2779</v>
      </c>
      <c r="H3417" s="1083">
        <v>42401</v>
      </c>
      <c r="I3417" s="1084">
        <v>42471</v>
      </c>
      <c r="J3417" s="957">
        <v>470.74</v>
      </c>
    </row>
    <row r="3418" spans="1:10" s="852" customFormat="1" outlineLevel="2">
      <c r="A3418" s="815" t="s">
        <v>986</v>
      </c>
      <c r="B3418" s="816" t="s">
        <v>7866</v>
      </c>
      <c r="C3418" s="729" t="s">
        <v>826</v>
      </c>
      <c r="D3418" s="460"/>
      <c r="E3418" s="878" t="s">
        <v>2282</v>
      </c>
      <c r="F3418" s="881" t="s">
        <v>4081</v>
      </c>
      <c r="G3418" s="731" t="s">
        <v>2781</v>
      </c>
      <c r="H3418" s="1083">
        <v>42401</v>
      </c>
      <c r="I3418" s="1084">
        <v>42471</v>
      </c>
      <c r="J3418" s="957">
        <v>15.05</v>
      </c>
    </row>
    <row r="3419" spans="1:10" s="852" customFormat="1" outlineLevel="2">
      <c r="A3419" s="815" t="s">
        <v>986</v>
      </c>
      <c r="B3419" s="816" t="s">
        <v>7866</v>
      </c>
      <c r="C3419" s="729" t="s">
        <v>826</v>
      </c>
      <c r="D3419" s="460"/>
      <c r="E3419" s="878" t="s">
        <v>2282</v>
      </c>
      <c r="F3419" s="881" t="s">
        <v>4165</v>
      </c>
      <c r="G3419" s="731" t="s">
        <v>2782</v>
      </c>
      <c r="H3419" s="1083">
        <v>42401</v>
      </c>
      <c r="I3419" s="1084">
        <v>42471</v>
      </c>
      <c r="J3419" s="957">
        <v>177.61</v>
      </c>
    </row>
    <row r="3420" spans="1:10" s="852" customFormat="1" outlineLevel="2">
      <c r="A3420" s="815" t="s">
        <v>2279</v>
      </c>
      <c r="B3420" s="816" t="s">
        <v>7864</v>
      </c>
      <c r="C3420" s="729" t="s">
        <v>826</v>
      </c>
      <c r="D3420" s="460"/>
      <c r="E3420" s="878" t="s">
        <v>2360</v>
      </c>
      <c r="F3420" s="881" t="s">
        <v>6173</v>
      </c>
      <c r="G3420" s="731" t="s">
        <v>5381</v>
      </c>
      <c r="H3420" s="1083">
        <v>42401</v>
      </c>
      <c r="I3420" s="1084">
        <v>42480</v>
      </c>
      <c r="J3420" s="957">
        <v>57.63</v>
      </c>
    </row>
    <row r="3421" spans="1:10" s="852" customFormat="1" outlineLevel="2">
      <c r="A3421" s="815" t="s">
        <v>2279</v>
      </c>
      <c r="B3421" s="816" t="s">
        <v>7864</v>
      </c>
      <c r="C3421" s="729" t="s">
        <v>826</v>
      </c>
      <c r="D3421" s="460"/>
      <c r="E3421" s="878" t="s">
        <v>2360</v>
      </c>
      <c r="F3421" s="881" t="s">
        <v>6174</v>
      </c>
      <c r="G3421" s="731" t="s">
        <v>5383</v>
      </c>
      <c r="H3421" s="1083">
        <v>42401</v>
      </c>
      <c r="I3421" s="1084">
        <v>42480</v>
      </c>
      <c r="J3421" s="957">
        <v>87.6</v>
      </c>
    </row>
    <row r="3422" spans="1:10" s="852" customFormat="1" outlineLevel="2">
      <c r="A3422" s="815" t="s">
        <v>2218</v>
      </c>
      <c r="B3422" s="816" t="s">
        <v>7865</v>
      </c>
      <c r="C3422" s="729" t="s">
        <v>826</v>
      </c>
      <c r="D3422" s="460"/>
      <c r="E3422" s="878" t="s">
        <v>2360</v>
      </c>
      <c r="F3422" s="881" t="s">
        <v>6175</v>
      </c>
      <c r="G3422" s="731" t="s">
        <v>5385</v>
      </c>
      <c r="H3422" s="1083">
        <v>42401</v>
      </c>
      <c r="I3422" s="1084">
        <v>42480</v>
      </c>
      <c r="J3422" s="957">
        <v>4570</v>
      </c>
    </row>
    <row r="3423" spans="1:10" s="852" customFormat="1" outlineLevel="2">
      <c r="A3423" s="815" t="s">
        <v>2279</v>
      </c>
      <c r="B3423" s="816" t="s">
        <v>7864</v>
      </c>
      <c r="C3423" s="729" t="s">
        <v>826</v>
      </c>
      <c r="D3423" s="460"/>
      <c r="E3423" s="878" t="s">
        <v>2360</v>
      </c>
      <c r="F3423" s="881" t="s">
        <v>3044</v>
      </c>
      <c r="G3423" s="731" t="s">
        <v>5387</v>
      </c>
      <c r="H3423" s="1083">
        <v>42401</v>
      </c>
      <c r="I3423" s="1084">
        <v>42480</v>
      </c>
      <c r="J3423" s="957">
        <v>85.3</v>
      </c>
    </row>
    <row r="3424" spans="1:10" s="852" customFormat="1" outlineLevel="2">
      <c r="A3424" s="815" t="s">
        <v>5379</v>
      </c>
      <c r="B3424" s="816" t="s">
        <v>7863</v>
      </c>
      <c r="C3424" s="729" t="s">
        <v>826</v>
      </c>
      <c r="D3424" s="460"/>
      <c r="E3424" s="878" t="s">
        <v>2360</v>
      </c>
      <c r="F3424" s="881" t="s">
        <v>4460</v>
      </c>
      <c r="G3424" s="731" t="s">
        <v>5388</v>
      </c>
      <c r="H3424" s="1083">
        <v>42401</v>
      </c>
      <c r="I3424" s="1084">
        <v>42480</v>
      </c>
      <c r="J3424" s="957">
        <v>184.4</v>
      </c>
    </row>
    <row r="3425" spans="1:10" s="852" customFormat="1" outlineLevel="2">
      <c r="A3425" s="815" t="s">
        <v>2218</v>
      </c>
      <c r="B3425" s="816" t="s">
        <v>7865</v>
      </c>
      <c r="C3425" s="729" t="s">
        <v>826</v>
      </c>
      <c r="D3425" s="460"/>
      <c r="E3425" s="878" t="s">
        <v>1909</v>
      </c>
      <c r="F3425" s="881" t="s">
        <v>6408</v>
      </c>
      <c r="G3425" s="731" t="s">
        <v>5392</v>
      </c>
      <c r="H3425" s="1083">
        <v>42401</v>
      </c>
      <c r="I3425" s="1084">
        <v>42480</v>
      </c>
      <c r="J3425" s="957">
        <v>3427.5</v>
      </c>
    </row>
    <row r="3426" spans="1:10" s="852" customFormat="1" outlineLevel="2">
      <c r="A3426" s="815" t="s">
        <v>986</v>
      </c>
      <c r="B3426" s="816" t="s">
        <v>7866</v>
      </c>
      <c r="C3426" s="729" t="s">
        <v>826</v>
      </c>
      <c r="D3426" s="460"/>
      <c r="E3426" s="878" t="s">
        <v>1909</v>
      </c>
      <c r="F3426" s="881" t="s">
        <v>3935</v>
      </c>
      <c r="G3426" s="731" t="s">
        <v>2817</v>
      </c>
      <c r="H3426" s="1083">
        <v>42401</v>
      </c>
      <c r="I3426" s="1084">
        <v>42480</v>
      </c>
      <c r="J3426" s="957">
        <v>141.22</v>
      </c>
    </row>
    <row r="3427" spans="1:10" s="852" customFormat="1" outlineLevel="2">
      <c r="A3427" s="815" t="s">
        <v>986</v>
      </c>
      <c r="B3427" s="816" t="s">
        <v>7866</v>
      </c>
      <c r="C3427" s="729" t="s">
        <v>826</v>
      </c>
      <c r="D3427" s="460"/>
      <c r="E3427" s="878" t="s">
        <v>1909</v>
      </c>
      <c r="F3427" s="881" t="s">
        <v>4027</v>
      </c>
      <c r="G3427" s="731" t="s">
        <v>2819</v>
      </c>
      <c r="H3427" s="1083">
        <v>42401</v>
      </c>
      <c r="I3427" s="1084">
        <v>42480</v>
      </c>
      <c r="J3427" s="957">
        <v>4.51</v>
      </c>
    </row>
    <row r="3428" spans="1:10" s="852" customFormat="1" outlineLevel="2">
      <c r="A3428" s="815" t="s">
        <v>986</v>
      </c>
      <c r="B3428" s="816" t="s">
        <v>7866</v>
      </c>
      <c r="C3428" s="729" t="s">
        <v>826</v>
      </c>
      <c r="D3428" s="460"/>
      <c r="E3428" s="878" t="s">
        <v>1909</v>
      </c>
      <c r="F3428" s="881" t="s">
        <v>4129</v>
      </c>
      <c r="G3428" s="731" t="s">
        <v>2821</v>
      </c>
      <c r="H3428" s="1083">
        <v>42401</v>
      </c>
      <c r="I3428" s="1084">
        <v>42480</v>
      </c>
      <c r="J3428" s="957">
        <v>53.28</v>
      </c>
    </row>
    <row r="3429" spans="1:10" s="852" customFormat="1" ht="28.5" outlineLevel="2">
      <c r="A3429" s="815" t="s">
        <v>5379</v>
      </c>
      <c r="B3429" s="816" t="s">
        <v>7863</v>
      </c>
      <c r="C3429" s="729" t="s">
        <v>826</v>
      </c>
      <c r="D3429" s="460"/>
      <c r="E3429" s="878" t="s">
        <v>1909</v>
      </c>
      <c r="F3429" s="881" t="s">
        <v>4457</v>
      </c>
      <c r="G3429" s="731" t="s">
        <v>5402</v>
      </c>
      <c r="H3429" s="1083">
        <v>42401</v>
      </c>
      <c r="I3429" s="1084">
        <v>42480</v>
      </c>
      <c r="J3429" s="957">
        <v>92.2</v>
      </c>
    </row>
    <row r="3430" spans="1:10" s="852" customFormat="1" outlineLevel="2">
      <c r="A3430" s="815" t="s">
        <v>2279</v>
      </c>
      <c r="B3430" s="816" t="s">
        <v>7864</v>
      </c>
      <c r="C3430" s="729" t="s">
        <v>826</v>
      </c>
      <c r="D3430" s="460"/>
      <c r="E3430" s="878" t="s">
        <v>1909</v>
      </c>
      <c r="F3430" s="881" t="s">
        <v>6407</v>
      </c>
      <c r="G3430" s="731" t="s">
        <v>5391</v>
      </c>
      <c r="H3430" s="1083">
        <v>42401</v>
      </c>
      <c r="I3430" s="1084">
        <v>42480</v>
      </c>
      <c r="J3430" s="957">
        <v>29.2</v>
      </c>
    </row>
    <row r="3431" spans="1:10" s="852" customFormat="1" outlineLevel="2">
      <c r="A3431" s="815" t="s">
        <v>2279</v>
      </c>
      <c r="B3431" s="816" t="s">
        <v>7864</v>
      </c>
      <c r="C3431" s="729" t="s">
        <v>826</v>
      </c>
      <c r="D3431" s="460"/>
      <c r="E3431" s="878" t="s">
        <v>1909</v>
      </c>
      <c r="F3431" s="881" t="s">
        <v>6406</v>
      </c>
      <c r="G3431" s="731" t="s">
        <v>5390</v>
      </c>
      <c r="H3431" s="1083">
        <v>42401</v>
      </c>
      <c r="I3431" s="1084">
        <v>42480</v>
      </c>
      <c r="J3431" s="957">
        <v>19.21</v>
      </c>
    </row>
    <row r="3432" spans="1:10" s="852" customFormat="1" outlineLevel="2">
      <c r="A3432" s="815" t="s">
        <v>2279</v>
      </c>
      <c r="B3432" s="816" t="s">
        <v>7864</v>
      </c>
      <c r="C3432" s="729" t="s">
        <v>826</v>
      </c>
      <c r="D3432" s="460"/>
      <c r="E3432" s="878" t="s">
        <v>1909</v>
      </c>
      <c r="F3432" s="881" t="s">
        <v>3040</v>
      </c>
      <c r="G3432" s="731" t="s">
        <v>5396</v>
      </c>
      <c r="H3432" s="1083">
        <v>42401</v>
      </c>
      <c r="I3432" s="1084">
        <v>42480</v>
      </c>
      <c r="J3432" s="957">
        <v>28.43</v>
      </c>
    </row>
    <row r="3433" spans="1:10" s="852" customFormat="1" ht="28.5" outlineLevel="2">
      <c r="A3433" s="815" t="s">
        <v>2218</v>
      </c>
      <c r="B3433" s="816" t="s">
        <v>7865</v>
      </c>
      <c r="C3433" s="729" t="s">
        <v>826</v>
      </c>
      <c r="D3433" s="460"/>
      <c r="E3433" s="878" t="s">
        <v>1909</v>
      </c>
      <c r="F3433" s="881" t="s">
        <v>6405</v>
      </c>
      <c r="G3433" s="731" t="s">
        <v>5389</v>
      </c>
      <c r="H3433" s="1083">
        <v>42339</v>
      </c>
      <c r="I3433" s="1084">
        <v>42480</v>
      </c>
      <c r="J3433" s="957">
        <v>10625.25</v>
      </c>
    </row>
    <row r="3434" spans="1:10" s="852" customFormat="1" ht="28.5" outlineLevel="2">
      <c r="A3434" s="815" t="s">
        <v>2218</v>
      </c>
      <c r="B3434" s="816" t="s">
        <v>7865</v>
      </c>
      <c r="C3434" s="729" t="s">
        <v>826</v>
      </c>
      <c r="D3434" s="460"/>
      <c r="E3434" s="878" t="s">
        <v>1909</v>
      </c>
      <c r="F3434" s="881" t="s">
        <v>4610</v>
      </c>
      <c r="G3434" s="731" t="s">
        <v>5403</v>
      </c>
      <c r="H3434" s="1083">
        <v>42401</v>
      </c>
      <c r="I3434" s="1084">
        <v>42480</v>
      </c>
      <c r="J3434" s="957">
        <v>10625.25</v>
      </c>
    </row>
    <row r="3435" spans="1:10" s="852" customFormat="1" ht="28.5" outlineLevel="2">
      <c r="A3435" s="815" t="s">
        <v>986</v>
      </c>
      <c r="B3435" s="816" t="s">
        <v>7866</v>
      </c>
      <c r="C3435" s="729" t="s">
        <v>826</v>
      </c>
      <c r="D3435" s="460"/>
      <c r="E3435" s="878" t="s">
        <v>1909</v>
      </c>
      <c r="F3435" s="881" t="s">
        <v>4956</v>
      </c>
      <c r="G3435" s="731" t="s">
        <v>2833</v>
      </c>
      <c r="H3435" s="1083">
        <v>42401</v>
      </c>
      <c r="I3435" s="1084">
        <v>42480</v>
      </c>
      <c r="J3435" s="957">
        <v>437.79</v>
      </c>
    </row>
    <row r="3436" spans="1:10" s="852" customFormat="1" ht="28.5" outlineLevel="2">
      <c r="A3436" s="815" t="s">
        <v>986</v>
      </c>
      <c r="B3436" s="816" t="s">
        <v>7866</v>
      </c>
      <c r="C3436" s="729" t="s">
        <v>826</v>
      </c>
      <c r="D3436" s="460"/>
      <c r="E3436" s="878" t="s">
        <v>1909</v>
      </c>
      <c r="F3436" s="881" t="s">
        <v>4903</v>
      </c>
      <c r="G3436" s="731" t="s">
        <v>2832</v>
      </c>
      <c r="H3436" s="1083">
        <v>42401</v>
      </c>
      <c r="I3436" s="1084">
        <v>42480</v>
      </c>
      <c r="J3436" s="957">
        <v>14</v>
      </c>
    </row>
    <row r="3437" spans="1:10" s="852" customFormat="1" ht="28.5" outlineLevel="2">
      <c r="A3437" s="815" t="s">
        <v>986</v>
      </c>
      <c r="B3437" s="816" t="s">
        <v>7866</v>
      </c>
      <c r="C3437" s="729" t="s">
        <v>826</v>
      </c>
      <c r="D3437" s="460"/>
      <c r="E3437" s="878" t="s">
        <v>1909</v>
      </c>
      <c r="F3437" s="881" t="s">
        <v>4853</v>
      </c>
      <c r="G3437" s="731" t="s">
        <v>2831</v>
      </c>
      <c r="H3437" s="1083">
        <v>42401</v>
      </c>
      <c r="I3437" s="1084">
        <v>42480</v>
      </c>
      <c r="J3437" s="957">
        <v>165.17</v>
      </c>
    </row>
    <row r="3438" spans="1:10" s="852" customFormat="1" ht="28.5" outlineLevel="2">
      <c r="A3438" s="815" t="s">
        <v>2279</v>
      </c>
      <c r="B3438" s="816" t="s">
        <v>7864</v>
      </c>
      <c r="C3438" s="729" t="s">
        <v>826</v>
      </c>
      <c r="D3438" s="460"/>
      <c r="E3438" s="878" t="s">
        <v>1909</v>
      </c>
      <c r="F3438" s="881" t="s">
        <v>2891</v>
      </c>
      <c r="G3438" s="731" t="s">
        <v>5393</v>
      </c>
      <c r="H3438" s="1083">
        <v>42370</v>
      </c>
      <c r="I3438" s="1084">
        <v>42480</v>
      </c>
      <c r="J3438" s="957">
        <v>-89.34</v>
      </c>
    </row>
    <row r="3439" spans="1:10" s="852" customFormat="1" ht="28.5" outlineLevel="2">
      <c r="A3439" s="815" t="s">
        <v>2279</v>
      </c>
      <c r="B3439" s="816" t="s">
        <v>7864</v>
      </c>
      <c r="C3439" s="729" t="s">
        <v>826</v>
      </c>
      <c r="D3439" s="460"/>
      <c r="E3439" s="878" t="s">
        <v>1909</v>
      </c>
      <c r="F3439" s="881" t="s">
        <v>2891</v>
      </c>
      <c r="G3439" s="731" t="s">
        <v>5394</v>
      </c>
      <c r="H3439" s="1083">
        <v>42370</v>
      </c>
      <c r="I3439" s="1084">
        <v>42480</v>
      </c>
      <c r="J3439" s="957">
        <v>-89.33</v>
      </c>
    </row>
    <row r="3440" spans="1:10" s="852" customFormat="1" ht="28.5" outlineLevel="2">
      <c r="A3440" s="815" t="s">
        <v>2279</v>
      </c>
      <c r="B3440" s="816" t="s">
        <v>7864</v>
      </c>
      <c r="C3440" s="729" t="s">
        <v>826</v>
      </c>
      <c r="D3440" s="460"/>
      <c r="E3440" s="878" t="s">
        <v>1909</v>
      </c>
      <c r="F3440" s="881" t="s">
        <v>2891</v>
      </c>
      <c r="G3440" s="731" t="s">
        <v>5395</v>
      </c>
      <c r="H3440" s="1083">
        <v>42370</v>
      </c>
      <c r="I3440" s="1084">
        <v>42480</v>
      </c>
      <c r="J3440" s="957">
        <v>89.33</v>
      </c>
    </row>
    <row r="3441" spans="1:10" s="852" customFormat="1" ht="28.5" outlineLevel="2">
      <c r="A3441" s="815" t="s">
        <v>2279</v>
      </c>
      <c r="B3441" s="816" t="s">
        <v>7864</v>
      </c>
      <c r="C3441" s="729" t="s">
        <v>826</v>
      </c>
      <c r="D3441" s="460"/>
      <c r="E3441" s="878" t="s">
        <v>1909</v>
      </c>
      <c r="F3441" s="881" t="s">
        <v>2891</v>
      </c>
      <c r="G3441" s="731" t="s">
        <v>5397</v>
      </c>
      <c r="H3441" s="1083">
        <v>42370</v>
      </c>
      <c r="I3441" s="1084">
        <v>42480</v>
      </c>
      <c r="J3441" s="957">
        <v>89.34</v>
      </c>
    </row>
    <row r="3442" spans="1:10" s="852" customFormat="1" ht="28.5" outlineLevel="2">
      <c r="A3442" s="815" t="s">
        <v>2279</v>
      </c>
      <c r="B3442" s="816" t="s">
        <v>7864</v>
      </c>
      <c r="C3442" s="729" t="s">
        <v>826</v>
      </c>
      <c r="D3442" s="460"/>
      <c r="E3442" s="878" t="s">
        <v>1909</v>
      </c>
      <c r="F3442" s="881" t="s">
        <v>2891</v>
      </c>
      <c r="G3442" s="731" t="s">
        <v>5398</v>
      </c>
      <c r="H3442" s="1083">
        <v>42370</v>
      </c>
      <c r="I3442" s="1084">
        <v>42480</v>
      </c>
      <c r="J3442" s="957">
        <v>89.34</v>
      </c>
    </row>
    <row r="3443" spans="1:10" s="852" customFormat="1" ht="28.5" outlineLevel="2">
      <c r="A3443" s="815" t="s">
        <v>2279</v>
      </c>
      <c r="B3443" s="816" t="s">
        <v>7864</v>
      </c>
      <c r="C3443" s="729" t="s">
        <v>826</v>
      </c>
      <c r="D3443" s="460"/>
      <c r="E3443" s="878" t="s">
        <v>1909</v>
      </c>
      <c r="F3443" s="881" t="s">
        <v>3561</v>
      </c>
      <c r="G3443" s="731" t="s">
        <v>5399</v>
      </c>
      <c r="H3443" s="1083">
        <v>42370</v>
      </c>
      <c r="I3443" s="1084">
        <v>42480</v>
      </c>
      <c r="J3443" s="957">
        <v>-132.22</v>
      </c>
    </row>
    <row r="3444" spans="1:10" s="852" customFormat="1" ht="28.5" outlineLevel="2">
      <c r="A3444" s="815" t="s">
        <v>2279</v>
      </c>
      <c r="B3444" s="816" t="s">
        <v>7864</v>
      </c>
      <c r="C3444" s="729" t="s">
        <v>826</v>
      </c>
      <c r="D3444" s="460"/>
      <c r="E3444" s="878" t="s">
        <v>1909</v>
      </c>
      <c r="F3444" s="881" t="s">
        <v>3561</v>
      </c>
      <c r="G3444" s="731" t="s">
        <v>5400</v>
      </c>
      <c r="H3444" s="1083">
        <v>42370</v>
      </c>
      <c r="I3444" s="1084">
        <v>42480</v>
      </c>
      <c r="J3444" s="957">
        <v>132.21</v>
      </c>
    </row>
    <row r="3445" spans="1:10" s="852" customFormat="1" ht="28.5" outlineLevel="2">
      <c r="A3445" s="815" t="s">
        <v>2279</v>
      </c>
      <c r="B3445" s="816" t="s">
        <v>7864</v>
      </c>
      <c r="C3445" s="729" t="s">
        <v>826</v>
      </c>
      <c r="D3445" s="460"/>
      <c r="E3445" s="878" t="s">
        <v>1909</v>
      </c>
      <c r="F3445" s="881" t="s">
        <v>3561</v>
      </c>
      <c r="G3445" s="731" t="s">
        <v>5401</v>
      </c>
      <c r="H3445" s="1083">
        <v>42370</v>
      </c>
      <c r="I3445" s="1084">
        <v>42480</v>
      </c>
      <c r="J3445" s="957">
        <v>132.22</v>
      </c>
    </row>
    <row r="3446" spans="1:10" s="852" customFormat="1" outlineLevel="1">
      <c r="A3446" s="815"/>
      <c r="B3446" s="816" t="s">
        <v>258</v>
      </c>
      <c r="C3446" s="908" t="s">
        <v>826</v>
      </c>
      <c r="D3446" s="928" t="str">
        <f>VLOOKUP(C3446,$C$3691:$D$3771,2,FALSE)</f>
        <v>TOTAL POUPATEMPO RIO CLARO</v>
      </c>
      <c r="E3446" s="1085"/>
      <c r="F3446" s="929"/>
      <c r="G3446" s="910"/>
      <c r="H3446" s="1086"/>
      <c r="I3446" s="1087"/>
      <c r="J3446" s="930">
        <f>SUBTOTAL(9,J3401:J3445)</f>
        <v>283993.76999999996</v>
      </c>
    </row>
    <row r="3447" spans="1:10" s="852" customFormat="1" outlineLevel="2">
      <c r="A3447" s="815" t="s">
        <v>6434</v>
      </c>
      <c r="B3447" s="816" t="s">
        <v>7863</v>
      </c>
      <c r="C3447" s="729" t="s">
        <v>829</v>
      </c>
      <c r="D3447" s="460"/>
      <c r="E3447" s="878" t="s">
        <v>483</v>
      </c>
      <c r="F3447" s="881" t="s">
        <v>2208</v>
      </c>
      <c r="G3447" s="731" t="str">
        <f>"16975"</f>
        <v>16975</v>
      </c>
      <c r="H3447" s="1083">
        <v>42401</v>
      </c>
      <c r="I3447" s="1084">
        <v>42473</v>
      </c>
      <c r="J3447" s="957">
        <v>42498.28</v>
      </c>
    </row>
    <row r="3448" spans="1:10" s="852" customFormat="1" outlineLevel="2">
      <c r="A3448" s="815" t="s">
        <v>5943</v>
      </c>
      <c r="B3448" s="816" t="s">
        <v>7864</v>
      </c>
      <c r="C3448" s="729" t="s">
        <v>829</v>
      </c>
      <c r="D3448" s="460"/>
      <c r="E3448" s="878" t="s">
        <v>6470</v>
      </c>
      <c r="F3448" s="881" t="s">
        <v>434</v>
      </c>
      <c r="G3448" s="731" t="str">
        <f>"2645"</f>
        <v>2645</v>
      </c>
      <c r="H3448" s="1083">
        <v>42370</v>
      </c>
      <c r="I3448" s="1084">
        <v>42478</v>
      </c>
      <c r="J3448" s="957">
        <v>5414.06</v>
      </c>
    </row>
    <row r="3449" spans="1:10" s="852" customFormat="1" outlineLevel="2">
      <c r="A3449" s="815" t="s">
        <v>5943</v>
      </c>
      <c r="B3449" s="816" t="s">
        <v>7864</v>
      </c>
      <c r="C3449" s="729" t="s">
        <v>829</v>
      </c>
      <c r="D3449" s="460"/>
      <c r="E3449" s="878" t="s">
        <v>6470</v>
      </c>
      <c r="F3449" s="881" t="s">
        <v>434</v>
      </c>
      <c r="G3449" s="731" t="str">
        <f>"2645"</f>
        <v>2645</v>
      </c>
      <c r="H3449" s="1083">
        <v>42370</v>
      </c>
      <c r="I3449" s="1084">
        <v>42478</v>
      </c>
      <c r="J3449" s="957">
        <v>-5414.06</v>
      </c>
    </row>
    <row r="3450" spans="1:10" s="852" customFormat="1" outlineLevel="2">
      <c r="A3450" s="815" t="s">
        <v>5943</v>
      </c>
      <c r="B3450" s="816" t="s">
        <v>7864</v>
      </c>
      <c r="C3450" s="729" t="s">
        <v>829</v>
      </c>
      <c r="D3450" s="460"/>
      <c r="E3450" s="878" t="s">
        <v>6470</v>
      </c>
      <c r="F3450" s="881" t="s">
        <v>434</v>
      </c>
      <c r="G3450" s="731" t="str">
        <f>"2645"</f>
        <v>2645</v>
      </c>
      <c r="H3450" s="1083">
        <v>42370</v>
      </c>
      <c r="I3450" s="1084">
        <v>42478</v>
      </c>
      <c r="J3450" s="957">
        <v>5414.06</v>
      </c>
    </row>
    <row r="3451" spans="1:10" s="852" customFormat="1" outlineLevel="2">
      <c r="A3451" s="815" t="s">
        <v>5943</v>
      </c>
      <c r="B3451" s="816" t="s">
        <v>7864</v>
      </c>
      <c r="C3451" s="729" t="s">
        <v>829</v>
      </c>
      <c r="D3451" s="460"/>
      <c r="E3451" s="878" t="s">
        <v>6470</v>
      </c>
      <c r="F3451" s="881" t="s">
        <v>434</v>
      </c>
      <c r="G3451" s="731" t="str">
        <f>"2645"</f>
        <v>2645</v>
      </c>
      <c r="H3451" s="1083">
        <v>42370</v>
      </c>
      <c r="I3451" s="1084">
        <v>42478</v>
      </c>
      <c r="J3451" s="957">
        <v>5414.06</v>
      </c>
    </row>
    <row r="3452" spans="1:10" s="852" customFormat="1" outlineLevel="2">
      <c r="A3452" s="815" t="s">
        <v>5943</v>
      </c>
      <c r="B3452" s="816" t="s">
        <v>7864</v>
      </c>
      <c r="C3452" s="729" t="s">
        <v>829</v>
      </c>
      <c r="D3452" s="460"/>
      <c r="E3452" s="878" t="s">
        <v>6470</v>
      </c>
      <c r="F3452" s="881" t="s">
        <v>434</v>
      </c>
      <c r="G3452" s="731" t="str">
        <f>"2645"</f>
        <v>2645</v>
      </c>
      <c r="H3452" s="1083">
        <v>42370</v>
      </c>
      <c r="I3452" s="1084">
        <v>42478</v>
      </c>
      <c r="J3452" s="957">
        <v>-5414.06</v>
      </c>
    </row>
    <row r="3453" spans="1:10" s="852" customFormat="1" outlineLevel="2">
      <c r="A3453" s="815" t="s">
        <v>2219</v>
      </c>
      <c r="B3453" s="816" t="s">
        <v>7865</v>
      </c>
      <c r="C3453" s="729" t="s">
        <v>829</v>
      </c>
      <c r="D3453" s="460"/>
      <c r="E3453" s="878" t="s">
        <v>2336</v>
      </c>
      <c r="F3453" s="881" t="s">
        <v>3754</v>
      </c>
      <c r="G3453" s="731" t="s">
        <v>5406</v>
      </c>
      <c r="H3453" s="1083">
        <v>42401</v>
      </c>
      <c r="I3453" s="1084">
        <v>42480</v>
      </c>
      <c r="J3453" s="957">
        <v>49614.58</v>
      </c>
    </row>
    <row r="3454" spans="1:10" s="852" customFormat="1" outlineLevel="2">
      <c r="A3454" s="815" t="s">
        <v>832</v>
      </c>
      <c r="B3454" s="816" t="s">
        <v>7863</v>
      </c>
      <c r="C3454" s="729" t="s">
        <v>829</v>
      </c>
      <c r="D3454" s="460"/>
      <c r="E3454" s="878" t="s">
        <v>2336</v>
      </c>
      <c r="F3454" s="881" t="s">
        <v>3860</v>
      </c>
      <c r="G3454" s="731" t="s">
        <v>5407</v>
      </c>
      <c r="H3454" s="1083">
        <v>42401</v>
      </c>
      <c r="I3454" s="1084">
        <v>42480</v>
      </c>
      <c r="J3454" s="957">
        <v>5746.54</v>
      </c>
    </row>
    <row r="3455" spans="1:10" s="852" customFormat="1" outlineLevel="2">
      <c r="A3455" s="815" t="s">
        <v>831</v>
      </c>
      <c r="B3455" s="816" t="s">
        <v>7864</v>
      </c>
      <c r="C3455" s="729" t="s">
        <v>829</v>
      </c>
      <c r="D3455" s="460"/>
      <c r="E3455" s="878" t="s">
        <v>2336</v>
      </c>
      <c r="F3455" s="881" t="s">
        <v>3907</v>
      </c>
      <c r="G3455" s="731" t="s">
        <v>5408</v>
      </c>
      <c r="H3455" s="1083">
        <v>42401</v>
      </c>
      <c r="I3455" s="1084">
        <v>42480</v>
      </c>
      <c r="J3455" s="957">
        <v>732.08</v>
      </c>
    </row>
    <row r="3456" spans="1:10" s="852" customFormat="1" outlineLevel="2">
      <c r="A3456" s="815" t="s">
        <v>831</v>
      </c>
      <c r="B3456" s="816" t="s">
        <v>7864</v>
      </c>
      <c r="C3456" s="729" t="s">
        <v>829</v>
      </c>
      <c r="D3456" s="460"/>
      <c r="E3456" s="878" t="s">
        <v>2336</v>
      </c>
      <c r="F3456" s="881" t="s">
        <v>2814</v>
      </c>
      <c r="G3456" s="731" t="s">
        <v>5404</v>
      </c>
      <c r="H3456" s="1083">
        <v>42401</v>
      </c>
      <c r="I3456" s="1084">
        <v>42480</v>
      </c>
      <c r="J3456" s="957">
        <v>481.63</v>
      </c>
    </row>
    <row r="3457" spans="1:10" s="852" customFormat="1" outlineLevel="2">
      <c r="A3457" s="815" t="s">
        <v>831</v>
      </c>
      <c r="B3457" s="816" t="s">
        <v>7864</v>
      </c>
      <c r="C3457" s="729" t="s">
        <v>829</v>
      </c>
      <c r="D3457" s="460"/>
      <c r="E3457" s="878" t="s">
        <v>2336</v>
      </c>
      <c r="F3457" s="881" t="s">
        <v>3522</v>
      </c>
      <c r="G3457" s="731" t="s">
        <v>5405</v>
      </c>
      <c r="H3457" s="1083">
        <v>42401</v>
      </c>
      <c r="I3457" s="1084">
        <v>42480</v>
      </c>
      <c r="J3457" s="957">
        <v>712.81</v>
      </c>
    </row>
    <row r="3458" spans="1:10" s="852" customFormat="1" outlineLevel="2">
      <c r="A3458" s="815" t="s">
        <v>5943</v>
      </c>
      <c r="B3458" s="816" t="s">
        <v>7864</v>
      </c>
      <c r="C3458" s="729" t="s">
        <v>829</v>
      </c>
      <c r="D3458" s="460"/>
      <c r="E3458" s="878" t="s">
        <v>2717</v>
      </c>
      <c r="F3458" s="881" t="s">
        <v>434</v>
      </c>
      <c r="G3458" s="731" t="str">
        <f>"3562"</f>
        <v>3562</v>
      </c>
      <c r="H3458" s="1083">
        <v>42401</v>
      </c>
      <c r="I3458" s="1084">
        <v>42467</v>
      </c>
      <c r="J3458" s="957">
        <v>3561.89</v>
      </c>
    </row>
    <row r="3459" spans="1:10" s="852" customFormat="1" outlineLevel="2">
      <c r="A3459" s="815" t="s">
        <v>5943</v>
      </c>
      <c r="B3459" s="816" t="s">
        <v>7864</v>
      </c>
      <c r="C3459" s="729" t="s">
        <v>829</v>
      </c>
      <c r="D3459" s="460"/>
      <c r="E3459" s="878" t="s">
        <v>409</v>
      </c>
      <c r="F3459" s="881" t="s">
        <v>434</v>
      </c>
      <c r="G3459" s="731" t="str">
        <f>"6705"</f>
        <v>6705</v>
      </c>
      <c r="H3459" s="1083">
        <v>42401</v>
      </c>
      <c r="I3459" s="1084">
        <v>42475</v>
      </c>
      <c r="J3459" s="957">
        <v>5271.59</v>
      </c>
    </row>
    <row r="3460" spans="1:10" s="852" customFormat="1" outlineLevel="2">
      <c r="A3460" s="815" t="s">
        <v>831</v>
      </c>
      <c r="B3460" s="816" t="s">
        <v>7864</v>
      </c>
      <c r="C3460" s="729" t="s">
        <v>829</v>
      </c>
      <c r="D3460" s="460"/>
      <c r="E3460" s="878" t="s">
        <v>2282</v>
      </c>
      <c r="F3460" s="881" t="s">
        <v>2816</v>
      </c>
      <c r="G3460" s="731" t="s">
        <v>5409</v>
      </c>
      <c r="H3460" s="1083">
        <v>42401</v>
      </c>
      <c r="I3460" s="1084">
        <v>42471</v>
      </c>
      <c r="J3460" s="957">
        <v>87.57</v>
      </c>
    </row>
    <row r="3461" spans="1:10" s="852" customFormat="1" outlineLevel="2">
      <c r="A3461" s="815" t="s">
        <v>831</v>
      </c>
      <c r="B3461" s="816" t="s">
        <v>7864</v>
      </c>
      <c r="C3461" s="729" t="s">
        <v>829</v>
      </c>
      <c r="D3461" s="460"/>
      <c r="E3461" s="878" t="s">
        <v>2282</v>
      </c>
      <c r="F3461" s="881" t="s">
        <v>3524</v>
      </c>
      <c r="G3461" s="731" t="s">
        <v>5410</v>
      </c>
      <c r="H3461" s="1083">
        <v>42401</v>
      </c>
      <c r="I3461" s="1084">
        <v>42471</v>
      </c>
      <c r="J3461" s="957">
        <v>129.6</v>
      </c>
    </row>
    <row r="3462" spans="1:10" s="852" customFormat="1" outlineLevel="2">
      <c r="A3462" s="815" t="s">
        <v>2219</v>
      </c>
      <c r="B3462" s="816" t="s">
        <v>7865</v>
      </c>
      <c r="C3462" s="729" t="s">
        <v>829</v>
      </c>
      <c r="D3462" s="460"/>
      <c r="E3462" s="878" t="s">
        <v>2282</v>
      </c>
      <c r="F3462" s="881" t="s">
        <v>3755</v>
      </c>
      <c r="G3462" s="731" t="s">
        <v>5411</v>
      </c>
      <c r="H3462" s="1083">
        <v>42401</v>
      </c>
      <c r="I3462" s="1084">
        <v>42471</v>
      </c>
      <c r="J3462" s="957">
        <f>9020.83+1.11</f>
        <v>9021.94</v>
      </c>
    </row>
    <row r="3463" spans="1:10" s="852" customFormat="1" outlineLevel="2">
      <c r="A3463" s="815" t="s">
        <v>832</v>
      </c>
      <c r="B3463" s="816" t="s">
        <v>7863</v>
      </c>
      <c r="C3463" s="729" t="s">
        <v>829</v>
      </c>
      <c r="D3463" s="460"/>
      <c r="E3463" s="878" t="s">
        <v>2282</v>
      </c>
      <c r="F3463" s="881" t="s">
        <v>3862</v>
      </c>
      <c r="G3463" s="731" t="s">
        <v>5412</v>
      </c>
      <c r="H3463" s="1083">
        <v>42401</v>
      </c>
      <c r="I3463" s="1084">
        <v>42471</v>
      </c>
      <c r="J3463" s="957">
        <v>1044.83</v>
      </c>
    </row>
    <row r="3464" spans="1:10" s="852" customFormat="1" outlineLevel="2">
      <c r="A3464" s="815" t="s">
        <v>831</v>
      </c>
      <c r="B3464" s="816" t="s">
        <v>7864</v>
      </c>
      <c r="C3464" s="729" t="s">
        <v>829</v>
      </c>
      <c r="D3464" s="460"/>
      <c r="E3464" s="878" t="s">
        <v>2282</v>
      </c>
      <c r="F3464" s="881" t="s">
        <v>3909</v>
      </c>
      <c r="G3464" s="731" t="s">
        <v>5414</v>
      </c>
      <c r="H3464" s="1083">
        <v>42401</v>
      </c>
      <c r="I3464" s="1084">
        <v>42471</v>
      </c>
      <c r="J3464" s="957">
        <v>133.11000000000001</v>
      </c>
    </row>
    <row r="3465" spans="1:10" s="852" customFormat="1" outlineLevel="2">
      <c r="A3465" s="815" t="s">
        <v>983</v>
      </c>
      <c r="B3465" s="816" t="s">
        <v>7866</v>
      </c>
      <c r="C3465" s="729" t="s">
        <v>829</v>
      </c>
      <c r="D3465" s="460"/>
      <c r="E3465" s="878" t="s">
        <v>2282</v>
      </c>
      <c r="F3465" s="881" t="s">
        <v>3974</v>
      </c>
      <c r="G3465" s="731" t="s">
        <v>2779</v>
      </c>
      <c r="H3465" s="1083">
        <v>42401</v>
      </c>
      <c r="I3465" s="1084">
        <v>42471</v>
      </c>
      <c r="J3465" s="957">
        <v>1033.24</v>
      </c>
    </row>
    <row r="3466" spans="1:10" s="852" customFormat="1" outlineLevel="2">
      <c r="A3466" s="815" t="s">
        <v>983</v>
      </c>
      <c r="B3466" s="816" t="s">
        <v>7866</v>
      </c>
      <c r="C3466" s="729" t="s">
        <v>829</v>
      </c>
      <c r="D3466" s="460"/>
      <c r="E3466" s="878" t="s">
        <v>2282</v>
      </c>
      <c r="F3466" s="881" t="s">
        <v>4081</v>
      </c>
      <c r="G3466" s="731" t="s">
        <v>2781</v>
      </c>
      <c r="H3466" s="1083">
        <v>42401</v>
      </c>
      <c r="I3466" s="1084">
        <v>42471</v>
      </c>
      <c r="J3466" s="957">
        <v>33.04</v>
      </c>
    </row>
    <row r="3467" spans="1:10" s="852" customFormat="1" outlineLevel="2">
      <c r="A3467" s="815" t="s">
        <v>983</v>
      </c>
      <c r="B3467" s="816" t="s">
        <v>7866</v>
      </c>
      <c r="C3467" s="729" t="s">
        <v>829</v>
      </c>
      <c r="D3467" s="460"/>
      <c r="E3467" s="878" t="s">
        <v>2282</v>
      </c>
      <c r="F3467" s="881" t="s">
        <v>4165</v>
      </c>
      <c r="G3467" s="731" t="s">
        <v>2782</v>
      </c>
      <c r="H3467" s="1083">
        <v>42401</v>
      </c>
      <c r="I3467" s="1084">
        <v>42471</v>
      </c>
      <c r="J3467" s="957">
        <v>389.83</v>
      </c>
    </row>
    <row r="3468" spans="1:10" s="852" customFormat="1" outlineLevel="2">
      <c r="A3468" s="815" t="s">
        <v>2219</v>
      </c>
      <c r="B3468" s="816" t="s">
        <v>7865</v>
      </c>
      <c r="C3468" s="729" t="s">
        <v>829</v>
      </c>
      <c r="D3468" s="460"/>
      <c r="E3468" s="878" t="s">
        <v>1909</v>
      </c>
      <c r="F3468" s="881" t="s">
        <v>3753</v>
      </c>
      <c r="G3468" s="731" t="s">
        <v>5431</v>
      </c>
      <c r="H3468" s="1083">
        <v>42401</v>
      </c>
      <c r="I3468" s="1084">
        <v>42480</v>
      </c>
      <c r="J3468" s="957">
        <v>6765.62</v>
      </c>
    </row>
    <row r="3469" spans="1:10" s="852" customFormat="1" outlineLevel="2">
      <c r="A3469" s="815" t="s">
        <v>983</v>
      </c>
      <c r="B3469" s="816" t="s">
        <v>7866</v>
      </c>
      <c r="C3469" s="729" t="s">
        <v>829</v>
      </c>
      <c r="D3469" s="460"/>
      <c r="E3469" s="878" t="s">
        <v>1909</v>
      </c>
      <c r="F3469" s="881" t="s">
        <v>3935</v>
      </c>
      <c r="G3469" s="731" t="s">
        <v>2817</v>
      </c>
      <c r="H3469" s="1083">
        <v>42401</v>
      </c>
      <c r="I3469" s="1084">
        <v>42480</v>
      </c>
      <c r="J3469" s="957">
        <v>309.97000000000003</v>
      </c>
    </row>
    <row r="3470" spans="1:10" s="852" customFormat="1" outlineLevel="2">
      <c r="A3470" s="815" t="s">
        <v>983</v>
      </c>
      <c r="B3470" s="816" t="s">
        <v>7866</v>
      </c>
      <c r="C3470" s="729" t="s">
        <v>829</v>
      </c>
      <c r="D3470" s="460"/>
      <c r="E3470" s="878" t="s">
        <v>1909</v>
      </c>
      <c r="F3470" s="881" t="s">
        <v>4027</v>
      </c>
      <c r="G3470" s="731" t="s">
        <v>2819</v>
      </c>
      <c r="H3470" s="1083">
        <v>42401</v>
      </c>
      <c r="I3470" s="1084">
        <v>42480</v>
      </c>
      <c r="J3470" s="957">
        <v>9.91</v>
      </c>
    </row>
    <row r="3471" spans="1:10" s="852" customFormat="1" outlineLevel="2">
      <c r="A3471" s="815" t="s">
        <v>983</v>
      </c>
      <c r="B3471" s="816" t="s">
        <v>7866</v>
      </c>
      <c r="C3471" s="729" t="s">
        <v>829</v>
      </c>
      <c r="D3471" s="460"/>
      <c r="E3471" s="878" t="s">
        <v>1909</v>
      </c>
      <c r="F3471" s="881" t="s">
        <v>4129</v>
      </c>
      <c r="G3471" s="731" t="s">
        <v>2821</v>
      </c>
      <c r="H3471" s="1083">
        <v>42401</v>
      </c>
      <c r="I3471" s="1084">
        <v>42480</v>
      </c>
      <c r="J3471" s="957">
        <v>116.95</v>
      </c>
    </row>
    <row r="3472" spans="1:10" s="852" customFormat="1" outlineLevel="2">
      <c r="A3472" s="815" t="s">
        <v>832</v>
      </c>
      <c r="B3472" s="816" t="s">
        <v>7863</v>
      </c>
      <c r="C3472" s="729" t="s">
        <v>829</v>
      </c>
      <c r="D3472" s="460"/>
      <c r="E3472" s="878" t="s">
        <v>1909</v>
      </c>
      <c r="F3472" s="881" t="s">
        <v>3858</v>
      </c>
      <c r="G3472" s="731" t="s">
        <v>5434</v>
      </c>
      <c r="H3472" s="1083">
        <v>42401</v>
      </c>
      <c r="I3472" s="1084">
        <v>42480</v>
      </c>
      <c r="J3472" s="957">
        <v>522.41</v>
      </c>
    </row>
    <row r="3473" spans="1:10" s="852" customFormat="1" outlineLevel="2">
      <c r="A3473" s="815" t="s">
        <v>831</v>
      </c>
      <c r="B3473" s="816" t="s">
        <v>7864</v>
      </c>
      <c r="C3473" s="729" t="s">
        <v>829</v>
      </c>
      <c r="D3473" s="460"/>
      <c r="E3473" s="878" t="s">
        <v>1909</v>
      </c>
      <c r="F3473" s="881" t="s">
        <v>3906</v>
      </c>
      <c r="G3473" s="731" t="s">
        <v>5436</v>
      </c>
      <c r="H3473" s="1083">
        <v>42401</v>
      </c>
      <c r="I3473" s="1084">
        <v>42480</v>
      </c>
      <c r="J3473" s="957">
        <v>66.55</v>
      </c>
    </row>
    <row r="3474" spans="1:10" s="852" customFormat="1" outlineLevel="2">
      <c r="A3474" s="815" t="s">
        <v>831</v>
      </c>
      <c r="B3474" s="816" t="s">
        <v>7864</v>
      </c>
      <c r="C3474" s="729" t="s">
        <v>829</v>
      </c>
      <c r="D3474" s="460"/>
      <c r="E3474" s="878" t="s">
        <v>1909</v>
      </c>
      <c r="F3474" s="881" t="s">
        <v>2812</v>
      </c>
      <c r="G3474" s="731" t="s">
        <v>5423</v>
      </c>
      <c r="H3474" s="1083">
        <v>42401</v>
      </c>
      <c r="I3474" s="1084">
        <v>42480</v>
      </c>
      <c r="J3474" s="957">
        <v>43.78</v>
      </c>
    </row>
    <row r="3475" spans="1:10" s="852" customFormat="1" outlineLevel="2">
      <c r="A3475" s="815" t="s">
        <v>831</v>
      </c>
      <c r="B3475" s="816" t="s">
        <v>7864</v>
      </c>
      <c r="C3475" s="729" t="s">
        <v>829</v>
      </c>
      <c r="D3475" s="460"/>
      <c r="E3475" s="878" t="s">
        <v>1909</v>
      </c>
      <c r="F3475" s="881" t="s">
        <v>3521</v>
      </c>
      <c r="G3475" s="731" t="s">
        <v>5427</v>
      </c>
      <c r="H3475" s="1083">
        <v>42401</v>
      </c>
      <c r="I3475" s="1084">
        <v>42480</v>
      </c>
      <c r="J3475" s="957">
        <v>64.8</v>
      </c>
    </row>
    <row r="3476" spans="1:10" s="852" customFormat="1" ht="28.5" outlineLevel="2">
      <c r="A3476" s="815" t="s">
        <v>2219</v>
      </c>
      <c r="B3476" s="816" t="s">
        <v>7865</v>
      </c>
      <c r="C3476" s="729" t="s">
        <v>829</v>
      </c>
      <c r="D3476" s="460"/>
      <c r="E3476" s="878" t="s">
        <v>1909</v>
      </c>
      <c r="F3476" s="881" t="s">
        <v>6409</v>
      </c>
      <c r="G3476" s="731" t="s">
        <v>5417</v>
      </c>
      <c r="H3476" s="1083">
        <v>42339</v>
      </c>
      <c r="I3476" s="1084">
        <v>42480</v>
      </c>
      <c r="J3476" s="957">
        <v>16079.64</v>
      </c>
    </row>
    <row r="3477" spans="1:10" s="852" customFormat="1" ht="28.5" outlineLevel="2">
      <c r="A3477" s="815" t="s">
        <v>2219</v>
      </c>
      <c r="B3477" s="816" t="s">
        <v>7865</v>
      </c>
      <c r="C3477" s="729" t="s">
        <v>829</v>
      </c>
      <c r="D3477" s="460"/>
      <c r="E3477" s="878" t="s">
        <v>1909</v>
      </c>
      <c r="F3477" s="881" t="s">
        <v>4613</v>
      </c>
      <c r="G3477" s="731" t="s">
        <v>5437</v>
      </c>
      <c r="H3477" s="1083">
        <v>42401</v>
      </c>
      <c r="I3477" s="1084">
        <v>42480</v>
      </c>
      <c r="J3477" s="957">
        <v>20973.439999999999</v>
      </c>
    </row>
    <row r="3478" spans="1:10" s="852" customFormat="1" ht="28.5" outlineLevel="2">
      <c r="A3478" s="815" t="s">
        <v>983</v>
      </c>
      <c r="B3478" s="816" t="s">
        <v>7866</v>
      </c>
      <c r="C3478" s="729" t="s">
        <v>829</v>
      </c>
      <c r="D3478" s="460"/>
      <c r="E3478" s="878" t="s">
        <v>1909</v>
      </c>
      <c r="F3478" s="881" t="s">
        <v>4956</v>
      </c>
      <c r="G3478" s="731" t="s">
        <v>2833</v>
      </c>
      <c r="H3478" s="1083">
        <v>42401</v>
      </c>
      <c r="I3478" s="1084">
        <v>42480</v>
      </c>
      <c r="J3478" s="957">
        <v>960.92</v>
      </c>
    </row>
    <row r="3479" spans="1:10" s="852" customFormat="1" ht="28.5" outlineLevel="2">
      <c r="A3479" s="815" t="s">
        <v>983</v>
      </c>
      <c r="B3479" s="816" t="s">
        <v>7866</v>
      </c>
      <c r="C3479" s="729" t="s">
        <v>829</v>
      </c>
      <c r="D3479" s="460"/>
      <c r="E3479" s="878" t="s">
        <v>1909</v>
      </c>
      <c r="F3479" s="881" t="s">
        <v>4903</v>
      </c>
      <c r="G3479" s="731" t="s">
        <v>2832</v>
      </c>
      <c r="H3479" s="1083">
        <v>42401</v>
      </c>
      <c r="I3479" s="1084">
        <v>42480</v>
      </c>
      <c r="J3479" s="957">
        <v>30.72</v>
      </c>
    </row>
    <row r="3480" spans="1:10" s="852" customFormat="1" ht="28.5" outlineLevel="2">
      <c r="A3480" s="815" t="s">
        <v>983</v>
      </c>
      <c r="B3480" s="816" t="s">
        <v>7866</v>
      </c>
      <c r="C3480" s="729" t="s">
        <v>829</v>
      </c>
      <c r="D3480" s="460"/>
      <c r="E3480" s="878" t="s">
        <v>1909</v>
      </c>
      <c r="F3480" s="881" t="s">
        <v>4853</v>
      </c>
      <c r="G3480" s="731" t="s">
        <v>2831</v>
      </c>
      <c r="H3480" s="1083">
        <v>42401</v>
      </c>
      <c r="I3480" s="1084">
        <v>42480</v>
      </c>
      <c r="J3480" s="957">
        <v>362.55</v>
      </c>
    </row>
    <row r="3481" spans="1:10" s="852" customFormat="1" ht="28.5" outlineLevel="2">
      <c r="A3481" s="815" t="s">
        <v>832</v>
      </c>
      <c r="B3481" s="816" t="s">
        <v>7863</v>
      </c>
      <c r="C3481" s="729" t="s">
        <v>829</v>
      </c>
      <c r="D3481" s="460"/>
      <c r="E3481" s="878" t="s">
        <v>1909</v>
      </c>
      <c r="F3481" s="881" t="s">
        <v>6410</v>
      </c>
      <c r="G3481" s="731" t="s">
        <v>5418</v>
      </c>
      <c r="H3481" s="1083">
        <v>42370</v>
      </c>
      <c r="I3481" s="1084">
        <v>42480</v>
      </c>
      <c r="J3481" s="957">
        <v>2588.4299999999998</v>
      </c>
    </row>
    <row r="3482" spans="1:10" s="852" customFormat="1" ht="28.5" outlineLevel="2">
      <c r="A3482" s="815" t="s">
        <v>832</v>
      </c>
      <c r="B3482" s="816" t="s">
        <v>7863</v>
      </c>
      <c r="C3482" s="729" t="s">
        <v>829</v>
      </c>
      <c r="D3482" s="460"/>
      <c r="E3482" s="878" t="s">
        <v>1909</v>
      </c>
      <c r="F3482" s="881" t="s">
        <v>6410</v>
      </c>
      <c r="G3482" s="731" t="s">
        <v>5419</v>
      </c>
      <c r="H3482" s="1083">
        <v>42370</v>
      </c>
      <c r="I3482" s="1084">
        <v>42480</v>
      </c>
      <c r="J3482" s="957">
        <v>2588.4299999999998</v>
      </c>
    </row>
    <row r="3483" spans="1:10" s="852" customFormat="1" ht="28.5" outlineLevel="2">
      <c r="A3483" s="815" t="s">
        <v>832</v>
      </c>
      <c r="B3483" s="816" t="s">
        <v>7863</v>
      </c>
      <c r="C3483" s="729" t="s">
        <v>829</v>
      </c>
      <c r="D3483" s="460"/>
      <c r="E3483" s="878" t="s">
        <v>1909</v>
      </c>
      <c r="F3483" s="881" t="s">
        <v>6410</v>
      </c>
      <c r="G3483" s="731" t="s">
        <v>5420</v>
      </c>
      <c r="H3483" s="1083">
        <v>42370</v>
      </c>
      <c r="I3483" s="1084">
        <v>42480</v>
      </c>
      <c r="J3483" s="957">
        <v>-2588.4299999999998</v>
      </c>
    </row>
    <row r="3484" spans="1:10" s="852" customFormat="1" ht="28.5" outlineLevel="2">
      <c r="A3484" s="815" t="s">
        <v>831</v>
      </c>
      <c r="B3484" s="816" t="s">
        <v>7864</v>
      </c>
      <c r="C3484" s="729" t="s">
        <v>829</v>
      </c>
      <c r="D3484" s="460"/>
      <c r="E3484" s="878" t="s">
        <v>1909</v>
      </c>
      <c r="F3484" s="881" t="s">
        <v>2973</v>
      </c>
      <c r="G3484" s="731" t="s">
        <v>5421</v>
      </c>
      <c r="H3484" s="1083">
        <v>42370</v>
      </c>
      <c r="I3484" s="1084">
        <v>42480</v>
      </c>
      <c r="J3484" s="957">
        <v>-203.6</v>
      </c>
    </row>
    <row r="3485" spans="1:10" s="852" customFormat="1" ht="28.5" outlineLevel="2">
      <c r="A3485" s="815" t="s">
        <v>831</v>
      </c>
      <c r="B3485" s="816" t="s">
        <v>7864</v>
      </c>
      <c r="C3485" s="729" t="s">
        <v>829</v>
      </c>
      <c r="D3485" s="460"/>
      <c r="E3485" s="878" t="s">
        <v>1909</v>
      </c>
      <c r="F3485" s="881" t="s">
        <v>2973</v>
      </c>
      <c r="G3485" s="731" t="s">
        <v>5422</v>
      </c>
      <c r="H3485" s="1083">
        <v>42370</v>
      </c>
      <c r="I3485" s="1084">
        <v>42480</v>
      </c>
      <c r="J3485" s="957">
        <v>-203.6</v>
      </c>
    </row>
    <row r="3486" spans="1:10" s="852" customFormat="1" ht="28.5" outlineLevel="2">
      <c r="A3486" s="815" t="s">
        <v>831</v>
      </c>
      <c r="B3486" s="816" t="s">
        <v>7864</v>
      </c>
      <c r="C3486" s="729" t="s">
        <v>829</v>
      </c>
      <c r="D3486" s="460"/>
      <c r="E3486" s="878" t="s">
        <v>1909</v>
      </c>
      <c r="F3486" s="881" t="s">
        <v>2973</v>
      </c>
      <c r="G3486" s="731" t="s">
        <v>5424</v>
      </c>
      <c r="H3486" s="1083">
        <v>42370</v>
      </c>
      <c r="I3486" s="1084">
        <v>42480</v>
      </c>
      <c r="J3486" s="957">
        <v>203.6</v>
      </c>
    </row>
    <row r="3487" spans="1:10" s="852" customFormat="1" ht="28.5" outlineLevel="2">
      <c r="A3487" s="815" t="s">
        <v>831</v>
      </c>
      <c r="B3487" s="816" t="s">
        <v>7864</v>
      </c>
      <c r="C3487" s="729" t="s">
        <v>829</v>
      </c>
      <c r="D3487" s="460"/>
      <c r="E3487" s="878" t="s">
        <v>1909</v>
      </c>
      <c r="F3487" s="881" t="s">
        <v>2973</v>
      </c>
      <c r="G3487" s="731" t="s">
        <v>5425</v>
      </c>
      <c r="H3487" s="1083">
        <v>42370</v>
      </c>
      <c r="I3487" s="1084">
        <v>42480</v>
      </c>
      <c r="J3487" s="957">
        <v>203.6</v>
      </c>
    </row>
    <row r="3488" spans="1:10" s="852" customFormat="1" ht="28.5" outlineLevel="2">
      <c r="A3488" s="815" t="s">
        <v>831</v>
      </c>
      <c r="B3488" s="816" t="s">
        <v>7864</v>
      </c>
      <c r="C3488" s="729" t="s">
        <v>829</v>
      </c>
      <c r="D3488" s="460"/>
      <c r="E3488" s="878" t="s">
        <v>1909</v>
      </c>
      <c r="F3488" s="881" t="s">
        <v>2973</v>
      </c>
      <c r="G3488" s="731" t="s">
        <v>5426</v>
      </c>
      <c r="H3488" s="1083">
        <v>42370</v>
      </c>
      <c r="I3488" s="1084">
        <v>42480</v>
      </c>
      <c r="J3488" s="957">
        <v>203.6</v>
      </c>
    </row>
    <row r="3489" spans="1:10" s="852" customFormat="1" ht="28.5" outlineLevel="2">
      <c r="A3489" s="815" t="s">
        <v>831</v>
      </c>
      <c r="B3489" s="816" t="s">
        <v>7864</v>
      </c>
      <c r="C3489" s="729" t="s">
        <v>829</v>
      </c>
      <c r="D3489" s="460"/>
      <c r="E3489" s="878" t="s">
        <v>1909</v>
      </c>
      <c r="F3489" s="881" t="s">
        <v>3567</v>
      </c>
      <c r="G3489" s="731" t="s">
        <v>5428</v>
      </c>
      <c r="H3489" s="1083">
        <v>42370</v>
      </c>
      <c r="I3489" s="1084">
        <v>42480</v>
      </c>
      <c r="J3489" s="957">
        <v>-301.33</v>
      </c>
    </row>
    <row r="3490" spans="1:10" s="852" customFormat="1" ht="28.5" outlineLevel="2">
      <c r="A3490" s="815" t="s">
        <v>831</v>
      </c>
      <c r="B3490" s="816" t="s">
        <v>7864</v>
      </c>
      <c r="C3490" s="729" t="s">
        <v>829</v>
      </c>
      <c r="D3490" s="460"/>
      <c r="E3490" s="878" t="s">
        <v>1909</v>
      </c>
      <c r="F3490" s="881" t="s">
        <v>3567</v>
      </c>
      <c r="G3490" s="731" t="s">
        <v>5430</v>
      </c>
      <c r="H3490" s="1083">
        <v>42370</v>
      </c>
      <c r="I3490" s="1084">
        <v>42480</v>
      </c>
      <c r="J3490" s="957">
        <v>301.33</v>
      </c>
    </row>
    <row r="3491" spans="1:10" s="852" customFormat="1" ht="28.5" outlineLevel="2">
      <c r="A3491" s="815" t="s">
        <v>831</v>
      </c>
      <c r="B3491" s="816" t="s">
        <v>7864</v>
      </c>
      <c r="C3491" s="729" t="s">
        <v>829</v>
      </c>
      <c r="D3491" s="460"/>
      <c r="E3491" s="878" t="s">
        <v>1909</v>
      </c>
      <c r="F3491" s="881" t="s">
        <v>3567</v>
      </c>
      <c r="G3491" s="731" t="s">
        <v>5433</v>
      </c>
      <c r="H3491" s="1083">
        <v>42370</v>
      </c>
      <c r="I3491" s="1084">
        <v>42480</v>
      </c>
      <c r="J3491" s="957">
        <v>301.33</v>
      </c>
    </row>
    <row r="3492" spans="1:10" s="852" customFormat="1" outlineLevel="1">
      <c r="A3492" s="815"/>
      <c r="B3492" s="816" t="s">
        <v>258</v>
      </c>
      <c r="C3492" s="908" t="s">
        <v>829</v>
      </c>
      <c r="D3492" s="928" t="str">
        <f>VLOOKUP(C3492,$C$3691:$D$3771,2,FALSE)</f>
        <v>TOTAL POUPATEMPO CIDADE ADEMAR</v>
      </c>
      <c r="E3492" s="1085"/>
      <c r="F3492" s="929"/>
      <c r="G3492" s="910"/>
      <c r="H3492" s="1086"/>
      <c r="I3492" s="1087"/>
      <c r="J3492" s="930">
        <f>SUBTOTAL(9,J3447:J3491)</f>
        <v>175307.24</v>
      </c>
    </row>
    <row r="3493" spans="1:10" s="852" customFormat="1" ht="28.5" outlineLevel="2">
      <c r="A3493" s="815" t="s">
        <v>2255</v>
      </c>
      <c r="B3493" s="816" t="s">
        <v>7868</v>
      </c>
      <c r="C3493" s="729" t="s">
        <v>833</v>
      </c>
      <c r="D3493" s="460"/>
      <c r="E3493" s="878" t="s">
        <v>1258</v>
      </c>
      <c r="F3493" s="881" t="s">
        <v>1233</v>
      </c>
      <c r="G3493" s="731" t="s">
        <v>5600</v>
      </c>
      <c r="H3493" s="1083">
        <v>42430</v>
      </c>
      <c r="I3493" s="1084">
        <v>42471</v>
      </c>
      <c r="J3493" s="957">
        <v>27000</v>
      </c>
    </row>
    <row r="3494" spans="1:10" s="852" customFormat="1" outlineLevel="2">
      <c r="A3494" s="815" t="s">
        <v>6450</v>
      </c>
      <c r="B3494" s="816" t="s">
        <v>7863</v>
      </c>
      <c r="C3494" s="729" t="s">
        <v>833</v>
      </c>
      <c r="D3494" s="460"/>
      <c r="E3494" s="878" t="s">
        <v>483</v>
      </c>
      <c r="F3494" s="881" t="s">
        <v>2208</v>
      </c>
      <c r="G3494" s="731" t="str">
        <f>"16995"</f>
        <v>16995</v>
      </c>
      <c r="H3494" s="1083">
        <v>42401</v>
      </c>
      <c r="I3494" s="1084">
        <v>42473</v>
      </c>
      <c r="J3494" s="957">
        <v>28126.639999999999</v>
      </c>
    </row>
    <row r="3495" spans="1:10" s="852" customFormat="1" outlineLevel="2">
      <c r="A3495" s="815" t="s">
        <v>5926</v>
      </c>
      <c r="B3495" s="816" t="s">
        <v>7864</v>
      </c>
      <c r="C3495" s="729" t="s">
        <v>833</v>
      </c>
      <c r="D3495" s="460"/>
      <c r="E3495" s="878" t="s">
        <v>6470</v>
      </c>
      <c r="F3495" s="881" t="s">
        <v>434</v>
      </c>
      <c r="G3495" s="731" t="str">
        <f>"2597"</f>
        <v>2597</v>
      </c>
      <c r="H3495" s="1083">
        <v>42370</v>
      </c>
      <c r="I3495" s="1084">
        <v>42478</v>
      </c>
      <c r="J3495" s="957">
        <v>-4118.18</v>
      </c>
    </row>
    <row r="3496" spans="1:10" s="852" customFormat="1" outlineLevel="2">
      <c r="A3496" s="815" t="s">
        <v>5926</v>
      </c>
      <c r="B3496" s="816" t="s">
        <v>7864</v>
      </c>
      <c r="C3496" s="729" t="s">
        <v>833</v>
      </c>
      <c r="D3496" s="460"/>
      <c r="E3496" s="878" t="s">
        <v>6470</v>
      </c>
      <c r="F3496" s="881" t="s">
        <v>434</v>
      </c>
      <c r="G3496" s="731" t="str">
        <f>"2597"</f>
        <v>2597</v>
      </c>
      <c r="H3496" s="1083">
        <v>42370</v>
      </c>
      <c r="I3496" s="1084">
        <v>42478</v>
      </c>
      <c r="J3496" s="957">
        <v>4118.18</v>
      </c>
    </row>
    <row r="3497" spans="1:10" s="852" customFormat="1" outlineLevel="2">
      <c r="A3497" s="815" t="s">
        <v>5926</v>
      </c>
      <c r="B3497" s="816" t="s">
        <v>7864</v>
      </c>
      <c r="C3497" s="729" t="s">
        <v>833</v>
      </c>
      <c r="D3497" s="460"/>
      <c r="E3497" s="878" t="s">
        <v>6470</v>
      </c>
      <c r="F3497" s="881" t="s">
        <v>434</v>
      </c>
      <c r="G3497" s="731" t="str">
        <f>"2597"</f>
        <v>2597</v>
      </c>
      <c r="H3497" s="1083">
        <v>42370</v>
      </c>
      <c r="I3497" s="1084">
        <v>42478</v>
      </c>
      <c r="J3497" s="957">
        <v>4118.18</v>
      </c>
    </row>
    <row r="3498" spans="1:10" s="852" customFormat="1" outlineLevel="2">
      <c r="A3498" s="815" t="s">
        <v>5926</v>
      </c>
      <c r="B3498" s="816" t="s">
        <v>7864</v>
      </c>
      <c r="C3498" s="729" t="s">
        <v>833</v>
      </c>
      <c r="D3498" s="460"/>
      <c r="E3498" s="878" t="s">
        <v>6470</v>
      </c>
      <c r="F3498" s="881" t="s">
        <v>434</v>
      </c>
      <c r="G3498" s="731" t="str">
        <f>"2597"</f>
        <v>2597</v>
      </c>
      <c r="H3498" s="1083">
        <v>42370</v>
      </c>
      <c r="I3498" s="1084">
        <v>42478</v>
      </c>
      <c r="J3498" s="957">
        <v>4118.18</v>
      </c>
    </row>
    <row r="3499" spans="1:10" s="852" customFormat="1" outlineLevel="2">
      <c r="A3499" s="815" t="s">
        <v>5926</v>
      </c>
      <c r="B3499" s="816" t="s">
        <v>7864</v>
      </c>
      <c r="C3499" s="729" t="s">
        <v>833</v>
      </c>
      <c r="D3499" s="460"/>
      <c r="E3499" s="878" t="s">
        <v>6470</v>
      </c>
      <c r="F3499" s="881" t="s">
        <v>434</v>
      </c>
      <c r="G3499" s="731" t="str">
        <f>"2597"</f>
        <v>2597</v>
      </c>
      <c r="H3499" s="1083">
        <v>42370</v>
      </c>
      <c r="I3499" s="1084">
        <v>42478</v>
      </c>
      <c r="J3499" s="957">
        <v>-4118.18</v>
      </c>
    </row>
    <row r="3500" spans="1:10" s="852" customFormat="1" outlineLevel="2">
      <c r="A3500" s="815" t="s">
        <v>836</v>
      </c>
      <c r="B3500" s="816" t="s">
        <v>7863</v>
      </c>
      <c r="C3500" s="729" t="s">
        <v>833</v>
      </c>
      <c r="D3500" s="460"/>
      <c r="E3500" s="878" t="s">
        <v>2336</v>
      </c>
      <c r="F3500" s="881" t="s">
        <v>4434</v>
      </c>
      <c r="G3500" s="731" t="s">
        <v>5442</v>
      </c>
      <c r="H3500" s="1083">
        <v>42401</v>
      </c>
      <c r="I3500" s="1084">
        <v>42480</v>
      </c>
      <c r="J3500" s="957">
        <v>3948.86</v>
      </c>
    </row>
    <row r="3501" spans="1:10" s="852" customFormat="1" outlineLevel="2">
      <c r="A3501" s="815" t="s">
        <v>835</v>
      </c>
      <c r="B3501" s="816" t="s">
        <v>7864</v>
      </c>
      <c r="C3501" s="729" t="s">
        <v>833</v>
      </c>
      <c r="D3501" s="460"/>
      <c r="E3501" s="878" t="s">
        <v>2336</v>
      </c>
      <c r="F3501" s="881" t="s">
        <v>6089</v>
      </c>
      <c r="G3501" s="731" t="s">
        <v>5438</v>
      </c>
      <c r="H3501" s="1083">
        <v>42401</v>
      </c>
      <c r="I3501" s="1084">
        <v>42480</v>
      </c>
      <c r="J3501" s="957">
        <v>578.17999999999995</v>
      </c>
    </row>
    <row r="3502" spans="1:10" s="852" customFormat="1" outlineLevel="2">
      <c r="A3502" s="815" t="s">
        <v>835</v>
      </c>
      <c r="B3502" s="816" t="s">
        <v>7864</v>
      </c>
      <c r="C3502" s="729" t="s">
        <v>833</v>
      </c>
      <c r="D3502" s="460"/>
      <c r="E3502" s="878" t="s">
        <v>2336</v>
      </c>
      <c r="F3502" s="881" t="s">
        <v>3625</v>
      </c>
      <c r="G3502" s="731" t="s">
        <v>5441</v>
      </c>
      <c r="H3502" s="1083">
        <v>42401</v>
      </c>
      <c r="I3502" s="1084">
        <v>42480</v>
      </c>
      <c r="J3502" s="957">
        <v>380.38</v>
      </c>
    </row>
    <row r="3503" spans="1:10" s="852" customFormat="1" outlineLevel="2">
      <c r="A3503" s="815" t="s">
        <v>835</v>
      </c>
      <c r="B3503" s="816" t="s">
        <v>7864</v>
      </c>
      <c r="C3503" s="729" t="s">
        <v>833</v>
      </c>
      <c r="D3503" s="460"/>
      <c r="E3503" s="878" t="s">
        <v>2336</v>
      </c>
      <c r="F3503" s="881" t="s">
        <v>6090</v>
      </c>
      <c r="G3503" s="731" t="s">
        <v>5439</v>
      </c>
      <c r="H3503" s="1083">
        <v>42401</v>
      </c>
      <c r="I3503" s="1084">
        <v>42480</v>
      </c>
      <c r="J3503" s="957">
        <v>562.96</v>
      </c>
    </row>
    <row r="3504" spans="1:10" s="852" customFormat="1" outlineLevel="2">
      <c r="A3504" s="815" t="s">
        <v>2287</v>
      </c>
      <c r="B3504" s="816" t="s">
        <v>7865</v>
      </c>
      <c r="C3504" s="729" t="s">
        <v>833</v>
      </c>
      <c r="D3504" s="460"/>
      <c r="E3504" s="878" t="s">
        <v>2336</v>
      </c>
      <c r="F3504" s="881" t="s">
        <v>2954</v>
      </c>
      <c r="G3504" s="731" t="s">
        <v>5440</v>
      </c>
      <c r="H3504" s="1083">
        <v>42401</v>
      </c>
      <c r="I3504" s="1084">
        <v>42480</v>
      </c>
      <c r="J3504" s="957">
        <v>13542.69</v>
      </c>
    </row>
    <row r="3505" spans="1:10" s="852" customFormat="1" outlineLevel="2">
      <c r="A3505" s="815" t="s">
        <v>5926</v>
      </c>
      <c r="B3505" s="816" t="s">
        <v>7864</v>
      </c>
      <c r="C3505" s="729" t="s">
        <v>833</v>
      </c>
      <c r="D3505" s="460"/>
      <c r="E3505" s="878" t="s">
        <v>2717</v>
      </c>
      <c r="F3505" s="881" t="s">
        <v>434</v>
      </c>
      <c r="G3505" s="731" t="str">
        <f>"3522"</f>
        <v>3522</v>
      </c>
      <c r="H3505" s="1083">
        <v>42401</v>
      </c>
      <c r="I3505" s="1084">
        <v>42467</v>
      </c>
      <c r="J3505" s="957">
        <v>2709.33</v>
      </c>
    </row>
    <row r="3506" spans="1:10" s="852" customFormat="1" outlineLevel="2">
      <c r="A3506" s="815" t="s">
        <v>5926</v>
      </c>
      <c r="B3506" s="816" t="s">
        <v>7864</v>
      </c>
      <c r="C3506" s="729" t="s">
        <v>833</v>
      </c>
      <c r="D3506" s="460"/>
      <c r="E3506" s="878" t="s">
        <v>409</v>
      </c>
      <c r="F3506" s="881" t="s">
        <v>434</v>
      </c>
      <c r="G3506" s="731" t="str">
        <f>"6678"</f>
        <v>6678</v>
      </c>
      <c r="H3506" s="1083">
        <v>42401</v>
      </c>
      <c r="I3506" s="1084">
        <v>42475</v>
      </c>
      <c r="J3506" s="957">
        <v>4009.82</v>
      </c>
    </row>
    <row r="3507" spans="1:10" s="852" customFormat="1" outlineLevel="2">
      <c r="A3507" s="815" t="s">
        <v>988</v>
      </c>
      <c r="B3507" s="816" t="s">
        <v>7866</v>
      </c>
      <c r="C3507" s="729" t="s">
        <v>833</v>
      </c>
      <c r="D3507" s="460"/>
      <c r="E3507" s="878" t="s">
        <v>2282</v>
      </c>
      <c r="F3507" s="881" t="s">
        <v>3974</v>
      </c>
      <c r="G3507" s="731" t="s">
        <v>2779</v>
      </c>
      <c r="H3507" s="1083">
        <v>42401</v>
      </c>
      <c r="I3507" s="1084">
        <v>42471</v>
      </c>
      <c r="J3507" s="957">
        <v>406.14</v>
      </c>
    </row>
    <row r="3508" spans="1:10" s="852" customFormat="1" outlineLevel="2">
      <c r="A3508" s="815" t="s">
        <v>988</v>
      </c>
      <c r="B3508" s="816" t="s">
        <v>7866</v>
      </c>
      <c r="C3508" s="729" t="s">
        <v>833</v>
      </c>
      <c r="D3508" s="460"/>
      <c r="E3508" s="878" t="s">
        <v>2282</v>
      </c>
      <c r="F3508" s="881" t="s">
        <v>4081</v>
      </c>
      <c r="G3508" s="731" t="s">
        <v>2781</v>
      </c>
      <c r="H3508" s="1083">
        <v>42401</v>
      </c>
      <c r="I3508" s="1084">
        <v>42471</v>
      </c>
      <c r="J3508" s="957">
        <v>12.98</v>
      </c>
    </row>
    <row r="3509" spans="1:10" s="852" customFormat="1" outlineLevel="2">
      <c r="A3509" s="815" t="s">
        <v>988</v>
      </c>
      <c r="B3509" s="816" t="s">
        <v>7866</v>
      </c>
      <c r="C3509" s="729" t="s">
        <v>833</v>
      </c>
      <c r="D3509" s="460"/>
      <c r="E3509" s="878" t="s">
        <v>2282</v>
      </c>
      <c r="F3509" s="881" t="s">
        <v>4165</v>
      </c>
      <c r="G3509" s="731" t="s">
        <v>2782</v>
      </c>
      <c r="H3509" s="1083">
        <v>42401</v>
      </c>
      <c r="I3509" s="1084">
        <v>42471</v>
      </c>
      <c r="J3509" s="957">
        <v>153.22999999999999</v>
      </c>
    </row>
    <row r="3510" spans="1:10" s="852" customFormat="1" outlineLevel="2">
      <c r="A3510" s="815" t="s">
        <v>835</v>
      </c>
      <c r="B3510" s="816" t="s">
        <v>7864</v>
      </c>
      <c r="C3510" s="729" t="s">
        <v>833</v>
      </c>
      <c r="D3510" s="460"/>
      <c r="E3510" s="878" t="s">
        <v>2361</v>
      </c>
      <c r="F3510" s="881" t="s">
        <v>6189</v>
      </c>
      <c r="G3510" s="731" t="s">
        <v>5444</v>
      </c>
      <c r="H3510" s="1083">
        <v>42401</v>
      </c>
      <c r="I3510" s="1084">
        <v>42480</v>
      </c>
      <c r="J3510" s="957">
        <v>262.81</v>
      </c>
    </row>
    <row r="3511" spans="1:10" s="852" customFormat="1" outlineLevel="2">
      <c r="A3511" s="815" t="s">
        <v>835</v>
      </c>
      <c r="B3511" s="816" t="s">
        <v>7864</v>
      </c>
      <c r="C3511" s="729" t="s">
        <v>833</v>
      </c>
      <c r="D3511" s="460"/>
      <c r="E3511" s="878" t="s">
        <v>2361</v>
      </c>
      <c r="F3511" s="881" t="s">
        <v>6190</v>
      </c>
      <c r="G3511" s="731" t="s">
        <v>5445</v>
      </c>
      <c r="H3511" s="1083">
        <v>42401</v>
      </c>
      <c r="I3511" s="1084">
        <v>42480</v>
      </c>
      <c r="J3511" s="957">
        <v>255.89</v>
      </c>
    </row>
    <row r="3512" spans="1:10" s="852" customFormat="1" outlineLevel="2">
      <c r="A3512" s="815" t="s">
        <v>2287</v>
      </c>
      <c r="B3512" s="816" t="s">
        <v>7865</v>
      </c>
      <c r="C3512" s="729" t="s">
        <v>833</v>
      </c>
      <c r="D3512" s="460"/>
      <c r="E3512" s="878" t="s">
        <v>2361</v>
      </c>
      <c r="F3512" s="881" t="s">
        <v>2956</v>
      </c>
      <c r="G3512" s="731" t="s">
        <v>5446</v>
      </c>
      <c r="H3512" s="1083">
        <v>42401</v>
      </c>
      <c r="I3512" s="1084">
        <v>42480</v>
      </c>
      <c r="J3512" s="957">
        <v>11558.33</v>
      </c>
    </row>
    <row r="3513" spans="1:10" s="852" customFormat="1" outlineLevel="2">
      <c r="A3513" s="815" t="s">
        <v>835</v>
      </c>
      <c r="B3513" s="816" t="s">
        <v>7864</v>
      </c>
      <c r="C3513" s="729" t="s">
        <v>833</v>
      </c>
      <c r="D3513" s="460"/>
      <c r="E3513" s="878" t="s">
        <v>2361</v>
      </c>
      <c r="F3513" s="881" t="s">
        <v>3627</v>
      </c>
      <c r="G3513" s="731" t="s">
        <v>5447</v>
      </c>
      <c r="H3513" s="1083">
        <v>42401</v>
      </c>
      <c r="I3513" s="1084">
        <v>42480</v>
      </c>
      <c r="J3513" s="957">
        <v>172.9</v>
      </c>
    </row>
    <row r="3514" spans="1:10" s="852" customFormat="1" outlineLevel="2">
      <c r="A3514" s="815" t="s">
        <v>836</v>
      </c>
      <c r="B3514" s="816" t="s">
        <v>7863</v>
      </c>
      <c r="C3514" s="729" t="s">
        <v>833</v>
      </c>
      <c r="D3514" s="460"/>
      <c r="E3514" s="878" t="s">
        <v>2361</v>
      </c>
      <c r="F3514" s="881" t="s">
        <v>4436</v>
      </c>
      <c r="G3514" s="731" t="s">
        <v>5448</v>
      </c>
      <c r="H3514" s="1083">
        <v>42401</v>
      </c>
      <c r="I3514" s="1084">
        <v>42480</v>
      </c>
      <c r="J3514" s="957">
        <v>1794.94</v>
      </c>
    </row>
    <row r="3515" spans="1:10" s="852" customFormat="1" outlineLevel="2">
      <c r="A3515" s="815" t="s">
        <v>2287</v>
      </c>
      <c r="B3515" s="816" t="s">
        <v>7865</v>
      </c>
      <c r="C3515" s="729" t="s">
        <v>833</v>
      </c>
      <c r="D3515" s="460"/>
      <c r="E3515" s="878" t="s">
        <v>508</v>
      </c>
      <c r="F3515" s="881" t="s">
        <v>1094</v>
      </c>
      <c r="G3515" s="731" t="s">
        <v>5829</v>
      </c>
      <c r="H3515" s="1083">
        <v>42430</v>
      </c>
      <c r="I3515" s="1084">
        <v>42489</v>
      </c>
      <c r="J3515" s="957">
        <v>191848.89</v>
      </c>
    </row>
    <row r="3516" spans="1:10" s="852" customFormat="1" outlineLevel="2">
      <c r="A3516" s="815" t="s">
        <v>988</v>
      </c>
      <c r="B3516" s="816" t="s">
        <v>7866</v>
      </c>
      <c r="C3516" s="729" t="s">
        <v>833</v>
      </c>
      <c r="D3516" s="460"/>
      <c r="E3516" s="878" t="s">
        <v>1909</v>
      </c>
      <c r="F3516" s="881" t="s">
        <v>3935</v>
      </c>
      <c r="G3516" s="731" t="s">
        <v>2817</v>
      </c>
      <c r="H3516" s="1083">
        <v>42401</v>
      </c>
      <c r="I3516" s="1084">
        <v>42480</v>
      </c>
      <c r="J3516" s="957">
        <v>121.84</v>
      </c>
    </row>
    <row r="3517" spans="1:10" s="852" customFormat="1" outlineLevel="2">
      <c r="A3517" s="815" t="s">
        <v>988</v>
      </c>
      <c r="B3517" s="816" t="s">
        <v>7866</v>
      </c>
      <c r="C3517" s="729" t="s">
        <v>833</v>
      </c>
      <c r="D3517" s="460"/>
      <c r="E3517" s="878" t="s">
        <v>1909</v>
      </c>
      <c r="F3517" s="881" t="s">
        <v>4027</v>
      </c>
      <c r="G3517" s="731" t="s">
        <v>2819</v>
      </c>
      <c r="H3517" s="1083">
        <v>42401</v>
      </c>
      <c r="I3517" s="1084">
        <v>42480</v>
      </c>
      <c r="J3517" s="957">
        <v>3.89</v>
      </c>
    </row>
    <row r="3518" spans="1:10" s="852" customFormat="1" outlineLevel="2">
      <c r="A3518" s="815" t="s">
        <v>988</v>
      </c>
      <c r="B3518" s="816" t="s">
        <v>7866</v>
      </c>
      <c r="C3518" s="729" t="s">
        <v>833</v>
      </c>
      <c r="D3518" s="460"/>
      <c r="E3518" s="878" t="s">
        <v>1909</v>
      </c>
      <c r="F3518" s="881" t="s">
        <v>4129</v>
      </c>
      <c r="G3518" s="731" t="s">
        <v>2821</v>
      </c>
      <c r="H3518" s="1083">
        <v>42401</v>
      </c>
      <c r="I3518" s="1084">
        <v>42480</v>
      </c>
      <c r="J3518" s="957">
        <v>45.97</v>
      </c>
    </row>
    <row r="3519" spans="1:10" s="852" customFormat="1" outlineLevel="2">
      <c r="A3519" s="815" t="s">
        <v>836</v>
      </c>
      <c r="B3519" s="816" t="s">
        <v>7863</v>
      </c>
      <c r="C3519" s="729" t="s">
        <v>833</v>
      </c>
      <c r="D3519" s="460"/>
      <c r="E3519" s="878" t="s">
        <v>1909</v>
      </c>
      <c r="F3519" s="881" t="s">
        <v>4432</v>
      </c>
      <c r="G3519" s="731" t="s">
        <v>5471</v>
      </c>
      <c r="H3519" s="1083">
        <v>42401</v>
      </c>
      <c r="I3519" s="1084">
        <v>42480</v>
      </c>
      <c r="J3519" s="957">
        <v>358.99</v>
      </c>
    </row>
    <row r="3520" spans="1:10" s="852" customFormat="1" outlineLevel="2">
      <c r="A3520" s="815" t="s">
        <v>835</v>
      </c>
      <c r="B3520" s="816" t="s">
        <v>7864</v>
      </c>
      <c r="C3520" s="729" t="s">
        <v>833</v>
      </c>
      <c r="D3520" s="460"/>
      <c r="E3520" s="878" t="s">
        <v>1909</v>
      </c>
      <c r="F3520" s="881" t="s">
        <v>6412</v>
      </c>
      <c r="G3520" s="731" t="s">
        <v>5453</v>
      </c>
      <c r="H3520" s="1083">
        <v>42401</v>
      </c>
      <c r="I3520" s="1084">
        <v>42480</v>
      </c>
      <c r="J3520" s="957">
        <v>52.56</v>
      </c>
    </row>
    <row r="3521" spans="1:10" s="852" customFormat="1" outlineLevel="2">
      <c r="A3521" s="815" t="s">
        <v>835</v>
      </c>
      <c r="B3521" s="816" t="s">
        <v>7864</v>
      </c>
      <c r="C3521" s="729" t="s">
        <v>833</v>
      </c>
      <c r="D3521" s="460"/>
      <c r="E3521" s="878" t="s">
        <v>1909</v>
      </c>
      <c r="F3521" s="881" t="s">
        <v>3623</v>
      </c>
      <c r="G3521" s="731" t="s">
        <v>5465</v>
      </c>
      <c r="H3521" s="1083">
        <v>42401</v>
      </c>
      <c r="I3521" s="1084">
        <v>42480</v>
      </c>
      <c r="J3521" s="957">
        <v>34.58</v>
      </c>
    </row>
    <row r="3522" spans="1:10" s="852" customFormat="1" outlineLevel="2">
      <c r="A3522" s="815" t="s">
        <v>835</v>
      </c>
      <c r="B3522" s="816" t="s">
        <v>7864</v>
      </c>
      <c r="C3522" s="729" t="s">
        <v>833</v>
      </c>
      <c r="D3522" s="460"/>
      <c r="E3522" s="878" t="s">
        <v>1909</v>
      </c>
      <c r="F3522" s="881" t="s">
        <v>6413</v>
      </c>
      <c r="G3522" s="731" t="s">
        <v>5456</v>
      </c>
      <c r="H3522" s="1083">
        <v>42401</v>
      </c>
      <c r="I3522" s="1084">
        <v>42480</v>
      </c>
      <c r="J3522" s="957">
        <v>51.18</v>
      </c>
    </row>
    <row r="3523" spans="1:10" s="852" customFormat="1" outlineLevel="2">
      <c r="A3523" s="815" t="s">
        <v>2287</v>
      </c>
      <c r="B3523" s="816" t="s">
        <v>7865</v>
      </c>
      <c r="C3523" s="729" t="s">
        <v>833</v>
      </c>
      <c r="D3523" s="460"/>
      <c r="E3523" s="878" t="s">
        <v>1909</v>
      </c>
      <c r="F3523" s="881" t="s">
        <v>2952</v>
      </c>
      <c r="G3523" s="731" t="s">
        <v>5460</v>
      </c>
      <c r="H3523" s="1083">
        <v>42401</v>
      </c>
      <c r="I3523" s="1084">
        <v>42480</v>
      </c>
      <c r="J3523" s="957">
        <v>3467.5</v>
      </c>
    </row>
    <row r="3524" spans="1:10" s="852" customFormat="1" ht="28.5" outlineLevel="2">
      <c r="A3524" s="815" t="s">
        <v>988</v>
      </c>
      <c r="B3524" s="816" t="s">
        <v>7866</v>
      </c>
      <c r="C3524" s="729" t="s">
        <v>833</v>
      </c>
      <c r="D3524" s="460"/>
      <c r="E3524" s="878" t="s">
        <v>1909</v>
      </c>
      <c r="F3524" s="881" t="s">
        <v>4956</v>
      </c>
      <c r="G3524" s="731" t="s">
        <v>2833</v>
      </c>
      <c r="H3524" s="1083">
        <v>42401</v>
      </c>
      <c r="I3524" s="1084">
        <v>42480</v>
      </c>
      <c r="J3524" s="957">
        <v>377.71</v>
      </c>
    </row>
    <row r="3525" spans="1:10" s="852" customFormat="1" ht="28.5" outlineLevel="2">
      <c r="A3525" s="815" t="s">
        <v>988</v>
      </c>
      <c r="B3525" s="816" t="s">
        <v>7866</v>
      </c>
      <c r="C3525" s="729" t="s">
        <v>833</v>
      </c>
      <c r="D3525" s="460"/>
      <c r="E3525" s="878" t="s">
        <v>1909</v>
      </c>
      <c r="F3525" s="881" t="s">
        <v>4903</v>
      </c>
      <c r="G3525" s="731" t="s">
        <v>2832</v>
      </c>
      <c r="H3525" s="1083">
        <v>42401</v>
      </c>
      <c r="I3525" s="1084">
        <v>42480</v>
      </c>
      <c r="J3525" s="957">
        <v>12.07</v>
      </c>
    </row>
    <row r="3526" spans="1:10" s="852" customFormat="1" ht="28.5" outlineLevel="2">
      <c r="A3526" s="815" t="s">
        <v>988</v>
      </c>
      <c r="B3526" s="816" t="s">
        <v>7866</v>
      </c>
      <c r="C3526" s="729" t="s">
        <v>833</v>
      </c>
      <c r="D3526" s="460"/>
      <c r="E3526" s="878" t="s">
        <v>1909</v>
      </c>
      <c r="F3526" s="881" t="s">
        <v>4853</v>
      </c>
      <c r="G3526" s="731" t="s">
        <v>2831</v>
      </c>
      <c r="H3526" s="1083">
        <v>42401</v>
      </c>
      <c r="I3526" s="1084">
        <v>42480</v>
      </c>
      <c r="J3526" s="957">
        <v>142.51</v>
      </c>
    </row>
    <row r="3527" spans="1:10" s="852" customFormat="1" ht="28.5" outlineLevel="2">
      <c r="A3527" s="815" t="s">
        <v>836</v>
      </c>
      <c r="B3527" s="816" t="s">
        <v>7863</v>
      </c>
      <c r="C3527" s="729" t="s">
        <v>833</v>
      </c>
      <c r="D3527" s="460"/>
      <c r="E3527" s="878" t="s">
        <v>1909</v>
      </c>
      <c r="F3527" s="881" t="s">
        <v>6411</v>
      </c>
      <c r="G3527" s="731" t="s">
        <v>5449</v>
      </c>
      <c r="H3527" s="1083">
        <v>42370</v>
      </c>
      <c r="I3527" s="1084">
        <v>42480</v>
      </c>
      <c r="J3527" s="957">
        <v>1767.77</v>
      </c>
    </row>
    <row r="3528" spans="1:10" s="852" customFormat="1" ht="28.5" outlineLevel="2">
      <c r="A3528" s="815" t="s">
        <v>836</v>
      </c>
      <c r="B3528" s="816" t="s">
        <v>7863</v>
      </c>
      <c r="C3528" s="729" t="s">
        <v>833</v>
      </c>
      <c r="D3528" s="460"/>
      <c r="E3528" s="878" t="s">
        <v>1909</v>
      </c>
      <c r="F3528" s="881" t="s">
        <v>6411</v>
      </c>
      <c r="G3528" s="731" t="s">
        <v>5450</v>
      </c>
      <c r="H3528" s="1083">
        <v>42370</v>
      </c>
      <c r="I3528" s="1084">
        <v>42480</v>
      </c>
      <c r="J3528" s="957">
        <v>1767.77</v>
      </c>
    </row>
    <row r="3529" spans="1:10" s="852" customFormat="1" ht="28.5" outlineLevel="2">
      <c r="A3529" s="815" t="s">
        <v>836</v>
      </c>
      <c r="B3529" s="816" t="s">
        <v>7863</v>
      </c>
      <c r="C3529" s="729" t="s">
        <v>833</v>
      </c>
      <c r="D3529" s="460"/>
      <c r="E3529" s="878" t="s">
        <v>1909</v>
      </c>
      <c r="F3529" s="881" t="s">
        <v>6411</v>
      </c>
      <c r="G3529" s="731" t="s">
        <v>5451</v>
      </c>
      <c r="H3529" s="1083">
        <v>42370</v>
      </c>
      <c r="I3529" s="1084">
        <v>42480</v>
      </c>
      <c r="J3529" s="957">
        <v>-1767.77</v>
      </c>
    </row>
    <row r="3530" spans="1:10" s="852" customFormat="1" ht="28.5" outlineLevel="2">
      <c r="A3530" s="815" t="s">
        <v>835</v>
      </c>
      <c r="B3530" s="816" t="s">
        <v>7864</v>
      </c>
      <c r="C3530" s="729" t="s">
        <v>833</v>
      </c>
      <c r="D3530" s="460"/>
      <c r="E3530" s="878" t="s">
        <v>1909</v>
      </c>
      <c r="F3530" s="881" t="s">
        <v>2909</v>
      </c>
      <c r="G3530" s="731" t="s">
        <v>5454</v>
      </c>
      <c r="H3530" s="1083">
        <v>42370</v>
      </c>
      <c r="I3530" s="1084">
        <v>42480</v>
      </c>
      <c r="J3530" s="957">
        <v>-160.79</v>
      </c>
    </row>
    <row r="3531" spans="1:10" s="852" customFormat="1" ht="28.5" outlineLevel="2">
      <c r="A3531" s="815" t="s">
        <v>835</v>
      </c>
      <c r="B3531" s="816" t="s">
        <v>7864</v>
      </c>
      <c r="C3531" s="729" t="s">
        <v>833</v>
      </c>
      <c r="D3531" s="460"/>
      <c r="E3531" s="878" t="s">
        <v>1909</v>
      </c>
      <c r="F3531" s="881" t="s">
        <v>2909</v>
      </c>
      <c r="G3531" s="731" t="s">
        <v>5457</v>
      </c>
      <c r="H3531" s="1083">
        <v>42370</v>
      </c>
      <c r="I3531" s="1084">
        <v>42480</v>
      </c>
      <c r="J3531" s="957">
        <v>-160.80000000000001</v>
      </c>
    </row>
    <row r="3532" spans="1:10" s="852" customFormat="1" ht="28.5" outlineLevel="2">
      <c r="A3532" s="815" t="s">
        <v>835</v>
      </c>
      <c r="B3532" s="816" t="s">
        <v>7864</v>
      </c>
      <c r="C3532" s="729" t="s">
        <v>833</v>
      </c>
      <c r="D3532" s="460"/>
      <c r="E3532" s="878" t="s">
        <v>1909</v>
      </c>
      <c r="F3532" s="881" t="s">
        <v>2909</v>
      </c>
      <c r="G3532" s="731" t="s">
        <v>5459</v>
      </c>
      <c r="H3532" s="1083">
        <v>42370</v>
      </c>
      <c r="I3532" s="1084">
        <v>42480</v>
      </c>
      <c r="J3532" s="957">
        <v>160.80000000000001</v>
      </c>
    </row>
    <row r="3533" spans="1:10" s="852" customFormat="1" ht="28.5" outlineLevel="2">
      <c r="A3533" s="815" t="s">
        <v>835</v>
      </c>
      <c r="B3533" s="816" t="s">
        <v>7864</v>
      </c>
      <c r="C3533" s="729" t="s">
        <v>833</v>
      </c>
      <c r="D3533" s="460"/>
      <c r="E3533" s="878" t="s">
        <v>1909</v>
      </c>
      <c r="F3533" s="881" t="s">
        <v>2909</v>
      </c>
      <c r="G3533" s="731" t="s">
        <v>5462</v>
      </c>
      <c r="H3533" s="1083">
        <v>42370</v>
      </c>
      <c r="I3533" s="1084">
        <v>42480</v>
      </c>
      <c r="J3533" s="957">
        <v>160.79</v>
      </c>
    </row>
    <row r="3534" spans="1:10" s="852" customFormat="1" ht="28.5" outlineLevel="2">
      <c r="A3534" s="815" t="s">
        <v>835</v>
      </c>
      <c r="B3534" s="816" t="s">
        <v>7864</v>
      </c>
      <c r="C3534" s="729" t="s">
        <v>833</v>
      </c>
      <c r="D3534" s="460"/>
      <c r="E3534" s="878" t="s">
        <v>1909</v>
      </c>
      <c r="F3534" s="881" t="s">
        <v>2909</v>
      </c>
      <c r="G3534" s="731" t="s">
        <v>5464</v>
      </c>
      <c r="H3534" s="1083">
        <v>42370</v>
      </c>
      <c r="I3534" s="1084">
        <v>42480</v>
      </c>
      <c r="J3534" s="957">
        <v>160.79</v>
      </c>
    </row>
    <row r="3535" spans="1:10" s="852" customFormat="1" ht="28.5" outlineLevel="2">
      <c r="A3535" s="815" t="s">
        <v>835</v>
      </c>
      <c r="B3535" s="816" t="s">
        <v>7864</v>
      </c>
      <c r="C3535" s="729" t="s">
        <v>833</v>
      </c>
      <c r="D3535" s="460"/>
      <c r="E3535" s="878" t="s">
        <v>1909</v>
      </c>
      <c r="F3535" s="881" t="s">
        <v>3687</v>
      </c>
      <c r="G3535" s="731" t="s">
        <v>5466</v>
      </c>
      <c r="H3535" s="1083">
        <v>42370</v>
      </c>
      <c r="I3535" s="1084">
        <v>42480</v>
      </c>
      <c r="J3535" s="957">
        <v>-237.97</v>
      </c>
    </row>
    <row r="3536" spans="1:10" s="852" customFormat="1" ht="28.5" outlineLevel="2">
      <c r="A3536" s="815" t="s">
        <v>835</v>
      </c>
      <c r="B3536" s="816" t="s">
        <v>7864</v>
      </c>
      <c r="C3536" s="729" t="s">
        <v>833</v>
      </c>
      <c r="D3536" s="460"/>
      <c r="E3536" s="878" t="s">
        <v>1909</v>
      </c>
      <c r="F3536" s="881" t="s">
        <v>3687</v>
      </c>
      <c r="G3536" s="731" t="s">
        <v>5468</v>
      </c>
      <c r="H3536" s="1083">
        <v>42370</v>
      </c>
      <c r="I3536" s="1084">
        <v>42480</v>
      </c>
      <c r="J3536" s="957">
        <v>237.97</v>
      </c>
    </row>
    <row r="3537" spans="1:10" s="852" customFormat="1" ht="28.5" outlineLevel="2">
      <c r="A3537" s="815" t="s">
        <v>835</v>
      </c>
      <c r="B3537" s="816" t="s">
        <v>7864</v>
      </c>
      <c r="C3537" s="729" t="s">
        <v>833</v>
      </c>
      <c r="D3537" s="460"/>
      <c r="E3537" s="878" t="s">
        <v>1909</v>
      </c>
      <c r="F3537" s="881" t="s">
        <v>3687</v>
      </c>
      <c r="G3537" s="731" t="s">
        <v>5470</v>
      </c>
      <c r="H3537" s="1083">
        <v>42370</v>
      </c>
      <c r="I3537" s="1084">
        <v>42480</v>
      </c>
      <c r="J3537" s="957">
        <v>237.97</v>
      </c>
    </row>
    <row r="3538" spans="1:10" s="852" customFormat="1" ht="28.5" outlineLevel="2">
      <c r="A3538" s="815" t="s">
        <v>2287</v>
      </c>
      <c r="B3538" s="816" t="s">
        <v>7865</v>
      </c>
      <c r="C3538" s="729" t="s">
        <v>833</v>
      </c>
      <c r="D3538" s="460"/>
      <c r="E3538" s="878" t="s">
        <v>1909</v>
      </c>
      <c r="F3538" s="881" t="s">
        <v>4658</v>
      </c>
      <c r="G3538" s="731" t="s">
        <v>5472</v>
      </c>
      <c r="H3538" s="1083">
        <v>42401</v>
      </c>
      <c r="I3538" s="1084">
        <v>42480</v>
      </c>
      <c r="J3538" s="957">
        <v>10749.25</v>
      </c>
    </row>
    <row r="3539" spans="1:10" s="852" customFormat="1" outlineLevel="1">
      <c r="A3539" s="815"/>
      <c r="B3539" s="816" t="s">
        <v>258</v>
      </c>
      <c r="C3539" s="908" t="s">
        <v>833</v>
      </c>
      <c r="D3539" s="928" t="str">
        <f>VLOOKUP(C3539,$C$3691:$D$3771,2,FALSE)</f>
        <v>TOTAL POUPATEMPO TATUÍ</v>
      </c>
      <c r="E3539" s="1085"/>
      <c r="F3539" s="929"/>
      <c r="G3539" s="910"/>
      <c r="H3539" s="1086"/>
      <c r="I3539" s="1087"/>
      <c r="J3539" s="930">
        <f>SUBTOTAL(9,J3493:J3538)</f>
        <v>309027.73000000004</v>
      </c>
    </row>
    <row r="3540" spans="1:10" s="852" customFormat="1" outlineLevel="2">
      <c r="A3540" s="815" t="s">
        <v>6431</v>
      </c>
      <c r="B3540" s="816" t="s">
        <v>7863</v>
      </c>
      <c r="C3540" s="729" t="s">
        <v>837</v>
      </c>
      <c r="D3540" s="460"/>
      <c r="E3540" s="878" t="s">
        <v>483</v>
      </c>
      <c r="F3540" s="881" t="s">
        <v>2208</v>
      </c>
      <c r="G3540" s="731" t="str">
        <f>"16971"</f>
        <v>16971</v>
      </c>
      <c r="H3540" s="1083">
        <v>42401</v>
      </c>
      <c r="I3540" s="1084">
        <v>42473</v>
      </c>
      <c r="J3540" s="957">
        <v>24980.560000000001</v>
      </c>
    </row>
    <row r="3541" spans="1:10" s="852" customFormat="1" ht="42.75" outlineLevel="2">
      <c r="A3541" s="815" t="s">
        <v>5647</v>
      </c>
      <c r="B3541" s="816" t="s">
        <v>7867</v>
      </c>
      <c r="C3541" s="729" t="s">
        <v>837</v>
      </c>
      <c r="D3541" s="460"/>
      <c r="E3541" s="878" t="s">
        <v>5648</v>
      </c>
      <c r="F3541" s="881" t="s">
        <v>1044</v>
      </c>
      <c r="G3541" s="731" t="s">
        <v>5649</v>
      </c>
      <c r="H3541" s="1083">
        <v>42461</v>
      </c>
      <c r="I3541" s="1084">
        <v>42475</v>
      </c>
      <c r="J3541" s="957">
        <v>27367.17</v>
      </c>
    </row>
    <row r="3542" spans="1:10" s="852" customFormat="1" outlineLevel="2">
      <c r="A3542" s="815" t="s">
        <v>5963</v>
      </c>
      <c r="B3542" s="816" t="s">
        <v>7864</v>
      </c>
      <c r="C3542" s="729" t="s">
        <v>837</v>
      </c>
      <c r="D3542" s="460"/>
      <c r="E3542" s="878" t="s">
        <v>6470</v>
      </c>
      <c r="F3542" s="881" t="s">
        <v>434</v>
      </c>
      <c r="G3542" s="731" t="str">
        <f>"2598"</f>
        <v>2598</v>
      </c>
      <c r="H3542" s="1083">
        <v>42370</v>
      </c>
      <c r="I3542" s="1084">
        <v>42478</v>
      </c>
      <c r="J3542" s="957">
        <v>-4147.0600000000004</v>
      </c>
    </row>
    <row r="3543" spans="1:10" s="852" customFormat="1" outlineLevel="2">
      <c r="A3543" s="815" t="s">
        <v>5963</v>
      </c>
      <c r="B3543" s="816" t="s">
        <v>7864</v>
      </c>
      <c r="C3543" s="729" t="s">
        <v>837</v>
      </c>
      <c r="D3543" s="460"/>
      <c r="E3543" s="878" t="s">
        <v>6470</v>
      </c>
      <c r="F3543" s="881" t="s">
        <v>434</v>
      </c>
      <c r="G3543" s="731" t="str">
        <f>"2598"</f>
        <v>2598</v>
      </c>
      <c r="H3543" s="1083">
        <v>42370</v>
      </c>
      <c r="I3543" s="1084">
        <v>42478</v>
      </c>
      <c r="J3543" s="957">
        <v>4147.05</v>
      </c>
    </row>
    <row r="3544" spans="1:10" s="852" customFormat="1" outlineLevel="2">
      <c r="A3544" s="815" t="s">
        <v>5963</v>
      </c>
      <c r="B3544" s="816" t="s">
        <v>7864</v>
      </c>
      <c r="C3544" s="729" t="s">
        <v>837</v>
      </c>
      <c r="D3544" s="460"/>
      <c r="E3544" s="878" t="s">
        <v>6470</v>
      </c>
      <c r="F3544" s="881" t="s">
        <v>434</v>
      </c>
      <c r="G3544" s="731" t="str">
        <f>"2598"</f>
        <v>2598</v>
      </c>
      <c r="H3544" s="1083">
        <v>42370</v>
      </c>
      <c r="I3544" s="1084">
        <v>42478</v>
      </c>
      <c r="J3544" s="957">
        <v>4147.0600000000004</v>
      </c>
    </row>
    <row r="3545" spans="1:10" s="852" customFormat="1" outlineLevel="2">
      <c r="A3545" s="815" t="s">
        <v>5963</v>
      </c>
      <c r="B3545" s="816" t="s">
        <v>7864</v>
      </c>
      <c r="C3545" s="729" t="s">
        <v>837</v>
      </c>
      <c r="D3545" s="460"/>
      <c r="E3545" s="878" t="s">
        <v>6470</v>
      </c>
      <c r="F3545" s="881" t="s">
        <v>434</v>
      </c>
      <c r="G3545" s="731" t="str">
        <f>"2598"</f>
        <v>2598</v>
      </c>
      <c r="H3545" s="1083">
        <v>42370</v>
      </c>
      <c r="I3545" s="1084">
        <v>42478</v>
      </c>
      <c r="J3545" s="957">
        <v>4147.05</v>
      </c>
    </row>
    <row r="3546" spans="1:10" s="852" customFormat="1" outlineLevel="2">
      <c r="A3546" s="815" t="s">
        <v>5963</v>
      </c>
      <c r="B3546" s="816" t="s">
        <v>7864</v>
      </c>
      <c r="C3546" s="729" t="s">
        <v>837</v>
      </c>
      <c r="D3546" s="460"/>
      <c r="E3546" s="878" t="s">
        <v>6470</v>
      </c>
      <c r="F3546" s="881" t="s">
        <v>434</v>
      </c>
      <c r="G3546" s="731" t="str">
        <f>"2598"</f>
        <v>2598</v>
      </c>
      <c r="H3546" s="1083">
        <v>42370</v>
      </c>
      <c r="I3546" s="1084">
        <v>42478</v>
      </c>
      <c r="J3546" s="957">
        <v>-4147.05</v>
      </c>
    </row>
    <row r="3547" spans="1:10" s="852" customFormat="1" outlineLevel="2">
      <c r="A3547" s="815" t="s">
        <v>840</v>
      </c>
      <c r="B3547" s="816" t="s">
        <v>7863</v>
      </c>
      <c r="C3547" s="729" t="s">
        <v>837</v>
      </c>
      <c r="D3547" s="460"/>
      <c r="E3547" s="878" t="s">
        <v>2336</v>
      </c>
      <c r="F3547" s="881" t="s">
        <v>3262</v>
      </c>
      <c r="G3547" s="731" t="s">
        <v>5475</v>
      </c>
      <c r="H3547" s="1083">
        <v>42401</v>
      </c>
      <c r="I3547" s="1084">
        <v>42480</v>
      </c>
      <c r="J3547" s="957">
        <v>3377.83</v>
      </c>
    </row>
    <row r="3548" spans="1:10" s="852" customFormat="1" outlineLevel="2">
      <c r="A3548" s="815" t="s">
        <v>839</v>
      </c>
      <c r="B3548" s="816" t="s">
        <v>7864</v>
      </c>
      <c r="C3548" s="729" t="s">
        <v>837</v>
      </c>
      <c r="D3548" s="460"/>
      <c r="E3548" s="878" t="s">
        <v>2336</v>
      </c>
      <c r="F3548" s="881" t="s">
        <v>6091</v>
      </c>
      <c r="G3548" s="731" t="s">
        <v>5473</v>
      </c>
      <c r="H3548" s="1083">
        <v>42401</v>
      </c>
      <c r="I3548" s="1084">
        <v>42480</v>
      </c>
      <c r="J3548" s="957">
        <v>560.76</v>
      </c>
    </row>
    <row r="3549" spans="1:10" s="852" customFormat="1" outlineLevel="2">
      <c r="A3549" s="815" t="s">
        <v>839</v>
      </c>
      <c r="B3549" s="816" t="s">
        <v>7864</v>
      </c>
      <c r="C3549" s="729" t="s">
        <v>837</v>
      </c>
      <c r="D3549" s="460"/>
      <c r="E3549" s="878" t="s">
        <v>2336</v>
      </c>
      <c r="F3549" s="881" t="s">
        <v>3610</v>
      </c>
      <c r="G3549" s="731" t="s">
        <v>5476</v>
      </c>
      <c r="H3549" s="1083">
        <v>42401</v>
      </c>
      <c r="I3549" s="1084">
        <v>42480</v>
      </c>
      <c r="J3549" s="957">
        <v>368.92</v>
      </c>
    </row>
    <row r="3550" spans="1:10" s="852" customFormat="1" outlineLevel="2">
      <c r="A3550" s="815" t="s">
        <v>839</v>
      </c>
      <c r="B3550" s="816" t="s">
        <v>7864</v>
      </c>
      <c r="C3550" s="729" t="s">
        <v>837</v>
      </c>
      <c r="D3550" s="460"/>
      <c r="E3550" s="878" t="s">
        <v>2336</v>
      </c>
      <c r="F3550" s="881" t="s">
        <v>3191</v>
      </c>
      <c r="G3550" s="731" t="s">
        <v>5474</v>
      </c>
      <c r="H3550" s="1083">
        <v>42401</v>
      </c>
      <c r="I3550" s="1084">
        <v>42480</v>
      </c>
      <c r="J3550" s="957">
        <v>546</v>
      </c>
    </row>
    <row r="3551" spans="1:10" s="852" customFormat="1" outlineLevel="2">
      <c r="A3551" s="815" t="s">
        <v>2285</v>
      </c>
      <c r="B3551" s="816" t="s">
        <v>7865</v>
      </c>
      <c r="C3551" s="729" t="s">
        <v>837</v>
      </c>
      <c r="D3551" s="460"/>
      <c r="E3551" s="878" t="s">
        <v>2336</v>
      </c>
      <c r="F3551" s="881" t="s">
        <v>3763</v>
      </c>
      <c r="G3551" s="731" t="s">
        <v>5477</v>
      </c>
      <c r="H3551" s="1083">
        <v>42401</v>
      </c>
      <c r="I3551" s="1084">
        <v>42480</v>
      </c>
      <c r="J3551" s="957">
        <v>10967.42</v>
      </c>
    </row>
    <row r="3552" spans="1:10" s="852" customFormat="1" outlineLevel="2">
      <c r="A3552" s="815" t="s">
        <v>5963</v>
      </c>
      <c r="B3552" s="816" t="s">
        <v>7864</v>
      </c>
      <c r="C3552" s="729" t="s">
        <v>837</v>
      </c>
      <c r="D3552" s="460"/>
      <c r="E3552" s="878" t="s">
        <v>2717</v>
      </c>
      <c r="F3552" s="881" t="s">
        <v>434</v>
      </c>
      <c r="G3552" s="731" t="str">
        <f>"3519"</f>
        <v>3519</v>
      </c>
      <c r="H3552" s="1083">
        <v>42401</v>
      </c>
      <c r="I3552" s="1084">
        <v>42467</v>
      </c>
      <c r="J3552" s="957">
        <v>2728.33</v>
      </c>
    </row>
    <row r="3553" spans="1:10" s="852" customFormat="1" outlineLevel="2">
      <c r="A3553" s="815" t="s">
        <v>5963</v>
      </c>
      <c r="B3553" s="816" t="s">
        <v>7864</v>
      </c>
      <c r="C3553" s="729" t="s">
        <v>837</v>
      </c>
      <c r="D3553" s="460"/>
      <c r="E3553" s="878" t="s">
        <v>409</v>
      </c>
      <c r="F3553" s="881" t="s">
        <v>434</v>
      </c>
      <c r="G3553" s="731" t="str">
        <f>"6675"</f>
        <v>6675</v>
      </c>
      <c r="H3553" s="1083">
        <v>42401</v>
      </c>
      <c r="I3553" s="1084">
        <v>42475</v>
      </c>
      <c r="J3553" s="957">
        <v>4037.93</v>
      </c>
    </row>
    <row r="3554" spans="1:10" s="852" customFormat="1" outlineLevel="2">
      <c r="A3554" s="815" t="s">
        <v>980</v>
      </c>
      <c r="B3554" s="816" t="s">
        <v>7866</v>
      </c>
      <c r="C3554" s="729" t="s">
        <v>837</v>
      </c>
      <c r="D3554" s="460"/>
      <c r="E3554" s="878" t="s">
        <v>2282</v>
      </c>
      <c r="F3554" s="881" t="s">
        <v>3974</v>
      </c>
      <c r="G3554" s="731" t="s">
        <v>2779</v>
      </c>
      <c r="H3554" s="1083">
        <v>42401</v>
      </c>
      <c r="I3554" s="1084">
        <v>42471</v>
      </c>
      <c r="J3554" s="957">
        <v>526.91999999999996</v>
      </c>
    </row>
    <row r="3555" spans="1:10" s="852" customFormat="1" outlineLevel="2">
      <c r="A3555" s="815" t="s">
        <v>980</v>
      </c>
      <c r="B3555" s="816" t="s">
        <v>7866</v>
      </c>
      <c r="C3555" s="729" t="s">
        <v>837</v>
      </c>
      <c r="D3555" s="460"/>
      <c r="E3555" s="878" t="s">
        <v>2282</v>
      </c>
      <c r="F3555" s="881" t="s">
        <v>4081</v>
      </c>
      <c r="G3555" s="731" t="s">
        <v>2781</v>
      </c>
      <c r="H3555" s="1083">
        <v>42401</v>
      </c>
      <c r="I3555" s="1084">
        <v>42471</v>
      </c>
      <c r="J3555" s="957">
        <v>16.84</v>
      </c>
    </row>
    <row r="3556" spans="1:10" s="852" customFormat="1" outlineLevel="2">
      <c r="A3556" s="815" t="s">
        <v>980</v>
      </c>
      <c r="B3556" s="816" t="s">
        <v>7866</v>
      </c>
      <c r="C3556" s="729" t="s">
        <v>837</v>
      </c>
      <c r="D3556" s="460"/>
      <c r="E3556" s="878" t="s">
        <v>2282</v>
      </c>
      <c r="F3556" s="881" t="s">
        <v>4165</v>
      </c>
      <c r="G3556" s="731" t="s">
        <v>2782</v>
      </c>
      <c r="H3556" s="1083">
        <v>42401</v>
      </c>
      <c r="I3556" s="1084">
        <v>42471</v>
      </c>
      <c r="J3556" s="957">
        <v>198.8</v>
      </c>
    </row>
    <row r="3557" spans="1:10" s="852" customFormat="1" outlineLevel="2">
      <c r="A3557" s="815" t="s">
        <v>839</v>
      </c>
      <c r="B3557" s="816" t="s">
        <v>7864</v>
      </c>
      <c r="C3557" s="729" t="s">
        <v>837</v>
      </c>
      <c r="D3557" s="460"/>
      <c r="E3557" s="878" t="s">
        <v>2362</v>
      </c>
      <c r="F3557" s="881" t="s">
        <v>6109</v>
      </c>
      <c r="G3557" s="731" t="s">
        <v>5479</v>
      </c>
      <c r="H3557" s="1083">
        <v>42401</v>
      </c>
      <c r="I3557" s="1084">
        <v>42471</v>
      </c>
      <c r="J3557" s="957">
        <v>101.96</v>
      </c>
    </row>
    <row r="3558" spans="1:10" s="852" customFormat="1" outlineLevel="2">
      <c r="A3558" s="815" t="s">
        <v>839</v>
      </c>
      <c r="B3558" s="816" t="s">
        <v>7864</v>
      </c>
      <c r="C3558" s="729" t="s">
        <v>837</v>
      </c>
      <c r="D3558" s="460"/>
      <c r="E3558" s="878" t="s">
        <v>2362</v>
      </c>
      <c r="F3558" s="881" t="s">
        <v>3192</v>
      </c>
      <c r="G3558" s="731" t="s">
        <v>5481</v>
      </c>
      <c r="H3558" s="1083">
        <v>42401</v>
      </c>
      <c r="I3558" s="1084">
        <v>42471</v>
      </c>
      <c r="J3558" s="957">
        <v>99.27</v>
      </c>
    </row>
    <row r="3559" spans="1:10" s="852" customFormat="1" outlineLevel="2">
      <c r="A3559" s="815" t="s">
        <v>840</v>
      </c>
      <c r="B3559" s="816" t="s">
        <v>7863</v>
      </c>
      <c r="C3559" s="729" t="s">
        <v>837</v>
      </c>
      <c r="D3559" s="460"/>
      <c r="E3559" s="878" t="s">
        <v>2362</v>
      </c>
      <c r="F3559" s="881" t="s">
        <v>3264</v>
      </c>
      <c r="G3559" s="731" t="s">
        <v>5483</v>
      </c>
      <c r="H3559" s="1083">
        <v>42401</v>
      </c>
      <c r="I3559" s="1084">
        <v>42471</v>
      </c>
      <c r="J3559" s="957">
        <v>614.15</v>
      </c>
    </row>
    <row r="3560" spans="1:10" s="852" customFormat="1" outlineLevel="2">
      <c r="A3560" s="815" t="s">
        <v>839</v>
      </c>
      <c r="B3560" s="816" t="s">
        <v>7864</v>
      </c>
      <c r="C3560" s="729" t="s">
        <v>837</v>
      </c>
      <c r="D3560" s="460"/>
      <c r="E3560" s="878" t="s">
        <v>2362</v>
      </c>
      <c r="F3560" s="881" t="s">
        <v>3612</v>
      </c>
      <c r="G3560" s="731" t="s">
        <v>5485</v>
      </c>
      <c r="H3560" s="1083">
        <v>42401</v>
      </c>
      <c r="I3560" s="1084">
        <v>42471</v>
      </c>
      <c r="J3560" s="957">
        <v>67.08</v>
      </c>
    </row>
    <row r="3561" spans="1:10" s="852" customFormat="1" outlineLevel="2">
      <c r="A3561" s="815" t="s">
        <v>2285</v>
      </c>
      <c r="B3561" s="816" t="s">
        <v>7865</v>
      </c>
      <c r="C3561" s="729" t="s">
        <v>837</v>
      </c>
      <c r="D3561" s="460"/>
      <c r="E3561" s="878" t="s">
        <v>2362</v>
      </c>
      <c r="F3561" s="881" t="s">
        <v>5113</v>
      </c>
      <c r="G3561" s="731" t="s">
        <v>5487</v>
      </c>
      <c r="H3561" s="1083">
        <v>42401</v>
      </c>
      <c r="I3561" s="1084">
        <v>42471</v>
      </c>
      <c r="J3561" s="957">
        <v>3913.31</v>
      </c>
    </row>
    <row r="3562" spans="1:10" s="852" customFormat="1" outlineLevel="2">
      <c r="A3562" s="815" t="s">
        <v>2285</v>
      </c>
      <c r="B3562" s="816" t="s">
        <v>7865</v>
      </c>
      <c r="C3562" s="729" t="s">
        <v>837</v>
      </c>
      <c r="D3562" s="460"/>
      <c r="E3562" s="878" t="s">
        <v>508</v>
      </c>
      <c r="F3562" s="881" t="s">
        <v>1094</v>
      </c>
      <c r="G3562" s="731" t="s">
        <v>5827</v>
      </c>
      <c r="H3562" s="1083">
        <v>42430</v>
      </c>
      <c r="I3562" s="1084">
        <v>42489</v>
      </c>
      <c r="J3562" s="957">
        <v>168752.41</v>
      </c>
    </row>
    <row r="3563" spans="1:10" s="852" customFormat="1" outlineLevel="2">
      <c r="A3563" s="815" t="s">
        <v>980</v>
      </c>
      <c r="B3563" s="816" t="s">
        <v>7866</v>
      </c>
      <c r="C3563" s="729" t="s">
        <v>837</v>
      </c>
      <c r="D3563" s="460"/>
      <c r="E3563" s="878" t="s">
        <v>1909</v>
      </c>
      <c r="F3563" s="881" t="s">
        <v>3935</v>
      </c>
      <c r="G3563" s="731" t="s">
        <v>2817</v>
      </c>
      <c r="H3563" s="1083">
        <v>42401</v>
      </c>
      <c r="I3563" s="1084">
        <v>42480</v>
      </c>
      <c r="J3563" s="957">
        <v>158.07</v>
      </c>
    </row>
    <row r="3564" spans="1:10" s="852" customFormat="1" outlineLevel="2">
      <c r="A3564" s="815" t="s">
        <v>980</v>
      </c>
      <c r="B3564" s="816" t="s">
        <v>7866</v>
      </c>
      <c r="C3564" s="729" t="s">
        <v>837</v>
      </c>
      <c r="D3564" s="460"/>
      <c r="E3564" s="878" t="s">
        <v>1909</v>
      </c>
      <c r="F3564" s="881" t="s">
        <v>4027</v>
      </c>
      <c r="G3564" s="731" t="s">
        <v>2819</v>
      </c>
      <c r="H3564" s="1083">
        <v>42401</v>
      </c>
      <c r="I3564" s="1084">
        <v>42480</v>
      </c>
      <c r="J3564" s="957">
        <v>5.05</v>
      </c>
    </row>
    <row r="3565" spans="1:10" s="852" customFormat="1" outlineLevel="2">
      <c r="A3565" s="815" t="s">
        <v>980</v>
      </c>
      <c r="B3565" s="816" t="s">
        <v>7866</v>
      </c>
      <c r="C3565" s="729" t="s">
        <v>837</v>
      </c>
      <c r="D3565" s="460"/>
      <c r="E3565" s="878" t="s">
        <v>1909</v>
      </c>
      <c r="F3565" s="881" t="s">
        <v>4129</v>
      </c>
      <c r="G3565" s="731" t="s">
        <v>2821</v>
      </c>
      <c r="H3565" s="1083">
        <v>42401</v>
      </c>
      <c r="I3565" s="1084">
        <v>42480</v>
      </c>
      <c r="J3565" s="957">
        <v>59.64</v>
      </c>
    </row>
    <row r="3566" spans="1:10" s="852" customFormat="1" outlineLevel="2">
      <c r="A3566" s="815" t="s">
        <v>840</v>
      </c>
      <c r="B3566" s="816" t="s">
        <v>7863</v>
      </c>
      <c r="C3566" s="729" t="s">
        <v>837</v>
      </c>
      <c r="D3566" s="460"/>
      <c r="E3566" s="878" t="s">
        <v>1909</v>
      </c>
      <c r="F3566" s="881" t="s">
        <v>3261</v>
      </c>
      <c r="G3566" s="731" t="s">
        <v>5504</v>
      </c>
      <c r="H3566" s="1083">
        <v>42401</v>
      </c>
      <c r="I3566" s="1084">
        <v>42480</v>
      </c>
      <c r="J3566" s="957">
        <v>307.08</v>
      </c>
    </row>
    <row r="3567" spans="1:10" s="852" customFormat="1" outlineLevel="2">
      <c r="A3567" s="815" t="s">
        <v>839</v>
      </c>
      <c r="B3567" s="816" t="s">
        <v>7864</v>
      </c>
      <c r="C3567" s="729" t="s">
        <v>837</v>
      </c>
      <c r="D3567" s="460"/>
      <c r="E3567" s="878" t="s">
        <v>1909</v>
      </c>
      <c r="F3567" s="881" t="s">
        <v>6415</v>
      </c>
      <c r="G3567" s="731" t="s">
        <v>5492</v>
      </c>
      <c r="H3567" s="1083">
        <v>42401</v>
      </c>
      <c r="I3567" s="1084">
        <v>42480</v>
      </c>
      <c r="J3567" s="957">
        <v>50.98</v>
      </c>
    </row>
    <row r="3568" spans="1:10" s="852" customFormat="1" outlineLevel="2">
      <c r="A3568" s="815" t="s">
        <v>839</v>
      </c>
      <c r="B3568" s="816" t="s">
        <v>7864</v>
      </c>
      <c r="C3568" s="729" t="s">
        <v>837</v>
      </c>
      <c r="D3568" s="460"/>
      <c r="E3568" s="878" t="s">
        <v>1909</v>
      </c>
      <c r="F3568" s="881" t="s">
        <v>3609</v>
      </c>
      <c r="G3568" s="731" t="s">
        <v>5506</v>
      </c>
      <c r="H3568" s="1083">
        <v>42401</v>
      </c>
      <c r="I3568" s="1084">
        <v>42480</v>
      </c>
      <c r="J3568" s="957">
        <v>33.54</v>
      </c>
    </row>
    <row r="3569" spans="1:10" s="852" customFormat="1" outlineLevel="2">
      <c r="A3569" s="815" t="s">
        <v>839</v>
      </c>
      <c r="B3569" s="816" t="s">
        <v>7864</v>
      </c>
      <c r="C3569" s="729" t="s">
        <v>837</v>
      </c>
      <c r="D3569" s="460"/>
      <c r="E3569" s="878" t="s">
        <v>1909</v>
      </c>
      <c r="F3569" s="881" t="s">
        <v>3189</v>
      </c>
      <c r="G3569" s="731" t="s">
        <v>5500</v>
      </c>
      <c r="H3569" s="1083">
        <v>42401</v>
      </c>
      <c r="I3569" s="1084">
        <v>42480</v>
      </c>
      <c r="J3569" s="957">
        <v>49.64</v>
      </c>
    </row>
    <row r="3570" spans="1:10" s="852" customFormat="1" outlineLevel="2">
      <c r="A3570" s="815" t="s">
        <v>2285</v>
      </c>
      <c r="B3570" s="816" t="s">
        <v>7865</v>
      </c>
      <c r="C3570" s="729" t="s">
        <v>837</v>
      </c>
      <c r="D3570" s="460"/>
      <c r="E3570" s="878" t="s">
        <v>1909</v>
      </c>
      <c r="F3570" s="881" t="s">
        <v>3762</v>
      </c>
      <c r="G3570" s="731" t="s">
        <v>5510</v>
      </c>
      <c r="H3570" s="1083">
        <v>42401</v>
      </c>
      <c r="I3570" s="1084">
        <v>42480</v>
      </c>
      <c r="J3570" s="957">
        <v>2935</v>
      </c>
    </row>
    <row r="3571" spans="1:10" s="852" customFormat="1" ht="28.5" outlineLevel="2">
      <c r="A3571" s="815" t="s">
        <v>980</v>
      </c>
      <c r="B3571" s="816" t="s">
        <v>7866</v>
      </c>
      <c r="C3571" s="729" t="s">
        <v>837</v>
      </c>
      <c r="D3571" s="460"/>
      <c r="E3571" s="878" t="s">
        <v>1909</v>
      </c>
      <c r="F3571" s="881" t="s">
        <v>4956</v>
      </c>
      <c r="G3571" s="731" t="s">
        <v>2833</v>
      </c>
      <c r="H3571" s="1083">
        <v>42401</v>
      </c>
      <c r="I3571" s="1084">
        <v>42480</v>
      </c>
      <c r="J3571" s="957">
        <v>490.03</v>
      </c>
    </row>
    <row r="3572" spans="1:10" s="852" customFormat="1" ht="28.5" outlineLevel="2">
      <c r="A3572" s="815" t="s">
        <v>980</v>
      </c>
      <c r="B3572" s="816" t="s">
        <v>7866</v>
      </c>
      <c r="C3572" s="729" t="s">
        <v>837</v>
      </c>
      <c r="D3572" s="460"/>
      <c r="E3572" s="878" t="s">
        <v>1909</v>
      </c>
      <c r="F3572" s="881" t="s">
        <v>4903</v>
      </c>
      <c r="G3572" s="731" t="s">
        <v>2832</v>
      </c>
      <c r="H3572" s="1083">
        <v>42401</v>
      </c>
      <c r="I3572" s="1084">
        <v>42480</v>
      </c>
      <c r="J3572" s="957">
        <v>15.67</v>
      </c>
    </row>
    <row r="3573" spans="1:10" s="852" customFormat="1" ht="28.5" outlineLevel="2">
      <c r="A3573" s="815" t="s">
        <v>980</v>
      </c>
      <c r="B3573" s="816" t="s">
        <v>7866</v>
      </c>
      <c r="C3573" s="729" t="s">
        <v>837</v>
      </c>
      <c r="D3573" s="460"/>
      <c r="E3573" s="878" t="s">
        <v>1909</v>
      </c>
      <c r="F3573" s="881" t="s">
        <v>4853</v>
      </c>
      <c r="G3573" s="731" t="s">
        <v>2831</v>
      </c>
      <c r="H3573" s="1083">
        <v>42401</v>
      </c>
      <c r="I3573" s="1084">
        <v>42480</v>
      </c>
      <c r="J3573" s="957">
        <v>184.88</v>
      </c>
    </row>
    <row r="3574" spans="1:10" s="852" customFormat="1" ht="28.5" outlineLevel="2">
      <c r="A3574" s="815" t="s">
        <v>840</v>
      </c>
      <c r="B3574" s="816" t="s">
        <v>7863</v>
      </c>
      <c r="C3574" s="729" t="s">
        <v>837</v>
      </c>
      <c r="D3574" s="460"/>
      <c r="E3574" s="878" t="s">
        <v>1909</v>
      </c>
      <c r="F3574" s="881" t="s">
        <v>6414</v>
      </c>
      <c r="G3574" s="731" t="s">
        <v>5489</v>
      </c>
      <c r="H3574" s="1083">
        <v>42370</v>
      </c>
      <c r="I3574" s="1084">
        <v>42480</v>
      </c>
      <c r="J3574" s="957">
        <v>1526.37</v>
      </c>
    </row>
    <row r="3575" spans="1:10" s="852" customFormat="1" ht="28.5" outlineLevel="2">
      <c r="A3575" s="815" t="s">
        <v>840</v>
      </c>
      <c r="B3575" s="816" t="s">
        <v>7863</v>
      </c>
      <c r="C3575" s="729" t="s">
        <v>837</v>
      </c>
      <c r="D3575" s="460"/>
      <c r="E3575" s="878" t="s">
        <v>1909</v>
      </c>
      <c r="F3575" s="881" t="s">
        <v>6414</v>
      </c>
      <c r="G3575" s="731" t="s">
        <v>5490</v>
      </c>
      <c r="H3575" s="1083">
        <v>42370</v>
      </c>
      <c r="I3575" s="1084">
        <v>42480</v>
      </c>
      <c r="J3575" s="957">
        <v>1526.37</v>
      </c>
    </row>
    <row r="3576" spans="1:10" s="852" customFormat="1" ht="28.5" outlineLevel="2">
      <c r="A3576" s="815" t="s">
        <v>840</v>
      </c>
      <c r="B3576" s="816" t="s">
        <v>7863</v>
      </c>
      <c r="C3576" s="729" t="s">
        <v>837</v>
      </c>
      <c r="D3576" s="460"/>
      <c r="E3576" s="878" t="s">
        <v>1909</v>
      </c>
      <c r="F3576" s="881" t="s">
        <v>6414</v>
      </c>
      <c r="G3576" s="731" t="s">
        <v>5491</v>
      </c>
      <c r="H3576" s="1083">
        <v>42370</v>
      </c>
      <c r="I3576" s="1084">
        <v>42480</v>
      </c>
      <c r="J3576" s="957">
        <v>-1526.37</v>
      </c>
    </row>
    <row r="3577" spans="1:10" s="852" customFormat="1" ht="28.5" outlineLevel="2">
      <c r="A3577" s="815" t="s">
        <v>839</v>
      </c>
      <c r="B3577" s="816" t="s">
        <v>7864</v>
      </c>
      <c r="C3577" s="729" t="s">
        <v>837</v>
      </c>
      <c r="D3577" s="460"/>
      <c r="E3577" s="878" t="s">
        <v>1909</v>
      </c>
      <c r="F3577" s="881" t="s">
        <v>2907</v>
      </c>
      <c r="G3577" s="731" t="s">
        <v>5493</v>
      </c>
      <c r="H3577" s="1083">
        <v>42370</v>
      </c>
      <c r="I3577" s="1084">
        <v>42480</v>
      </c>
      <c r="J3577" s="957">
        <v>-155.96</v>
      </c>
    </row>
    <row r="3578" spans="1:10" s="852" customFormat="1" ht="28.5" outlineLevel="2">
      <c r="A3578" s="815" t="s">
        <v>839</v>
      </c>
      <c r="B3578" s="816" t="s">
        <v>7864</v>
      </c>
      <c r="C3578" s="729" t="s">
        <v>837</v>
      </c>
      <c r="D3578" s="460"/>
      <c r="E3578" s="878" t="s">
        <v>1909</v>
      </c>
      <c r="F3578" s="881" t="s">
        <v>2907</v>
      </c>
      <c r="G3578" s="731" t="s">
        <v>5495</v>
      </c>
      <c r="H3578" s="1083">
        <v>42370</v>
      </c>
      <c r="I3578" s="1084">
        <v>42480</v>
      </c>
      <c r="J3578" s="957">
        <v>-155.94999999999999</v>
      </c>
    </row>
    <row r="3579" spans="1:10" s="852" customFormat="1" ht="28.5" outlineLevel="2">
      <c r="A3579" s="815" t="s">
        <v>839</v>
      </c>
      <c r="B3579" s="816" t="s">
        <v>7864</v>
      </c>
      <c r="C3579" s="729" t="s">
        <v>837</v>
      </c>
      <c r="D3579" s="460"/>
      <c r="E3579" s="878" t="s">
        <v>1909</v>
      </c>
      <c r="F3579" s="881" t="s">
        <v>2907</v>
      </c>
      <c r="G3579" s="731" t="s">
        <v>5497</v>
      </c>
      <c r="H3579" s="1083">
        <v>42370</v>
      </c>
      <c r="I3579" s="1084">
        <v>42480</v>
      </c>
      <c r="J3579" s="957">
        <v>155.94999999999999</v>
      </c>
    </row>
    <row r="3580" spans="1:10" s="852" customFormat="1" ht="28.5" outlineLevel="2">
      <c r="A3580" s="815" t="s">
        <v>839</v>
      </c>
      <c r="B3580" s="816" t="s">
        <v>7864</v>
      </c>
      <c r="C3580" s="729" t="s">
        <v>837</v>
      </c>
      <c r="D3580" s="460"/>
      <c r="E3580" s="878" t="s">
        <v>1909</v>
      </c>
      <c r="F3580" s="881" t="s">
        <v>2907</v>
      </c>
      <c r="G3580" s="731" t="s">
        <v>5499</v>
      </c>
      <c r="H3580" s="1083">
        <v>42370</v>
      </c>
      <c r="I3580" s="1084">
        <v>42480</v>
      </c>
      <c r="J3580" s="957">
        <v>155.96</v>
      </c>
    </row>
    <row r="3581" spans="1:10" s="852" customFormat="1" ht="28.5" outlineLevel="2">
      <c r="A3581" s="815" t="s">
        <v>839</v>
      </c>
      <c r="B3581" s="816" t="s">
        <v>7864</v>
      </c>
      <c r="C3581" s="729" t="s">
        <v>837</v>
      </c>
      <c r="D3581" s="460"/>
      <c r="E3581" s="878" t="s">
        <v>1909</v>
      </c>
      <c r="F3581" s="881" t="s">
        <v>2907</v>
      </c>
      <c r="G3581" s="731" t="s">
        <v>5502</v>
      </c>
      <c r="H3581" s="1083">
        <v>42370</v>
      </c>
      <c r="I3581" s="1084">
        <v>42480</v>
      </c>
      <c r="J3581" s="957">
        <v>155.94999999999999</v>
      </c>
    </row>
    <row r="3582" spans="1:10" s="852" customFormat="1" ht="28.5" outlineLevel="2">
      <c r="A3582" s="815" t="s">
        <v>839</v>
      </c>
      <c r="B3582" s="816" t="s">
        <v>7864</v>
      </c>
      <c r="C3582" s="729" t="s">
        <v>837</v>
      </c>
      <c r="D3582" s="460"/>
      <c r="E3582" s="878" t="s">
        <v>1909</v>
      </c>
      <c r="F3582" s="881" t="s">
        <v>3560</v>
      </c>
      <c r="G3582" s="731" t="s">
        <v>5505</v>
      </c>
      <c r="H3582" s="1083">
        <v>42370</v>
      </c>
      <c r="I3582" s="1084">
        <v>42480</v>
      </c>
      <c r="J3582" s="957">
        <v>-230.81</v>
      </c>
    </row>
    <row r="3583" spans="1:10" s="852" customFormat="1" ht="28.5" outlineLevel="2">
      <c r="A3583" s="815" t="s">
        <v>839</v>
      </c>
      <c r="B3583" s="816" t="s">
        <v>7864</v>
      </c>
      <c r="C3583" s="729" t="s">
        <v>837</v>
      </c>
      <c r="D3583" s="460"/>
      <c r="E3583" s="878" t="s">
        <v>1909</v>
      </c>
      <c r="F3583" s="881" t="s">
        <v>3560</v>
      </c>
      <c r="G3583" s="731" t="s">
        <v>5508</v>
      </c>
      <c r="H3583" s="1083">
        <v>42370</v>
      </c>
      <c r="I3583" s="1084">
        <v>42480</v>
      </c>
      <c r="J3583" s="957">
        <v>230.81</v>
      </c>
    </row>
    <row r="3584" spans="1:10" s="852" customFormat="1" ht="28.5" outlineLevel="2">
      <c r="A3584" s="815" t="s">
        <v>839</v>
      </c>
      <c r="B3584" s="816" t="s">
        <v>7864</v>
      </c>
      <c r="C3584" s="729" t="s">
        <v>837</v>
      </c>
      <c r="D3584" s="460"/>
      <c r="E3584" s="878" t="s">
        <v>1909</v>
      </c>
      <c r="F3584" s="881" t="s">
        <v>3560</v>
      </c>
      <c r="G3584" s="731" t="s">
        <v>5511</v>
      </c>
      <c r="H3584" s="1083">
        <v>42370</v>
      </c>
      <c r="I3584" s="1084">
        <v>42480</v>
      </c>
      <c r="J3584" s="957">
        <v>230.81</v>
      </c>
    </row>
    <row r="3585" spans="1:13" s="852" customFormat="1" ht="28.5" outlineLevel="2">
      <c r="A3585" s="815" t="s">
        <v>2285</v>
      </c>
      <c r="B3585" s="816" t="s">
        <v>7865</v>
      </c>
      <c r="C3585" s="729" t="s">
        <v>837</v>
      </c>
      <c r="D3585" s="460"/>
      <c r="E3585" s="878" t="s">
        <v>1909</v>
      </c>
      <c r="F3585" s="881" t="s">
        <v>5010</v>
      </c>
      <c r="G3585" s="731" t="s">
        <v>5517</v>
      </c>
      <c r="H3585" s="1083">
        <v>42401</v>
      </c>
      <c r="I3585" s="1084">
        <v>42480</v>
      </c>
      <c r="J3585" s="957">
        <v>9098.5</v>
      </c>
    </row>
    <row r="3586" spans="1:13" s="852" customFormat="1" outlineLevel="1">
      <c r="A3586" s="815"/>
      <c r="B3586" s="816"/>
      <c r="C3586" s="908" t="s">
        <v>837</v>
      </c>
      <c r="D3586" s="928" t="str">
        <f>VLOOKUP(C3586,$C$3691:$D$3771,2,FALSE)</f>
        <v>TOTAL POUPATEMPO BOTUCATU</v>
      </c>
      <c r="E3586" s="1085"/>
      <c r="F3586" s="929"/>
      <c r="G3586" s="910"/>
      <c r="H3586" s="1086"/>
      <c r="I3586" s="1087"/>
      <c r="J3586" s="930">
        <f>SUBTOTAL(9,J3540:J3585)</f>
        <v>268673.92000000004</v>
      </c>
    </row>
    <row r="3587" spans="1:13" s="479" customFormat="1">
      <c r="A3587" s="849"/>
      <c r="B3587" s="565" t="s">
        <v>258</v>
      </c>
      <c r="C3587" s="571"/>
      <c r="D3587" s="471"/>
      <c r="E3587" s="471"/>
      <c r="F3587" s="471"/>
      <c r="G3587" s="532"/>
      <c r="H3587" s="570"/>
      <c r="I3587" s="575"/>
      <c r="J3587" s="833"/>
    </row>
    <row r="3588" spans="1:13" s="479" customFormat="1" hidden="1">
      <c r="A3588" s="849" t="s">
        <v>989</v>
      </c>
      <c r="B3588" s="565">
        <v>112120502010</v>
      </c>
      <c r="C3588" s="571" t="s">
        <v>518</v>
      </c>
      <c r="D3588" s="471"/>
      <c r="E3588" s="471" t="s">
        <v>2513</v>
      </c>
      <c r="F3588" s="471" t="s">
        <v>429</v>
      </c>
      <c r="G3588" s="532" t="s">
        <v>7836</v>
      </c>
      <c r="H3588" s="570" t="s">
        <v>7849</v>
      </c>
      <c r="I3588" s="573" t="s">
        <v>7850</v>
      </c>
      <c r="J3588" s="833">
        <v>0</v>
      </c>
    </row>
    <row r="3589" spans="1:13" s="852" customFormat="1" ht="15" customHeight="1">
      <c r="A3589" s="702"/>
      <c r="B3589" s="703" t="s">
        <v>258</v>
      </c>
      <c r="C3589" s="829" t="s">
        <v>1893</v>
      </c>
      <c r="D3589" s="705"/>
      <c r="E3589" s="704"/>
      <c r="F3589" s="705"/>
      <c r="G3589" s="704"/>
      <c r="H3589" s="821"/>
      <c r="I3589" s="706"/>
      <c r="J3589" s="834">
        <f>SUM(J3587:J3588)</f>
        <v>0</v>
      </c>
      <c r="K3589" s="817"/>
      <c r="L3589" s="817"/>
      <c r="M3589" s="817"/>
    </row>
    <row r="3590" spans="1:13" s="479" customFormat="1" ht="15" hidden="1" customHeight="1">
      <c r="A3590" s="815" t="s">
        <v>950</v>
      </c>
      <c r="B3590" s="816">
        <v>112120502010</v>
      </c>
      <c r="C3590" s="828" t="s">
        <v>459</v>
      </c>
      <c r="D3590" s="817"/>
      <c r="E3590" s="815" t="s">
        <v>479</v>
      </c>
      <c r="F3590" s="818" t="s">
        <v>429</v>
      </c>
      <c r="G3590" s="837" t="s">
        <v>5707</v>
      </c>
      <c r="H3590" s="820">
        <v>42430</v>
      </c>
      <c r="I3590" s="827">
        <v>42482</v>
      </c>
      <c r="J3590" s="819">
        <v>10540.18</v>
      </c>
    </row>
    <row r="3591" spans="1:13" s="479" customFormat="1" ht="15" hidden="1" customHeight="1">
      <c r="A3591" s="815" t="s">
        <v>955</v>
      </c>
      <c r="B3591" s="816">
        <v>112120502010</v>
      </c>
      <c r="C3591" s="828" t="s">
        <v>458</v>
      </c>
      <c r="D3591" s="817"/>
      <c r="E3591" s="815" t="s">
        <v>479</v>
      </c>
      <c r="F3591" s="818" t="s">
        <v>429</v>
      </c>
      <c r="G3591" s="837" t="s">
        <v>5707</v>
      </c>
      <c r="H3591" s="820">
        <v>42430</v>
      </c>
      <c r="I3591" s="827">
        <v>42482</v>
      </c>
      <c r="J3591" s="819">
        <v>15824.86</v>
      </c>
    </row>
    <row r="3592" spans="1:13" s="479" customFormat="1" ht="15" hidden="1" customHeight="1">
      <c r="A3592" s="815" t="s">
        <v>955</v>
      </c>
      <c r="B3592" s="816">
        <v>112120502010</v>
      </c>
      <c r="C3592" s="828" t="s">
        <v>458</v>
      </c>
      <c r="D3592"/>
      <c r="E3592" s="815" t="s">
        <v>479</v>
      </c>
      <c r="F3592" s="818" t="s">
        <v>429</v>
      </c>
      <c r="G3592" s="837" t="s">
        <v>6483</v>
      </c>
      <c r="H3592" s="820">
        <v>42430</v>
      </c>
      <c r="I3592" s="827">
        <v>42482</v>
      </c>
      <c r="J3592" s="819">
        <v>-6484.01</v>
      </c>
    </row>
    <row r="3593" spans="1:13" s="479" customFormat="1" ht="15" hidden="1" customHeight="1">
      <c r="A3593" s="815" t="s">
        <v>956</v>
      </c>
      <c r="B3593" s="816">
        <v>112120502010</v>
      </c>
      <c r="C3593" s="828" t="s">
        <v>454</v>
      </c>
      <c r="D3593" s="817"/>
      <c r="E3593" s="815" t="s">
        <v>479</v>
      </c>
      <c r="F3593" s="818" t="s">
        <v>429</v>
      </c>
      <c r="G3593" s="837" t="s">
        <v>5707</v>
      </c>
      <c r="H3593" s="820">
        <v>42430</v>
      </c>
      <c r="I3593" s="827">
        <v>42482</v>
      </c>
      <c r="J3593" s="819">
        <v>2814.77</v>
      </c>
    </row>
    <row r="3594" spans="1:13" s="479" customFormat="1" ht="15" hidden="1" customHeight="1">
      <c r="A3594" s="815" t="s">
        <v>957</v>
      </c>
      <c r="B3594" s="816">
        <v>112120502010</v>
      </c>
      <c r="C3594" s="828" t="s">
        <v>456</v>
      </c>
      <c r="D3594" s="817"/>
      <c r="E3594" s="815" t="s">
        <v>479</v>
      </c>
      <c r="F3594" s="818" t="s">
        <v>429</v>
      </c>
      <c r="G3594" s="837" t="s">
        <v>5707</v>
      </c>
      <c r="H3594" s="820">
        <v>42430</v>
      </c>
      <c r="I3594" s="827">
        <v>42482</v>
      </c>
      <c r="J3594" s="819">
        <v>6982.75</v>
      </c>
    </row>
    <row r="3595" spans="1:13" s="479" customFormat="1" ht="15" hidden="1" customHeight="1">
      <c r="A3595" s="815" t="s">
        <v>958</v>
      </c>
      <c r="B3595" s="816">
        <v>112120502010</v>
      </c>
      <c r="C3595" s="828" t="s">
        <v>719</v>
      </c>
      <c r="D3595" s="817"/>
      <c r="E3595" s="815" t="s">
        <v>479</v>
      </c>
      <c r="F3595" s="818" t="s">
        <v>429</v>
      </c>
      <c r="G3595" s="837" t="s">
        <v>5707</v>
      </c>
      <c r="H3595" s="820">
        <v>42430</v>
      </c>
      <c r="I3595" s="827">
        <v>42482</v>
      </c>
      <c r="J3595" s="819">
        <v>4698.8100000000004</v>
      </c>
    </row>
    <row r="3596" spans="1:13" s="479" customFormat="1" ht="15" hidden="1" customHeight="1">
      <c r="A3596" s="815" t="s">
        <v>959</v>
      </c>
      <c r="B3596" s="816">
        <v>112120502010</v>
      </c>
      <c r="C3596" s="828" t="s">
        <v>460</v>
      </c>
      <c r="D3596" s="817"/>
      <c r="E3596" s="815" t="s">
        <v>479</v>
      </c>
      <c r="F3596" s="818" t="s">
        <v>429</v>
      </c>
      <c r="G3596" s="837" t="s">
        <v>5707</v>
      </c>
      <c r="H3596" s="820">
        <v>42430</v>
      </c>
      <c r="I3596" s="827">
        <v>42482</v>
      </c>
      <c r="J3596" s="819">
        <v>18254.07</v>
      </c>
    </row>
    <row r="3597" spans="1:13" s="479" customFormat="1" ht="15" hidden="1" customHeight="1">
      <c r="A3597" s="815" t="s">
        <v>960</v>
      </c>
      <c r="B3597" s="816">
        <v>112120502010</v>
      </c>
      <c r="C3597" s="828" t="s">
        <v>461</v>
      </c>
      <c r="D3597" s="817"/>
      <c r="E3597" s="815" t="s">
        <v>479</v>
      </c>
      <c r="F3597" s="818" t="s">
        <v>429</v>
      </c>
      <c r="G3597" s="837" t="s">
        <v>5707</v>
      </c>
      <c r="H3597" s="820">
        <v>42430</v>
      </c>
      <c r="I3597" s="827">
        <v>42482</v>
      </c>
      <c r="J3597" s="819">
        <v>11164.09</v>
      </c>
    </row>
    <row r="3598" spans="1:13" s="479" customFormat="1" ht="15" hidden="1" customHeight="1">
      <c r="A3598" s="815" t="s">
        <v>961</v>
      </c>
      <c r="B3598" s="816">
        <v>112120502010</v>
      </c>
      <c r="C3598" s="828" t="s">
        <v>463</v>
      </c>
      <c r="D3598" s="817"/>
      <c r="E3598" s="815" t="s">
        <v>479</v>
      </c>
      <c r="F3598" s="818" t="s">
        <v>429</v>
      </c>
      <c r="G3598" s="837" t="s">
        <v>5707</v>
      </c>
      <c r="H3598" s="820">
        <v>42430</v>
      </c>
      <c r="I3598" s="827">
        <v>42482</v>
      </c>
      <c r="J3598" s="819">
        <v>12541.42</v>
      </c>
    </row>
    <row r="3599" spans="1:13" s="479" customFormat="1" ht="15" hidden="1" customHeight="1">
      <c r="A3599" s="815" t="s">
        <v>962</v>
      </c>
      <c r="B3599" s="816">
        <v>112120502010</v>
      </c>
      <c r="C3599" s="828" t="s">
        <v>465</v>
      </c>
      <c r="D3599" s="817"/>
      <c r="E3599" s="815" t="s">
        <v>479</v>
      </c>
      <c r="F3599" s="818" t="s">
        <v>429</v>
      </c>
      <c r="G3599" s="837" t="s">
        <v>5707</v>
      </c>
      <c r="H3599" s="820">
        <v>42430</v>
      </c>
      <c r="I3599" s="827">
        <v>42482</v>
      </c>
      <c r="J3599" s="819">
        <v>8669.58</v>
      </c>
    </row>
    <row r="3600" spans="1:13" s="479" customFormat="1" ht="15" hidden="1" customHeight="1">
      <c r="A3600" s="815" t="s">
        <v>963</v>
      </c>
      <c r="B3600" s="816">
        <v>112120502010</v>
      </c>
      <c r="C3600" s="828" t="s">
        <v>466</v>
      </c>
      <c r="D3600" s="817"/>
      <c r="E3600" s="815" t="s">
        <v>479</v>
      </c>
      <c r="F3600" s="818" t="s">
        <v>429</v>
      </c>
      <c r="G3600" s="837" t="s">
        <v>5707</v>
      </c>
      <c r="H3600" s="820">
        <v>42430</v>
      </c>
      <c r="I3600" s="827">
        <v>42482</v>
      </c>
      <c r="J3600" s="819">
        <v>5806.15</v>
      </c>
    </row>
    <row r="3601" spans="1:10" s="479" customFormat="1" ht="15" hidden="1" customHeight="1">
      <c r="A3601" s="815" t="s">
        <v>964</v>
      </c>
      <c r="B3601" s="816">
        <v>112120502010</v>
      </c>
      <c r="C3601" s="828" t="s">
        <v>783</v>
      </c>
      <c r="D3601" s="817"/>
      <c r="E3601" s="815" t="s">
        <v>479</v>
      </c>
      <c r="F3601" s="818" t="s">
        <v>429</v>
      </c>
      <c r="G3601" s="837" t="s">
        <v>5707</v>
      </c>
      <c r="H3601" s="820">
        <v>42430</v>
      </c>
      <c r="I3601" s="827">
        <v>42482</v>
      </c>
      <c r="J3601" s="819">
        <v>7100.24</v>
      </c>
    </row>
    <row r="3602" spans="1:10" s="479" customFormat="1" ht="15" hidden="1" customHeight="1">
      <c r="A3602" s="815" t="s">
        <v>965</v>
      </c>
      <c r="B3602" s="816">
        <v>112120502010</v>
      </c>
      <c r="C3602" s="828" t="s">
        <v>794</v>
      </c>
      <c r="D3602" s="817"/>
      <c r="E3602" s="815" t="s">
        <v>479</v>
      </c>
      <c r="F3602" s="818" t="s">
        <v>429</v>
      </c>
      <c r="G3602" s="837" t="s">
        <v>5707</v>
      </c>
      <c r="H3602" s="820">
        <v>42430</v>
      </c>
      <c r="I3602" s="827">
        <v>42482</v>
      </c>
      <c r="J3602" s="819">
        <v>8435.73</v>
      </c>
    </row>
    <row r="3603" spans="1:10" s="479" customFormat="1" ht="15" hidden="1" customHeight="1">
      <c r="A3603" s="815" t="s">
        <v>967</v>
      </c>
      <c r="B3603" s="816">
        <v>112120502010</v>
      </c>
      <c r="C3603" s="828" t="s">
        <v>789</v>
      </c>
      <c r="D3603" s="817"/>
      <c r="E3603" s="815" t="s">
        <v>479</v>
      </c>
      <c r="F3603" s="818" t="s">
        <v>429</v>
      </c>
      <c r="G3603" s="837" t="s">
        <v>5707</v>
      </c>
      <c r="H3603" s="820">
        <v>42430</v>
      </c>
      <c r="I3603" s="827">
        <v>42482</v>
      </c>
      <c r="J3603" s="819">
        <v>8448.6</v>
      </c>
    </row>
    <row r="3604" spans="1:10" s="479" customFormat="1" ht="15" hidden="1" customHeight="1">
      <c r="A3604" s="815" t="s">
        <v>968</v>
      </c>
      <c r="B3604" s="816">
        <v>112120502010</v>
      </c>
      <c r="C3604" s="828" t="s">
        <v>799</v>
      </c>
      <c r="D3604" s="817"/>
      <c r="E3604" s="815" t="s">
        <v>479</v>
      </c>
      <c r="F3604" s="818" t="s">
        <v>429</v>
      </c>
      <c r="G3604" s="837" t="s">
        <v>5707</v>
      </c>
      <c r="H3604" s="820">
        <v>42430</v>
      </c>
      <c r="I3604" s="827">
        <v>42482</v>
      </c>
      <c r="J3604" s="819">
        <v>9099.58</v>
      </c>
    </row>
    <row r="3605" spans="1:10" s="479" customFormat="1" ht="15" hidden="1" customHeight="1">
      <c r="A3605" s="815" t="s">
        <v>974</v>
      </c>
      <c r="B3605" s="816">
        <v>112120502010</v>
      </c>
      <c r="C3605" s="828" t="s">
        <v>680</v>
      </c>
      <c r="D3605" s="817"/>
      <c r="E3605" s="815" t="s">
        <v>479</v>
      </c>
      <c r="F3605" s="818" t="s">
        <v>429</v>
      </c>
      <c r="G3605" s="837" t="s">
        <v>5707</v>
      </c>
      <c r="H3605" s="820">
        <v>42430</v>
      </c>
      <c r="I3605" s="827">
        <v>42482</v>
      </c>
      <c r="J3605" s="819">
        <v>299.08999999999997</v>
      </c>
    </row>
    <row r="3606" spans="1:10" s="479" customFormat="1" ht="15" hidden="1" customHeight="1">
      <c r="A3606" s="815" t="s">
        <v>975</v>
      </c>
      <c r="B3606" s="816">
        <v>112120502010</v>
      </c>
      <c r="C3606" s="828" t="s">
        <v>506</v>
      </c>
      <c r="D3606" s="817"/>
      <c r="E3606" s="815" t="s">
        <v>479</v>
      </c>
      <c r="F3606" s="818" t="s">
        <v>429</v>
      </c>
      <c r="G3606" s="837" t="s">
        <v>5707</v>
      </c>
      <c r="H3606" s="820">
        <v>42430</v>
      </c>
      <c r="I3606" s="827">
        <v>42482</v>
      </c>
      <c r="J3606" s="819">
        <v>8005.8</v>
      </c>
    </row>
    <row r="3607" spans="1:10" s="479" customFormat="1" ht="15" hidden="1" customHeight="1">
      <c r="A3607" s="815" t="s">
        <v>976</v>
      </c>
      <c r="B3607" s="816">
        <v>112120502010</v>
      </c>
      <c r="C3607" s="828" t="s">
        <v>472</v>
      </c>
      <c r="D3607" s="817"/>
      <c r="E3607" s="815" t="s">
        <v>479</v>
      </c>
      <c r="F3607" s="818" t="s">
        <v>429</v>
      </c>
      <c r="G3607" s="837" t="s">
        <v>5707</v>
      </c>
      <c r="H3607" s="820">
        <v>42430</v>
      </c>
      <c r="I3607" s="827">
        <v>42482</v>
      </c>
      <c r="J3607" s="819">
        <v>3086.86</v>
      </c>
    </row>
    <row r="3608" spans="1:10" s="479" customFormat="1" ht="15" hidden="1" customHeight="1">
      <c r="A3608" s="815" t="s">
        <v>977</v>
      </c>
      <c r="B3608" s="816">
        <v>112120502010</v>
      </c>
      <c r="C3608" s="828" t="s">
        <v>812</v>
      </c>
      <c r="D3608" s="817"/>
      <c r="E3608" s="815" t="s">
        <v>479</v>
      </c>
      <c r="F3608" s="818" t="s">
        <v>429</v>
      </c>
      <c r="G3608" s="837" t="s">
        <v>5707</v>
      </c>
      <c r="H3608" s="820">
        <v>42430</v>
      </c>
      <c r="I3608" s="827">
        <v>42482</v>
      </c>
      <c r="J3608" s="819">
        <v>3460.19</v>
      </c>
    </row>
    <row r="3609" spans="1:10" s="479" customFormat="1" ht="15" hidden="1" customHeight="1">
      <c r="A3609" s="815" t="s">
        <v>978</v>
      </c>
      <c r="B3609" s="816">
        <v>112120502010</v>
      </c>
      <c r="C3609" s="828" t="s">
        <v>474</v>
      </c>
      <c r="D3609" s="817"/>
      <c r="E3609" s="815" t="s">
        <v>479</v>
      </c>
      <c r="F3609" s="818" t="s">
        <v>429</v>
      </c>
      <c r="G3609" s="837" t="s">
        <v>5707</v>
      </c>
      <c r="H3609" s="820">
        <v>42430</v>
      </c>
      <c r="I3609" s="827">
        <v>42482</v>
      </c>
      <c r="J3609" s="819">
        <v>2098.9699999999998</v>
      </c>
    </row>
    <row r="3610" spans="1:10" s="479" customFormat="1" ht="15" hidden="1" customHeight="1">
      <c r="A3610" s="815" t="s">
        <v>979</v>
      </c>
      <c r="B3610" s="816">
        <v>112120502010</v>
      </c>
      <c r="C3610" s="828" t="s">
        <v>496</v>
      </c>
      <c r="D3610" s="817"/>
      <c r="E3610" s="815" t="s">
        <v>479</v>
      </c>
      <c r="F3610" s="818" t="s">
        <v>429</v>
      </c>
      <c r="G3610" s="837" t="s">
        <v>5707</v>
      </c>
      <c r="H3610" s="820">
        <v>42430</v>
      </c>
      <c r="I3610" s="827">
        <v>42482</v>
      </c>
      <c r="J3610" s="819">
        <v>2715.07</v>
      </c>
    </row>
    <row r="3611" spans="1:10" s="479" customFormat="1" ht="15" hidden="1" customHeight="1">
      <c r="A3611" s="815" t="s">
        <v>980</v>
      </c>
      <c r="B3611" s="816">
        <v>112120502010</v>
      </c>
      <c r="C3611" s="828" t="s">
        <v>837</v>
      </c>
      <c r="D3611" s="817"/>
      <c r="E3611" s="815" t="s">
        <v>479</v>
      </c>
      <c r="F3611" s="818" t="s">
        <v>429</v>
      </c>
      <c r="G3611" s="837" t="s">
        <v>5707</v>
      </c>
      <c r="H3611" s="820">
        <v>42430</v>
      </c>
      <c r="I3611" s="827">
        <v>42482</v>
      </c>
      <c r="J3611" s="819">
        <v>2475.1799999999998</v>
      </c>
    </row>
    <row r="3612" spans="1:10" s="479" customFormat="1" ht="15" hidden="1" customHeight="1">
      <c r="A3612" s="815" t="s">
        <v>981</v>
      </c>
      <c r="B3612" s="816">
        <v>112120502010</v>
      </c>
      <c r="C3612" s="828" t="s">
        <v>476</v>
      </c>
      <c r="D3612" s="817"/>
      <c r="E3612" s="815" t="s">
        <v>479</v>
      </c>
      <c r="F3612" s="818" t="s">
        <v>429</v>
      </c>
      <c r="G3612" s="837" t="s">
        <v>5707</v>
      </c>
      <c r="H3612" s="820">
        <v>42430</v>
      </c>
      <c r="I3612" s="827">
        <v>42482</v>
      </c>
      <c r="J3612" s="819">
        <v>1765.5</v>
      </c>
    </row>
    <row r="3613" spans="1:10" s="479" customFormat="1" ht="15" hidden="1" customHeight="1">
      <c r="A3613" s="815" t="s">
        <v>983</v>
      </c>
      <c r="B3613" s="816">
        <v>112120502010</v>
      </c>
      <c r="C3613" s="828" t="s">
        <v>829</v>
      </c>
      <c r="D3613" s="817"/>
      <c r="E3613" s="815" t="s">
        <v>479</v>
      </c>
      <c r="F3613" s="818" t="s">
        <v>429</v>
      </c>
      <c r="G3613" s="837" t="s">
        <v>5707</v>
      </c>
      <c r="H3613" s="820">
        <v>42430</v>
      </c>
      <c r="I3613" s="827">
        <v>42482</v>
      </c>
      <c r="J3613" s="819">
        <v>4580.2700000000004</v>
      </c>
    </row>
    <row r="3614" spans="1:10" s="479" customFormat="1" ht="15" hidden="1" customHeight="1">
      <c r="A3614" s="815" t="s">
        <v>984</v>
      </c>
      <c r="B3614" s="816">
        <v>112120502010</v>
      </c>
      <c r="C3614" s="828" t="s">
        <v>502</v>
      </c>
      <c r="D3614" s="817"/>
      <c r="E3614" s="815" t="s">
        <v>479</v>
      </c>
      <c r="F3614" s="818" t="s">
        <v>429</v>
      </c>
      <c r="G3614" s="837" t="s">
        <v>5707</v>
      </c>
      <c r="H3614" s="820">
        <v>42430</v>
      </c>
      <c r="I3614" s="827">
        <v>42482</v>
      </c>
      <c r="J3614" s="819">
        <v>1704.54</v>
      </c>
    </row>
    <row r="3615" spans="1:10" s="479" customFormat="1" ht="15" hidden="1" customHeight="1">
      <c r="A3615" s="815" t="s">
        <v>985</v>
      </c>
      <c r="B3615" s="816">
        <v>112120502010</v>
      </c>
      <c r="C3615" s="828" t="s">
        <v>822</v>
      </c>
      <c r="D3615" s="817"/>
      <c r="E3615" s="815" t="s">
        <v>479</v>
      </c>
      <c r="F3615" s="818" t="s">
        <v>429</v>
      </c>
      <c r="G3615" s="837" t="s">
        <v>5707</v>
      </c>
      <c r="H3615" s="820">
        <v>42430</v>
      </c>
      <c r="I3615" s="827">
        <v>42482</v>
      </c>
      <c r="J3615" s="819">
        <v>2630</v>
      </c>
    </row>
    <row r="3616" spans="1:10" s="479" customFormat="1" ht="15" hidden="1" customHeight="1">
      <c r="A3616" s="815" t="s">
        <v>986</v>
      </c>
      <c r="B3616" s="816">
        <v>112120502010</v>
      </c>
      <c r="C3616" s="828" t="s">
        <v>826</v>
      </c>
      <c r="D3616" s="817"/>
      <c r="E3616" s="815" t="s">
        <v>479</v>
      </c>
      <c r="F3616" s="818" t="s">
        <v>429</v>
      </c>
      <c r="G3616" s="837" t="s">
        <v>5707</v>
      </c>
      <c r="H3616" s="820">
        <v>42430</v>
      </c>
      <c r="I3616" s="827">
        <v>42482</v>
      </c>
      <c r="J3616" s="819">
        <v>2269.81</v>
      </c>
    </row>
    <row r="3617" spans="1:10" s="479" customFormat="1" ht="15" hidden="1" customHeight="1">
      <c r="A3617" s="815" t="s">
        <v>987</v>
      </c>
      <c r="B3617" s="816">
        <v>112120502010</v>
      </c>
      <c r="C3617" s="828" t="s">
        <v>486</v>
      </c>
      <c r="D3617" s="817"/>
      <c r="E3617" s="815" t="s">
        <v>479</v>
      </c>
      <c r="F3617" s="818" t="s">
        <v>429</v>
      </c>
      <c r="G3617" s="837" t="s">
        <v>5707</v>
      </c>
      <c r="H3617" s="820">
        <v>42430</v>
      </c>
      <c r="I3617" s="827">
        <v>42482</v>
      </c>
      <c r="J3617" s="819">
        <v>2385.75</v>
      </c>
    </row>
    <row r="3618" spans="1:10" s="479" customFormat="1" ht="15" hidden="1" customHeight="1">
      <c r="A3618" s="815" t="s">
        <v>988</v>
      </c>
      <c r="B3618" s="816">
        <v>112120502010</v>
      </c>
      <c r="C3618" s="828" t="s">
        <v>833</v>
      </c>
      <c r="D3618" s="817"/>
      <c r="E3618" s="815" t="s">
        <v>479</v>
      </c>
      <c r="F3618" s="818" t="s">
        <v>429</v>
      </c>
      <c r="G3618" s="837" t="s">
        <v>5707</v>
      </c>
      <c r="H3618" s="820">
        <v>42430</v>
      </c>
      <c r="I3618" s="827">
        <v>42482</v>
      </c>
      <c r="J3618" s="819">
        <v>1742.86</v>
      </c>
    </row>
    <row r="3619" spans="1:10" s="479" customFormat="1" ht="15" hidden="1" customHeight="1">
      <c r="A3619" s="815" t="s">
        <v>989</v>
      </c>
      <c r="B3619" s="816">
        <v>112120502010</v>
      </c>
      <c r="C3619" s="828" t="s">
        <v>518</v>
      </c>
      <c r="D3619" s="817"/>
      <c r="E3619" s="815" t="s">
        <v>479</v>
      </c>
      <c r="F3619" s="818" t="s">
        <v>429</v>
      </c>
      <c r="G3619" s="837" t="s">
        <v>5707</v>
      </c>
      <c r="H3619" s="820">
        <v>42430</v>
      </c>
      <c r="I3619" s="827">
        <v>42482</v>
      </c>
      <c r="J3619" s="819">
        <v>3621.2</v>
      </c>
    </row>
    <row r="3620" spans="1:10" s="479" customFormat="1" ht="15" hidden="1" customHeight="1">
      <c r="A3620" s="815" t="s">
        <v>990</v>
      </c>
      <c r="B3620" s="816">
        <v>112120502010</v>
      </c>
      <c r="C3620" s="828" t="s">
        <v>513</v>
      </c>
      <c r="D3620" s="817"/>
      <c r="E3620" s="815" t="s">
        <v>479</v>
      </c>
      <c r="F3620" s="818" t="s">
        <v>429</v>
      </c>
      <c r="G3620" s="837" t="s">
        <v>5707</v>
      </c>
      <c r="H3620" s="820">
        <v>42430</v>
      </c>
      <c r="I3620" s="827">
        <v>42482</v>
      </c>
      <c r="J3620" s="819">
        <v>3561.3</v>
      </c>
    </row>
    <row r="3621" spans="1:10" s="479" customFormat="1" ht="15" hidden="1" customHeight="1">
      <c r="A3621" s="815" t="s">
        <v>991</v>
      </c>
      <c r="B3621" s="816">
        <v>112120502010</v>
      </c>
      <c r="C3621" s="828" t="s">
        <v>525</v>
      </c>
      <c r="D3621" s="817"/>
      <c r="E3621" s="815" t="s">
        <v>479</v>
      </c>
      <c r="F3621" s="818" t="s">
        <v>429</v>
      </c>
      <c r="G3621" s="837" t="s">
        <v>5707</v>
      </c>
      <c r="H3621" s="820">
        <v>42430</v>
      </c>
      <c r="I3621" s="827">
        <v>42482</v>
      </c>
      <c r="J3621" s="819">
        <v>3721.74</v>
      </c>
    </row>
    <row r="3622" spans="1:10" s="479" customFormat="1" ht="15" hidden="1" customHeight="1">
      <c r="A3622" s="815" t="s">
        <v>992</v>
      </c>
      <c r="B3622" s="816">
        <v>112120502010</v>
      </c>
      <c r="C3622" s="828" t="s">
        <v>535</v>
      </c>
      <c r="D3622" s="817"/>
      <c r="E3622" s="815" t="s">
        <v>479</v>
      </c>
      <c r="F3622" s="818" t="s">
        <v>429</v>
      </c>
      <c r="G3622" s="837" t="s">
        <v>5707</v>
      </c>
      <c r="H3622" s="820">
        <v>42430</v>
      </c>
      <c r="I3622" s="827">
        <v>42482</v>
      </c>
      <c r="J3622" s="819">
        <v>5454.47</v>
      </c>
    </row>
    <row r="3623" spans="1:10" s="479" customFormat="1" ht="15" hidden="1" customHeight="1">
      <c r="A3623" s="815" t="s">
        <v>993</v>
      </c>
      <c r="B3623" s="816">
        <v>112120502010</v>
      </c>
      <c r="C3623" s="828" t="s">
        <v>540</v>
      </c>
      <c r="D3623" s="817"/>
      <c r="E3623" s="815" t="s">
        <v>479</v>
      </c>
      <c r="F3623" s="818" t="s">
        <v>429</v>
      </c>
      <c r="G3623" s="837" t="s">
        <v>5707</v>
      </c>
      <c r="H3623" s="820">
        <v>42430</v>
      </c>
      <c r="I3623" s="827">
        <v>42482</v>
      </c>
      <c r="J3623" s="819">
        <v>1157.3399999999999</v>
      </c>
    </row>
    <row r="3624" spans="1:10" s="479" customFormat="1" ht="15" hidden="1" customHeight="1">
      <c r="A3624" s="815" t="s">
        <v>994</v>
      </c>
      <c r="B3624" s="816">
        <v>112120502010</v>
      </c>
      <c r="C3624" s="828" t="s">
        <v>551</v>
      </c>
      <c r="D3624" s="817"/>
      <c r="E3624" s="815" t="s">
        <v>479</v>
      </c>
      <c r="F3624" s="818" t="s">
        <v>429</v>
      </c>
      <c r="G3624" s="837" t="s">
        <v>5707</v>
      </c>
      <c r="H3624" s="820">
        <v>42430</v>
      </c>
      <c r="I3624" s="827">
        <v>42482</v>
      </c>
      <c r="J3624" s="819">
        <v>1296.1199999999999</v>
      </c>
    </row>
    <row r="3625" spans="1:10" s="479" customFormat="1" ht="15" hidden="1" customHeight="1">
      <c r="A3625" s="815" t="s">
        <v>995</v>
      </c>
      <c r="B3625" s="816">
        <v>112120502010</v>
      </c>
      <c r="C3625" s="828" t="s">
        <v>578</v>
      </c>
      <c r="D3625" s="817"/>
      <c r="E3625" s="815" t="s">
        <v>479</v>
      </c>
      <c r="F3625" s="818" t="s">
        <v>429</v>
      </c>
      <c r="G3625" s="837" t="s">
        <v>5707</v>
      </c>
      <c r="H3625" s="820">
        <v>42430</v>
      </c>
      <c r="I3625" s="827">
        <v>42482</v>
      </c>
      <c r="J3625" s="819">
        <v>1665.17</v>
      </c>
    </row>
    <row r="3626" spans="1:10" s="479" customFormat="1" ht="15" hidden="1" customHeight="1">
      <c r="A3626" s="815" t="s">
        <v>996</v>
      </c>
      <c r="B3626" s="816">
        <v>112120502010</v>
      </c>
      <c r="C3626" s="828" t="s">
        <v>587</v>
      </c>
      <c r="D3626" s="817"/>
      <c r="E3626" s="815" t="s">
        <v>479</v>
      </c>
      <c r="F3626" s="818" t="s">
        <v>429</v>
      </c>
      <c r="G3626" s="837" t="s">
        <v>5707</v>
      </c>
      <c r="H3626" s="820">
        <v>42430</v>
      </c>
      <c r="I3626" s="827">
        <v>42482</v>
      </c>
      <c r="J3626" s="819">
        <v>1758.75</v>
      </c>
    </row>
    <row r="3627" spans="1:10" s="479" customFormat="1" ht="15" hidden="1" customHeight="1">
      <c r="A3627" s="815" t="s">
        <v>997</v>
      </c>
      <c r="B3627" s="816">
        <v>112120502010</v>
      </c>
      <c r="C3627" s="828" t="s">
        <v>591</v>
      </c>
      <c r="D3627" s="817"/>
      <c r="E3627" s="815" t="s">
        <v>479</v>
      </c>
      <c r="F3627" s="818" t="s">
        <v>429</v>
      </c>
      <c r="G3627" s="837" t="s">
        <v>5707</v>
      </c>
      <c r="H3627" s="820">
        <v>42430</v>
      </c>
      <c r="I3627" s="827">
        <v>42482</v>
      </c>
      <c r="J3627" s="819">
        <v>2375.63</v>
      </c>
    </row>
    <row r="3628" spans="1:10" s="479" customFormat="1" ht="15" hidden="1" customHeight="1">
      <c r="A3628" s="815" t="s">
        <v>998</v>
      </c>
      <c r="B3628" s="816">
        <v>112120502010</v>
      </c>
      <c r="C3628" s="828" t="s">
        <v>604</v>
      </c>
      <c r="D3628" s="817"/>
      <c r="E3628" s="815" t="s">
        <v>479</v>
      </c>
      <c r="F3628" s="818" t="s">
        <v>429</v>
      </c>
      <c r="G3628" s="837" t="s">
        <v>5707</v>
      </c>
      <c r="H3628" s="820">
        <v>42430</v>
      </c>
      <c r="I3628" s="827">
        <v>42482</v>
      </c>
      <c r="J3628" s="819">
        <v>1260.4100000000001</v>
      </c>
    </row>
    <row r="3629" spans="1:10" s="479" customFormat="1" ht="15" hidden="1" customHeight="1">
      <c r="A3629" s="815" t="s">
        <v>2593</v>
      </c>
      <c r="B3629" s="816">
        <v>112120502010</v>
      </c>
      <c r="C3629" s="828" t="s">
        <v>2051</v>
      </c>
      <c r="D3629" s="817"/>
      <c r="E3629" s="815" t="s">
        <v>479</v>
      </c>
      <c r="F3629" s="818" t="s">
        <v>429</v>
      </c>
      <c r="G3629" s="837" t="s">
        <v>5707</v>
      </c>
      <c r="H3629" s="820">
        <v>42430</v>
      </c>
      <c r="I3629" s="827">
        <v>42482</v>
      </c>
      <c r="J3629" s="819">
        <v>2232.62</v>
      </c>
    </row>
    <row r="3630" spans="1:10" s="479" customFormat="1" ht="15" hidden="1" customHeight="1">
      <c r="A3630" s="815" t="s">
        <v>999</v>
      </c>
      <c r="B3630" s="816">
        <v>112120502010</v>
      </c>
      <c r="C3630" s="828" t="s">
        <v>629</v>
      </c>
      <c r="D3630" s="817"/>
      <c r="E3630" s="815" t="s">
        <v>479</v>
      </c>
      <c r="F3630" s="818" t="s">
        <v>429</v>
      </c>
      <c r="G3630" s="837" t="s">
        <v>5707</v>
      </c>
      <c r="H3630" s="820">
        <v>42430</v>
      </c>
      <c r="I3630" s="827">
        <v>42482</v>
      </c>
      <c r="J3630" s="819">
        <v>1355.04</v>
      </c>
    </row>
    <row r="3631" spans="1:10" s="479" customFormat="1" ht="15" hidden="1" customHeight="1">
      <c r="A3631" s="815" t="s">
        <v>1000</v>
      </c>
      <c r="B3631" s="816">
        <v>112120502010</v>
      </c>
      <c r="C3631" s="828" t="s">
        <v>640</v>
      </c>
      <c r="D3631" s="817"/>
      <c r="E3631" s="815" t="s">
        <v>479</v>
      </c>
      <c r="F3631" s="818" t="s">
        <v>429</v>
      </c>
      <c r="G3631" s="837" t="s">
        <v>5707</v>
      </c>
      <c r="H3631" s="820">
        <v>42430</v>
      </c>
      <c r="I3631" s="827">
        <v>42482</v>
      </c>
      <c r="J3631" s="819">
        <v>2365.86</v>
      </c>
    </row>
    <row r="3632" spans="1:10" s="479" customFormat="1" ht="15" hidden="1" customHeight="1">
      <c r="A3632" s="815" t="s">
        <v>1001</v>
      </c>
      <c r="B3632" s="816">
        <v>112120502010</v>
      </c>
      <c r="C3632" s="828" t="s">
        <v>645</v>
      </c>
      <c r="D3632" s="817"/>
      <c r="E3632" s="815" t="s">
        <v>479</v>
      </c>
      <c r="F3632" s="818" t="s">
        <v>429</v>
      </c>
      <c r="G3632" s="837" t="s">
        <v>5707</v>
      </c>
      <c r="H3632" s="820">
        <v>42430</v>
      </c>
      <c r="I3632" s="827">
        <v>42482</v>
      </c>
      <c r="J3632" s="819">
        <v>676.99</v>
      </c>
    </row>
    <row r="3633" spans="1:10" s="479" customFormat="1" ht="15" hidden="1" customHeight="1">
      <c r="A3633" s="815" t="s">
        <v>1002</v>
      </c>
      <c r="B3633" s="816">
        <v>112120502010</v>
      </c>
      <c r="C3633" s="828" t="s">
        <v>650</v>
      </c>
      <c r="D3633" s="817"/>
      <c r="E3633" s="815" t="s">
        <v>479</v>
      </c>
      <c r="F3633" s="818" t="s">
        <v>429</v>
      </c>
      <c r="G3633" s="837" t="s">
        <v>5707</v>
      </c>
      <c r="H3633" s="820">
        <v>42430</v>
      </c>
      <c r="I3633" s="827">
        <v>42482</v>
      </c>
      <c r="J3633" s="819">
        <v>1048.99</v>
      </c>
    </row>
    <row r="3634" spans="1:10" s="479" customFormat="1" ht="15" hidden="1" customHeight="1">
      <c r="A3634" s="815" t="s">
        <v>1003</v>
      </c>
      <c r="B3634" s="816">
        <v>112120502010</v>
      </c>
      <c r="C3634" s="828" t="s">
        <v>659</v>
      </c>
      <c r="D3634" s="817"/>
      <c r="E3634" s="815" t="s">
        <v>479</v>
      </c>
      <c r="F3634" s="818" t="s">
        <v>429</v>
      </c>
      <c r="G3634" s="837" t="s">
        <v>5707</v>
      </c>
      <c r="H3634" s="820">
        <v>42430</v>
      </c>
      <c r="I3634" s="827">
        <v>42482</v>
      </c>
      <c r="J3634" s="819">
        <v>1245.92</v>
      </c>
    </row>
    <row r="3635" spans="1:10" s="479" customFormat="1" ht="15" hidden="1" customHeight="1">
      <c r="A3635" s="815" t="s">
        <v>1004</v>
      </c>
      <c r="B3635" s="816">
        <v>112120502010</v>
      </c>
      <c r="C3635" s="828" t="s">
        <v>544</v>
      </c>
      <c r="D3635" s="817"/>
      <c r="E3635" s="815" t="s">
        <v>479</v>
      </c>
      <c r="F3635" s="818" t="s">
        <v>429</v>
      </c>
      <c r="G3635" s="837" t="s">
        <v>5707</v>
      </c>
      <c r="H3635" s="820">
        <v>42430</v>
      </c>
      <c r="I3635" s="827">
        <v>42482</v>
      </c>
      <c r="J3635" s="819">
        <v>960.97</v>
      </c>
    </row>
    <row r="3636" spans="1:10" s="479" customFormat="1" ht="15" hidden="1" customHeight="1">
      <c r="A3636" s="815" t="s">
        <v>1005</v>
      </c>
      <c r="B3636" s="816">
        <v>112120502010</v>
      </c>
      <c r="C3636" s="828" t="s">
        <v>556</v>
      </c>
      <c r="D3636" s="817"/>
      <c r="E3636" s="815" t="s">
        <v>479</v>
      </c>
      <c r="F3636" s="818" t="s">
        <v>429</v>
      </c>
      <c r="G3636" s="837" t="s">
        <v>5707</v>
      </c>
      <c r="H3636" s="820">
        <v>42430</v>
      </c>
      <c r="I3636" s="827">
        <v>42482</v>
      </c>
      <c r="J3636" s="819">
        <v>933.12</v>
      </c>
    </row>
    <row r="3637" spans="1:10" s="479" customFormat="1" ht="15" hidden="1" customHeight="1">
      <c r="A3637" s="815" t="s">
        <v>1006</v>
      </c>
      <c r="B3637" s="816">
        <v>112120502010</v>
      </c>
      <c r="C3637" s="828" t="s">
        <v>559</v>
      </c>
      <c r="D3637" s="817"/>
      <c r="E3637" s="815" t="s">
        <v>479</v>
      </c>
      <c r="F3637" s="818" t="s">
        <v>429</v>
      </c>
      <c r="G3637" s="837" t="s">
        <v>5707</v>
      </c>
      <c r="H3637" s="820">
        <v>42430</v>
      </c>
      <c r="I3637" s="827">
        <v>42482</v>
      </c>
      <c r="J3637" s="819">
        <v>701.39</v>
      </c>
    </row>
    <row r="3638" spans="1:10" s="479" customFormat="1" ht="15" hidden="1" customHeight="1">
      <c r="A3638" s="815" t="s">
        <v>1007</v>
      </c>
      <c r="B3638" s="816">
        <v>112120502010</v>
      </c>
      <c r="C3638" s="828" t="s">
        <v>563</v>
      </c>
      <c r="D3638" s="817"/>
      <c r="E3638" s="815" t="s">
        <v>479</v>
      </c>
      <c r="F3638" s="818" t="s">
        <v>429</v>
      </c>
      <c r="G3638" s="837" t="s">
        <v>5707</v>
      </c>
      <c r="H3638" s="820">
        <v>42430</v>
      </c>
      <c r="I3638" s="827">
        <v>42482</v>
      </c>
      <c r="J3638" s="819">
        <v>1811.27</v>
      </c>
    </row>
    <row r="3639" spans="1:10" s="479" customFormat="1" ht="15" hidden="1" customHeight="1">
      <c r="A3639" s="815" t="s">
        <v>1008</v>
      </c>
      <c r="B3639" s="816">
        <v>112120502010</v>
      </c>
      <c r="C3639" s="828" t="s">
        <v>566</v>
      </c>
      <c r="D3639" s="817"/>
      <c r="E3639" s="815" t="s">
        <v>479</v>
      </c>
      <c r="F3639" s="818" t="s">
        <v>429</v>
      </c>
      <c r="G3639" s="837" t="s">
        <v>5707</v>
      </c>
      <c r="H3639" s="820">
        <v>42430</v>
      </c>
      <c r="I3639" s="827">
        <v>42482</v>
      </c>
      <c r="J3639" s="819">
        <v>1030.3599999999999</v>
      </c>
    </row>
    <row r="3640" spans="1:10" s="479" customFormat="1" ht="15" hidden="1" customHeight="1">
      <c r="A3640" s="815" t="s">
        <v>1009</v>
      </c>
      <c r="B3640" s="816">
        <v>112120502010</v>
      </c>
      <c r="C3640" s="828" t="s">
        <v>569</v>
      </c>
      <c r="D3640" s="817"/>
      <c r="E3640" s="815" t="s">
        <v>479</v>
      </c>
      <c r="F3640" s="818" t="s">
        <v>429</v>
      </c>
      <c r="G3640" s="837" t="s">
        <v>5707</v>
      </c>
      <c r="H3640" s="820">
        <v>42430</v>
      </c>
      <c r="I3640" s="827">
        <v>42482</v>
      </c>
      <c r="J3640" s="819">
        <v>1144.68</v>
      </c>
    </row>
    <row r="3641" spans="1:10" s="479" customFormat="1" ht="15" hidden="1" customHeight="1">
      <c r="A3641" s="815" t="s">
        <v>1010</v>
      </c>
      <c r="B3641" s="816">
        <v>112120502010</v>
      </c>
      <c r="C3641" s="828" t="s">
        <v>573</v>
      </c>
      <c r="D3641" s="817"/>
      <c r="E3641" s="815" t="s">
        <v>479</v>
      </c>
      <c r="F3641" s="818" t="s">
        <v>429</v>
      </c>
      <c r="G3641" s="837" t="s">
        <v>5707</v>
      </c>
      <c r="H3641" s="820">
        <v>42430</v>
      </c>
      <c r="I3641" s="827">
        <v>42482</v>
      </c>
      <c r="J3641" s="819">
        <v>1193.19</v>
      </c>
    </row>
    <row r="3642" spans="1:10" s="479" customFormat="1" ht="15" hidden="1" customHeight="1">
      <c r="A3642" s="815" t="s">
        <v>1011</v>
      </c>
      <c r="B3642" s="816">
        <v>112120502010</v>
      </c>
      <c r="C3642" s="828" t="s">
        <v>581</v>
      </c>
      <c r="D3642" s="817"/>
      <c r="E3642" s="815" t="s">
        <v>479</v>
      </c>
      <c r="F3642" s="818" t="s">
        <v>429</v>
      </c>
      <c r="G3642" s="837" t="s">
        <v>5707</v>
      </c>
      <c r="H3642" s="820">
        <v>42430</v>
      </c>
      <c r="I3642" s="827">
        <v>42482</v>
      </c>
      <c r="J3642" s="819">
        <v>4260.4399999999996</v>
      </c>
    </row>
    <row r="3643" spans="1:10" s="479" customFormat="1" ht="15" hidden="1" customHeight="1">
      <c r="A3643" s="815" t="s">
        <v>1012</v>
      </c>
      <c r="B3643" s="816">
        <v>112120502010</v>
      </c>
      <c r="C3643" s="828" t="s">
        <v>596</v>
      </c>
      <c r="D3643" s="817"/>
      <c r="E3643" s="815" t="s">
        <v>479</v>
      </c>
      <c r="F3643" s="818" t="s">
        <v>429</v>
      </c>
      <c r="G3643" s="837" t="s">
        <v>5707</v>
      </c>
      <c r="H3643" s="820">
        <v>42430</v>
      </c>
      <c r="I3643" s="827">
        <v>42482</v>
      </c>
      <c r="J3643" s="819">
        <v>4189.57</v>
      </c>
    </row>
    <row r="3644" spans="1:10" s="479" customFormat="1" ht="15" hidden="1" customHeight="1">
      <c r="A3644" s="815" t="s">
        <v>1014</v>
      </c>
      <c r="B3644" s="816">
        <v>112120502010</v>
      </c>
      <c r="C3644" s="828" t="s">
        <v>601</v>
      </c>
      <c r="D3644" s="817"/>
      <c r="E3644" s="815" t="s">
        <v>479</v>
      </c>
      <c r="F3644" s="818" t="s">
        <v>429</v>
      </c>
      <c r="G3644" s="837" t="s">
        <v>5707</v>
      </c>
      <c r="H3644" s="820">
        <v>42430</v>
      </c>
      <c r="I3644" s="827">
        <v>42482</v>
      </c>
      <c r="J3644" s="819">
        <v>674.18</v>
      </c>
    </row>
    <row r="3645" spans="1:10" s="479" customFormat="1" ht="15" hidden="1" customHeight="1">
      <c r="A3645" s="815" t="s">
        <v>2594</v>
      </c>
      <c r="B3645" s="816">
        <v>112120502010</v>
      </c>
      <c r="C3645" s="828" t="s">
        <v>2052</v>
      </c>
      <c r="D3645" s="817"/>
      <c r="E3645" s="815" t="s">
        <v>479</v>
      </c>
      <c r="F3645" s="818" t="s">
        <v>429</v>
      </c>
      <c r="G3645" s="837" t="s">
        <v>5707</v>
      </c>
      <c r="H3645" s="820">
        <v>42430</v>
      </c>
      <c r="I3645" s="827">
        <v>42482</v>
      </c>
      <c r="J3645" s="819">
        <v>1092.44</v>
      </c>
    </row>
    <row r="3646" spans="1:10" s="479" customFormat="1" ht="15" hidden="1" customHeight="1">
      <c r="A3646" s="815" t="s">
        <v>1015</v>
      </c>
      <c r="B3646" s="816">
        <v>112120502010</v>
      </c>
      <c r="C3646" s="828" t="s">
        <v>607</v>
      </c>
      <c r="D3646" s="817"/>
      <c r="E3646" s="815" t="s">
        <v>479</v>
      </c>
      <c r="F3646" s="818" t="s">
        <v>429</v>
      </c>
      <c r="G3646" s="837" t="s">
        <v>5707</v>
      </c>
      <c r="H3646" s="820">
        <v>42430</v>
      </c>
      <c r="I3646" s="827">
        <v>42482</v>
      </c>
      <c r="J3646" s="819">
        <v>1640.42</v>
      </c>
    </row>
    <row r="3647" spans="1:10" s="479" customFormat="1" ht="15" hidden="1" customHeight="1">
      <c r="A3647" s="815" t="s">
        <v>1016</v>
      </c>
      <c r="B3647" s="816">
        <v>112120502010</v>
      </c>
      <c r="C3647" s="828" t="s">
        <v>610</v>
      </c>
      <c r="D3647" s="817"/>
      <c r="E3647" s="815" t="s">
        <v>479</v>
      </c>
      <c r="F3647" s="818" t="s">
        <v>429</v>
      </c>
      <c r="G3647" s="837" t="s">
        <v>5707</v>
      </c>
      <c r="H3647" s="820">
        <v>42430</v>
      </c>
      <c r="I3647" s="827">
        <v>42482</v>
      </c>
      <c r="J3647" s="819">
        <v>1357.22</v>
      </c>
    </row>
    <row r="3648" spans="1:10" s="479" customFormat="1" ht="15" hidden="1" customHeight="1">
      <c r="A3648" s="815" t="s">
        <v>1017</v>
      </c>
      <c r="B3648" s="816">
        <v>112120502010</v>
      </c>
      <c r="C3648" s="828" t="s">
        <v>615</v>
      </c>
      <c r="D3648" s="817"/>
      <c r="E3648" s="815" t="s">
        <v>479</v>
      </c>
      <c r="F3648" s="818" t="s">
        <v>429</v>
      </c>
      <c r="G3648" s="837" t="s">
        <v>5707</v>
      </c>
      <c r="H3648" s="820">
        <v>42430</v>
      </c>
      <c r="I3648" s="827">
        <v>42482</v>
      </c>
      <c r="J3648" s="819">
        <v>984.24</v>
      </c>
    </row>
    <row r="3649" spans="1:13" s="479" customFormat="1" ht="15" hidden="1" customHeight="1">
      <c r="A3649" s="815" t="s">
        <v>1018</v>
      </c>
      <c r="B3649" s="816">
        <v>112120502010</v>
      </c>
      <c r="C3649" s="828" t="s">
        <v>446</v>
      </c>
      <c r="D3649" s="817"/>
      <c r="E3649" s="815" t="s">
        <v>479</v>
      </c>
      <c r="F3649" s="818" t="s">
        <v>429</v>
      </c>
      <c r="G3649" s="837" t="s">
        <v>5707</v>
      </c>
      <c r="H3649" s="820">
        <v>42430</v>
      </c>
      <c r="I3649" s="827">
        <v>42482</v>
      </c>
      <c r="J3649" s="819">
        <v>1215.9000000000001</v>
      </c>
    </row>
    <row r="3650" spans="1:13" s="479" customFormat="1" ht="15" hidden="1" customHeight="1">
      <c r="A3650" s="815" t="s">
        <v>1019</v>
      </c>
      <c r="B3650" s="816">
        <v>112120502010</v>
      </c>
      <c r="C3650" s="828" t="s">
        <v>619</v>
      </c>
      <c r="D3650" s="817"/>
      <c r="E3650" s="815" t="s">
        <v>479</v>
      </c>
      <c r="F3650" s="818" t="s">
        <v>429</v>
      </c>
      <c r="G3650" s="837" t="s">
        <v>5707</v>
      </c>
      <c r="H3650" s="820">
        <v>42430</v>
      </c>
      <c r="I3650" s="827">
        <v>42482</v>
      </c>
      <c r="J3650" s="819">
        <v>1479.27</v>
      </c>
    </row>
    <row r="3651" spans="1:13" s="479" customFormat="1" ht="15" hidden="1" customHeight="1">
      <c r="A3651" s="815" t="s">
        <v>1020</v>
      </c>
      <c r="B3651" s="816">
        <v>112120502010</v>
      </c>
      <c r="C3651" s="828" t="s">
        <v>622</v>
      </c>
      <c r="D3651" s="817"/>
      <c r="E3651" s="815" t="s">
        <v>479</v>
      </c>
      <c r="F3651" s="818" t="s">
        <v>429</v>
      </c>
      <c r="G3651" s="837" t="s">
        <v>5707</v>
      </c>
      <c r="H3651" s="820">
        <v>42430</v>
      </c>
      <c r="I3651" s="827">
        <v>42482</v>
      </c>
      <c r="J3651" s="819">
        <v>1236.3599999999999</v>
      </c>
    </row>
    <row r="3652" spans="1:13" s="479" customFormat="1" ht="15" hidden="1" customHeight="1">
      <c r="A3652" s="815" t="s">
        <v>1021</v>
      </c>
      <c r="B3652" s="816">
        <v>112120502010</v>
      </c>
      <c r="C3652" s="828" t="s">
        <v>632</v>
      </c>
      <c r="D3652" s="817"/>
      <c r="E3652" s="815" t="s">
        <v>479</v>
      </c>
      <c r="F3652" s="818" t="s">
        <v>429</v>
      </c>
      <c r="G3652" s="837" t="s">
        <v>5707</v>
      </c>
      <c r="H3652" s="820">
        <v>42430</v>
      </c>
      <c r="I3652" s="827">
        <v>42482</v>
      </c>
      <c r="J3652" s="819">
        <v>1549.86</v>
      </c>
    </row>
    <row r="3653" spans="1:13" s="479" customFormat="1" ht="15" hidden="1" customHeight="1">
      <c r="A3653" s="815" t="s">
        <v>1022</v>
      </c>
      <c r="B3653" s="816">
        <v>112120502010</v>
      </c>
      <c r="C3653" s="828" t="s">
        <v>637</v>
      </c>
      <c r="D3653" s="817"/>
      <c r="E3653" s="815" t="s">
        <v>479</v>
      </c>
      <c r="F3653" s="818" t="s">
        <v>429</v>
      </c>
      <c r="G3653" s="837" t="s">
        <v>5707</v>
      </c>
      <c r="H3653" s="820">
        <v>42430</v>
      </c>
      <c r="I3653" s="827">
        <v>42482</v>
      </c>
      <c r="J3653" s="819">
        <v>1084.1500000000001</v>
      </c>
    </row>
    <row r="3654" spans="1:13" s="479" customFormat="1" ht="15" hidden="1" customHeight="1">
      <c r="A3654" s="815" t="s">
        <v>1023</v>
      </c>
      <c r="B3654" s="816">
        <v>112120502010</v>
      </c>
      <c r="C3654" s="828" t="s">
        <v>654</v>
      </c>
      <c r="D3654" s="817"/>
      <c r="E3654" s="815" t="s">
        <v>479</v>
      </c>
      <c r="F3654" s="818" t="s">
        <v>429</v>
      </c>
      <c r="G3654" s="837" t="s">
        <v>5707</v>
      </c>
      <c r="H3654" s="820">
        <v>42430</v>
      </c>
      <c r="I3654" s="827">
        <v>42482</v>
      </c>
      <c r="J3654" s="819">
        <v>3451.2</v>
      </c>
    </row>
    <row r="3655" spans="1:13" s="479" customFormat="1" ht="15" hidden="1" customHeight="1">
      <c r="A3655" s="815" t="s">
        <v>1024</v>
      </c>
      <c r="B3655" s="816">
        <v>112120502010</v>
      </c>
      <c r="C3655" s="828" t="s">
        <v>672</v>
      </c>
      <c r="D3655" s="817"/>
      <c r="E3655" s="815" t="s">
        <v>479</v>
      </c>
      <c r="F3655" s="818" t="s">
        <v>429</v>
      </c>
      <c r="G3655" s="837" t="s">
        <v>5707</v>
      </c>
      <c r="H3655" s="820">
        <v>42430</v>
      </c>
      <c r="I3655" s="827">
        <v>42482</v>
      </c>
      <c r="J3655" s="819">
        <v>913.65</v>
      </c>
    </row>
    <row r="3656" spans="1:13" s="479" customFormat="1" ht="15" hidden="1" customHeight="1">
      <c r="A3656" s="815" t="s">
        <v>1025</v>
      </c>
      <c r="B3656" s="816">
        <v>112120502010</v>
      </c>
      <c r="C3656" s="828" t="s">
        <v>675</v>
      </c>
      <c r="D3656" s="817"/>
      <c r="E3656" s="815" t="s">
        <v>479</v>
      </c>
      <c r="F3656" s="818" t="s">
        <v>429</v>
      </c>
      <c r="G3656" s="837" t="s">
        <v>5707</v>
      </c>
      <c r="H3656" s="820">
        <v>42430</v>
      </c>
      <c r="I3656" s="827">
        <v>42482</v>
      </c>
      <c r="J3656" s="819">
        <v>918.43</v>
      </c>
    </row>
    <row r="3657" spans="1:13" s="479" customFormat="1" ht="15" hidden="1" customHeight="1">
      <c r="A3657" s="815" t="s">
        <v>2254</v>
      </c>
      <c r="B3657" s="816">
        <v>112120502010</v>
      </c>
      <c r="C3657" s="828" t="s">
        <v>931</v>
      </c>
      <c r="D3657" s="817"/>
      <c r="E3657" s="815" t="s">
        <v>479</v>
      </c>
      <c r="F3657" s="818" t="s">
        <v>429</v>
      </c>
      <c r="G3657" s="837" t="s">
        <v>5707</v>
      </c>
      <c r="H3657" s="820">
        <v>42430</v>
      </c>
      <c r="I3657" s="827">
        <v>42482</v>
      </c>
      <c r="J3657" s="819">
        <v>2032.88</v>
      </c>
    </row>
    <row r="3658" spans="1:13" s="479" customFormat="1" ht="15" hidden="1" customHeight="1">
      <c r="A3658" s="815" t="s">
        <v>1026</v>
      </c>
      <c r="B3658" s="816">
        <v>112120502010</v>
      </c>
      <c r="C3658" s="828" t="s">
        <v>678</v>
      </c>
      <c r="D3658" s="817"/>
      <c r="E3658" s="815" t="s">
        <v>479</v>
      </c>
      <c r="F3658" s="818" t="s">
        <v>429</v>
      </c>
      <c r="G3658" s="837" t="s">
        <v>5707</v>
      </c>
      <c r="H3658" s="820">
        <v>42430</v>
      </c>
      <c r="I3658" s="827">
        <v>42482</v>
      </c>
      <c r="J3658" s="819">
        <v>2147.9</v>
      </c>
    </row>
    <row r="3659" spans="1:13" s="479" customFormat="1" ht="15" hidden="1" customHeight="1">
      <c r="A3659" s="815" t="s">
        <v>1027</v>
      </c>
      <c r="B3659" s="816">
        <v>112120502010</v>
      </c>
      <c r="C3659" s="828" t="s">
        <v>807</v>
      </c>
      <c r="D3659" s="817"/>
      <c r="E3659" s="815" t="s">
        <v>479</v>
      </c>
      <c r="F3659" s="818" t="s">
        <v>429</v>
      </c>
      <c r="G3659" s="837" t="s">
        <v>5707</v>
      </c>
      <c r="H3659" s="820">
        <v>42430</v>
      </c>
      <c r="I3659" s="827">
        <v>42482</v>
      </c>
      <c r="J3659" s="819">
        <v>5174.79</v>
      </c>
    </row>
    <row r="3660" spans="1:13" s="479" customFormat="1" ht="15" hidden="1" customHeight="1">
      <c r="A3660" s="815" t="s">
        <v>1029</v>
      </c>
      <c r="B3660" s="816">
        <v>112120502010</v>
      </c>
      <c r="C3660" s="828" t="s">
        <v>804</v>
      </c>
      <c r="D3660" s="817"/>
      <c r="E3660" s="815" t="s">
        <v>479</v>
      </c>
      <c r="F3660" s="818" t="s">
        <v>429</v>
      </c>
      <c r="G3660" s="837" t="s">
        <v>5707</v>
      </c>
      <c r="H3660" s="820">
        <v>42430</v>
      </c>
      <c r="I3660" s="827">
        <v>42482</v>
      </c>
      <c r="J3660" s="819">
        <v>2003</v>
      </c>
    </row>
    <row r="3661" spans="1:13" s="479" customFormat="1" ht="15" hidden="1" customHeight="1">
      <c r="A3661" s="849"/>
      <c r="B3661" s="565"/>
      <c r="C3661" s="571"/>
      <c r="D3661" s="471"/>
      <c r="E3661" s="471"/>
      <c r="F3661" s="471"/>
      <c r="G3661" s="532"/>
      <c r="H3661" s="570"/>
      <c r="I3661" s="573"/>
      <c r="J3661" s="833"/>
    </row>
    <row r="3662" spans="1:13" s="479" customFormat="1" ht="15" customHeight="1">
      <c r="A3662" s="849"/>
      <c r="B3662" s="565"/>
      <c r="C3662" s="571"/>
      <c r="D3662" s="471"/>
      <c r="E3662" s="471"/>
      <c r="F3662" s="471"/>
      <c r="G3662" s="532"/>
      <c r="H3662" s="570"/>
      <c r="I3662" s="573"/>
      <c r="J3662" s="833"/>
    </row>
    <row r="3663" spans="1:13" s="852" customFormat="1" ht="15" customHeight="1">
      <c r="A3663" s="702"/>
      <c r="B3663" s="703" t="s">
        <v>258</v>
      </c>
      <c r="C3663" s="829" t="s">
        <v>1894</v>
      </c>
      <c r="D3663" s="705"/>
      <c r="E3663" s="704"/>
      <c r="F3663" s="705"/>
      <c r="G3663" s="704"/>
      <c r="H3663" s="821"/>
      <c r="I3663" s="706"/>
      <c r="J3663" s="834">
        <f>SUM(J3590:J3660)</f>
        <v>243095.1399999999</v>
      </c>
      <c r="K3663" s="817"/>
      <c r="L3663" s="817"/>
      <c r="M3663" s="817"/>
    </row>
    <row r="3664" spans="1:13" s="479" customFormat="1" hidden="1">
      <c r="A3664" s="849"/>
      <c r="B3664" s="946"/>
      <c r="C3664" s="571" t="s">
        <v>789</v>
      </c>
      <c r="D3664" s="471"/>
      <c r="E3664" s="471" t="s">
        <v>1825</v>
      </c>
      <c r="F3664" s="472" t="s">
        <v>2205</v>
      </c>
      <c r="G3664" s="473">
        <v>41</v>
      </c>
      <c r="H3664" s="822">
        <v>42461</v>
      </c>
      <c r="I3664" s="574">
        <v>42489</v>
      </c>
      <c r="J3664" s="947">
        <v>5997.56</v>
      </c>
    </row>
    <row r="3665" spans="1:13" s="479" customFormat="1" hidden="1">
      <c r="A3665" s="849"/>
      <c r="B3665" s="946"/>
      <c r="C3665" s="571" t="s">
        <v>456</v>
      </c>
      <c r="D3665" s="471"/>
      <c r="E3665" s="471" t="s">
        <v>1825</v>
      </c>
      <c r="F3665" s="472" t="s">
        <v>2205</v>
      </c>
      <c r="G3665" s="473">
        <v>83</v>
      </c>
      <c r="H3665" s="822">
        <v>42461</v>
      </c>
      <c r="I3665" s="574">
        <v>42489</v>
      </c>
      <c r="J3665" s="947">
        <v>6120.92</v>
      </c>
    </row>
    <row r="3666" spans="1:13" s="479" customFormat="1" hidden="1">
      <c r="A3666" s="849"/>
      <c r="B3666" s="946"/>
      <c r="C3666" s="571" t="s">
        <v>449</v>
      </c>
      <c r="D3666" s="471"/>
      <c r="E3666" s="471" t="s">
        <v>1825</v>
      </c>
      <c r="F3666" s="472" t="s">
        <v>2205</v>
      </c>
      <c r="G3666" s="473">
        <v>5269</v>
      </c>
      <c r="H3666" s="822">
        <v>42461</v>
      </c>
      <c r="I3666" s="574">
        <v>42489</v>
      </c>
      <c r="J3666" s="947">
        <v>107399.67</v>
      </c>
    </row>
    <row r="3667" spans="1:13" s="479" customFormat="1" hidden="1">
      <c r="A3667" s="849"/>
      <c r="B3667" s="946"/>
      <c r="C3667" s="571" t="s">
        <v>719</v>
      </c>
      <c r="D3667" s="471"/>
      <c r="E3667" s="471" t="s">
        <v>1825</v>
      </c>
      <c r="F3667" s="472" t="s">
        <v>2205</v>
      </c>
      <c r="G3667" s="473">
        <v>54</v>
      </c>
      <c r="H3667" s="822">
        <v>42461</v>
      </c>
      <c r="I3667" s="574">
        <v>42489</v>
      </c>
      <c r="J3667" s="947">
        <v>171614.45</v>
      </c>
    </row>
    <row r="3668" spans="1:13" s="479" customFormat="1" hidden="1">
      <c r="A3668" s="849"/>
      <c r="B3668" s="946"/>
      <c r="C3668" s="571" t="s">
        <v>460</v>
      </c>
      <c r="D3668" s="471"/>
      <c r="E3668" s="471" t="s">
        <v>1825</v>
      </c>
      <c r="F3668" s="472" t="s">
        <v>2205</v>
      </c>
      <c r="G3668" s="473">
        <v>123</v>
      </c>
      <c r="H3668" s="822">
        <v>42461</v>
      </c>
      <c r="I3668" s="574">
        <v>42489</v>
      </c>
      <c r="J3668" s="947">
        <v>212636.87</v>
      </c>
    </row>
    <row r="3669" spans="1:13" s="479" customFormat="1" hidden="1">
      <c r="A3669" s="849"/>
      <c r="B3669" s="946"/>
      <c r="C3669" s="571" t="s">
        <v>461</v>
      </c>
      <c r="D3669" s="471"/>
      <c r="E3669" s="471" t="s">
        <v>1825</v>
      </c>
      <c r="F3669" s="472" t="s">
        <v>2205</v>
      </c>
      <c r="G3669" s="473">
        <v>76</v>
      </c>
      <c r="H3669" s="822">
        <v>42461</v>
      </c>
      <c r="I3669" s="574">
        <v>42489</v>
      </c>
      <c r="J3669" s="947">
        <v>212812.47</v>
      </c>
    </row>
    <row r="3670" spans="1:13" s="479" customFormat="1" hidden="1">
      <c r="A3670" s="849"/>
      <c r="B3670" s="946"/>
      <c r="C3670" s="571" t="s">
        <v>463</v>
      </c>
      <c r="D3670" s="471"/>
      <c r="E3670" s="471" t="s">
        <v>1825</v>
      </c>
      <c r="F3670" s="472" t="s">
        <v>2205</v>
      </c>
      <c r="G3670" s="473">
        <v>56</v>
      </c>
      <c r="H3670" s="822">
        <v>42461</v>
      </c>
      <c r="I3670" s="574">
        <v>42489</v>
      </c>
      <c r="J3670" s="947">
        <v>272412.62</v>
      </c>
    </row>
    <row r="3671" spans="1:13" s="479" customFormat="1" hidden="1">
      <c r="A3671" s="849"/>
      <c r="B3671" s="946"/>
      <c r="C3671" s="571" t="s">
        <v>465</v>
      </c>
      <c r="D3671" s="471"/>
      <c r="E3671" s="471" t="s">
        <v>1825</v>
      </c>
      <c r="F3671" s="472" t="s">
        <v>2205</v>
      </c>
      <c r="G3671" s="473">
        <v>41</v>
      </c>
      <c r="H3671" s="822">
        <v>42461</v>
      </c>
      <c r="I3671" s="574">
        <v>42489</v>
      </c>
      <c r="J3671" s="947">
        <v>295798.15999999997</v>
      </c>
    </row>
    <row r="3672" spans="1:13" s="479" customFormat="1" hidden="1">
      <c r="A3672" s="849"/>
      <c r="B3672" s="946"/>
      <c r="C3672" s="571" t="s">
        <v>783</v>
      </c>
      <c r="D3672" s="471"/>
      <c r="E3672" s="471" t="s">
        <v>1825</v>
      </c>
      <c r="F3672" s="472" t="s">
        <v>2205</v>
      </c>
      <c r="G3672" s="473">
        <v>31</v>
      </c>
      <c r="H3672" s="822">
        <v>42461</v>
      </c>
      <c r="I3672" s="574">
        <v>42489</v>
      </c>
      <c r="J3672" s="947">
        <v>317630.87</v>
      </c>
    </row>
    <row r="3673" spans="1:13" s="479" customFormat="1" hidden="1">
      <c r="A3673" s="849"/>
      <c r="B3673" s="946"/>
      <c r="C3673" s="571" t="s">
        <v>459</v>
      </c>
      <c r="D3673" s="471"/>
      <c r="E3673" s="471" t="s">
        <v>1825</v>
      </c>
      <c r="F3673" s="472" t="s">
        <v>2205</v>
      </c>
      <c r="G3673" s="473">
        <v>187</v>
      </c>
      <c r="H3673" s="822">
        <v>42461</v>
      </c>
      <c r="I3673" s="574">
        <v>42489</v>
      </c>
      <c r="J3673" s="947">
        <v>339690.43</v>
      </c>
    </row>
    <row r="3674" spans="1:13" s="479" customFormat="1" hidden="1">
      <c r="A3674" s="849"/>
      <c r="B3674" s="946"/>
      <c r="C3674" s="571" t="s">
        <v>458</v>
      </c>
      <c r="D3674" s="471"/>
      <c r="E3674" s="471" t="s">
        <v>1825</v>
      </c>
      <c r="F3674" s="472" t="s">
        <v>2205</v>
      </c>
      <c r="G3674" s="473">
        <v>124</v>
      </c>
      <c r="H3674" s="822">
        <v>42461</v>
      </c>
      <c r="I3674" s="574">
        <v>42489</v>
      </c>
      <c r="J3674" s="947">
        <v>349129.91</v>
      </c>
    </row>
    <row r="3675" spans="1:13" s="479" customFormat="1" hidden="1">
      <c r="A3675" s="849"/>
      <c r="B3675" s="946"/>
      <c r="C3675" s="571" t="s">
        <v>454</v>
      </c>
      <c r="D3675" s="471"/>
      <c r="E3675" s="471" t="s">
        <v>1825</v>
      </c>
      <c r="F3675" s="472" t="s">
        <v>2205</v>
      </c>
      <c r="G3675" s="473">
        <v>126</v>
      </c>
      <c r="H3675" s="822">
        <v>42461</v>
      </c>
      <c r="I3675" s="574">
        <v>42489</v>
      </c>
      <c r="J3675" s="947">
        <v>509642.99</v>
      </c>
    </row>
    <row r="3676" spans="1:13" s="479" customFormat="1" hidden="1">
      <c r="A3676" s="849"/>
      <c r="B3676" s="946"/>
      <c r="C3676" s="571" t="s">
        <v>466</v>
      </c>
      <c r="D3676" s="471"/>
      <c r="E3676" s="471" t="s">
        <v>1825</v>
      </c>
      <c r="F3676" s="472" t="s">
        <v>2205</v>
      </c>
      <c r="G3676" s="473">
        <v>81</v>
      </c>
      <c r="H3676" s="822">
        <v>42461</v>
      </c>
      <c r="I3676" s="574">
        <v>42489</v>
      </c>
      <c r="J3676" s="947">
        <v>1649113.08</v>
      </c>
    </row>
    <row r="3677" spans="1:13" s="479" customFormat="1">
      <c r="A3677" s="849"/>
      <c r="B3677" s="565"/>
      <c r="C3677" s="571"/>
      <c r="D3677" s="471"/>
      <c r="E3677" s="471"/>
      <c r="F3677" s="472"/>
      <c r="G3677" s="473"/>
      <c r="H3677" s="822"/>
      <c r="I3677" s="574"/>
      <c r="J3677" s="832"/>
    </row>
    <row r="3678" spans="1:13" s="852" customFormat="1" ht="15" customHeight="1">
      <c r="A3678" s="702"/>
      <c r="B3678" s="703" t="s">
        <v>258</v>
      </c>
      <c r="C3678" s="829" t="s">
        <v>2519</v>
      </c>
      <c r="D3678" s="705"/>
      <c r="E3678" s="704"/>
      <c r="F3678" s="705"/>
      <c r="G3678" s="704"/>
      <c r="H3678" s="821"/>
      <c r="I3678" s="706"/>
      <c r="J3678" s="834">
        <f>SUM(J3664:J3676)</f>
        <v>4450000</v>
      </c>
      <c r="K3678" s="817"/>
      <c r="L3678" s="817"/>
      <c r="M3678" s="817"/>
    </row>
    <row r="3679" spans="1:13" s="479" customFormat="1" hidden="1">
      <c r="A3679" s="849"/>
      <c r="B3679" s="565" t="s">
        <v>258</v>
      </c>
      <c r="C3679" s="571" t="s">
        <v>449</v>
      </c>
      <c r="D3679" s="471"/>
      <c r="E3679" s="471" t="s">
        <v>1825</v>
      </c>
      <c r="F3679" s="472" t="s">
        <v>1826</v>
      </c>
      <c r="G3679" s="477" t="s">
        <v>7848</v>
      </c>
      <c r="H3679" s="822">
        <v>42461</v>
      </c>
      <c r="I3679" s="574">
        <v>42489</v>
      </c>
      <c r="J3679" s="835">
        <v>787981.56</v>
      </c>
    </row>
    <row r="3680" spans="1:13" s="479" customFormat="1">
      <c r="A3680" s="849"/>
      <c r="B3680" s="565"/>
      <c r="C3680" s="571"/>
      <c r="D3680" s="471"/>
      <c r="E3680" s="471"/>
      <c r="F3680" s="472"/>
      <c r="G3680" s="477"/>
      <c r="H3680" s="822"/>
      <c r="I3680" s="574"/>
      <c r="J3680" s="835"/>
    </row>
    <row r="3681" spans="1:13" s="852" customFormat="1" ht="15" customHeight="1">
      <c r="A3681" s="702"/>
      <c r="B3681" s="703" t="s">
        <v>258</v>
      </c>
      <c r="C3681" s="829" t="s">
        <v>1895</v>
      </c>
      <c r="D3681" s="705"/>
      <c r="E3681" s="704"/>
      <c r="F3681" s="705"/>
      <c r="G3681" s="704"/>
      <c r="H3681" s="821"/>
      <c r="I3681" s="706"/>
      <c r="J3681" s="834">
        <f>SUM(J3679)</f>
        <v>787981.56</v>
      </c>
      <c r="K3681" s="817"/>
      <c r="L3681" s="817"/>
      <c r="M3681" s="817"/>
    </row>
    <row r="3682" spans="1:13" s="479" customFormat="1">
      <c r="A3682" s="849"/>
      <c r="B3682" s="565" t="s">
        <v>258</v>
      </c>
      <c r="C3682" s="830"/>
      <c r="D3682" s="583"/>
      <c r="E3682" s="583"/>
      <c r="F3682" s="583"/>
      <c r="G3682" s="584"/>
      <c r="H3682" s="823"/>
      <c r="I3682" s="581"/>
      <c r="J3682" s="836"/>
    </row>
    <row r="3683" spans="1:13" s="852" customFormat="1" ht="15" customHeight="1">
      <c r="A3683" s="702"/>
      <c r="B3683" s="703" t="s">
        <v>258</v>
      </c>
      <c r="C3683" s="704" t="s">
        <v>134</v>
      </c>
      <c r="D3683" s="705"/>
      <c r="E3683" s="704"/>
      <c r="F3683" s="705"/>
      <c r="G3683" s="704"/>
      <c r="H3683" s="821"/>
      <c r="I3683" s="706"/>
      <c r="J3683" s="834">
        <f>SUM(J5:J3682)/2</f>
        <v>32551788.819999963</v>
      </c>
      <c r="K3683" s="817"/>
      <c r="L3683" s="817"/>
      <c r="M3683" s="817"/>
    </row>
    <row r="3684" spans="1:13" s="860" customFormat="1" ht="13.5" customHeight="1">
      <c r="A3684" s="849"/>
      <c r="B3684" s="565"/>
      <c r="C3684" s="831"/>
      <c r="D3684" s="457"/>
      <c r="E3684" s="457"/>
      <c r="F3684" s="458"/>
      <c r="G3684" s="459"/>
      <c r="H3684" s="824"/>
      <c r="I3684" s="576"/>
      <c r="J3684" s="832"/>
    </row>
    <row r="3685" spans="1:13" s="860" customFormat="1" ht="13.5" customHeight="1">
      <c r="A3685" s="849"/>
      <c r="B3685" s="565"/>
      <c r="C3685" s="831"/>
      <c r="D3685" s="457"/>
      <c r="E3685" s="457"/>
      <c r="F3685" s="458"/>
      <c r="G3685" s="459"/>
      <c r="H3685" s="824"/>
      <c r="I3685" s="576"/>
      <c r="J3685" s="832"/>
    </row>
    <row r="3686" spans="1:13" s="860" customFormat="1" ht="13.5" customHeight="1">
      <c r="A3686" s="849"/>
      <c r="B3686" s="565"/>
      <c r="C3686" s="831"/>
      <c r="D3686" s="457"/>
      <c r="E3686" s="457"/>
      <c r="F3686" s="458"/>
      <c r="G3686" s="459"/>
      <c r="H3686" s="824"/>
      <c r="I3686" s="576"/>
      <c r="J3686" s="832"/>
    </row>
    <row r="3687" spans="1:13" s="860" customFormat="1" ht="13.5" hidden="1" customHeight="1">
      <c r="A3687" s="849"/>
      <c r="B3687" s="565"/>
      <c r="C3687" s="831"/>
      <c r="D3687" s="457"/>
      <c r="E3687" s="457"/>
      <c r="F3687" s="458"/>
      <c r="G3687" s="459"/>
      <c r="H3687" s="824"/>
      <c r="I3687" s="576"/>
      <c r="J3687" s="832"/>
    </row>
    <row r="3688" spans="1:13" s="860" customFormat="1" ht="13.5" hidden="1" customHeight="1">
      <c r="A3688" s="849"/>
      <c r="B3688" s="565"/>
      <c r="C3688" s="831"/>
      <c r="D3688" s="457"/>
      <c r="E3688" s="457"/>
      <c r="F3688" s="458"/>
      <c r="G3688" s="459"/>
      <c r="H3688" s="824"/>
      <c r="I3688" s="576"/>
      <c r="J3688" s="832"/>
    </row>
    <row r="3689" spans="1:13" s="860" customFormat="1" ht="13.5" hidden="1" customHeight="1">
      <c r="A3689" s="849"/>
      <c r="B3689" s="565"/>
      <c r="C3689" s="831"/>
      <c r="D3689" s="457"/>
      <c r="E3689" s="457"/>
      <c r="F3689" s="458"/>
      <c r="G3689" s="459"/>
      <c r="H3689" s="824"/>
      <c r="I3689" s="576"/>
      <c r="J3689" s="832"/>
    </row>
    <row r="3690" spans="1:13" s="860" customFormat="1" ht="13.5" hidden="1" customHeight="1">
      <c r="A3690" s="849"/>
      <c r="B3690" s="565" t="s">
        <v>258</v>
      </c>
      <c r="C3690" s="831"/>
      <c r="D3690" s="457"/>
      <c r="E3690" s="457"/>
      <c r="F3690" s="458"/>
      <c r="G3690" s="459"/>
      <c r="H3690" s="824"/>
      <c r="I3690" s="576"/>
      <c r="J3690" s="834">
        <v>32551788.819999963</v>
      </c>
    </row>
    <row r="3691" spans="1:13" ht="13.5" hidden="1" customHeight="1">
      <c r="B3691" s="565" t="s">
        <v>258</v>
      </c>
      <c r="C3691" s="861" t="s">
        <v>2052</v>
      </c>
      <c r="D3691" s="862" t="s">
        <v>2086</v>
      </c>
      <c r="E3691" s="862"/>
      <c r="F3691" s="862"/>
      <c r="G3691" s="863"/>
      <c r="H3691" s="864"/>
      <c r="I3691" s="865"/>
      <c r="J3691" s="866"/>
    </row>
    <row r="3692" spans="1:13" ht="13.5" hidden="1" customHeight="1">
      <c r="B3692" s="565" t="s">
        <v>258</v>
      </c>
      <c r="C3692" s="861" t="s">
        <v>2051</v>
      </c>
      <c r="D3692" s="862" t="s">
        <v>2087</v>
      </c>
      <c r="E3692" s="862"/>
      <c r="F3692" s="862"/>
      <c r="G3692" s="863"/>
      <c r="H3692" s="864"/>
      <c r="I3692" s="865"/>
      <c r="J3692" s="866"/>
    </row>
    <row r="3693" spans="1:13" ht="13.5" hidden="1" customHeight="1">
      <c r="B3693" s="565" t="s">
        <v>258</v>
      </c>
      <c r="C3693" s="861" t="s">
        <v>476</v>
      </c>
      <c r="D3693" s="862" t="s">
        <v>1828</v>
      </c>
      <c r="E3693" s="862"/>
      <c r="F3693" s="862"/>
      <c r="G3693" s="863"/>
      <c r="H3693" s="864"/>
      <c r="I3693" s="865"/>
      <c r="J3693" s="866"/>
    </row>
    <row r="3694" spans="1:13" ht="13.5" hidden="1" customHeight="1">
      <c r="B3694" s="565" t="s">
        <v>258</v>
      </c>
      <c r="C3694" s="861" t="s">
        <v>486</v>
      </c>
      <c r="D3694" s="862" t="s">
        <v>1829</v>
      </c>
      <c r="E3694" s="862"/>
      <c r="F3694" s="862"/>
      <c r="G3694" s="863"/>
      <c r="H3694" s="864"/>
      <c r="I3694" s="865"/>
      <c r="J3694" s="866"/>
    </row>
    <row r="3695" spans="1:13" ht="13.5" hidden="1" customHeight="1">
      <c r="B3695" s="565" t="s">
        <v>258</v>
      </c>
      <c r="C3695" s="861" t="s">
        <v>496</v>
      </c>
      <c r="D3695" s="862" t="s">
        <v>1830</v>
      </c>
      <c r="E3695" s="862"/>
      <c r="F3695" s="862"/>
      <c r="G3695" s="863"/>
      <c r="H3695" s="864"/>
      <c r="I3695" s="865"/>
      <c r="J3695" s="866"/>
    </row>
    <row r="3696" spans="1:13" ht="13.5" hidden="1" customHeight="1">
      <c r="B3696" s="565" t="s">
        <v>258</v>
      </c>
      <c r="C3696" s="861" t="s">
        <v>502</v>
      </c>
      <c r="D3696" s="862" t="s">
        <v>1831</v>
      </c>
      <c r="E3696" s="862"/>
      <c r="F3696" s="862"/>
      <c r="G3696" s="863"/>
      <c r="H3696" s="864"/>
      <c r="I3696" s="865"/>
      <c r="J3696" s="866"/>
    </row>
    <row r="3697" spans="2:10" ht="13.5" hidden="1" customHeight="1">
      <c r="B3697" s="565" t="s">
        <v>258</v>
      </c>
      <c r="C3697" s="861" t="s">
        <v>506</v>
      </c>
      <c r="D3697" s="862" t="s">
        <v>1832</v>
      </c>
      <c r="E3697" s="862"/>
      <c r="F3697" s="862"/>
      <c r="G3697" s="863"/>
      <c r="H3697" s="864"/>
      <c r="I3697" s="865"/>
      <c r="J3697" s="866"/>
    </row>
    <row r="3698" spans="2:10" ht="13.5" hidden="1" customHeight="1">
      <c r="B3698" s="565" t="s">
        <v>258</v>
      </c>
      <c r="C3698" s="861" t="s">
        <v>513</v>
      </c>
      <c r="D3698" s="862" t="s">
        <v>1833</v>
      </c>
      <c r="E3698" s="862"/>
      <c r="F3698" s="862"/>
      <c r="G3698" s="863"/>
      <c r="H3698" s="864"/>
      <c r="I3698" s="865"/>
      <c r="J3698" s="866"/>
    </row>
    <row r="3699" spans="2:10" ht="13.5" hidden="1" customHeight="1">
      <c r="B3699" s="565" t="s">
        <v>258</v>
      </c>
      <c r="C3699" s="861" t="s">
        <v>518</v>
      </c>
      <c r="D3699" s="862" t="s">
        <v>1834</v>
      </c>
      <c r="E3699" s="862"/>
      <c r="F3699" s="862"/>
      <c r="G3699" s="863"/>
      <c r="H3699" s="864"/>
      <c r="I3699" s="865"/>
      <c r="J3699" s="866"/>
    </row>
    <row r="3700" spans="2:10" ht="13.5" hidden="1" customHeight="1">
      <c r="B3700" s="565" t="s">
        <v>258</v>
      </c>
      <c r="C3700" s="861" t="s">
        <v>525</v>
      </c>
      <c r="D3700" s="862" t="s">
        <v>1835</v>
      </c>
      <c r="E3700" s="862"/>
      <c r="F3700" s="862"/>
      <c r="G3700" s="863"/>
      <c r="H3700" s="864"/>
      <c r="I3700" s="865"/>
      <c r="J3700" s="866"/>
    </row>
    <row r="3701" spans="2:10" ht="13.5" hidden="1" customHeight="1">
      <c r="B3701" s="565" t="s">
        <v>258</v>
      </c>
      <c r="C3701" s="861" t="s">
        <v>535</v>
      </c>
      <c r="D3701" s="862" t="s">
        <v>1836</v>
      </c>
      <c r="E3701" s="862"/>
      <c r="F3701" s="862"/>
      <c r="G3701" s="863"/>
      <c r="H3701" s="864"/>
      <c r="I3701" s="865"/>
      <c r="J3701" s="866"/>
    </row>
    <row r="3702" spans="2:10" ht="13.5" hidden="1" customHeight="1">
      <c r="B3702" s="565" t="s">
        <v>258</v>
      </c>
      <c r="C3702" s="861" t="s">
        <v>1837</v>
      </c>
      <c r="D3702" s="862" t="s">
        <v>1838</v>
      </c>
      <c r="E3702" s="862"/>
      <c r="F3702" s="862"/>
      <c r="G3702" s="863"/>
      <c r="H3702" s="864"/>
      <c r="I3702" s="865"/>
      <c r="J3702" s="866"/>
    </row>
    <row r="3703" spans="2:10" ht="13.5" hidden="1" customHeight="1">
      <c r="B3703" s="565" t="s">
        <v>258</v>
      </c>
      <c r="C3703" s="861" t="s">
        <v>540</v>
      </c>
      <c r="D3703" s="862" t="s">
        <v>1839</v>
      </c>
      <c r="E3703" s="862"/>
      <c r="F3703" s="862"/>
      <c r="G3703" s="863"/>
      <c r="H3703" s="864"/>
      <c r="I3703" s="865"/>
      <c r="J3703" s="866"/>
    </row>
    <row r="3704" spans="2:10" ht="13.5" hidden="1" customHeight="1">
      <c r="B3704" s="565" t="s">
        <v>258</v>
      </c>
      <c r="C3704" s="861" t="s">
        <v>544</v>
      </c>
      <c r="D3704" s="862" t="s">
        <v>1840</v>
      </c>
      <c r="E3704" s="862"/>
      <c r="F3704" s="862"/>
      <c r="G3704" s="863"/>
      <c r="H3704" s="864"/>
      <c r="I3704" s="865"/>
      <c r="J3704" s="866"/>
    </row>
    <row r="3705" spans="2:10" ht="13.5" hidden="1" customHeight="1">
      <c r="B3705" s="565" t="s">
        <v>258</v>
      </c>
      <c r="C3705" s="861" t="s">
        <v>551</v>
      </c>
      <c r="D3705" s="862" t="s">
        <v>1841</v>
      </c>
      <c r="E3705" s="862"/>
      <c r="F3705" s="862"/>
      <c r="G3705" s="863"/>
      <c r="H3705" s="864"/>
      <c r="I3705" s="865"/>
      <c r="J3705" s="866"/>
    </row>
    <row r="3706" spans="2:10" ht="13.5" hidden="1" customHeight="1">
      <c r="B3706" s="565" t="s">
        <v>258</v>
      </c>
      <c r="C3706" s="861" t="s">
        <v>556</v>
      </c>
      <c r="D3706" s="862" t="s">
        <v>1842</v>
      </c>
      <c r="E3706" s="862"/>
      <c r="F3706" s="862"/>
      <c r="G3706" s="863"/>
      <c r="H3706" s="864"/>
      <c r="I3706" s="865"/>
      <c r="J3706" s="866"/>
    </row>
    <row r="3707" spans="2:10" ht="13.5" hidden="1" customHeight="1">
      <c r="B3707" s="565" t="s">
        <v>258</v>
      </c>
      <c r="C3707" s="861" t="s">
        <v>559</v>
      </c>
      <c r="D3707" s="862" t="s">
        <v>1843</v>
      </c>
      <c r="E3707" s="862"/>
      <c r="F3707" s="862"/>
      <c r="G3707" s="863"/>
      <c r="H3707" s="864"/>
      <c r="I3707" s="865"/>
      <c r="J3707" s="866"/>
    </row>
    <row r="3708" spans="2:10" ht="13.5" hidden="1" customHeight="1">
      <c r="B3708" s="565" t="s">
        <v>258</v>
      </c>
      <c r="C3708" s="861" t="s">
        <v>563</v>
      </c>
      <c r="D3708" s="862" t="s">
        <v>1844</v>
      </c>
      <c r="E3708" s="862"/>
      <c r="F3708" s="862"/>
      <c r="G3708" s="863"/>
      <c r="H3708" s="864"/>
      <c r="I3708" s="865"/>
      <c r="J3708" s="866"/>
    </row>
    <row r="3709" spans="2:10" ht="13.5" hidden="1" customHeight="1">
      <c r="B3709" s="565" t="s">
        <v>258</v>
      </c>
      <c r="C3709" s="861" t="s">
        <v>566</v>
      </c>
      <c r="D3709" s="862" t="s">
        <v>1845</v>
      </c>
      <c r="E3709" s="862"/>
      <c r="F3709" s="862"/>
      <c r="G3709" s="863"/>
      <c r="H3709" s="864"/>
      <c r="I3709" s="865"/>
      <c r="J3709" s="866"/>
    </row>
    <row r="3710" spans="2:10" ht="13.5" hidden="1" customHeight="1">
      <c r="B3710" s="565" t="s">
        <v>258</v>
      </c>
      <c r="C3710" s="861" t="s">
        <v>569</v>
      </c>
      <c r="D3710" s="862" t="s">
        <v>1846</v>
      </c>
      <c r="E3710" s="862"/>
      <c r="F3710" s="862"/>
      <c r="G3710" s="863"/>
      <c r="H3710" s="864"/>
      <c r="I3710" s="865"/>
      <c r="J3710" s="866"/>
    </row>
    <row r="3711" spans="2:10" ht="13.5" hidden="1" customHeight="1">
      <c r="B3711" s="565" t="s">
        <v>258</v>
      </c>
      <c r="C3711" s="861" t="s">
        <v>573</v>
      </c>
      <c r="D3711" s="862" t="s">
        <v>1847</v>
      </c>
      <c r="E3711" s="862"/>
      <c r="F3711" s="862"/>
      <c r="G3711" s="863"/>
      <c r="H3711" s="864"/>
      <c r="I3711" s="865"/>
      <c r="J3711" s="866"/>
    </row>
    <row r="3712" spans="2:10" ht="13.5" hidden="1" customHeight="1">
      <c r="B3712" s="565" t="s">
        <v>258</v>
      </c>
      <c r="C3712" s="861" t="s">
        <v>578</v>
      </c>
      <c r="D3712" s="862" t="s">
        <v>1848</v>
      </c>
      <c r="E3712" s="862"/>
      <c r="F3712" s="862"/>
      <c r="G3712" s="863"/>
      <c r="H3712" s="864"/>
      <c r="I3712" s="865"/>
      <c r="J3712" s="866"/>
    </row>
    <row r="3713" spans="2:10" ht="13.5" hidden="1" customHeight="1">
      <c r="B3713" s="565" t="s">
        <v>258</v>
      </c>
      <c r="C3713" s="861" t="s">
        <v>581</v>
      </c>
      <c r="D3713" s="862" t="s">
        <v>1849</v>
      </c>
      <c r="E3713" s="862"/>
      <c r="F3713" s="862"/>
      <c r="G3713" s="863"/>
      <c r="H3713" s="864"/>
      <c r="I3713" s="865"/>
      <c r="J3713" s="866"/>
    </row>
    <row r="3714" spans="2:10" ht="13.5" hidden="1" customHeight="1">
      <c r="B3714" s="565" t="s">
        <v>258</v>
      </c>
      <c r="C3714" s="861" t="s">
        <v>587</v>
      </c>
      <c r="D3714" s="862" t="s">
        <v>1850</v>
      </c>
      <c r="E3714" s="862"/>
      <c r="F3714" s="862"/>
      <c r="G3714" s="863"/>
      <c r="H3714" s="864"/>
      <c r="I3714" s="865"/>
      <c r="J3714" s="866"/>
    </row>
    <row r="3715" spans="2:10" ht="13.5" hidden="1" customHeight="1">
      <c r="B3715" s="565" t="s">
        <v>258</v>
      </c>
      <c r="C3715" s="861" t="s">
        <v>591</v>
      </c>
      <c r="D3715" s="862" t="s">
        <v>1851</v>
      </c>
      <c r="E3715" s="862"/>
      <c r="F3715" s="862"/>
      <c r="G3715" s="863"/>
      <c r="H3715" s="864"/>
      <c r="I3715" s="865"/>
      <c r="J3715" s="866"/>
    </row>
    <row r="3716" spans="2:10" ht="13.5" hidden="1" customHeight="1">
      <c r="B3716" s="565" t="s">
        <v>258</v>
      </c>
      <c r="C3716" s="861" t="s">
        <v>596</v>
      </c>
      <c r="D3716" s="862" t="s">
        <v>1852</v>
      </c>
      <c r="E3716" s="862"/>
      <c r="F3716" s="862"/>
      <c r="G3716" s="863"/>
      <c r="H3716" s="864"/>
      <c r="I3716" s="865"/>
      <c r="J3716" s="866"/>
    </row>
    <row r="3717" spans="2:10" ht="13.5" hidden="1" customHeight="1">
      <c r="B3717" s="565" t="s">
        <v>258</v>
      </c>
      <c r="C3717" s="861" t="s">
        <v>601</v>
      </c>
      <c r="D3717" s="862" t="s">
        <v>1853</v>
      </c>
      <c r="E3717" s="862"/>
      <c r="F3717" s="862"/>
      <c r="G3717" s="863"/>
      <c r="H3717" s="864"/>
      <c r="I3717" s="865"/>
      <c r="J3717" s="866"/>
    </row>
    <row r="3718" spans="2:10" ht="13.5" hidden="1" customHeight="1">
      <c r="B3718" s="565" t="s">
        <v>258</v>
      </c>
      <c r="C3718" s="861" t="s">
        <v>604</v>
      </c>
      <c r="D3718" s="862" t="s">
        <v>1854</v>
      </c>
      <c r="E3718" s="862"/>
      <c r="F3718" s="862"/>
      <c r="G3718" s="863"/>
      <c r="H3718" s="864"/>
      <c r="I3718" s="865"/>
      <c r="J3718" s="866"/>
    </row>
    <row r="3719" spans="2:10" ht="13.5" hidden="1" customHeight="1">
      <c r="B3719" s="565" t="s">
        <v>258</v>
      </c>
      <c r="C3719" s="861" t="s">
        <v>607</v>
      </c>
      <c r="D3719" s="862" t="s">
        <v>1855</v>
      </c>
      <c r="E3719" s="862"/>
      <c r="F3719" s="862"/>
      <c r="G3719" s="863"/>
      <c r="H3719" s="864"/>
      <c r="I3719" s="865"/>
      <c r="J3719" s="866"/>
    </row>
    <row r="3720" spans="2:10" ht="13.5" hidden="1" customHeight="1">
      <c r="B3720" s="565" t="s">
        <v>258</v>
      </c>
      <c r="C3720" s="861" t="s">
        <v>610</v>
      </c>
      <c r="D3720" s="862" t="s">
        <v>1856</v>
      </c>
      <c r="E3720" s="862"/>
      <c r="F3720" s="862"/>
      <c r="G3720" s="863"/>
      <c r="H3720" s="864"/>
      <c r="I3720" s="865"/>
      <c r="J3720" s="866"/>
    </row>
    <row r="3721" spans="2:10" ht="13.5" hidden="1" customHeight="1">
      <c r="B3721" s="565" t="s">
        <v>258</v>
      </c>
      <c r="C3721" s="861" t="s">
        <v>615</v>
      </c>
      <c r="D3721" s="862" t="s">
        <v>1857</v>
      </c>
      <c r="E3721" s="862"/>
      <c r="F3721" s="862"/>
      <c r="G3721" s="863"/>
      <c r="H3721" s="864"/>
      <c r="I3721" s="865"/>
      <c r="J3721" s="866"/>
    </row>
    <row r="3722" spans="2:10" ht="13.5" hidden="1" customHeight="1">
      <c r="B3722" s="565" t="s">
        <v>258</v>
      </c>
      <c r="C3722" s="861" t="s">
        <v>446</v>
      </c>
      <c r="D3722" s="862" t="s">
        <v>1858</v>
      </c>
      <c r="E3722" s="862"/>
      <c r="F3722" s="862"/>
      <c r="G3722" s="863"/>
      <c r="H3722" s="864"/>
      <c r="I3722" s="865"/>
      <c r="J3722" s="866"/>
    </row>
    <row r="3723" spans="2:10" ht="13.5" hidden="1" customHeight="1">
      <c r="B3723" s="565" t="s">
        <v>258</v>
      </c>
      <c r="C3723" s="861" t="s">
        <v>619</v>
      </c>
      <c r="D3723" s="862" t="s">
        <v>1859</v>
      </c>
      <c r="E3723" s="862"/>
      <c r="F3723" s="862"/>
      <c r="G3723" s="863"/>
      <c r="H3723" s="864"/>
      <c r="I3723" s="865"/>
      <c r="J3723" s="866"/>
    </row>
    <row r="3724" spans="2:10" ht="13.5" hidden="1" customHeight="1">
      <c r="B3724" s="565" t="s">
        <v>258</v>
      </c>
      <c r="C3724" s="861" t="s">
        <v>622</v>
      </c>
      <c r="D3724" s="862" t="s">
        <v>1860</v>
      </c>
      <c r="E3724" s="862"/>
      <c r="F3724" s="862"/>
      <c r="G3724" s="863"/>
      <c r="H3724" s="864"/>
      <c r="I3724" s="865"/>
      <c r="J3724" s="866"/>
    </row>
    <row r="3725" spans="2:10" ht="13.5" hidden="1" customHeight="1">
      <c r="B3725" s="565" t="s">
        <v>258</v>
      </c>
      <c r="C3725" s="861" t="s">
        <v>627</v>
      </c>
      <c r="D3725" s="862" t="s">
        <v>1861</v>
      </c>
      <c r="E3725" s="862"/>
      <c r="F3725" s="862"/>
      <c r="G3725" s="863"/>
      <c r="H3725" s="864"/>
      <c r="I3725" s="865"/>
      <c r="J3725" s="866"/>
    </row>
    <row r="3726" spans="2:10" ht="13.5" hidden="1" customHeight="1">
      <c r="B3726" s="565" t="s">
        <v>258</v>
      </c>
      <c r="C3726" s="861" t="s">
        <v>629</v>
      </c>
      <c r="D3726" s="862" t="s">
        <v>1862</v>
      </c>
      <c r="E3726" s="862"/>
      <c r="F3726" s="862"/>
      <c r="G3726" s="863"/>
      <c r="H3726" s="864"/>
      <c r="I3726" s="865"/>
      <c r="J3726" s="866"/>
    </row>
    <row r="3727" spans="2:10" ht="13.5" hidden="1" customHeight="1">
      <c r="B3727" s="565" t="s">
        <v>258</v>
      </c>
      <c r="C3727" s="861" t="s">
        <v>632</v>
      </c>
      <c r="D3727" s="862" t="s">
        <v>1863</v>
      </c>
      <c r="E3727" s="862"/>
      <c r="F3727" s="862"/>
      <c r="G3727" s="863"/>
      <c r="H3727" s="864"/>
      <c r="I3727" s="865"/>
      <c r="J3727" s="866"/>
    </row>
    <row r="3728" spans="2:10" ht="13.5" hidden="1" customHeight="1">
      <c r="B3728" s="565" t="s">
        <v>258</v>
      </c>
      <c r="C3728" s="861" t="s">
        <v>637</v>
      </c>
      <c r="D3728" s="862" t="s">
        <v>1864</v>
      </c>
      <c r="E3728" s="862"/>
      <c r="F3728" s="862"/>
      <c r="G3728" s="863"/>
      <c r="H3728" s="864"/>
      <c r="I3728" s="865"/>
      <c r="J3728" s="866"/>
    </row>
    <row r="3729" spans="2:10" ht="13.5" hidden="1" customHeight="1">
      <c r="B3729" s="565" t="s">
        <v>258</v>
      </c>
      <c r="C3729" s="861" t="s">
        <v>640</v>
      </c>
      <c r="D3729" s="862" t="s">
        <v>1865</v>
      </c>
      <c r="E3729" s="862"/>
      <c r="F3729" s="862"/>
      <c r="G3729" s="863"/>
      <c r="H3729" s="864"/>
      <c r="I3729" s="865"/>
      <c r="J3729" s="866"/>
    </row>
    <row r="3730" spans="2:10" ht="13.5" hidden="1" customHeight="1">
      <c r="B3730" s="565" t="s">
        <v>258</v>
      </c>
      <c r="C3730" s="861" t="s">
        <v>645</v>
      </c>
      <c r="D3730" s="862" t="s">
        <v>1866</v>
      </c>
      <c r="E3730" s="862"/>
      <c r="F3730" s="862"/>
      <c r="G3730" s="863"/>
      <c r="H3730" s="864"/>
      <c r="I3730" s="865"/>
      <c r="J3730" s="866"/>
    </row>
    <row r="3731" spans="2:10" ht="13.5" hidden="1" customHeight="1">
      <c r="B3731" s="565" t="s">
        <v>258</v>
      </c>
      <c r="C3731" s="861" t="s">
        <v>650</v>
      </c>
      <c r="D3731" s="862" t="s">
        <v>1867</v>
      </c>
      <c r="E3731" s="862"/>
      <c r="F3731" s="862"/>
      <c r="G3731" s="863"/>
      <c r="H3731" s="864"/>
      <c r="I3731" s="865"/>
      <c r="J3731" s="866"/>
    </row>
    <row r="3732" spans="2:10" ht="13.5" hidden="1" customHeight="1">
      <c r="B3732" s="565" t="s">
        <v>258</v>
      </c>
      <c r="C3732" s="861" t="s">
        <v>654</v>
      </c>
      <c r="D3732" s="862" t="s">
        <v>1868</v>
      </c>
      <c r="E3732" s="862"/>
      <c r="F3732" s="862"/>
      <c r="G3732" s="863"/>
      <c r="H3732" s="864"/>
      <c r="I3732" s="865"/>
      <c r="J3732" s="866"/>
    </row>
    <row r="3733" spans="2:10" ht="13.5" hidden="1" customHeight="1">
      <c r="B3733" s="565" t="s">
        <v>258</v>
      </c>
      <c r="C3733" s="861" t="s">
        <v>927</v>
      </c>
      <c r="D3733" s="862" t="s">
        <v>1904</v>
      </c>
      <c r="E3733" s="862"/>
      <c r="F3733" s="862"/>
      <c r="G3733" s="863"/>
      <c r="H3733" s="864"/>
      <c r="I3733" s="865"/>
      <c r="J3733" s="866"/>
    </row>
    <row r="3734" spans="2:10" ht="13.5" hidden="1" customHeight="1">
      <c r="B3734" s="565" t="s">
        <v>258</v>
      </c>
      <c r="C3734" s="861" t="s">
        <v>659</v>
      </c>
      <c r="D3734" s="862" t="s">
        <v>1869</v>
      </c>
      <c r="E3734" s="862"/>
      <c r="F3734" s="862"/>
      <c r="G3734" s="863"/>
      <c r="H3734" s="864"/>
      <c r="I3734" s="865"/>
      <c r="J3734" s="866"/>
    </row>
    <row r="3735" spans="2:10" ht="13.5" hidden="1" customHeight="1">
      <c r="B3735" s="565" t="s">
        <v>258</v>
      </c>
      <c r="C3735" s="861" t="s">
        <v>662</v>
      </c>
      <c r="D3735" s="862" t="s">
        <v>1870</v>
      </c>
      <c r="E3735" s="862"/>
      <c r="F3735" s="862"/>
      <c r="G3735" s="863"/>
      <c r="H3735" s="864"/>
      <c r="I3735" s="865"/>
      <c r="J3735" s="866"/>
    </row>
    <row r="3736" spans="2:10" ht="13.5" hidden="1" customHeight="1">
      <c r="B3736" s="565" t="s">
        <v>258</v>
      </c>
      <c r="C3736" s="861" t="s">
        <v>663</v>
      </c>
      <c r="D3736" s="862" t="s">
        <v>1871</v>
      </c>
      <c r="E3736" s="862"/>
      <c r="F3736" s="862"/>
      <c r="G3736" s="863"/>
      <c r="H3736" s="864"/>
      <c r="I3736" s="865"/>
      <c r="J3736" s="866"/>
    </row>
    <row r="3737" spans="2:10" ht="13.5" hidden="1" customHeight="1">
      <c r="B3737" s="565" t="s">
        <v>258</v>
      </c>
      <c r="C3737" s="861" t="s">
        <v>665</v>
      </c>
      <c r="D3737" s="862" t="s">
        <v>1872</v>
      </c>
      <c r="E3737" s="862"/>
      <c r="F3737" s="862"/>
      <c r="G3737" s="863"/>
      <c r="H3737" s="864"/>
      <c r="I3737" s="865"/>
      <c r="J3737" s="866"/>
    </row>
    <row r="3738" spans="2:10" ht="13.5" hidden="1" customHeight="1">
      <c r="B3738" s="565" t="s">
        <v>258</v>
      </c>
      <c r="C3738" s="861" t="s">
        <v>668</v>
      </c>
      <c r="D3738" s="862" t="s">
        <v>1873</v>
      </c>
      <c r="E3738" s="862"/>
      <c r="F3738" s="862"/>
      <c r="G3738" s="863"/>
      <c r="H3738" s="864"/>
      <c r="I3738" s="865"/>
      <c r="J3738" s="866"/>
    </row>
    <row r="3739" spans="2:10" ht="13.5" hidden="1" customHeight="1">
      <c r="B3739" s="565" t="s">
        <v>258</v>
      </c>
      <c r="C3739" s="861" t="s">
        <v>670</v>
      </c>
      <c r="D3739" s="862" t="s">
        <v>1874</v>
      </c>
      <c r="E3739" s="862"/>
      <c r="F3739" s="862"/>
      <c r="G3739" s="863"/>
      <c r="H3739" s="864"/>
      <c r="I3739" s="865"/>
      <c r="J3739" s="866"/>
    </row>
    <row r="3740" spans="2:10" ht="13.5" hidden="1" customHeight="1">
      <c r="B3740" s="565" t="s">
        <v>258</v>
      </c>
      <c r="C3740" s="861" t="s">
        <v>672</v>
      </c>
      <c r="D3740" s="862" t="s">
        <v>1875</v>
      </c>
      <c r="E3740" s="862"/>
      <c r="F3740" s="862"/>
      <c r="G3740" s="863"/>
      <c r="H3740" s="864"/>
      <c r="I3740" s="865"/>
      <c r="J3740" s="866"/>
    </row>
    <row r="3741" spans="2:10" ht="13.5" hidden="1" customHeight="1">
      <c r="B3741" s="565" t="s">
        <v>258</v>
      </c>
      <c r="C3741" s="861" t="s">
        <v>1341</v>
      </c>
      <c r="D3741" s="862" t="s">
        <v>1905</v>
      </c>
      <c r="E3741" s="862"/>
      <c r="F3741" s="862"/>
      <c r="G3741" s="863"/>
      <c r="H3741" s="864"/>
      <c r="I3741" s="865"/>
      <c r="J3741" s="866"/>
    </row>
    <row r="3742" spans="2:10" ht="13.5" hidden="1" customHeight="1">
      <c r="B3742" s="565" t="s">
        <v>258</v>
      </c>
      <c r="C3742" s="861" t="s">
        <v>675</v>
      </c>
      <c r="D3742" s="862" t="s">
        <v>1876</v>
      </c>
      <c r="E3742" s="862"/>
      <c r="F3742" s="862"/>
      <c r="G3742" s="863"/>
      <c r="H3742" s="864"/>
      <c r="I3742" s="865"/>
      <c r="J3742" s="866"/>
    </row>
    <row r="3743" spans="2:10" ht="13.5" hidden="1" customHeight="1">
      <c r="B3743" s="565" t="s">
        <v>258</v>
      </c>
      <c r="C3743" s="861" t="s">
        <v>931</v>
      </c>
      <c r="D3743" s="862" t="s">
        <v>1906</v>
      </c>
      <c r="E3743" s="862"/>
      <c r="F3743" s="862"/>
      <c r="G3743" s="863"/>
      <c r="H3743" s="864"/>
      <c r="I3743" s="865"/>
      <c r="J3743" s="866"/>
    </row>
    <row r="3744" spans="2:10" ht="13.5" hidden="1" customHeight="1">
      <c r="B3744" s="565" t="s">
        <v>258</v>
      </c>
      <c r="C3744" s="861" t="s">
        <v>678</v>
      </c>
      <c r="D3744" s="862" t="s">
        <v>1877</v>
      </c>
      <c r="E3744" s="862"/>
      <c r="F3744" s="862"/>
      <c r="G3744" s="863"/>
      <c r="H3744" s="864"/>
      <c r="I3744" s="865"/>
      <c r="J3744" s="866"/>
    </row>
    <row r="3745" spans="2:10" ht="13.5" hidden="1" customHeight="1">
      <c r="B3745" s="565" t="s">
        <v>258</v>
      </c>
      <c r="C3745" s="861" t="s">
        <v>680</v>
      </c>
      <c r="D3745" s="862" t="s">
        <v>1878</v>
      </c>
      <c r="E3745" s="862"/>
      <c r="F3745" s="862"/>
      <c r="G3745" s="863"/>
      <c r="H3745" s="864"/>
      <c r="I3745" s="865"/>
      <c r="J3745" s="866"/>
    </row>
    <row r="3746" spans="2:10" ht="13.5" hidden="1" customHeight="1">
      <c r="B3746" s="565" t="s">
        <v>258</v>
      </c>
      <c r="C3746" s="861" t="s">
        <v>449</v>
      </c>
      <c r="D3746" s="862" t="s">
        <v>1879</v>
      </c>
      <c r="E3746" s="862"/>
      <c r="F3746" s="862"/>
      <c r="G3746" s="863"/>
      <c r="H3746" s="864"/>
      <c r="I3746" s="865"/>
      <c r="J3746" s="866"/>
    </row>
    <row r="3747" spans="2:10" ht="13.5" hidden="1" customHeight="1">
      <c r="B3747" s="565" t="s">
        <v>258</v>
      </c>
      <c r="C3747" s="861" t="s">
        <v>454</v>
      </c>
      <c r="D3747" s="862" t="s">
        <v>1880</v>
      </c>
      <c r="E3747" s="862"/>
      <c r="F3747" s="862"/>
      <c r="G3747" s="863"/>
      <c r="H3747" s="864"/>
      <c r="I3747" s="865"/>
      <c r="J3747" s="866"/>
    </row>
    <row r="3748" spans="2:10" ht="13.5" hidden="1" customHeight="1">
      <c r="B3748" s="565" t="s">
        <v>258</v>
      </c>
      <c r="C3748" s="861" t="s">
        <v>456</v>
      </c>
      <c r="D3748" s="862" t="s">
        <v>1881</v>
      </c>
      <c r="E3748" s="862"/>
      <c r="F3748" s="862"/>
      <c r="G3748" s="863"/>
      <c r="H3748" s="864"/>
      <c r="I3748" s="865"/>
      <c r="J3748" s="866"/>
    </row>
    <row r="3749" spans="2:10" ht="13.5" hidden="1" customHeight="1">
      <c r="B3749" s="565" t="s">
        <v>258</v>
      </c>
      <c r="C3749" s="861" t="s">
        <v>458</v>
      </c>
      <c r="D3749" s="862" t="s">
        <v>1882</v>
      </c>
      <c r="E3749" s="862"/>
      <c r="F3749" s="862"/>
      <c r="G3749" s="863"/>
      <c r="H3749" s="864"/>
      <c r="I3749" s="865"/>
      <c r="J3749" s="866"/>
    </row>
    <row r="3750" spans="2:10" ht="13.5" hidden="1" customHeight="1">
      <c r="B3750" s="565" t="s">
        <v>258</v>
      </c>
      <c r="C3750" s="861" t="s">
        <v>719</v>
      </c>
      <c r="D3750" s="862" t="s">
        <v>1883</v>
      </c>
      <c r="E3750" s="862"/>
      <c r="F3750" s="862"/>
      <c r="G3750" s="863"/>
      <c r="H3750" s="864"/>
      <c r="I3750" s="865"/>
      <c r="J3750" s="866"/>
    </row>
    <row r="3751" spans="2:10" ht="13.5" hidden="1" customHeight="1">
      <c r="B3751" s="565" t="s">
        <v>258</v>
      </c>
      <c r="C3751" s="861" t="s">
        <v>459</v>
      </c>
      <c r="D3751" s="862" t="s">
        <v>1884</v>
      </c>
      <c r="E3751" s="862"/>
      <c r="F3751" s="862"/>
      <c r="G3751" s="863"/>
      <c r="H3751" s="864"/>
      <c r="I3751" s="865"/>
      <c r="J3751" s="866"/>
    </row>
    <row r="3752" spans="2:10" ht="13.5" hidden="1" customHeight="1">
      <c r="B3752" s="565" t="s">
        <v>258</v>
      </c>
      <c r="C3752" s="861" t="s">
        <v>460</v>
      </c>
      <c r="D3752" s="862" t="s">
        <v>123</v>
      </c>
      <c r="E3752" s="862"/>
      <c r="F3752" s="862"/>
      <c r="G3752" s="863"/>
      <c r="H3752" s="864"/>
      <c r="I3752" s="865"/>
      <c r="J3752" s="866"/>
    </row>
    <row r="3753" spans="2:10" ht="13.5" hidden="1" customHeight="1">
      <c r="B3753" s="565" t="s">
        <v>258</v>
      </c>
      <c r="C3753" s="861" t="s">
        <v>461</v>
      </c>
      <c r="D3753" s="862" t="s">
        <v>1885</v>
      </c>
      <c r="E3753" s="862"/>
      <c r="F3753" s="862"/>
      <c r="G3753" s="863"/>
      <c r="H3753" s="864"/>
      <c r="I3753" s="865"/>
      <c r="J3753" s="866"/>
    </row>
    <row r="3754" spans="2:10" ht="13.5" hidden="1" customHeight="1">
      <c r="B3754" s="565" t="s">
        <v>258</v>
      </c>
      <c r="C3754" s="861" t="s">
        <v>463</v>
      </c>
      <c r="D3754" s="862" t="s">
        <v>1886</v>
      </c>
      <c r="E3754" s="862"/>
      <c r="F3754" s="862"/>
      <c r="G3754" s="863"/>
      <c r="H3754" s="864"/>
      <c r="I3754" s="865"/>
      <c r="J3754" s="866"/>
    </row>
    <row r="3755" spans="2:10" ht="13.5" hidden="1" customHeight="1">
      <c r="B3755" s="565" t="s">
        <v>258</v>
      </c>
      <c r="C3755" s="861" t="s">
        <v>465</v>
      </c>
      <c r="D3755" s="862" t="s">
        <v>1887</v>
      </c>
      <c r="E3755" s="862"/>
      <c r="F3755" s="862"/>
      <c r="G3755" s="863"/>
      <c r="H3755" s="864"/>
      <c r="I3755" s="865"/>
      <c r="J3755" s="866"/>
    </row>
    <row r="3756" spans="2:10" ht="13.5" hidden="1" customHeight="1">
      <c r="B3756" s="565" t="s">
        <v>258</v>
      </c>
      <c r="C3756" s="861" t="s">
        <v>466</v>
      </c>
      <c r="D3756" s="862" t="s">
        <v>1888</v>
      </c>
      <c r="E3756" s="862"/>
      <c r="F3756" s="862"/>
      <c r="G3756" s="863"/>
      <c r="H3756" s="864"/>
      <c r="I3756" s="865"/>
      <c r="J3756" s="866"/>
    </row>
    <row r="3757" spans="2:10" ht="13.5" hidden="1" customHeight="1">
      <c r="B3757" s="565" t="s">
        <v>258</v>
      </c>
      <c r="C3757" s="861" t="s">
        <v>468</v>
      </c>
      <c r="D3757" s="862" t="s">
        <v>1907</v>
      </c>
      <c r="E3757" s="862"/>
      <c r="F3757" s="862"/>
      <c r="G3757" s="863"/>
      <c r="H3757" s="864"/>
      <c r="I3757" s="865"/>
      <c r="J3757" s="866"/>
    </row>
    <row r="3758" spans="2:10" ht="13.5" hidden="1" customHeight="1">
      <c r="B3758" s="565" t="s">
        <v>258</v>
      </c>
      <c r="C3758" s="861" t="s">
        <v>783</v>
      </c>
      <c r="D3758" s="862" t="s">
        <v>1889</v>
      </c>
      <c r="E3758" s="862"/>
      <c r="F3758" s="862"/>
      <c r="G3758" s="863"/>
      <c r="H3758" s="864"/>
      <c r="I3758" s="865"/>
      <c r="J3758" s="866"/>
    </row>
    <row r="3759" spans="2:10" ht="13.5" hidden="1" customHeight="1">
      <c r="B3759" s="565" t="s">
        <v>258</v>
      </c>
      <c r="C3759" s="861" t="s">
        <v>789</v>
      </c>
      <c r="D3759" s="862" t="s">
        <v>1890</v>
      </c>
      <c r="E3759" s="862"/>
      <c r="F3759" s="862"/>
      <c r="G3759" s="863"/>
      <c r="H3759" s="864"/>
      <c r="I3759" s="865"/>
      <c r="J3759" s="866"/>
    </row>
    <row r="3760" spans="2:10" ht="13.5" hidden="1" customHeight="1">
      <c r="B3760" s="565" t="s">
        <v>258</v>
      </c>
      <c r="C3760" s="861" t="s">
        <v>794</v>
      </c>
      <c r="D3760" s="862" t="s">
        <v>1891</v>
      </c>
      <c r="E3760" s="862"/>
      <c r="F3760" s="862"/>
      <c r="G3760" s="863"/>
      <c r="H3760" s="864"/>
      <c r="I3760" s="865"/>
      <c r="J3760" s="866"/>
    </row>
    <row r="3761" spans="2:10" ht="13.5" hidden="1" customHeight="1">
      <c r="B3761" s="565" t="s">
        <v>258</v>
      </c>
      <c r="C3761" s="861" t="s">
        <v>799</v>
      </c>
      <c r="D3761" s="862" t="s">
        <v>1892</v>
      </c>
      <c r="E3761" s="862"/>
      <c r="F3761" s="862"/>
      <c r="G3761" s="863"/>
      <c r="H3761" s="864"/>
      <c r="I3761" s="865"/>
      <c r="J3761" s="866"/>
    </row>
    <row r="3762" spans="2:10" ht="13.5" hidden="1" customHeight="1">
      <c r="B3762" s="565" t="s">
        <v>258</v>
      </c>
      <c r="C3762" s="861" t="s">
        <v>804</v>
      </c>
      <c r="D3762" s="862" t="s">
        <v>124</v>
      </c>
      <c r="E3762" s="862"/>
      <c r="F3762" s="862"/>
      <c r="G3762" s="863"/>
      <c r="H3762" s="864"/>
      <c r="I3762" s="865"/>
      <c r="J3762" s="866"/>
    </row>
    <row r="3763" spans="2:10" ht="13.5" hidden="1" customHeight="1">
      <c r="B3763" s="565" t="s">
        <v>258</v>
      </c>
      <c r="C3763" s="861" t="s">
        <v>807</v>
      </c>
      <c r="D3763" s="862" t="s">
        <v>125</v>
      </c>
      <c r="E3763" s="862"/>
      <c r="F3763" s="862"/>
      <c r="G3763" s="863"/>
      <c r="H3763" s="864"/>
      <c r="I3763" s="865"/>
      <c r="J3763" s="866"/>
    </row>
    <row r="3764" spans="2:10" ht="13.5" hidden="1" customHeight="1">
      <c r="B3764" s="565" t="s">
        <v>258</v>
      </c>
      <c r="C3764" s="861" t="s">
        <v>812</v>
      </c>
      <c r="D3764" s="862" t="s">
        <v>126</v>
      </c>
      <c r="E3764" s="862"/>
      <c r="F3764" s="862"/>
      <c r="G3764" s="863"/>
      <c r="H3764" s="864"/>
      <c r="I3764" s="865"/>
      <c r="J3764" s="866"/>
    </row>
    <row r="3765" spans="2:10" ht="13.5" hidden="1" customHeight="1">
      <c r="B3765" s="565" t="s">
        <v>258</v>
      </c>
      <c r="C3765" s="861" t="s">
        <v>472</v>
      </c>
      <c r="D3765" s="862" t="s">
        <v>127</v>
      </c>
      <c r="E3765" s="862"/>
      <c r="F3765" s="862"/>
      <c r="G3765" s="863"/>
      <c r="H3765" s="864"/>
      <c r="I3765" s="865"/>
      <c r="J3765" s="866"/>
    </row>
    <row r="3766" spans="2:10" ht="13.5" hidden="1" customHeight="1">
      <c r="B3766" s="565" t="s">
        <v>258</v>
      </c>
      <c r="C3766" s="861" t="s">
        <v>822</v>
      </c>
      <c r="D3766" s="862" t="s">
        <v>128</v>
      </c>
      <c r="E3766" s="862"/>
      <c r="F3766" s="862"/>
      <c r="G3766" s="863"/>
      <c r="H3766" s="864"/>
      <c r="I3766" s="865"/>
      <c r="J3766" s="866"/>
    </row>
    <row r="3767" spans="2:10" ht="13.5" hidden="1" customHeight="1">
      <c r="B3767" s="565" t="s">
        <v>258</v>
      </c>
      <c r="C3767" s="861" t="s">
        <v>474</v>
      </c>
      <c r="D3767" s="862" t="s">
        <v>129</v>
      </c>
      <c r="E3767" s="862"/>
      <c r="F3767" s="862"/>
      <c r="G3767" s="863"/>
      <c r="H3767" s="864"/>
      <c r="I3767" s="865"/>
      <c r="J3767" s="866"/>
    </row>
    <row r="3768" spans="2:10" ht="13.5" hidden="1" customHeight="1">
      <c r="B3768" s="565" t="s">
        <v>258</v>
      </c>
      <c r="C3768" s="861" t="s">
        <v>826</v>
      </c>
      <c r="D3768" s="862" t="s">
        <v>130</v>
      </c>
      <c r="E3768" s="862"/>
      <c r="F3768" s="862"/>
      <c r="G3768" s="863"/>
      <c r="H3768" s="864"/>
      <c r="I3768" s="865"/>
      <c r="J3768" s="866"/>
    </row>
    <row r="3769" spans="2:10" ht="13.5" hidden="1" customHeight="1">
      <c r="B3769" s="565" t="s">
        <v>258</v>
      </c>
      <c r="C3769" s="861" t="s">
        <v>829</v>
      </c>
      <c r="D3769" s="862" t="s">
        <v>131</v>
      </c>
      <c r="E3769" s="862"/>
      <c r="F3769" s="862"/>
      <c r="G3769" s="863"/>
      <c r="H3769" s="864"/>
      <c r="I3769" s="865"/>
      <c r="J3769" s="866"/>
    </row>
    <row r="3770" spans="2:10" ht="13.5" hidden="1" customHeight="1">
      <c r="B3770" s="565" t="s">
        <v>258</v>
      </c>
      <c r="C3770" s="861" t="s">
        <v>833</v>
      </c>
      <c r="D3770" s="862" t="s">
        <v>132</v>
      </c>
      <c r="E3770" s="862"/>
      <c r="F3770" s="862"/>
      <c r="G3770" s="863"/>
      <c r="H3770" s="864"/>
      <c r="I3770" s="865"/>
      <c r="J3770" s="866"/>
    </row>
    <row r="3771" spans="2:10" ht="13.5" hidden="1" customHeight="1">
      <c r="B3771" s="565" t="s">
        <v>258</v>
      </c>
      <c r="C3771" s="861" t="s">
        <v>837</v>
      </c>
      <c r="D3771" s="862" t="s">
        <v>133</v>
      </c>
      <c r="E3771" s="862"/>
      <c r="F3771" s="862"/>
      <c r="G3771" s="863"/>
      <c r="H3771" s="864"/>
      <c r="I3771" s="865"/>
      <c r="J3771" s="866"/>
    </row>
    <row r="3772" spans="2:10" ht="13.5" hidden="1" customHeight="1">
      <c r="B3772" s="565" t="s">
        <v>258</v>
      </c>
    </row>
    <row r="3773" spans="2:10" ht="13.5" hidden="1" customHeight="1">
      <c r="B3773" s="565" t="s">
        <v>258</v>
      </c>
    </row>
    <row r="3774" spans="2:10" ht="13.5" hidden="1" customHeight="1">
      <c r="B3774" s="565" t="s">
        <v>258</v>
      </c>
    </row>
    <row r="3775" spans="2:10" ht="13.5" hidden="1" customHeight="1">
      <c r="B3775" s="565" t="s">
        <v>258</v>
      </c>
    </row>
    <row r="3776" spans="2:10" ht="13.5" hidden="1" customHeight="1">
      <c r="B3776" s="565" t="s">
        <v>258</v>
      </c>
    </row>
    <row r="3777" spans="1:10" ht="13.5" hidden="1" customHeight="1">
      <c r="B3777" s="565" t="s">
        <v>258</v>
      </c>
    </row>
    <row r="3778" spans="1:10" ht="13.5" hidden="1" customHeight="1">
      <c r="A3778" s="89" t="s">
        <v>5882</v>
      </c>
      <c r="B3778" s="565">
        <v>112120608100</v>
      </c>
      <c r="C3778" s="571" t="s">
        <v>5892</v>
      </c>
      <c r="E3778" s="471" t="s">
        <v>842</v>
      </c>
      <c r="F3778" s="472" t="s">
        <v>843</v>
      </c>
      <c r="G3778" s="473"/>
      <c r="H3778" s="570">
        <v>42430</v>
      </c>
      <c r="I3778" s="574" t="s">
        <v>5893</v>
      </c>
      <c r="J3778" s="859"/>
    </row>
    <row r="3779" spans="1:10" ht="13.5" hidden="1" customHeight="1">
      <c r="A3779" s="89" t="s">
        <v>5883</v>
      </c>
      <c r="B3779" s="565">
        <v>112120608100</v>
      </c>
      <c r="C3779" s="571" t="s">
        <v>5892</v>
      </c>
      <c r="E3779" s="471" t="s">
        <v>842</v>
      </c>
      <c r="F3779" s="472" t="s">
        <v>843</v>
      </c>
      <c r="G3779" s="473"/>
      <c r="H3779" s="570">
        <v>42430</v>
      </c>
      <c r="I3779" s="574" t="s">
        <v>5893</v>
      </c>
      <c r="J3779" s="859"/>
    </row>
    <row r="3780" spans="1:10" ht="13.5" hidden="1" customHeight="1">
      <c r="A3780" s="89" t="s">
        <v>5884</v>
      </c>
      <c r="B3780" s="565">
        <v>112120608100</v>
      </c>
      <c r="C3780" s="571" t="s">
        <v>5892</v>
      </c>
      <c r="E3780" s="471" t="s">
        <v>842</v>
      </c>
      <c r="F3780" s="472" t="s">
        <v>843</v>
      </c>
      <c r="G3780" s="473"/>
      <c r="H3780" s="570">
        <v>42430</v>
      </c>
      <c r="I3780" s="574" t="s">
        <v>5893</v>
      </c>
      <c r="J3780" s="859"/>
    </row>
    <row r="3781" spans="1:10" ht="13.5" hidden="1" customHeight="1">
      <c r="A3781" s="89" t="s">
        <v>5885</v>
      </c>
      <c r="B3781" s="565">
        <v>112120608100</v>
      </c>
      <c r="C3781" s="571" t="s">
        <v>5892</v>
      </c>
      <c r="E3781" s="471" t="s">
        <v>842</v>
      </c>
      <c r="F3781" s="472" t="s">
        <v>843</v>
      </c>
      <c r="G3781" s="473"/>
      <c r="H3781" s="570">
        <v>42430</v>
      </c>
      <c r="I3781" s="574" t="s">
        <v>5893</v>
      </c>
      <c r="J3781" s="859"/>
    </row>
    <row r="3782" spans="1:10" ht="13.5" hidden="1" customHeight="1">
      <c r="A3782" s="89" t="s">
        <v>5886</v>
      </c>
      <c r="B3782" s="565">
        <v>112120608100</v>
      </c>
      <c r="C3782" s="571" t="s">
        <v>5892</v>
      </c>
      <c r="E3782" s="471" t="s">
        <v>842</v>
      </c>
      <c r="F3782" s="472" t="s">
        <v>843</v>
      </c>
      <c r="G3782" s="473"/>
      <c r="H3782" s="570">
        <v>42430</v>
      </c>
      <c r="I3782" s="574" t="s">
        <v>5893</v>
      </c>
      <c r="J3782" s="859"/>
    </row>
    <row r="3783" spans="1:10" ht="13.5" hidden="1" customHeight="1">
      <c r="A3783" s="89" t="s">
        <v>5887</v>
      </c>
      <c r="B3783" s="565">
        <v>112120608100</v>
      </c>
      <c r="C3783" s="571" t="s">
        <v>5892</v>
      </c>
      <c r="E3783" s="471" t="s">
        <v>842</v>
      </c>
      <c r="F3783" s="472" t="s">
        <v>843</v>
      </c>
      <c r="G3783" s="473"/>
      <c r="H3783" s="570">
        <v>42430</v>
      </c>
      <c r="I3783" s="574" t="s">
        <v>5893</v>
      </c>
      <c r="J3783" s="859"/>
    </row>
    <row r="3784" spans="1:10" ht="13.5" hidden="1" customHeight="1">
      <c r="A3784" s="89" t="s">
        <v>5888</v>
      </c>
      <c r="B3784" s="565">
        <v>112120608100</v>
      </c>
      <c r="C3784" s="571" t="s">
        <v>5892</v>
      </c>
      <c r="E3784" s="471" t="s">
        <v>842</v>
      </c>
      <c r="F3784" s="472" t="s">
        <v>843</v>
      </c>
      <c r="G3784" s="473"/>
      <c r="H3784" s="570">
        <v>42430</v>
      </c>
      <c r="I3784" s="574" t="s">
        <v>5893</v>
      </c>
      <c r="J3784" s="859"/>
    </row>
    <row r="3785" spans="1:10" ht="13.5" hidden="1" customHeight="1">
      <c r="A3785" s="89" t="s">
        <v>5889</v>
      </c>
      <c r="B3785" s="565">
        <v>112120608100</v>
      </c>
      <c r="C3785" s="571" t="s">
        <v>5892</v>
      </c>
      <c r="E3785" s="471" t="s">
        <v>842</v>
      </c>
      <c r="F3785" s="472" t="s">
        <v>843</v>
      </c>
      <c r="G3785" s="473"/>
      <c r="H3785" s="570">
        <v>42430</v>
      </c>
      <c r="I3785" s="574" t="s">
        <v>5893</v>
      </c>
      <c r="J3785" s="859"/>
    </row>
    <row r="3786" spans="1:10" hidden="1">
      <c r="A3786" s="89" t="s">
        <v>5890</v>
      </c>
      <c r="B3786" s="565">
        <v>112120608100</v>
      </c>
      <c r="C3786" s="571" t="s">
        <v>5892</v>
      </c>
      <c r="E3786" s="471" t="s">
        <v>842</v>
      </c>
      <c r="F3786" s="472" t="s">
        <v>843</v>
      </c>
      <c r="G3786" s="473"/>
      <c r="H3786" s="570">
        <v>42430</v>
      </c>
      <c r="I3786" s="574" t="s">
        <v>5893</v>
      </c>
      <c r="J3786" s="859"/>
    </row>
    <row r="3787" spans="1:10" hidden="1">
      <c r="A3787" s="89" t="s">
        <v>5891</v>
      </c>
      <c r="B3787" s="565">
        <v>112120608100</v>
      </c>
      <c r="C3787" s="571" t="s">
        <v>5892</v>
      </c>
      <c r="E3787" s="471" t="s">
        <v>842</v>
      </c>
      <c r="F3787" s="472" t="s">
        <v>843</v>
      </c>
      <c r="G3787" s="473"/>
      <c r="H3787" s="570">
        <v>42430</v>
      </c>
      <c r="I3787" s="574" t="s">
        <v>5893</v>
      </c>
      <c r="J3787" s="859"/>
    </row>
    <row r="3788" spans="1:10" hidden="1">
      <c r="B3788" s="565" t="s">
        <v>258</v>
      </c>
      <c r="J3788" s="859"/>
    </row>
    <row r="3789" spans="1:10" hidden="1">
      <c r="B3789" s="565" t="s">
        <v>258</v>
      </c>
      <c r="J3789" s="859"/>
    </row>
    <row r="3790" spans="1:10" hidden="1">
      <c r="B3790" s="565" t="s">
        <v>258</v>
      </c>
    </row>
    <row r="3791" spans="1:10" hidden="1">
      <c r="B3791" s="565" t="s">
        <v>258</v>
      </c>
    </row>
    <row r="3792" spans="1:10" hidden="1">
      <c r="B3792" s="565" t="s">
        <v>258</v>
      </c>
    </row>
    <row r="3793" spans="1:10" hidden="1">
      <c r="B3793" s="565" t="s">
        <v>258</v>
      </c>
    </row>
    <row r="3794" spans="1:10" hidden="1">
      <c r="B3794" s="565" t="s">
        <v>258</v>
      </c>
    </row>
    <row r="3795" spans="1:10" hidden="1">
      <c r="B3795" s="565" t="s">
        <v>258</v>
      </c>
    </row>
    <row r="3796" spans="1:10" s="474" customFormat="1" hidden="1">
      <c r="A3796" s="849"/>
      <c r="B3796" s="565" t="s">
        <v>258</v>
      </c>
      <c r="C3796" s="825"/>
      <c r="F3796" s="475"/>
      <c r="G3796" s="539"/>
      <c r="H3796" s="825"/>
      <c r="I3796" s="577"/>
      <c r="J3796" s="835"/>
    </row>
    <row r="3797" spans="1:10" s="478" customFormat="1" hidden="1">
      <c r="A3797" s="849" t="s">
        <v>1824</v>
      </c>
      <c r="B3797" s="565">
        <v>112011001000</v>
      </c>
      <c r="C3797" s="572" t="s">
        <v>449</v>
      </c>
      <c r="D3797" s="474"/>
      <c r="E3797" s="474" t="s">
        <v>1825</v>
      </c>
      <c r="F3797" s="475" t="s">
        <v>1826</v>
      </c>
      <c r="G3797" s="477" t="s">
        <v>2727</v>
      </c>
      <c r="H3797" s="822">
        <v>42430</v>
      </c>
      <c r="I3797" s="574">
        <v>42460</v>
      </c>
      <c r="J3797" s="835">
        <v>787987.52</v>
      </c>
    </row>
    <row r="3798" spans="1:10" s="478" customFormat="1" hidden="1">
      <c r="A3798" s="849"/>
      <c r="B3798" s="565" t="s">
        <v>258</v>
      </c>
      <c r="C3798" s="572"/>
      <c r="D3798" s="474"/>
      <c r="E3798" s="474"/>
      <c r="F3798" s="475"/>
      <c r="G3798" s="477"/>
      <c r="H3798" s="822"/>
      <c r="I3798" s="574"/>
      <c r="J3798" s="835"/>
    </row>
    <row r="3799" spans="1:10" s="478" customFormat="1" hidden="1">
      <c r="A3799" s="849"/>
      <c r="B3799" s="565" t="s">
        <v>258</v>
      </c>
      <c r="C3799" s="825" t="s">
        <v>783</v>
      </c>
      <c r="D3799" s="474"/>
      <c r="E3799" s="474" t="s">
        <v>1825</v>
      </c>
      <c r="F3799" s="476" t="s">
        <v>2205</v>
      </c>
      <c r="G3799" s="473">
        <v>30</v>
      </c>
      <c r="H3799" s="822">
        <v>42430</v>
      </c>
      <c r="I3799" s="574">
        <v>42460</v>
      </c>
      <c r="J3799" s="832">
        <v>5997.56</v>
      </c>
    </row>
    <row r="3800" spans="1:10" s="478" customFormat="1" hidden="1">
      <c r="A3800" s="849"/>
      <c r="B3800" s="565" t="s">
        <v>258</v>
      </c>
      <c r="C3800" s="825" t="s">
        <v>465</v>
      </c>
      <c r="D3800" s="474"/>
      <c r="E3800" s="474" t="s">
        <v>1825</v>
      </c>
      <c r="F3800" s="476" t="s">
        <v>2205</v>
      </c>
      <c r="G3800" s="473">
        <v>40</v>
      </c>
      <c r="H3800" s="822">
        <v>42430</v>
      </c>
      <c r="I3800" s="574">
        <v>42460</v>
      </c>
      <c r="J3800" s="832">
        <v>6120.92</v>
      </c>
    </row>
    <row r="3801" spans="1:10" s="478" customFormat="1" hidden="1">
      <c r="A3801" s="849"/>
      <c r="B3801" s="565" t="s">
        <v>258</v>
      </c>
      <c r="C3801" s="825" t="s">
        <v>789</v>
      </c>
      <c r="D3801" s="474"/>
      <c r="E3801" s="474" t="s">
        <v>1825</v>
      </c>
      <c r="F3801" s="476" t="s">
        <v>2205</v>
      </c>
      <c r="G3801" s="473">
        <v>125</v>
      </c>
      <c r="H3801" s="822">
        <v>42430</v>
      </c>
      <c r="I3801" s="574">
        <v>42460</v>
      </c>
      <c r="J3801" s="832">
        <v>107399.67</v>
      </c>
    </row>
    <row r="3802" spans="1:10" s="478" customFormat="1" hidden="1">
      <c r="A3802" s="849"/>
      <c r="B3802" s="565" t="s">
        <v>258</v>
      </c>
      <c r="C3802" s="825" t="s">
        <v>449</v>
      </c>
      <c r="D3802" s="474"/>
      <c r="E3802" s="474" t="s">
        <v>1825</v>
      </c>
      <c r="F3802" s="476" t="s">
        <v>2205</v>
      </c>
      <c r="G3802" s="473">
        <v>53</v>
      </c>
      <c r="H3802" s="822">
        <v>42430</v>
      </c>
      <c r="I3802" s="574">
        <v>42460</v>
      </c>
      <c r="J3802" s="832">
        <v>171614.45</v>
      </c>
    </row>
    <row r="3803" spans="1:10" s="478" customFormat="1" hidden="1">
      <c r="A3803" s="849"/>
      <c r="B3803" s="565" t="s">
        <v>258</v>
      </c>
      <c r="C3803" s="825" t="s">
        <v>454</v>
      </c>
      <c r="D3803" s="474"/>
      <c r="E3803" s="474" t="s">
        <v>1825</v>
      </c>
      <c r="F3803" s="476" t="s">
        <v>2205</v>
      </c>
      <c r="G3803" s="473">
        <v>82</v>
      </c>
      <c r="H3803" s="822">
        <v>42430</v>
      </c>
      <c r="I3803" s="574">
        <v>42460</v>
      </c>
      <c r="J3803" s="832">
        <v>212636.87</v>
      </c>
    </row>
    <row r="3804" spans="1:10" s="478" customFormat="1" hidden="1">
      <c r="A3804" s="849"/>
      <c r="B3804" s="565" t="s">
        <v>258</v>
      </c>
      <c r="C3804" s="825" t="s">
        <v>463</v>
      </c>
      <c r="D3804" s="474"/>
      <c r="E3804" s="474" t="s">
        <v>1825</v>
      </c>
      <c r="F3804" s="476" t="s">
        <v>2205</v>
      </c>
      <c r="G3804" s="473">
        <v>80</v>
      </c>
      <c r="H3804" s="822">
        <v>42430</v>
      </c>
      <c r="I3804" s="574">
        <v>42460</v>
      </c>
      <c r="J3804" s="832">
        <v>212812.47</v>
      </c>
    </row>
    <row r="3805" spans="1:10" s="478" customFormat="1" hidden="1">
      <c r="A3805" s="849"/>
      <c r="B3805" s="565" t="s">
        <v>258</v>
      </c>
      <c r="C3805" s="825" t="s">
        <v>458</v>
      </c>
      <c r="D3805" s="474"/>
      <c r="E3805" s="474" t="s">
        <v>1825</v>
      </c>
      <c r="F3805" s="476" t="s">
        <v>2205</v>
      </c>
      <c r="G3805" s="473">
        <v>123</v>
      </c>
      <c r="H3805" s="822">
        <v>42430</v>
      </c>
      <c r="I3805" s="574">
        <v>42460</v>
      </c>
      <c r="J3805" s="832">
        <v>272412.62</v>
      </c>
    </row>
    <row r="3806" spans="1:10" s="478" customFormat="1" hidden="1">
      <c r="A3806" s="849"/>
      <c r="B3806" s="565" t="s">
        <v>258</v>
      </c>
      <c r="C3806" s="825" t="s">
        <v>719</v>
      </c>
      <c r="D3806" s="474"/>
      <c r="E3806" s="474" t="s">
        <v>1825</v>
      </c>
      <c r="F3806" s="476" t="s">
        <v>2205</v>
      </c>
      <c r="G3806" s="473">
        <v>75</v>
      </c>
      <c r="H3806" s="822">
        <v>42430</v>
      </c>
      <c r="I3806" s="574">
        <v>42460</v>
      </c>
      <c r="J3806" s="832">
        <v>295798.15999999997</v>
      </c>
    </row>
    <row r="3807" spans="1:10" s="478" customFormat="1" hidden="1">
      <c r="A3807" s="849"/>
      <c r="B3807" s="565" t="s">
        <v>258</v>
      </c>
      <c r="C3807" s="825" t="s">
        <v>460</v>
      </c>
      <c r="D3807" s="474"/>
      <c r="E3807" s="474" t="s">
        <v>1825</v>
      </c>
      <c r="F3807" s="476" t="s">
        <v>2205</v>
      </c>
      <c r="G3807" s="473">
        <v>55</v>
      </c>
      <c r="H3807" s="822">
        <v>42430</v>
      </c>
      <c r="I3807" s="574">
        <v>42460</v>
      </c>
      <c r="J3807" s="832">
        <v>317630.87</v>
      </c>
    </row>
    <row r="3808" spans="1:10" s="478" customFormat="1" hidden="1">
      <c r="A3808" s="849"/>
      <c r="B3808" s="565" t="s">
        <v>258</v>
      </c>
      <c r="C3808" s="825" t="s">
        <v>456</v>
      </c>
      <c r="D3808" s="474"/>
      <c r="E3808" s="474" t="s">
        <v>1825</v>
      </c>
      <c r="F3808" s="476" t="s">
        <v>2205</v>
      </c>
      <c r="G3808" s="473">
        <v>122</v>
      </c>
      <c r="H3808" s="822">
        <v>42430</v>
      </c>
      <c r="I3808" s="574">
        <v>42460</v>
      </c>
      <c r="J3808" s="832">
        <v>339690.43</v>
      </c>
    </row>
    <row r="3809" spans="1:13" s="478" customFormat="1" hidden="1">
      <c r="A3809" s="849"/>
      <c r="B3809" s="565" t="s">
        <v>258</v>
      </c>
      <c r="C3809" s="825" t="s">
        <v>459</v>
      </c>
      <c r="D3809" s="474"/>
      <c r="E3809" s="474" t="s">
        <v>1825</v>
      </c>
      <c r="F3809" s="476" t="s">
        <v>2205</v>
      </c>
      <c r="G3809" s="473">
        <v>186</v>
      </c>
      <c r="H3809" s="822">
        <v>42430</v>
      </c>
      <c r="I3809" s="574">
        <v>42460</v>
      </c>
      <c r="J3809" s="832">
        <v>349129.91</v>
      </c>
    </row>
    <row r="3810" spans="1:13" s="478" customFormat="1" hidden="1">
      <c r="A3810" s="849"/>
      <c r="B3810" s="565" t="s">
        <v>258</v>
      </c>
      <c r="C3810" s="825" t="s">
        <v>461</v>
      </c>
      <c r="D3810" s="474"/>
      <c r="E3810" s="474" t="s">
        <v>1825</v>
      </c>
      <c r="F3810" s="476" t="s">
        <v>2205</v>
      </c>
      <c r="G3810" s="473">
        <v>40</v>
      </c>
      <c r="H3810" s="822">
        <v>42430</v>
      </c>
      <c r="I3810" s="574">
        <v>42460</v>
      </c>
      <c r="J3810" s="832">
        <v>509642.99</v>
      </c>
    </row>
    <row r="3811" spans="1:13" s="478" customFormat="1" hidden="1">
      <c r="A3811" s="849"/>
      <c r="B3811" s="565" t="s">
        <v>258</v>
      </c>
      <c r="C3811" s="825" t="s">
        <v>466</v>
      </c>
      <c r="D3811" s="474"/>
      <c r="E3811" s="474" t="s">
        <v>1825</v>
      </c>
      <c r="F3811" s="476" t="s">
        <v>2205</v>
      </c>
      <c r="G3811" s="473">
        <v>5176</v>
      </c>
      <c r="H3811" s="822">
        <v>42430</v>
      </c>
      <c r="I3811" s="574">
        <v>42460</v>
      </c>
      <c r="J3811" s="832">
        <v>1649113.08</v>
      </c>
    </row>
    <row r="3812" spans="1:13" hidden="1">
      <c r="B3812" s="565" t="s">
        <v>258</v>
      </c>
    </row>
    <row r="3813" spans="1:13" s="540" customFormat="1" hidden="1">
      <c r="A3813" s="849" t="s">
        <v>1827</v>
      </c>
      <c r="B3813" s="565">
        <v>112120801030</v>
      </c>
      <c r="C3813" s="571" t="s">
        <v>449</v>
      </c>
      <c r="D3813" s="474"/>
      <c r="E3813" s="474" t="s">
        <v>120</v>
      </c>
      <c r="F3813" s="475" t="s">
        <v>121</v>
      </c>
      <c r="G3813" s="539" t="s">
        <v>122</v>
      </c>
      <c r="H3813" s="822">
        <v>42461</v>
      </c>
      <c r="I3813" s="574">
        <v>42489</v>
      </c>
      <c r="J3813" s="835"/>
      <c r="K3813" s="478"/>
      <c r="L3813" s="478"/>
      <c r="M3813" s="478"/>
    </row>
    <row r="3814" spans="1:13" hidden="1"/>
    <row r="3815" spans="1:13" hidden="1"/>
    <row r="3816" spans="1:13" hidden="1"/>
    <row r="3817" spans="1:13" hidden="1"/>
    <row r="3818" spans="1:13" hidden="1"/>
    <row r="3819" spans="1:13" s="817" customFormat="1" ht="15" hidden="1" customHeight="1">
      <c r="A3819" s="815" t="s">
        <v>2730</v>
      </c>
      <c r="B3819" s="816">
        <v>112120301060</v>
      </c>
      <c r="C3819" s="828" t="s">
        <v>454</v>
      </c>
      <c r="E3819" s="846" t="s">
        <v>2306</v>
      </c>
      <c r="F3819" s="818" t="s">
        <v>2743</v>
      </c>
      <c r="G3819" s="837">
        <v>1282724</v>
      </c>
      <c r="H3819" s="820">
        <v>42461</v>
      </c>
      <c r="I3819" s="827">
        <v>42489</v>
      </c>
      <c r="J3819" s="826">
        <v>32.92</v>
      </c>
      <c r="K3819" s="479"/>
      <c r="L3819" s="479"/>
      <c r="M3819" s="479"/>
    </row>
    <row r="3820" spans="1:13" s="817" customFormat="1" ht="15" hidden="1" customHeight="1">
      <c r="A3820" s="815" t="s">
        <v>2729</v>
      </c>
      <c r="B3820" s="816">
        <v>112120301050</v>
      </c>
      <c r="C3820" s="828" t="s">
        <v>454</v>
      </c>
      <c r="E3820" s="846" t="s">
        <v>2306</v>
      </c>
      <c r="F3820" s="818" t="s">
        <v>2742</v>
      </c>
      <c r="G3820" s="837">
        <v>1282718</v>
      </c>
      <c r="H3820" s="820">
        <v>42461</v>
      </c>
      <c r="I3820" s="827">
        <v>42489</v>
      </c>
      <c r="J3820" s="826">
        <v>659.87</v>
      </c>
      <c r="K3820" s="479"/>
      <c r="L3820" s="479"/>
      <c r="M3820" s="479"/>
    </row>
    <row r="3821" spans="1:13" s="817" customFormat="1" ht="15" hidden="1" customHeight="1">
      <c r="A3821" s="815" t="s">
        <v>2731</v>
      </c>
      <c r="B3821" s="816">
        <v>112120301050</v>
      </c>
      <c r="C3821" s="828" t="s">
        <v>456</v>
      </c>
      <c r="E3821" s="846" t="s">
        <v>2306</v>
      </c>
      <c r="F3821" s="818" t="s">
        <v>2742</v>
      </c>
      <c r="G3821" s="837">
        <v>1282410</v>
      </c>
      <c r="H3821" s="820">
        <v>42461</v>
      </c>
      <c r="I3821" s="827">
        <v>42489</v>
      </c>
      <c r="J3821" s="826">
        <v>659.87</v>
      </c>
      <c r="K3821" s="479"/>
      <c r="L3821" s="479"/>
      <c r="M3821" s="479"/>
    </row>
    <row r="3822" spans="1:13" s="817" customFormat="1" ht="15" hidden="1" customHeight="1">
      <c r="A3822" s="815" t="s">
        <v>1288</v>
      </c>
      <c r="B3822" s="816">
        <v>112120601060</v>
      </c>
      <c r="C3822" s="828" t="s">
        <v>458</v>
      </c>
      <c r="E3822" s="846" t="s">
        <v>2306</v>
      </c>
      <c r="F3822" s="818" t="s">
        <v>2744</v>
      </c>
      <c r="G3822" s="837">
        <v>1282482</v>
      </c>
      <c r="H3822" s="820">
        <v>42461</v>
      </c>
      <c r="I3822" s="827">
        <v>42489</v>
      </c>
      <c r="J3822" s="826">
        <v>187.32</v>
      </c>
      <c r="K3822" s="479"/>
      <c r="L3822" s="479"/>
      <c r="M3822" s="479"/>
    </row>
    <row r="3823" spans="1:13" s="817" customFormat="1" ht="15" hidden="1" customHeight="1">
      <c r="A3823" s="815" t="s">
        <v>2732</v>
      </c>
      <c r="B3823" s="816">
        <v>112120301050</v>
      </c>
      <c r="C3823" s="828" t="s">
        <v>458</v>
      </c>
      <c r="E3823" s="846" t="s">
        <v>2306</v>
      </c>
      <c r="F3823" s="818" t="s">
        <v>2742</v>
      </c>
      <c r="G3823" s="837">
        <v>1282497</v>
      </c>
      <c r="H3823" s="820">
        <v>42461</v>
      </c>
      <c r="I3823" s="827">
        <v>42489</v>
      </c>
      <c r="J3823" s="826">
        <v>1696.81</v>
      </c>
      <c r="K3823" s="479"/>
      <c r="L3823" s="479"/>
      <c r="M3823" s="479"/>
    </row>
    <row r="3824" spans="1:13" s="817" customFormat="1" ht="15" hidden="1" customHeight="1">
      <c r="A3824" s="815" t="s">
        <v>2734</v>
      </c>
      <c r="B3824" s="816">
        <v>112120301060</v>
      </c>
      <c r="C3824" s="828" t="s">
        <v>459</v>
      </c>
      <c r="E3824" s="846" t="s">
        <v>2306</v>
      </c>
      <c r="F3824" s="818" t="s">
        <v>2743</v>
      </c>
      <c r="G3824" s="837">
        <v>1282458</v>
      </c>
      <c r="H3824" s="820">
        <v>42461</v>
      </c>
      <c r="I3824" s="827">
        <v>42489</v>
      </c>
      <c r="J3824" s="826">
        <v>16.46</v>
      </c>
      <c r="K3824" s="479"/>
      <c r="L3824" s="479"/>
      <c r="M3824" s="479"/>
    </row>
    <row r="3825" spans="1:13" s="817" customFormat="1" ht="15" hidden="1" customHeight="1">
      <c r="A3825" s="815" t="s">
        <v>2733</v>
      </c>
      <c r="B3825" s="816">
        <v>112120301050</v>
      </c>
      <c r="C3825" s="828" t="s">
        <v>459</v>
      </c>
      <c r="E3825" s="846" t="s">
        <v>2306</v>
      </c>
      <c r="F3825" s="818" t="s">
        <v>2742</v>
      </c>
      <c r="G3825" s="837">
        <v>1286218</v>
      </c>
      <c r="H3825" s="820">
        <v>42461</v>
      </c>
      <c r="I3825" s="827">
        <v>42489</v>
      </c>
      <c r="J3825" s="826">
        <v>282.8</v>
      </c>
      <c r="K3825" s="479"/>
      <c r="L3825" s="479"/>
      <c r="M3825" s="479"/>
    </row>
    <row r="3826" spans="1:13" s="817" customFormat="1" ht="15" hidden="1" customHeight="1">
      <c r="A3826" s="815" t="s">
        <v>2733</v>
      </c>
      <c r="B3826" s="816">
        <v>112120301050</v>
      </c>
      <c r="C3826" s="828" t="s">
        <v>459</v>
      </c>
      <c r="E3826" s="846" t="s">
        <v>2306</v>
      </c>
      <c r="F3826" s="818" t="s">
        <v>2742</v>
      </c>
      <c r="G3826" s="837">
        <v>1282454</v>
      </c>
      <c r="H3826" s="820">
        <v>42461</v>
      </c>
      <c r="I3826" s="827">
        <v>42489</v>
      </c>
      <c r="J3826" s="826">
        <v>659.87</v>
      </c>
      <c r="K3826" s="479"/>
      <c r="L3826" s="479"/>
      <c r="M3826" s="479"/>
    </row>
    <row r="3827" spans="1:13" s="817" customFormat="1" ht="15" hidden="1" customHeight="1">
      <c r="A3827" s="815" t="s">
        <v>2735</v>
      </c>
      <c r="B3827" s="816">
        <v>112120301050</v>
      </c>
      <c r="C3827" s="828" t="s">
        <v>460</v>
      </c>
      <c r="E3827" s="846" t="s">
        <v>2306</v>
      </c>
      <c r="F3827" s="818" t="s">
        <v>2742</v>
      </c>
      <c r="G3827" s="837">
        <v>1284722</v>
      </c>
      <c r="H3827" s="820">
        <v>42461</v>
      </c>
      <c r="I3827" s="827">
        <v>42489</v>
      </c>
      <c r="J3827" s="826">
        <v>2356.6799999999998</v>
      </c>
      <c r="K3827" s="479"/>
      <c r="L3827" s="479"/>
      <c r="M3827" s="479"/>
    </row>
    <row r="3828" spans="1:13" s="817" customFormat="1" ht="15" hidden="1" customHeight="1">
      <c r="A3828" s="815" t="s">
        <v>2736</v>
      </c>
      <c r="B3828" s="816">
        <v>112120301060</v>
      </c>
      <c r="C3828" s="828" t="s">
        <v>460</v>
      </c>
      <c r="E3828" s="846" t="s">
        <v>2306</v>
      </c>
      <c r="F3828" s="818" t="s">
        <v>2743</v>
      </c>
      <c r="G3828" s="837">
        <v>1284698</v>
      </c>
      <c r="H3828" s="820">
        <v>42461</v>
      </c>
      <c r="I3828" s="827">
        <v>42489</v>
      </c>
      <c r="J3828" s="826">
        <v>131.66999999999999</v>
      </c>
      <c r="K3828" s="479"/>
      <c r="L3828" s="479"/>
      <c r="M3828" s="479"/>
    </row>
    <row r="3829" spans="1:13" s="817" customFormat="1" ht="15" hidden="1" customHeight="1">
      <c r="A3829" s="815" t="s">
        <v>2738</v>
      </c>
      <c r="B3829" s="816">
        <v>112120301050</v>
      </c>
      <c r="C3829" s="828" t="s">
        <v>461</v>
      </c>
      <c r="E3829" s="846" t="s">
        <v>2306</v>
      </c>
      <c r="F3829" s="818" t="s">
        <v>2742</v>
      </c>
      <c r="G3829" s="837">
        <v>1282770</v>
      </c>
      <c r="H3829" s="820">
        <v>42461</v>
      </c>
      <c r="I3829" s="827">
        <v>42489</v>
      </c>
      <c r="J3829" s="826">
        <v>1225.47</v>
      </c>
      <c r="K3829" s="479"/>
      <c r="L3829" s="479"/>
      <c r="M3829" s="479"/>
    </row>
    <row r="3830" spans="1:13" s="817" customFormat="1" ht="15" hidden="1" customHeight="1">
      <c r="A3830" s="815" t="s">
        <v>2737</v>
      </c>
      <c r="B3830" s="816">
        <v>112120301060</v>
      </c>
      <c r="C3830" s="828" t="s">
        <v>461</v>
      </c>
      <c r="E3830" s="846" t="s">
        <v>2306</v>
      </c>
      <c r="F3830" s="818" t="s">
        <v>2743</v>
      </c>
      <c r="G3830" s="837">
        <v>1282778</v>
      </c>
      <c r="H3830" s="820">
        <v>42461</v>
      </c>
      <c r="I3830" s="827">
        <v>42489</v>
      </c>
      <c r="J3830" s="826">
        <v>98.76</v>
      </c>
      <c r="K3830" s="479"/>
      <c r="L3830" s="479"/>
      <c r="M3830" s="479"/>
    </row>
    <row r="3831" spans="1:13" s="817" customFormat="1" ht="15" hidden="1" customHeight="1">
      <c r="A3831" s="815" t="s">
        <v>2739</v>
      </c>
      <c r="B3831" s="816">
        <v>112120301050</v>
      </c>
      <c r="C3831" s="828" t="s">
        <v>463</v>
      </c>
      <c r="E3831" s="846" t="s">
        <v>2306</v>
      </c>
      <c r="F3831" s="818" t="s">
        <v>2742</v>
      </c>
      <c r="G3831" s="837">
        <v>1282561</v>
      </c>
      <c r="H3831" s="820">
        <v>42461</v>
      </c>
      <c r="I3831" s="827">
        <v>42489</v>
      </c>
      <c r="J3831" s="826">
        <v>754.14</v>
      </c>
      <c r="K3831" s="479"/>
      <c r="L3831" s="479"/>
      <c r="M3831" s="479"/>
    </row>
    <row r="3832" spans="1:13" s="817" customFormat="1" ht="15" hidden="1" customHeight="1">
      <c r="A3832" s="815" t="s">
        <v>1321</v>
      </c>
      <c r="B3832" s="816">
        <v>112120601060</v>
      </c>
      <c r="C3832" s="828" t="s">
        <v>463</v>
      </c>
      <c r="E3832" s="846" t="s">
        <v>2306</v>
      </c>
      <c r="F3832" s="818" t="s">
        <v>2744</v>
      </c>
      <c r="G3832" s="837">
        <v>1282555</v>
      </c>
      <c r="H3832" s="820">
        <v>42461</v>
      </c>
      <c r="I3832" s="827">
        <v>42489</v>
      </c>
      <c r="J3832" s="826">
        <v>93.66</v>
      </c>
      <c r="K3832" s="479"/>
      <c r="L3832" s="479"/>
      <c r="M3832" s="479"/>
    </row>
    <row r="3833" spans="1:13" s="817" customFormat="1" ht="15" hidden="1" customHeight="1">
      <c r="A3833" s="815" t="s">
        <v>2739</v>
      </c>
      <c r="B3833" s="816">
        <v>112120301050</v>
      </c>
      <c r="C3833" s="828" t="s">
        <v>463</v>
      </c>
      <c r="E3833" s="846" t="s">
        <v>2306</v>
      </c>
      <c r="F3833" s="818" t="s">
        <v>2742</v>
      </c>
      <c r="G3833" s="837">
        <v>1290319</v>
      </c>
      <c r="H3833" s="820">
        <v>42461</v>
      </c>
      <c r="I3833" s="827">
        <v>42489</v>
      </c>
      <c r="J3833" s="826">
        <v>188.53</v>
      </c>
      <c r="K3833" s="479"/>
      <c r="L3833" s="479"/>
      <c r="M3833" s="479"/>
    </row>
    <row r="3834" spans="1:13" s="817" customFormat="1" ht="15" hidden="1" customHeight="1">
      <c r="A3834" s="815" t="s">
        <v>2740</v>
      </c>
      <c r="B3834" s="816">
        <v>112120301050</v>
      </c>
      <c r="C3834" s="828" t="s">
        <v>465</v>
      </c>
      <c r="E3834" s="846" t="s">
        <v>2306</v>
      </c>
      <c r="F3834" s="818" t="s">
        <v>2742</v>
      </c>
      <c r="G3834" s="837">
        <v>1282792</v>
      </c>
      <c r="H3834" s="820">
        <v>42461</v>
      </c>
      <c r="I3834" s="827">
        <v>42489</v>
      </c>
      <c r="J3834" s="826">
        <v>659.87</v>
      </c>
      <c r="K3834" s="479"/>
      <c r="L3834" s="479"/>
      <c r="M3834" s="479"/>
    </row>
    <row r="3835" spans="1:13" s="817" customFormat="1" ht="15" hidden="1" customHeight="1">
      <c r="A3835" s="815" t="s">
        <v>1331</v>
      </c>
      <c r="B3835" s="816">
        <v>112120601060</v>
      </c>
      <c r="C3835" s="828" t="s">
        <v>465</v>
      </c>
      <c r="E3835" s="846" t="s">
        <v>2306</v>
      </c>
      <c r="F3835" s="818" t="s">
        <v>2744</v>
      </c>
      <c r="G3835" s="837">
        <v>1282790</v>
      </c>
      <c r="H3835" s="820">
        <v>42461</v>
      </c>
      <c r="I3835" s="827">
        <v>42489</v>
      </c>
      <c r="J3835" s="826">
        <v>187.32</v>
      </c>
      <c r="K3835" s="479"/>
      <c r="L3835" s="479"/>
      <c r="M3835" s="479"/>
    </row>
    <row r="3836" spans="1:13" s="817" customFormat="1" ht="15" hidden="1" customHeight="1">
      <c r="A3836" s="815" t="s">
        <v>1337</v>
      </c>
      <c r="B3836" s="816">
        <v>112120601060</v>
      </c>
      <c r="C3836" s="828" t="s">
        <v>466</v>
      </c>
      <c r="E3836" s="846" t="s">
        <v>2306</v>
      </c>
      <c r="F3836" s="818" t="s">
        <v>2744</v>
      </c>
      <c r="G3836" s="837">
        <v>1282429</v>
      </c>
      <c r="H3836" s="820">
        <v>42461</v>
      </c>
      <c r="I3836" s="827">
        <v>42489</v>
      </c>
      <c r="J3836" s="826">
        <v>93.66</v>
      </c>
      <c r="K3836" s="479"/>
      <c r="L3836" s="479"/>
      <c r="M3836" s="479"/>
    </row>
    <row r="3837" spans="1:13" s="817" customFormat="1" ht="15" hidden="1" customHeight="1">
      <c r="A3837" s="838" t="s">
        <v>2741</v>
      </c>
      <c r="B3837" s="839">
        <v>112120301050</v>
      </c>
      <c r="C3837" s="840" t="s">
        <v>466</v>
      </c>
      <c r="D3837" s="261"/>
      <c r="E3837" s="847" t="s">
        <v>2306</v>
      </c>
      <c r="F3837" s="841" t="s">
        <v>2742</v>
      </c>
      <c r="G3837" s="842">
        <v>1282431</v>
      </c>
      <c r="H3837" s="843">
        <v>42461</v>
      </c>
      <c r="I3837" s="844">
        <v>42489</v>
      </c>
      <c r="J3837" s="845">
        <v>688.15</v>
      </c>
      <c r="K3837" s="479"/>
      <c r="L3837" s="479"/>
      <c r="M3837" s="479"/>
    </row>
    <row r="3838" spans="1:13" hidden="1"/>
    <row r="3839" spans="1:13" hidden="1"/>
    <row r="3840" spans="1:13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spans="1:10" hidden="1"/>
    <row r="3858" spans="1:10" hidden="1"/>
    <row r="3859" spans="1:10" hidden="1"/>
    <row r="3860" spans="1:10" hidden="1"/>
    <row r="3861" spans="1:10" hidden="1"/>
    <row r="3862" spans="1:10" hidden="1"/>
    <row r="3863" spans="1:10" hidden="1"/>
    <row r="3864" spans="1:10" hidden="1"/>
    <row r="3865" spans="1:10" hidden="1"/>
    <row r="3866" spans="1:10" hidden="1"/>
    <row r="3867" spans="1:10" hidden="1"/>
    <row r="3868" spans="1:10" hidden="1"/>
    <row r="3869" spans="1:10" s="479" customFormat="1" ht="14.25" hidden="1" customHeight="1">
      <c r="A3869" s="849" t="s">
        <v>981</v>
      </c>
      <c r="B3869" s="565">
        <v>112120502010</v>
      </c>
      <c r="C3869" s="571" t="s">
        <v>476</v>
      </c>
      <c r="D3869" s="471"/>
      <c r="E3869" s="471" t="s">
        <v>2513</v>
      </c>
      <c r="F3869" s="471" t="s">
        <v>429</v>
      </c>
      <c r="G3869" s="532" t="str">
        <f t="shared" ref="G3869:G3874" si="0">"1220"</f>
        <v>1220</v>
      </c>
      <c r="H3869" s="570">
        <v>42401</v>
      </c>
      <c r="I3869" s="573">
        <v>42460</v>
      </c>
      <c r="J3869" s="833">
        <v>6819.41</v>
      </c>
    </row>
    <row r="3870" spans="1:10" s="479" customFormat="1" ht="14.25" hidden="1" customHeight="1">
      <c r="A3870" s="849" t="s">
        <v>987</v>
      </c>
      <c r="B3870" s="565">
        <v>112120502010</v>
      </c>
      <c r="C3870" s="571" t="s">
        <v>486</v>
      </c>
      <c r="D3870" s="471"/>
      <c r="E3870" s="471" t="s">
        <v>2513</v>
      </c>
      <c r="F3870" s="471" t="s">
        <v>429</v>
      </c>
      <c r="G3870" s="532" t="str">
        <f t="shared" si="0"/>
        <v>1220</v>
      </c>
      <c r="H3870" s="570">
        <v>42401</v>
      </c>
      <c r="I3870" s="573">
        <v>42460</v>
      </c>
      <c r="J3870" s="833">
        <v>8956.2800000000007</v>
      </c>
    </row>
    <row r="3871" spans="1:10" s="479" customFormat="1" ht="14.25" hidden="1" customHeight="1">
      <c r="A3871" s="849" t="s">
        <v>979</v>
      </c>
      <c r="B3871" s="565">
        <v>112120502010</v>
      </c>
      <c r="C3871" s="571" t="s">
        <v>496</v>
      </c>
      <c r="D3871" s="471"/>
      <c r="E3871" s="471" t="s">
        <v>2513</v>
      </c>
      <c r="F3871" s="471" t="s">
        <v>429</v>
      </c>
      <c r="G3871" s="532" t="str">
        <f t="shared" si="0"/>
        <v>1220</v>
      </c>
      <c r="H3871" s="570">
        <v>42401</v>
      </c>
      <c r="I3871" s="573">
        <v>42460</v>
      </c>
      <c r="J3871" s="833">
        <v>9407.34</v>
      </c>
    </row>
    <row r="3872" spans="1:10" s="479" customFormat="1" ht="14.25" hidden="1" customHeight="1">
      <c r="A3872" s="849" t="s">
        <v>984</v>
      </c>
      <c r="B3872" s="565">
        <v>112120502010</v>
      </c>
      <c r="C3872" s="571" t="s">
        <v>502</v>
      </c>
      <c r="D3872" s="471"/>
      <c r="E3872" s="471" t="s">
        <v>2513</v>
      </c>
      <c r="F3872" s="471" t="s">
        <v>429</v>
      </c>
      <c r="G3872" s="532" t="str">
        <f t="shared" si="0"/>
        <v>1220</v>
      </c>
      <c r="H3872" s="570">
        <v>42401</v>
      </c>
      <c r="I3872" s="573">
        <v>42460</v>
      </c>
      <c r="J3872" s="833">
        <v>7057.95</v>
      </c>
    </row>
    <row r="3873" spans="1:10" s="479" customFormat="1" ht="14.25" hidden="1" customHeight="1">
      <c r="A3873" s="849" t="s">
        <v>975</v>
      </c>
      <c r="B3873" s="565">
        <v>112120502010</v>
      </c>
      <c r="C3873" s="571" t="s">
        <v>506</v>
      </c>
      <c r="D3873" s="471"/>
      <c r="E3873" s="471" t="s">
        <v>2513</v>
      </c>
      <c r="F3873" s="471" t="s">
        <v>429</v>
      </c>
      <c r="G3873" s="532" t="str">
        <f t="shared" si="0"/>
        <v>1220</v>
      </c>
      <c r="H3873" s="570">
        <v>42401</v>
      </c>
      <c r="I3873" s="573">
        <v>42460</v>
      </c>
      <c r="J3873" s="833">
        <v>33128.26</v>
      </c>
    </row>
    <row r="3874" spans="1:10" s="479" customFormat="1" ht="14.25" hidden="1" customHeight="1">
      <c r="A3874" s="849" t="s">
        <v>990</v>
      </c>
      <c r="B3874" s="565">
        <v>112120502010</v>
      </c>
      <c r="C3874" s="571" t="s">
        <v>513</v>
      </c>
      <c r="D3874" s="471"/>
      <c r="E3874" s="471" t="s">
        <v>2513</v>
      </c>
      <c r="F3874" s="471" t="s">
        <v>429</v>
      </c>
      <c r="G3874" s="532" t="str">
        <f t="shared" si="0"/>
        <v>1220</v>
      </c>
      <c r="H3874" s="570">
        <v>42401</v>
      </c>
      <c r="I3874" s="573">
        <v>42460</v>
      </c>
      <c r="J3874" s="833">
        <v>13830.32</v>
      </c>
    </row>
    <row r="3875" spans="1:10" hidden="1"/>
    <row r="3876" spans="1:10" hidden="1"/>
    <row r="3877" spans="1:10" hidden="1"/>
    <row r="3878" spans="1:10" hidden="1"/>
    <row r="3879" spans="1:10" hidden="1"/>
    <row r="3880" spans="1:10" hidden="1"/>
    <row r="3881" spans="1:10" hidden="1"/>
    <row r="3882" spans="1:10" hidden="1"/>
    <row r="3883" spans="1:10" hidden="1"/>
    <row r="3884" spans="1:10" hidden="1"/>
    <row r="3885" spans="1:10" hidden="1"/>
    <row r="3886" spans="1:10" hidden="1"/>
    <row r="3887" spans="1:10" hidden="1"/>
    <row r="3888" spans="1:10" hidden="1"/>
    <row r="3889" hidden="1"/>
  </sheetData>
  <sortState ref="A5:J3512">
    <sortCondition ref="C5:C3512"/>
  </sortState>
  <printOptions horizontalCentered="1"/>
  <pageMargins left="0.19685039370078741" right="0.19685039370078741" top="0.59055118110236227" bottom="0.78740157480314965" header="0.51181102362204722" footer="0.59055118110236227"/>
  <pageSetup paperSize="9" scale="58" firstPageNumber="12" orientation="landscape" useFirstPageNumber="1" r:id="rId1"/>
  <headerFooter alignWithMargins="0">
    <oddFooter>&amp;C&amp;12página &amp;P</oddFooter>
  </headerFooter>
  <ignoredErrors>
    <ignoredError sqref="B11:B3585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30</vt:i4>
      </vt:variant>
      <vt:variant>
        <vt:lpstr>Intervalos Nomeados</vt:lpstr>
      </vt:variant>
      <vt:variant>
        <vt:i4>44</vt:i4>
      </vt:variant>
    </vt:vector>
  </HeadingPairs>
  <TitlesOfParts>
    <vt:vector size="74" baseType="lpstr">
      <vt:lpstr>Capa</vt:lpstr>
      <vt:lpstr>Índice</vt:lpstr>
      <vt:lpstr>Glossário</vt:lpstr>
      <vt:lpstr>Resumo</vt:lpstr>
      <vt:lpstr>CAPA - NV</vt:lpstr>
      <vt:lpstr>transferências NV</vt:lpstr>
      <vt:lpstr>Nota de Débito</vt:lpstr>
      <vt:lpstr>composição ND </vt:lpstr>
      <vt:lpstr>pagtos. NV</vt:lpstr>
      <vt:lpstr>extrato BB 9049-2 NV</vt:lpstr>
      <vt:lpstr>Extrato Siafem SP II  convênio</vt:lpstr>
      <vt:lpstr>Extrato SIAFEM Fundo Convênio</vt:lpstr>
      <vt:lpstr>CAPA - IN</vt:lpstr>
      <vt:lpstr>transferências IN</vt:lpstr>
      <vt:lpstr>recebimentos IN</vt:lpstr>
      <vt:lpstr>pgtos IN</vt:lpstr>
      <vt:lpstr>extrato BB 4-0 IN</vt:lpstr>
      <vt:lpstr>Extrato SIAFEM SP II Exploracao</vt:lpstr>
      <vt:lpstr>Extrato SIAFEM Fundo Exploracao</vt:lpstr>
      <vt:lpstr>CAPA - CD</vt:lpstr>
      <vt:lpstr>transferências CD</vt:lpstr>
      <vt:lpstr>recebimentos CD</vt:lpstr>
      <vt:lpstr>pagtos.CD</vt:lpstr>
      <vt:lpstr>extrato 10-8 CD</vt:lpstr>
      <vt:lpstr>Extrato SIAFEM SP II Condominio</vt:lpstr>
      <vt:lpstr>Extrato SIAFEM Fundo Condominio</vt:lpstr>
      <vt:lpstr>CAPA - GE</vt:lpstr>
      <vt:lpstr>transferências GE</vt:lpstr>
      <vt:lpstr>pagtos. GE</vt:lpstr>
      <vt:lpstr>extrato movimento GE</vt:lpstr>
      <vt:lpstr>Capa!Area_de_impressao</vt:lpstr>
      <vt:lpstr>'CAPA - CD'!Area_de_impressao</vt:lpstr>
      <vt:lpstr>'CAPA - GE'!Area_de_impressao</vt:lpstr>
      <vt:lpstr>'CAPA - IN'!Area_de_impressao</vt:lpstr>
      <vt:lpstr>'CAPA - NV'!Area_de_impressao</vt:lpstr>
      <vt:lpstr>'composição ND '!Area_de_impressao</vt:lpstr>
      <vt:lpstr>'extrato 10-8 CD'!Area_de_impressao</vt:lpstr>
      <vt:lpstr>'extrato BB 4-0 IN'!Area_de_impressao</vt:lpstr>
      <vt:lpstr>'extrato BB 9049-2 NV'!Area_de_impressao</vt:lpstr>
      <vt:lpstr>'extrato movimento GE'!Area_de_impressao</vt:lpstr>
      <vt:lpstr>'Extrato SIAFEM Fundo Condominio'!Area_de_impressao</vt:lpstr>
      <vt:lpstr>'Extrato SIAFEM Fundo Convênio'!Area_de_impressao</vt:lpstr>
      <vt:lpstr>'Extrato SIAFEM Fundo Exploracao'!Area_de_impressao</vt:lpstr>
      <vt:lpstr>'Extrato Siafem SP II  convênio'!Area_de_impressao</vt:lpstr>
      <vt:lpstr>'Extrato SIAFEM SP II Condominio'!Area_de_impressao</vt:lpstr>
      <vt:lpstr>'Extrato SIAFEM SP II Exploracao'!Area_de_impressao</vt:lpstr>
      <vt:lpstr>Índice!Area_de_impressao</vt:lpstr>
      <vt:lpstr>'Nota de Débito'!Area_de_impressao</vt:lpstr>
      <vt:lpstr>'pagtos. GE'!Area_de_impressao</vt:lpstr>
      <vt:lpstr>'pagtos. NV'!Area_de_impressao</vt:lpstr>
      <vt:lpstr>pagtos.CD!Area_de_impressao</vt:lpstr>
      <vt:lpstr>'pgtos IN'!Area_de_impressao</vt:lpstr>
      <vt:lpstr>'recebimentos CD'!Area_de_impressao</vt:lpstr>
      <vt:lpstr>'recebimentos IN'!Area_de_impressao</vt:lpstr>
      <vt:lpstr>'transferências NV'!Area_de_impressao</vt:lpstr>
      <vt:lpstr>'CAPA - CD'!Titulos_de_impressao</vt:lpstr>
      <vt:lpstr>'CAPA - NV'!Titulos_de_impressao</vt:lpstr>
      <vt:lpstr>'composição ND '!Titulos_de_impressao</vt:lpstr>
      <vt:lpstr>'extrato 10-8 CD'!Titulos_de_impressao</vt:lpstr>
      <vt:lpstr>'extrato BB 4-0 IN'!Titulos_de_impressao</vt:lpstr>
      <vt:lpstr>'extrato BB 9049-2 NV'!Titulos_de_impressao</vt:lpstr>
      <vt:lpstr>'Extrato SIAFEM Fundo Condominio'!Titulos_de_impressao</vt:lpstr>
      <vt:lpstr>'Extrato SIAFEM Fundo Convênio'!Titulos_de_impressao</vt:lpstr>
      <vt:lpstr>'Extrato SIAFEM Fundo Exploracao'!Titulos_de_impressao</vt:lpstr>
      <vt:lpstr>'Extrato Siafem SP II  convênio'!Titulos_de_impressao</vt:lpstr>
      <vt:lpstr>'Extrato SIAFEM SP II Condominio'!Titulos_de_impressao</vt:lpstr>
      <vt:lpstr>'Extrato SIAFEM SP II Exploracao'!Titulos_de_impressao</vt:lpstr>
      <vt:lpstr>Índice!Titulos_de_impressao</vt:lpstr>
      <vt:lpstr>'pagtos. GE'!Titulos_de_impressao</vt:lpstr>
      <vt:lpstr>'pagtos. NV'!Titulos_de_impressao</vt:lpstr>
      <vt:lpstr>'pgtos IN'!Titulos_de_impressao</vt:lpstr>
      <vt:lpstr>'recebimentos CD'!Titulos_de_impressao</vt:lpstr>
      <vt:lpstr>'recebimentos IN'!Titulos_de_impressao</vt:lpstr>
      <vt:lpstr>'transferências NV'!Titulos_de_impressao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142852</dc:creator>
  <cp:lastModifiedBy>HOME</cp:lastModifiedBy>
  <cp:lastPrinted>2017-12-01T02:41:28Z</cp:lastPrinted>
  <dcterms:created xsi:type="dcterms:W3CDTF">2015-08-10T19:16:44Z</dcterms:created>
  <dcterms:modified xsi:type="dcterms:W3CDTF">2017-12-01T02:42:57Z</dcterms:modified>
</cp:coreProperties>
</file>